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150"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Q NSPL" sheetId="47" r:id="rId27"/>
    <sheet name="WSQ Schedule 12" sheetId="49" r:id="rId28"/>
    <sheet name="WSQ Schedule 1A" sheetId="50" r:id="rId29"/>
  </sheets>
  <externalReferences>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TCOS!$A$1:$M$374</definedName>
    <definedName name="_xlnm.Print_Area" localSheetId="25">'WPC-WS P Dep. Rates'!#REF!</definedName>
    <definedName name="_xlnm.Print_Area" localSheetId="10">'WS G  State Tax Rate'!$A$1:$H$42</definedName>
    <definedName name="_xlnm.Print_Area" localSheetId="19">'WS O - PBOP'!$A$1:$K$57</definedName>
    <definedName name="_xlnm.Print_Area" localSheetId="26">'WSQ NSPL'!$A$1:$K$62</definedName>
    <definedName name="_xlnm.Print_Area" localSheetId="27">'WSQ Schedule 12'!$A$1:$K$64</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I52" i="5" l="1"/>
  <c r="L103" i="2" s="1"/>
  <c r="G154" i="2"/>
  <c r="H41" i="41"/>
  <c r="H40" i="41"/>
  <c r="H39" i="41"/>
  <c r="H38" i="41"/>
  <c r="H37" i="41"/>
  <c r="H36" i="41"/>
  <c r="H35" i="41"/>
  <c r="H34" i="41"/>
  <c r="H33" i="41"/>
  <c r="H32" i="41"/>
  <c r="F42" i="41"/>
  <c r="H30" i="41"/>
  <c r="H29" i="41"/>
  <c r="E86" i="6"/>
  <c r="J85" i="6"/>
  <c r="K85" i="6" s="1"/>
  <c r="E85" i="6" s="1"/>
  <c r="E83" i="6"/>
  <c r="I82" i="6"/>
  <c r="K82" i="6" s="1"/>
  <c r="E82" i="6" s="1"/>
  <c r="E81" i="6"/>
  <c r="E79" i="6"/>
  <c r="E77" i="6"/>
  <c r="J76" i="6"/>
  <c r="E75" i="6"/>
  <c r="E74" i="6"/>
  <c r="E73" i="6"/>
  <c r="E71" i="6"/>
  <c r="I69" i="6"/>
  <c r="K69" i="6" s="1"/>
  <c r="E69" i="6" s="1"/>
  <c r="E56" i="6"/>
  <c r="J55" i="6"/>
  <c r="K55" i="6" s="1"/>
  <c r="E54" i="6"/>
  <c r="E53" i="6"/>
  <c r="I52" i="6"/>
  <c r="K52" i="6" s="1"/>
  <c r="E51" i="6"/>
  <c r="I50" i="6"/>
  <c r="K50" i="6" s="1"/>
  <c r="E50" i="6" s="1"/>
  <c r="J46" i="6"/>
  <c r="J61" i="6" s="1"/>
  <c r="J29" i="6" s="1"/>
  <c r="E45" i="6"/>
  <c r="E44" i="6"/>
  <c r="E43" i="6"/>
  <c r="E41" i="6"/>
  <c r="E40" i="6"/>
  <c r="I39" i="6"/>
  <c r="K39" i="6" s="1"/>
  <c r="G155" i="2"/>
  <c r="G153" i="2"/>
  <c r="G23" i="48"/>
  <c r="E28" i="48"/>
  <c r="E64" i="41"/>
  <c r="E87" i="35"/>
  <c r="D87" i="35"/>
  <c r="H238" i="2"/>
  <c r="H237" i="2"/>
  <c r="L236" i="2"/>
  <c r="J21" i="8"/>
  <c r="J19" i="8"/>
  <c r="J13" i="8"/>
  <c r="L18" i="2"/>
  <c r="B39" i="47"/>
  <c r="B40" i="47" s="1"/>
  <c r="B41" i="47" s="1"/>
  <c r="B21" i="47"/>
  <c r="B39" i="49"/>
  <c r="B21" i="49"/>
  <c r="B39" i="50"/>
  <c r="B40" i="50" s="1"/>
  <c r="B21" i="50"/>
  <c r="A8" i="50"/>
  <c r="A8" i="47"/>
  <c r="A8" i="49"/>
  <c r="F15" i="49"/>
  <c r="F21" i="49" s="1"/>
  <c r="F22" i="49" s="1"/>
  <c r="F23" i="49" s="1"/>
  <c r="F24" i="49" s="1"/>
  <c r="F25" i="49" s="1"/>
  <c r="H10" i="49"/>
  <c r="D21" i="49" s="1"/>
  <c r="D22" i="49" s="1"/>
  <c r="D23" i="49" s="1"/>
  <c r="D24" i="49" s="1"/>
  <c r="D25" i="49" s="1"/>
  <c r="D26" i="49" s="1"/>
  <c r="D27" i="49" s="1"/>
  <c r="D28" i="49" s="1"/>
  <c r="D29" i="49" s="1"/>
  <c r="D30" i="49" s="1"/>
  <c r="D31" i="49" s="1"/>
  <c r="D32" i="49" s="1"/>
  <c r="G17" i="41"/>
  <c r="G160" i="2"/>
  <c r="E57" i="9"/>
  <c r="E56" i="9"/>
  <c r="E55" i="9"/>
  <c r="E54" i="9"/>
  <c r="E53" i="9"/>
  <c r="E52" i="9"/>
  <c r="E51" i="9"/>
  <c r="E50" i="9"/>
  <c r="E49" i="9"/>
  <c r="E48" i="9"/>
  <c r="E47" i="9"/>
  <c r="E46" i="9"/>
  <c r="E44" i="9"/>
  <c r="E37" i="9"/>
  <c r="F39" i="9"/>
  <c r="F41" i="9" s="1"/>
  <c r="G161" i="2" s="1"/>
  <c r="E36" i="9"/>
  <c r="L45" i="2"/>
  <c r="L46" i="2"/>
  <c r="D33" i="9"/>
  <c r="G146" i="2" s="1"/>
  <c r="L44" i="2" s="1"/>
  <c r="L48" i="2" s="1"/>
  <c r="F71" i="35"/>
  <c r="L106" i="2" s="1"/>
  <c r="G27" i="48"/>
  <c r="G44" i="48"/>
  <c r="K86" i="6"/>
  <c r="K84" i="6"/>
  <c r="E84" i="6" s="1"/>
  <c r="K83" i="6"/>
  <c r="K81" i="6"/>
  <c r="K79" i="6"/>
  <c r="K78" i="6"/>
  <c r="K77" i="6"/>
  <c r="K74" i="6"/>
  <c r="K73" i="6"/>
  <c r="K72" i="6"/>
  <c r="K71" i="6"/>
  <c r="K70" i="6"/>
  <c r="K56" i="6"/>
  <c r="K54" i="6"/>
  <c r="K53" i="6"/>
  <c r="K51" i="6"/>
  <c r="K49" i="6"/>
  <c r="K48" i="6"/>
  <c r="K47" i="6"/>
  <c r="K44" i="6"/>
  <c r="K43" i="6"/>
  <c r="K42" i="6"/>
  <c r="K41" i="6"/>
  <c r="K40" i="6"/>
  <c r="B72" i="51"/>
  <c r="O48" i="51"/>
  <c r="N48" i="51"/>
  <c r="L48" i="51"/>
  <c r="K48" i="51"/>
  <c r="J48" i="51"/>
  <c r="I48" i="51"/>
  <c r="B48" i="51"/>
  <c r="M45" i="51"/>
  <c r="P44" i="51"/>
  <c r="P40" i="51"/>
  <c r="Q39" i="51"/>
  <c r="P38" i="51"/>
  <c r="P37" i="51"/>
  <c r="Q36" i="51"/>
  <c r="Q35" i="51"/>
  <c r="Q48" i="51" s="1"/>
  <c r="P34" i="51"/>
  <c r="O29" i="51"/>
  <c r="N29" i="51"/>
  <c r="L29" i="51"/>
  <c r="K29" i="51"/>
  <c r="J29" i="51"/>
  <c r="I29" i="51"/>
  <c r="B29" i="51"/>
  <c r="M26" i="51"/>
  <c r="P25" i="51"/>
  <c r="P21" i="51"/>
  <c r="Q20" i="51"/>
  <c r="P19" i="51"/>
  <c r="P18" i="51"/>
  <c r="Q17" i="51"/>
  <c r="Q16" i="51"/>
  <c r="P15" i="51"/>
  <c r="Q14" i="51"/>
  <c r="Q29" i="51" s="1"/>
  <c r="P13" i="51"/>
  <c r="R11" i="51"/>
  <c r="F61" i="9"/>
  <c r="B41" i="50"/>
  <c r="B42" i="50" s="1"/>
  <c r="B43" i="50" s="1"/>
  <c r="B44" i="50" s="1"/>
  <c r="B45" i="50"/>
  <c r="B46" i="50" s="1"/>
  <c r="B47" i="50" s="1"/>
  <c r="B48" i="50" s="1"/>
  <c r="B49" i="50" s="1"/>
  <c r="B50" i="50" s="1"/>
  <c r="B36" i="50"/>
  <c r="B22" i="50"/>
  <c r="B23" i="50"/>
  <c r="B24" i="50" s="1"/>
  <c r="B25" i="50" s="1"/>
  <c r="B26" i="50" s="1"/>
  <c r="B27" i="50" s="1"/>
  <c r="B28" i="50" s="1"/>
  <c r="B29" i="50" s="1"/>
  <c r="B30" i="50" s="1"/>
  <c r="B31" i="50" s="1"/>
  <c r="B32" i="50" s="1"/>
  <c r="B40" i="49"/>
  <c r="B41" i="49" s="1"/>
  <c r="B42" i="49"/>
  <c r="B43" i="49" s="1"/>
  <c r="B44" i="49" s="1"/>
  <c r="B45" i="49" s="1"/>
  <c r="B46" i="49" s="1"/>
  <c r="B47" i="49" s="1"/>
  <c r="B48" i="49" s="1"/>
  <c r="B49" i="49" s="1"/>
  <c r="B50" i="49"/>
  <c r="B36" i="49"/>
  <c r="B22" i="49"/>
  <c r="B23" i="49" s="1"/>
  <c r="B24" i="49" s="1"/>
  <c r="B25" i="49" s="1"/>
  <c r="B26" i="49" s="1"/>
  <c r="B27" i="49" s="1"/>
  <c r="B28" i="49" s="1"/>
  <c r="B29" i="49" s="1"/>
  <c r="B30" i="49" s="1"/>
  <c r="B31" i="49" s="1"/>
  <c r="B32" i="49" s="1"/>
  <c r="B36" i="47"/>
  <c r="F11" i="10"/>
  <c r="D94" i="41"/>
  <c r="D95" i="41" s="1"/>
  <c r="C94" i="41"/>
  <c r="C95" i="41" s="1"/>
  <c r="D88" i="41"/>
  <c r="D89" i="41" s="1"/>
  <c r="C88" i="41"/>
  <c r="N351" i="20"/>
  <c r="B42" i="47"/>
  <c r="B43" i="47" s="1"/>
  <c r="B44" i="47" s="1"/>
  <c r="B45" i="47" s="1"/>
  <c r="B46" i="47" s="1"/>
  <c r="B47" i="47" s="1"/>
  <c r="B48" i="47" s="1"/>
  <c r="B49" i="47" s="1"/>
  <c r="B50" i="47" s="1"/>
  <c r="B22" i="47"/>
  <c r="B23" i="47"/>
  <c r="B24" i="47" s="1"/>
  <c r="B25" i="47" s="1"/>
  <c r="B26" i="47" s="1"/>
  <c r="B27" i="47" s="1"/>
  <c r="B28" i="47" s="1"/>
  <c r="B29" i="47"/>
  <c r="B30" i="47" s="1"/>
  <c r="B31" i="47" s="1"/>
  <c r="B32" i="47" s="1"/>
  <c r="F62" i="35"/>
  <c r="E62" i="35"/>
  <c r="J42" i="35"/>
  <c r="G85" i="2" s="1"/>
  <c r="H42" i="35"/>
  <c r="G83" i="2" s="1"/>
  <c r="L83" i="2" s="1"/>
  <c r="F42" i="35"/>
  <c r="G81" i="2"/>
  <c r="J23" i="35"/>
  <c r="G73" i="2"/>
  <c r="H23" i="35"/>
  <c r="G71" i="2"/>
  <c r="L71" i="2" s="1"/>
  <c r="F23" i="35"/>
  <c r="G69" i="2" s="1"/>
  <c r="D815" i="20"/>
  <c r="C815" i="20"/>
  <c r="C816" i="20"/>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c r="C728" i="20" s="1"/>
  <c r="C729" i="20" s="1"/>
  <c r="C730" i="20" s="1"/>
  <c r="C731" i="20" s="1"/>
  <c r="C732" i="20" s="1"/>
  <c r="C733" i="20" s="1"/>
  <c r="C734" i="20" s="1"/>
  <c r="C735" i="20"/>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c r="C639" i="20" s="1"/>
  <c r="C640" i="20" s="1"/>
  <c r="C641" i="20" s="1"/>
  <c r="C642" i="20" s="1"/>
  <c r="C643" i="20" s="1"/>
  <c r="C644" i="20" s="1"/>
  <c r="C645" i="20" s="1"/>
  <c r="C646" i="20"/>
  <c r="C647" i="20" s="1"/>
  <c r="C648" i="20" s="1"/>
  <c r="C649" i="20" s="1"/>
  <c r="C650" i="20" s="1"/>
  <c r="C651" i="20" s="1"/>
  <c r="C652" i="20" s="1"/>
  <c r="C653" i="20" s="1"/>
  <c r="C654" i="20" s="1"/>
  <c r="C655" i="20" s="1"/>
  <c r="C656" i="20" s="1"/>
  <c r="C657" i="20" s="1"/>
  <c r="C658" i="20" s="1"/>
  <c r="C659" i="20" s="1"/>
  <c r="C660" i="20" s="1"/>
  <c r="C661" i="20" s="1"/>
  <c r="C662" i="20"/>
  <c r="C663" i="20" s="1"/>
  <c r="C664" i="20" s="1"/>
  <c r="C665" i="20" s="1"/>
  <c r="C666" i="20" s="1"/>
  <c r="C667" i="20" s="1"/>
  <c r="K632" i="20"/>
  <c r="I631" i="20"/>
  <c r="O618" i="20"/>
  <c r="N618" i="20"/>
  <c r="D548" i="20"/>
  <c r="C548" i="20"/>
  <c r="C549" i="20" s="1"/>
  <c r="C550" i="20"/>
  <c r="C551" i="20" s="1"/>
  <c r="C552" i="20" s="1"/>
  <c r="C553" i="20" s="1"/>
  <c r="C554" i="20" s="1"/>
  <c r="C555" i="20" s="1"/>
  <c r="C556" i="20" s="1"/>
  <c r="C557" i="20" s="1"/>
  <c r="C558" i="20" s="1"/>
  <c r="C559" i="20" s="1"/>
  <c r="C560" i="20" s="1"/>
  <c r="C561" i="20" s="1"/>
  <c r="C562" i="20" s="1"/>
  <c r="C563" i="20" s="1"/>
  <c r="C564" i="20" s="1"/>
  <c r="C565" i="20" s="1"/>
  <c r="C566" i="20"/>
  <c r="C567" i="20" s="1"/>
  <c r="C568" i="20" s="1"/>
  <c r="C569" i="20" s="1"/>
  <c r="C570" i="20" s="1"/>
  <c r="C571" i="20" s="1"/>
  <c r="C572" i="20" s="1"/>
  <c r="C573" i="20" s="1"/>
  <c r="C574" i="20" s="1"/>
  <c r="C575" i="20" s="1"/>
  <c r="C576" i="20" s="1"/>
  <c r="C577" i="20" s="1"/>
  <c r="C578" i="20" s="1"/>
  <c r="C579" i="20" s="1"/>
  <c r="C580" i="20" s="1"/>
  <c r="C581" i="20" s="1"/>
  <c r="K543" i="20"/>
  <c r="I542" i="20"/>
  <c r="O529" i="20"/>
  <c r="N529" i="20"/>
  <c r="D459" i="20"/>
  <c r="C459" i="20"/>
  <c r="C460" i="20"/>
  <c r="C461" i="20" s="1"/>
  <c r="C462" i="20" s="1"/>
  <c r="C463" i="20" s="1"/>
  <c r="C464" i="20" s="1"/>
  <c r="C465" i="20" s="1"/>
  <c r="C466" i="20"/>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K454" i="20"/>
  <c r="I453" i="20"/>
  <c r="O440" i="20"/>
  <c r="N440" i="20"/>
  <c r="D370" i="20"/>
  <c r="C370"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D281" i="20"/>
  <c r="C281" i="20"/>
  <c r="C282" i="20"/>
  <c r="C283" i="20" s="1"/>
  <c r="C284" i="20"/>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c r="C309" i="20" s="1"/>
  <c r="C310" i="20" s="1"/>
  <c r="C311" i="20" s="1"/>
  <c r="C312" i="20" s="1"/>
  <c r="C313" i="20" s="1"/>
  <c r="C314" i="20" s="1"/>
  <c r="C315" i="20" s="1"/>
  <c r="C316" i="20" s="1"/>
  <c r="C317" i="20" s="1"/>
  <c r="C318" i="20" s="1"/>
  <c r="C319" i="20" s="1"/>
  <c r="C320" i="20" s="1"/>
  <c r="C321" i="20" s="1"/>
  <c r="C322" i="20" s="1"/>
  <c r="K276" i="20"/>
  <c r="I275" i="20"/>
  <c r="O262" i="20"/>
  <c r="N262" i="20"/>
  <c r="D192" i="20"/>
  <c r="C192" i="20"/>
  <c r="C193" i="20"/>
  <c r="C194" i="20" s="1"/>
  <c r="C195" i="20" s="1"/>
  <c r="C196" i="20" s="1"/>
  <c r="C197" i="20"/>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3" i="20"/>
  <c r="C103" i="20"/>
  <c r="C104" i="20" s="1"/>
  <c r="C105" i="20"/>
  <c r="C106" i="20" s="1"/>
  <c r="C107" i="20" s="1"/>
  <c r="C108" i="20" s="1"/>
  <c r="C109" i="20" s="1"/>
  <c r="C110" i="20" s="1"/>
  <c r="C111" i="20" s="1"/>
  <c r="C112" i="20" s="1"/>
  <c r="C113" i="20"/>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s="1"/>
  <c r="G27" i="50" s="1"/>
  <c r="G28" i="50" s="1"/>
  <c r="G29" i="50" s="1"/>
  <c r="G30" i="50" s="1"/>
  <c r="G31" i="50" s="1"/>
  <c r="G32" i="50" s="1"/>
  <c r="F10" i="50"/>
  <c r="B10" i="50"/>
  <c r="G22" i="49"/>
  <c r="G23" i="49"/>
  <c r="G24" i="49" s="1"/>
  <c r="G25" i="49" s="1"/>
  <c r="G26" i="49" s="1"/>
  <c r="G27" i="49" s="1"/>
  <c r="G28" i="49" s="1"/>
  <c r="G29" i="49" s="1"/>
  <c r="G30" i="49" s="1"/>
  <c r="G31" i="49" s="1"/>
  <c r="G32" i="49" s="1"/>
  <c r="F10" i="49"/>
  <c r="B10" i="49"/>
  <c r="G22" i="47"/>
  <c r="G23" i="47" s="1"/>
  <c r="G24" i="47"/>
  <c r="G25" i="47" s="1"/>
  <c r="G26" i="47" s="1"/>
  <c r="G27" i="47" s="1"/>
  <c r="G28" i="47" s="1"/>
  <c r="G29" i="47" s="1"/>
  <c r="G30" i="47" s="1"/>
  <c r="G31" i="47" s="1"/>
  <c r="G32" i="47" s="1"/>
  <c r="F10" i="47"/>
  <c r="B10" i="47"/>
  <c r="F36" i="10"/>
  <c r="G42" i="41"/>
  <c r="E42" i="41"/>
  <c r="D42" i="41"/>
  <c r="C42" i="41"/>
  <c r="D23" i="41"/>
  <c r="L249" i="2" s="1"/>
  <c r="G256" i="2" s="1"/>
  <c r="L227" i="2"/>
  <c r="F24" i="10"/>
  <c r="F17" i="48"/>
  <c r="B14" i="48"/>
  <c r="A6" i="48"/>
  <c r="A23" i="48"/>
  <c r="A24" i="48" s="1"/>
  <c r="A25" i="48" s="1"/>
  <c r="A26" i="48" s="1"/>
  <c r="A27" i="48" s="1"/>
  <c r="A4" i="48"/>
  <c r="C63" i="41"/>
  <c r="B48" i="41"/>
  <c r="M27" i="42"/>
  <c r="I27" i="42"/>
  <c r="E27" i="42"/>
  <c r="M26" i="42"/>
  <c r="I26" i="42"/>
  <c r="E26" i="42"/>
  <c r="M25" i="42"/>
  <c r="O25" i="42"/>
  <c r="I25" i="42"/>
  <c r="E25" i="42"/>
  <c r="M24" i="42"/>
  <c r="O24" i="42"/>
  <c r="I24" i="42"/>
  <c r="E24" i="42"/>
  <c r="M23" i="42"/>
  <c r="O23" i="42"/>
  <c r="I23" i="42"/>
  <c r="E23" i="42"/>
  <c r="M22" i="42"/>
  <c r="O22" i="42"/>
  <c r="I22" i="42"/>
  <c r="E22" i="42"/>
  <c r="M21" i="42"/>
  <c r="I21" i="42"/>
  <c r="E21" i="42"/>
  <c r="M20" i="42"/>
  <c r="I20" i="42"/>
  <c r="E20" i="42"/>
  <c r="O20" i="42" s="1"/>
  <c r="M19" i="42"/>
  <c r="I19" i="42"/>
  <c r="E19" i="42"/>
  <c r="O19" i="42" s="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6" i="35"/>
  <c r="S177" i="38"/>
  <c r="S183" i="38"/>
  <c r="R177" i="38"/>
  <c r="R183" i="38"/>
  <c r="Q177" i="38"/>
  <c r="Q183" i="38"/>
  <c r="O177" i="38"/>
  <c r="O183" i="38"/>
  <c r="N177" i="38"/>
  <c r="N183" i="38"/>
  <c r="M177" i="38"/>
  <c r="M183" i="38"/>
  <c r="S71" i="38"/>
  <c r="R71" i="38"/>
  <c r="Q71" i="38"/>
  <c r="O71" i="38"/>
  <c r="N71" i="38"/>
  <c r="M71" i="38"/>
  <c r="F13" i="38"/>
  <c r="B3" i="38"/>
  <c r="A72" i="38"/>
  <c r="D26" i="5"/>
  <c r="E72" i="38"/>
  <c r="F72" i="38"/>
  <c r="A180" i="38"/>
  <c r="A183" i="38"/>
  <c r="A18" i="39"/>
  <c r="A19" i="39"/>
  <c r="A20" i="39" s="1"/>
  <c r="A21" i="39" s="1"/>
  <c r="A22" i="39" s="1"/>
  <c r="A23" i="39" s="1"/>
  <c r="A24" i="39" s="1"/>
  <c r="A25" i="39" s="1"/>
  <c r="A26" i="39" s="1"/>
  <c r="A27" i="39" s="1"/>
  <c r="A28" i="39" s="1"/>
  <c r="A29" i="39" s="1"/>
  <c r="A30" i="39" s="1"/>
  <c r="A31" i="39" s="1"/>
  <c r="A32" i="39" s="1"/>
  <c r="A33" i="39" s="1"/>
  <c r="A34" i="39" s="1"/>
  <c r="A35" i="39"/>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c r="A100" i="39" s="1"/>
  <c r="A101" i="39" s="1"/>
  <c r="A102" i="39" s="1"/>
  <c r="A103" i="39" s="1"/>
  <c r="A104" i="39" s="1"/>
  <c r="A105" i="39" s="1"/>
  <c r="A106" i="39" s="1"/>
  <c r="A107" i="39" s="1"/>
  <c r="A77" i="38"/>
  <c r="A78" i="38"/>
  <c r="A79" i="38" s="1"/>
  <c r="A80" i="38" s="1"/>
  <c r="A81" i="38" s="1"/>
  <c r="A82" i="38" s="1"/>
  <c r="A83" i="38" s="1"/>
  <c r="A84" i="38" s="1"/>
  <c r="A85" i="38" s="1"/>
  <c r="A86" i="38" s="1"/>
  <c r="A87" i="38" s="1"/>
  <c r="A88" i="38" s="1"/>
  <c r="A89" i="38" s="1"/>
  <c r="A90" i="38" s="1"/>
  <c r="A91" i="38" s="1"/>
  <c r="A92" i="38"/>
  <c r="A93" i="38" s="1"/>
  <c r="A94" i="38" s="1"/>
  <c r="A95" i="38" s="1"/>
  <c r="A96" i="38" s="1"/>
  <c r="A97" i="38" s="1"/>
  <c r="A98" i="38" s="1"/>
  <c r="A99" i="38" s="1"/>
  <c r="A100" i="38" s="1"/>
  <c r="A101" i="38" s="1"/>
  <c r="A102" i="38" s="1"/>
  <c r="A103" i="38" s="1"/>
  <c r="A104" i="38" s="1"/>
  <c r="A105" i="38" s="1"/>
  <c r="A106" i="38" s="1"/>
  <c r="A107" i="38" s="1"/>
  <c r="A108" i="38"/>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c r="A31" i="38" s="1"/>
  <c r="A32" i="38" s="1"/>
  <c r="A33" i="38" s="1"/>
  <c r="A34" i="38" s="1"/>
  <c r="A35" i="38" s="1"/>
  <c r="A36" i="38" s="1"/>
  <c r="A37" i="38" s="1"/>
  <c r="A38" i="38"/>
  <c r="A39" i="38" s="1"/>
  <c r="A40" i="38" s="1"/>
  <c r="A41" i="38" s="1"/>
  <c r="A42" i="38" s="1"/>
  <c r="A43" i="38" s="1"/>
  <c r="A44" i="38" s="1"/>
  <c r="A45" i="38" s="1"/>
  <c r="A46" i="38" s="1"/>
  <c r="A47" i="38" s="1"/>
  <c r="A48" i="38" s="1"/>
  <c r="A49" i="38" s="1"/>
  <c r="A50" i="38" s="1"/>
  <c r="A51" i="38" s="1"/>
  <c r="A52" i="38" s="1"/>
  <c r="A53" i="38" s="1"/>
  <c r="A54" i="38"/>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G107" i="39" s="1"/>
  <c r="C107" i="39"/>
  <c r="K106" i="39"/>
  <c r="J106" i="39"/>
  <c r="I106" i="39"/>
  <c r="F106" i="39"/>
  <c r="E106" i="39"/>
  <c r="F105" i="39"/>
  <c r="G105" i="39" s="1"/>
  <c r="E105" i="39"/>
  <c r="F104" i="39"/>
  <c r="F103" i="39"/>
  <c r="E103" i="39"/>
  <c r="E102" i="39"/>
  <c r="G102" i="39"/>
  <c r="F102" i="39"/>
  <c r="F101" i="39"/>
  <c r="E101" i="39"/>
  <c r="F100" i="39"/>
  <c r="E100" i="39"/>
  <c r="F99" i="39"/>
  <c r="G99" i="39"/>
  <c r="E99" i="39"/>
  <c r="F98" i="39"/>
  <c r="E98" i="39"/>
  <c r="F97" i="39"/>
  <c r="E97" i="39"/>
  <c r="G97" i="39" s="1"/>
  <c r="F96" i="39"/>
  <c r="G96" i="39"/>
  <c r="E96" i="39"/>
  <c r="K95" i="39"/>
  <c r="D95" i="39"/>
  <c r="G95" i="39"/>
  <c r="C95" i="39"/>
  <c r="I95" i="39"/>
  <c r="D94" i="39"/>
  <c r="J94" i="39"/>
  <c r="I94" i="39"/>
  <c r="C94" i="39"/>
  <c r="C93" i="39"/>
  <c r="K93" i="39"/>
  <c r="J93" i="39"/>
  <c r="D92" i="39"/>
  <c r="K92" i="39"/>
  <c r="J91" i="39"/>
  <c r="I91" i="39"/>
  <c r="D90" i="39"/>
  <c r="J90" i="39"/>
  <c r="I90" i="39"/>
  <c r="I89" i="39"/>
  <c r="K89" i="39"/>
  <c r="J89" i="39"/>
  <c r="D89" i="39"/>
  <c r="C89" i="39"/>
  <c r="G89" i="39" s="1"/>
  <c r="J88" i="39"/>
  <c r="D88" i="39"/>
  <c r="K88" i="39"/>
  <c r="K87" i="39"/>
  <c r="D87" i="39"/>
  <c r="G87" i="39" s="1"/>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G79" i="39"/>
  <c r="C79" i="39"/>
  <c r="I79" i="39"/>
  <c r="D78" i="39"/>
  <c r="J78" i="39"/>
  <c r="I78" i="39"/>
  <c r="C78" i="39"/>
  <c r="C77" i="39"/>
  <c r="K77" i="39"/>
  <c r="J77" i="39"/>
  <c r="J110" i="39" s="1"/>
  <c r="J76" i="39"/>
  <c r="K76" i="39"/>
  <c r="K75" i="39"/>
  <c r="J75" i="39"/>
  <c r="I75" i="39"/>
  <c r="D74" i="39"/>
  <c r="J74" i="39"/>
  <c r="I74" i="39"/>
  <c r="I73" i="39"/>
  <c r="K73" i="39"/>
  <c r="J73" i="39"/>
  <c r="D73" i="39"/>
  <c r="C73" i="39"/>
  <c r="G73" i="39" s="1"/>
  <c r="J72" i="39"/>
  <c r="D72" i="39"/>
  <c r="K72" i="39"/>
  <c r="K71" i="39"/>
  <c r="D71" i="39"/>
  <c r="G71" i="39" s="1"/>
  <c r="C71" i="39"/>
  <c r="I71" i="39"/>
  <c r="D70" i="39"/>
  <c r="J70" i="39"/>
  <c r="I70" i="39"/>
  <c r="D69" i="39"/>
  <c r="C69" i="39"/>
  <c r="G69" i="39" s="1"/>
  <c r="J69" i="39"/>
  <c r="J68" i="39"/>
  <c r="K68" i="39"/>
  <c r="D68" i="39"/>
  <c r="J67" i="39"/>
  <c r="I67" i="39"/>
  <c r="D66" i="39"/>
  <c r="J66" i="39"/>
  <c r="I66" i="39"/>
  <c r="I65" i="39"/>
  <c r="K65" i="39"/>
  <c r="J65" i="39"/>
  <c r="D65" i="39"/>
  <c r="G65" i="39" s="1"/>
  <c r="C65" i="39"/>
  <c r="D64" i="39"/>
  <c r="J64" i="39"/>
  <c r="K64" i="39"/>
  <c r="D63" i="39"/>
  <c r="K63" i="39"/>
  <c r="C63" i="39"/>
  <c r="G63" i="39"/>
  <c r="I63" i="39"/>
  <c r="D62" i="39"/>
  <c r="J62" i="39"/>
  <c r="I62" i="39"/>
  <c r="I109" i="39" s="1"/>
  <c r="C62" i="39"/>
  <c r="D61" i="39"/>
  <c r="C61" i="39"/>
  <c r="G61" i="39"/>
  <c r="K61" i="39"/>
  <c r="J61" i="39"/>
  <c r="D60" i="39"/>
  <c r="K60" i="39"/>
  <c r="J59" i="39"/>
  <c r="I59" i="39"/>
  <c r="D58" i="39"/>
  <c r="J58" i="39"/>
  <c r="I58" i="39"/>
  <c r="I57" i="39"/>
  <c r="K57" i="39"/>
  <c r="J57" i="39"/>
  <c r="D57" i="39"/>
  <c r="C57" i="39"/>
  <c r="G57" i="39" s="1"/>
  <c r="D56" i="39"/>
  <c r="J56" i="39"/>
  <c r="K56" i="39"/>
  <c r="D55" i="39"/>
  <c r="K55" i="39"/>
  <c r="C55" i="39"/>
  <c r="I55" i="39"/>
  <c r="D54" i="39"/>
  <c r="G54" i="39"/>
  <c r="C54" i="39"/>
  <c r="I54" i="39"/>
  <c r="K53" i="39"/>
  <c r="I53" i="39"/>
  <c r="J53" i="39"/>
  <c r="D53" i="39"/>
  <c r="K52" i="39"/>
  <c r="D52" i="39"/>
  <c r="G52" i="39" s="1"/>
  <c r="C52" i="39"/>
  <c r="I52" i="39"/>
  <c r="D51" i="39"/>
  <c r="J51" i="39"/>
  <c r="I51" i="39"/>
  <c r="C51" i="39"/>
  <c r="G51" i="39" s="1"/>
  <c r="I50" i="39"/>
  <c r="C50" i="39"/>
  <c r="J50" i="39"/>
  <c r="J49" i="39"/>
  <c r="K49" i="39"/>
  <c r="K48" i="39"/>
  <c r="J48" i="39"/>
  <c r="I48" i="39"/>
  <c r="D47" i="39"/>
  <c r="K47" i="39"/>
  <c r="J47" i="39"/>
  <c r="I47" i="39"/>
  <c r="I46" i="39"/>
  <c r="K46" i="39"/>
  <c r="J46" i="39"/>
  <c r="D46" i="39"/>
  <c r="C46" i="39"/>
  <c r="G46" i="39"/>
  <c r="J45" i="39"/>
  <c r="D45" i="39"/>
  <c r="K45" i="39"/>
  <c r="K44" i="39"/>
  <c r="D44" i="39"/>
  <c r="G44" i="39"/>
  <c r="C44" i="39"/>
  <c r="I44" i="39"/>
  <c r="D43" i="39"/>
  <c r="J43" i="39"/>
  <c r="I43" i="39"/>
  <c r="C43" i="39"/>
  <c r="G43" i="39" s="1"/>
  <c r="I42" i="39"/>
  <c r="C42" i="39"/>
  <c r="J42" i="39"/>
  <c r="J41" i="39"/>
  <c r="K41" i="39"/>
  <c r="K40" i="39"/>
  <c r="J40" i="39"/>
  <c r="I40" i="39"/>
  <c r="D39" i="39"/>
  <c r="K39" i="39"/>
  <c r="J39" i="39"/>
  <c r="I39" i="39"/>
  <c r="I38" i="39"/>
  <c r="K38" i="39"/>
  <c r="J38" i="39"/>
  <c r="D38" i="39"/>
  <c r="G38" i="39"/>
  <c r="C38" i="39"/>
  <c r="J37" i="39"/>
  <c r="D37" i="39"/>
  <c r="K37" i="39"/>
  <c r="K36" i="39"/>
  <c r="D36" i="39"/>
  <c r="G36" i="39" s="1"/>
  <c r="C36" i="39"/>
  <c r="I36" i="39"/>
  <c r="D35" i="39"/>
  <c r="J35" i="39"/>
  <c r="I35" i="39"/>
  <c r="C35" i="39"/>
  <c r="G35" i="39"/>
  <c r="I34" i="39"/>
  <c r="C34" i="39"/>
  <c r="J34" i="39"/>
  <c r="J33" i="39"/>
  <c r="K33" i="39"/>
  <c r="K32" i="39"/>
  <c r="J32" i="39"/>
  <c r="I32" i="39"/>
  <c r="D31" i="39"/>
  <c r="K31" i="39"/>
  <c r="J31" i="39"/>
  <c r="I31" i="39"/>
  <c r="I30" i="39"/>
  <c r="K30" i="39"/>
  <c r="J30" i="39"/>
  <c r="D30" i="39"/>
  <c r="C30" i="39"/>
  <c r="J29" i="39"/>
  <c r="D29" i="39"/>
  <c r="D109" i="39" s="1"/>
  <c r="K29" i="39"/>
  <c r="K28" i="39"/>
  <c r="D28" i="39"/>
  <c r="C28" i="39"/>
  <c r="G28" i="39" s="1"/>
  <c r="I28" i="39"/>
  <c r="D27" i="39"/>
  <c r="J27" i="39"/>
  <c r="I27" i="39"/>
  <c r="I26" i="39"/>
  <c r="J26" i="39"/>
  <c r="K26" i="39"/>
  <c r="C26" i="39"/>
  <c r="J25" i="39"/>
  <c r="D25" i="39"/>
  <c r="G25" i="39"/>
  <c r="K25" i="39"/>
  <c r="C25" i="39"/>
  <c r="D24" i="39"/>
  <c r="C24" i="39"/>
  <c r="G24" i="39" s="1"/>
  <c r="K24" i="39"/>
  <c r="I24" i="39"/>
  <c r="C23" i="39"/>
  <c r="G23" i="39" s="1"/>
  <c r="I23" i="39"/>
  <c r="K22" i="39"/>
  <c r="C22" i="39"/>
  <c r="I22" i="39"/>
  <c r="D22" i="39"/>
  <c r="J21" i="39"/>
  <c r="K21" i="39"/>
  <c r="I21" i="39"/>
  <c r="D21" i="39"/>
  <c r="D20" i="39"/>
  <c r="C20" i="39"/>
  <c r="K20" i="39"/>
  <c r="D19" i="39"/>
  <c r="K19" i="39"/>
  <c r="J19" i="39"/>
  <c r="I19" i="39"/>
  <c r="D18" i="39"/>
  <c r="G18" i="39" s="1"/>
  <c r="K18" i="39"/>
  <c r="C18" i="39"/>
  <c r="I18" i="39"/>
  <c r="J17" i="39"/>
  <c r="S197" i="38"/>
  <c r="R197" i="38"/>
  <c r="Q197" i="38"/>
  <c r="O197" i="38"/>
  <c r="N197" i="38"/>
  <c r="M197" i="38"/>
  <c r="F197" i="38"/>
  <c r="E197" i="38"/>
  <c r="K195" i="38"/>
  <c r="K197" i="38" s="1"/>
  <c r="J195" i="38"/>
  <c r="I195" i="38"/>
  <c r="D195" i="38"/>
  <c r="D197" i="38"/>
  <c r="C195" i="38"/>
  <c r="K194" i="38"/>
  <c r="J194" i="38"/>
  <c r="I194" i="38"/>
  <c r="I197" i="38" s="1"/>
  <c r="D194" i="38"/>
  <c r="C194" i="38"/>
  <c r="F181" i="38"/>
  <c r="G181" i="38" s="1"/>
  <c r="E181" i="38"/>
  <c r="K180" i="38"/>
  <c r="J180" i="38"/>
  <c r="I180" i="38"/>
  <c r="D180" i="38"/>
  <c r="C180" i="38"/>
  <c r="G180" i="38" s="1"/>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G161" i="38" s="1"/>
  <c r="D160" i="38"/>
  <c r="K160" i="38"/>
  <c r="J160" i="38"/>
  <c r="K159" i="38"/>
  <c r="J159" i="38"/>
  <c r="I159" i="38"/>
  <c r="D158" i="38"/>
  <c r="K158" i="38"/>
  <c r="I157" i="38"/>
  <c r="J157" i="38"/>
  <c r="J156" i="38"/>
  <c r="K156" i="38"/>
  <c r="D156" i="38"/>
  <c r="G156" i="38"/>
  <c r="C156" i="38"/>
  <c r="D155" i="38"/>
  <c r="K155" i="38"/>
  <c r="I154" i="38"/>
  <c r="D153" i="38"/>
  <c r="I153" i="38"/>
  <c r="K152" i="38"/>
  <c r="J152" i="38"/>
  <c r="D152" i="38"/>
  <c r="K151" i="38"/>
  <c r="K150" i="38"/>
  <c r="I150" i="38"/>
  <c r="C149" i="38"/>
  <c r="J149" i="38"/>
  <c r="D148" i="38"/>
  <c r="C148" i="38"/>
  <c r="G148" i="38" s="1"/>
  <c r="J148" i="38"/>
  <c r="K147" i="38"/>
  <c r="J147" i="38"/>
  <c r="I147" i="38"/>
  <c r="D147" i="38"/>
  <c r="J146" i="38"/>
  <c r="I146" i="38"/>
  <c r="C146" i="38"/>
  <c r="C145" i="38"/>
  <c r="G145" i="38" s="1"/>
  <c r="J145" i="38"/>
  <c r="C144" i="38"/>
  <c r="G144" i="38" s="1"/>
  <c r="J144" i="38"/>
  <c r="D144" i="38"/>
  <c r="K143" i="38"/>
  <c r="J143" i="38"/>
  <c r="J142" i="38"/>
  <c r="I142" i="38"/>
  <c r="J141" i="38"/>
  <c r="K141" i="38"/>
  <c r="C141" i="38"/>
  <c r="G141" i="38" s="1"/>
  <c r="J140" i="38"/>
  <c r="I140" i="38"/>
  <c r="K140" i="38"/>
  <c r="D140" i="38"/>
  <c r="G140" i="38" s="1"/>
  <c r="C140" i="38"/>
  <c r="D139" i="38"/>
  <c r="C139" i="38"/>
  <c r="G139" i="38" s="1"/>
  <c r="K139" i="38"/>
  <c r="I138" i="38"/>
  <c r="K137" i="38"/>
  <c r="J137" i="38"/>
  <c r="I137" i="38"/>
  <c r="D137" i="38"/>
  <c r="J136" i="38"/>
  <c r="K136" i="38"/>
  <c r="D136" i="38"/>
  <c r="D135" i="38"/>
  <c r="J135" i="38"/>
  <c r="K135" i="38"/>
  <c r="D134" i="38"/>
  <c r="K134" i="38"/>
  <c r="K133" i="38"/>
  <c r="I133" i="38"/>
  <c r="D132" i="38"/>
  <c r="J132" i="38"/>
  <c r="K131" i="38"/>
  <c r="D131" i="38"/>
  <c r="G131" i="38"/>
  <c r="C131" i="38"/>
  <c r="I131" i="38"/>
  <c r="J130" i="38"/>
  <c r="I130" i="38"/>
  <c r="C130" i="38"/>
  <c r="K129" i="38"/>
  <c r="I129" i="38"/>
  <c r="J128" i="38"/>
  <c r="I128" i="38"/>
  <c r="K128" i="38"/>
  <c r="C128" i="38"/>
  <c r="C127" i="38"/>
  <c r="K127" i="38"/>
  <c r="I127" i="38"/>
  <c r="D127" i="38"/>
  <c r="G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c r="C116" i="38"/>
  <c r="K116" i="38"/>
  <c r="J116" i="38"/>
  <c r="D115" i="38"/>
  <c r="K115" i="38"/>
  <c r="J115" i="38"/>
  <c r="C115" i="38"/>
  <c r="G115" i="38"/>
  <c r="K114" i="38"/>
  <c r="D114" i="38"/>
  <c r="G114" i="38" s="1"/>
  <c r="J114" i="38"/>
  <c r="I114" i="38"/>
  <c r="J113" i="38"/>
  <c r="I113" i="38"/>
  <c r="C113" i="38"/>
  <c r="I112" i="38"/>
  <c r="J112" i="38"/>
  <c r="K112" i="38"/>
  <c r="D112" i="38"/>
  <c r="C112" i="38"/>
  <c r="G112" i="38" s="1"/>
  <c r="J111" i="38"/>
  <c r="D111" i="38"/>
  <c r="C111" i="38"/>
  <c r="G111" i="38" s="1"/>
  <c r="K111" i="38"/>
  <c r="D110" i="38"/>
  <c r="C110" i="38"/>
  <c r="K110" i="38"/>
  <c r="I109" i="38"/>
  <c r="D108" i="38"/>
  <c r="I108" i="38"/>
  <c r="J107" i="38"/>
  <c r="K107" i="38"/>
  <c r="D107" i="38"/>
  <c r="K106" i="38"/>
  <c r="K184" i="38" s="1"/>
  <c r="D106" i="38"/>
  <c r="G106" i="38" s="1"/>
  <c r="D105" i="38"/>
  <c r="J105" i="38"/>
  <c r="I105" i="38"/>
  <c r="D104" i="38"/>
  <c r="K104" i="38"/>
  <c r="J104" i="38"/>
  <c r="I104" i="38"/>
  <c r="D103" i="38"/>
  <c r="G103" i="38" s="1"/>
  <c r="J103" i="38"/>
  <c r="K102" i="38"/>
  <c r="D102" i="38"/>
  <c r="D101" i="38"/>
  <c r="I101" i="38"/>
  <c r="K100" i="38"/>
  <c r="J100" i="38"/>
  <c r="C100" i="38"/>
  <c r="D99" i="38"/>
  <c r="C99" i="38"/>
  <c r="G99" i="38" s="1"/>
  <c r="K99" i="38"/>
  <c r="J99" i="38"/>
  <c r="K98" i="38"/>
  <c r="J98" i="38"/>
  <c r="I98" i="38"/>
  <c r="I177" i="38" s="1"/>
  <c r="I183" i="38" s="1"/>
  <c r="D97" i="38"/>
  <c r="I97" i="38"/>
  <c r="I96" i="38"/>
  <c r="J96" i="38"/>
  <c r="K96" i="38"/>
  <c r="C96" i="38"/>
  <c r="J95" i="38"/>
  <c r="I95" i="38"/>
  <c r="K95" i="38"/>
  <c r="D95" i="38"/>
  <c r="C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G83" i="38" s="1"/>
  <c r="K82" i="38"/>
  <c r="D82" i="38"/>
  <c r="J82" i="38"/>
  <c r="I82" i="38"/>
  <c r="J81" i="38"/>
  <c r="I81" i="38"/>
  <c r="C81" i="38"/>
  <c r="I80" i="38"/>
  <c r="J80" i="38"/>
  <c r="K80" i="38"/>
  <c r="D80" i="38"/>
  <c r="G80" i="38" s="1"/>
  <c r="C80" i="38"/>
  <c r="J79" i="38"/>
  <c r="D79" i="38"/>
  <c r="K79" i="38"/>
  <c r="D78" i="38"/>
  <c r="C78" i="38"/>
  <c r="G78" i="38" s="1"/>
  <c r="K78" i="38"/>
  <c r="I77" i="38"/>
  <c r="I76" i="38"/>
  <c r="F68" i="38"/>
  <c r="E68" i="38"/>
  <c r="F67" i="38"/>
  <c r="E67" i="38"/>
  <c r="F66" i="38"/>
  <c r="G66" i="38"/>
  <c r="E66" i="38"/>
  <c r="J65" i="38"/>
  <c r="K65" i="38"/>
  <c r="D65" i="38"/>
  <c r="G65" i="38" s="1"/>
  <c r="K64" i="38"/>
  <c r="D64" i="38"/>
  <c r="D63" i="38"/>
  <c r="J63" i="38"/>
  <c r="I63" i="38"/>
  <c r="D62" i="38"/>
  <c r="K62" i="38"/>
  <c r="J62" i="38"/>
  <c r="I62" i="38"/>
  <c r="D61" i="38"/>
  <c r="J61" i="38"/>
  <c r="K60" i="38"/>
  <c r="D60" i="38"/>
  <c r="D59" i="38"/>
  <c r="I59" i="38"/>
  <c r="K58" i="38"/>
  <c r="J58" i="38"/>
  <c r="C58" i="38"/>
  <c r="G58" i="38" s="1"/>
  <c r="D57" i="38"/>
  <c r="K57" i="38"/>
  <c r="J57" i="38"/>
  <c r="C57" i="38"/>
  <c r="G57" i="38"/>
  <c r="J56" i="38"/>
  <c r="K56" i="38"/>
  <c r="D56" i="38"/>
  <c r="K55" i="38"/>
  <c r="J55" i="38"/>
  <c r="I55" i="38"/>
  <c r="D54" i="38"/>
  <c r="K54" i="38"/>
  <c r="J54" i="38"/>
  <c r="I54" i="38"/>
  <c r="C53" i="38"/>
  <c r="G53" i="38"/>
  <c r="I53" i="38"/>
  <c r="J53" i="38"/>
  <c r="D53" i="38"/>
  <c r="D52" i="38"/>
  <c r="K52" i="38"/>
  <c r="D51" i="38"/>
  <c r="C51" i="38"/>
  <c r="G51" i="38"/>
  <c r="D50" i="38"/>
  <c r="C50" i="38"/>
  <c r="I50" i="38"/>
  <c r="D49" i="38"/>
  <c r="K49" i="38"/>
  <c r="J49" i="38"/>
  <c r="C49" i="38"/>
  <c r="G49" i="38"/>
  <c r="J48" i="38"/>
  <c r="K48" i="38"/>
  <c r="D48" i="38"/>
  <c r="K47" i="38"/>
  <c r="J47" i="38"/>
  <c r="I47" i="38"/>
  <c r="D46" i="38"/>
  <c r="K46" i="38"/>
  <c r="J46" i="38"/>
  <c r="I46" i="38"/>
  <c r="C45" i="38"/>
  <c r="I45" i="38"/>
  <c r="J45" i="38"/>
  <c r="D45" i="38"/>
  <c r="G45" i="38" s="1"/>
  <c r="D44" i="38"/>
  <c r="K44" i="38"/>
  <c r="D43" i="38"/>
  <c r="C43" i="38"/>
  <c r="D42" i="38"/>
  <c r="G42" i="38" s="1"/>
  <c r="C42" i="38"/>
  <c r="I42" i="38"/>
  <c r="D41" i="38"/>
  <c r="D71" i="38" s="1"/>
  <c r="K41" i="38"/>
  <c r="J41" i="38"/>
  <c r="C41" i="38"/>
  <c r="J40" i="38"/>
  <c r="K40" i="38"/>
  <c r="D40" i="38"/>
  <c r="K39" i="38"/>
  <c r="J39" i="38"/>
  <c r="I39" i="38"/>
  <c r="D38" i="38"/>
  <c r="G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G20" i="38" s="1"/>
  <c r="F19" i="38"/>
  <c r="E19" i="38"/>
  <c r="K17" i="38"/>
  <c r="K23" i="38" s="1"/>
  <c r="J17" i="38"/>
  <c r="J23" i="38" s="1"/>
  <c r="I17" i="38"/>
  <c r="I23" i="38" s="1"/>
  <c r="D17" i="38"/>
  <c r="C17" i="38"/>
  <c r="C23" i="38" s="1"/>
  <c r="A24" i="38"/>
  <c r="D18" i="5" s="1"/>
  <c r="Q27" i="21"/>
  <c r="Q22" i="21"/>
  <c r="S22" i="21" s="1"/>
  <c r="Q17" i="21"/>
  <c r="A2" i="41"/>
  <c r="A11" i="41"/>
  <c r="A12" i="41" s="1"/>
  <c r="A13" i="41" s="1"/>
  <c r="A14" i="41" s="1"/>
  <c r="A15" i="41" s="1"/>
  <c r="A16" i="41" s="1"/>
  <c r="A17" i="41" s="1"/>
  <c r="A18" i="41" s="1"/>
  <c r="A19" i="41" s="1"/>
  <c r="A20" i="41" s="1"/>
  <c r="A21" i="41" s="1"/>
  <c r="A22" i="41" s="1"/>
  <c r="A23" i="41" s="1"/>
  <c r="E68" i="41"/>
  <c r="E69" i="41"/>
  <c r="E70" i="41"/>
  <c r="E71" i="41"/>
  <c r="E72" i="41"/>
  <c r="B85" i="41"/>
  <c r="B86" i="41"/>
  <c r="B87" i="41"/>
  <c r="B91" i="41"/>
  <c r="B92" i="41"/>
  <c r="B93" i="41"/>
  <c r="B97" i="41"/>
  <c r="B98" i="41"/>
  <c r="B99" i="41"/>
  <c r="C100" i="41"/>
  <c r="D100" i="41"/>
  <c r="E110" i="2"/>
  <c r="E67" i="35"/>
  <c r="F67" i="35"/>
  <c r="D67" i="35"/>
  <c r="A69" i="35"/>
  <c r="E80" i="35"/>
  <c r="D80" i="35"/>
  <c r="F79" i="35"/>
  <c r="F78" i="35"/>
  <c r="F77" i="35"/>
  <c r="F76" i="35"/>
  <c r="F75" i="35"/>
  <c r="F80" i="35" s="1"/>
  <c r="G108" i="2" s="1"/>
  <c r="L108" i="2" s="1"/>
  <c r="A11" i="35"/>
  <c r="A12" i="35" s="1"/>
  <c r="A13" i="35" s="1"/>
  <c r="A14" i="35" s="1"/>
  <c r="A15" i="35" s="1"/>
  <c r="A16" i="35" s="1"/>
  <c r="A17" i="35" s="1"/>
  <c r="A18" i="35" s="1"/>
  <c r="A19" i="35" s="1"/>
  <c r="A20" i="35" s="1"/>
  <c r="A21" i="35" s="1"/>
  <c r="A22" i="35" s="1"/>
  <c r="A23" i="35"/>
  <c r="E69" i="2"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M90" i="13" s="1"/>
  <c r="N21" i="13" s="1"/>
  <c r="C118" i="13"/>
  <c r="C119" i="13"/>
  <c r="C120" i="13"/>
  <c r="C121" i="13"/>
  <c r="C122" i="13"/>
  <c r="C123" i="13"/>
  <c r="C124" i="13"/>
  <c r="C125" i="13"/>
  <c r="C126" i="13"/>
  <c r="C127" i="13"/>
  <c r="C128" i="13"/>
  <c r="C129" i="13"/>
  <c r="C130" i="13"/>
  <c r="C131" i="13"/>
  <c r="M110" i="13"/>
  <c r="O110" i="13"/>
  <c r="M111" i="13"/>
  <c r="O111" i="13"/>
  <c r="P111" i="13" s="1"/>
  <c r="M112" i="13"/>
  <c r="P112" i="13" s="1"/>
  <c r="O112" i="13"/>
  <c r="M113" i="13"/>
  <c r="O113" i="13"/>
  <c r="M114" i="13"/>
  <c r="O114" i="13"/>
  <c r="M115" i="13"/>
  <c r="O115" i="13"/>
  <c r="M116" i="13"/>
  <c r="P116" i="13" s="1"/>
  <c r="O116" i="13"/>
  <c r="M117" i="13"/>
  <c r="O117" i="13"/>
  <c r="M118" i="13"/>
  <c r="O118" i="13"/>
  <c r="M119" i="13"/>
  <c r="O119" i="13"/>
  <c r="P119" i="13" s="1"/>
  <c r="M120" i="13"/>
  <c r="O120" i="13"/>
  <c r="M121" i="13"/>
  <c r="O121" i="13"/>
  <c r="M122" i="13"/>
  <c r="O122" i="13"/>
  <c r="M123" i="13"/>
  <c r="O123" i="13"/>
  <c r="M124" i="13"/>
  <c r="P124" i="13" s="1"/>
  <c r="O124" i="13"/>
  <c r="M125" i="13"/>
  <c r="O125" i="13"/>
  <c r="M126" i="13"/>
  <c r="O126" i="13"/>
  <c r="M127" i="13"/>
  <c r="O127" i="13"/>
  <c r="P127" i="13" s="1"/>
  <c r="M128" i="13"/>
  <c r="O128" i="13"/>
  <c r="M129" i="13"/>
  <c r="O129" i="13"/>
  <c r="P129" i="13" s="1"/>
  <c r="M130" i="13"/>
  <c r="O130" i="13"/>
  <c r="M131" i="13"/>
  <c r="O131" i="13"/>
  <c r="P131" i="13" s="1"/>
  <c r="M132" i="13"/>
  <c r="O132" i="13"/>
  <c r="M133" i="13"/>
  <c r="O133" i="13"/>
  <c r="P133" i="13" s="1"/>
  <c r="M134" i="13"/>
  <c r="O134" i="13"/>
  <c r="M135" i="13"/>
  <c r="O135" i="13"/>
  <c r="P135" i="13" s="1"/>
  <c r="M136" i="13"/>
  <c r="O136" i="13"/>
  <c r="M137" i="13"/>
  <c r="O137" i="13"/>
  <c r="M138" i="13"/>
  <c r="P138" i="13" s="1"/>
  <c r="O138" i="13"/>
  <c r="M139" i="13"/>
  <c r="O139" i="13"/>
  <c r="M140" i="13"/>
  <c r="P140" i="13" s="1"/>
  <c r="O140" i="13"/>
  <c r="M141" i="13"/>
  <c r="O141" i="13"/>
  <c r="M142" i="13"/>
  <c r="O142" i="13"/>
  <c r="M143" i="13"/>
  <c r="O143" i="13"/>
  <c r="P143" i="13" s="1"/>
  <c r="M144" i="13"/>
  <c r="O144" i="13"/>
  <c r="M145" i="13"/>
  <c r="O145" i="13"/>
  <c r="P145" i="13" s="1"/>
  <c r="M146" i="13"/>
  <c r="O146" i="13"/>
  <c r="M147" i="13"/>
  <c r="O147" i="13"/>
  <c r="M148" i="13"/>
  <c r="P148" i="13" s="1"/>
  <c r="O148" i="13"/>
  <c r="M149" i="13"/>
  <c r="O149" i="13"/>
  <c r="P149" i="13" s="1"/>
  <c r="M150" i="13"/>
  <c r="O150" i="13"/>
  <c r="M151" i="13"/>
  <c r="O151" i="13"/>
  <c r="M152" i="13"/>
  <c r="O152" i="13"/>
  <c r="M153" i="13"/>
  <c r="O153" i="13"/>
  <c r="P153" i="13" s="1"/>
  <c r="M154" i="13"/>
  <c r="O154" i="13"/>
  <c r="M155" i="13"/>
  <c r="O155" i="13"/>
  <c r="M156" i="13"/>
  <c r="O156" i="13"/>
  <c r="M157" i="13"/>
  <c r="O157" i="13"/>
  <c r="P157" i="13" s="1"/>
  <c r="M158" i="13"/>
  <c r="O158" i="13"/>
  <c r="M159" i="13"/>
  <c r="O159" i="13"/>
  <c r="P159" i="13" s="1"/>
  <c r="M160" i="13"/>
  <c r="O160" i="13"/>
  <c r="M161" i="13"/>
  <c r="O161" i="13"/>
  <c r="P161" i="13" s="1"/>
  <c r="A6" i="30"/>
  <c r="D21" i="9"/>
  <c r="G148" i="2"/>
  <c r="D351" i="2"/>
  <c r="D295" i="2"/>
  <c r="L26" i="20"/>
  <c r="I96" i="20" s="1"/>
  <c r="I185" i="20"/>
  <c r="I274" i="20" s="1"/>
  <c r="I363" i="20" s="1"/>
  <c r="I452" i="20" s="1"/>
  <c r="I541" i="20" s="1"/>
  <c r="I630" i="20" s="1"/>
  <c r="I719" i="20" s="1"/>
  <c r="I808" i="20" s="1"/>
  <c r="A4" i="21"/>
  <c r="A4" i="30"/>
  <c r="A4" i="11"/>
  <c r="A4" i="10"/>
  <c r="A4" i="9"/>
  <c r="A4" i="8"/>
  <c r="A4" i="7"/>
  <c r="A4" i="6"/>
  <c r="A4" i="5"/>
  <c r="F7" i="2"/>
  <c r="F56" i="2"/>
  <c r="F130" i="2" s="1"/>
  <c r="F218" i="2" s="1"/>
  <c r="F264" i="2" s="1"/>
  <c r="F16" i="13"/>
  <c r="F18" i="13" s="1"/>
  <c r="E23" i="13" s="1"/>
  <c r="F16" i="20"/>
  <c r="F18" i="20"/>
  <c r="E23" i="20" s="1"/>
  <c r="B13" i="2"/>
  <c r="O8" i="20"/>
  <c r="F15" i="10"/>
  <c r="F19" i="10"/>
  <c r="F28" i="10"/>
  <c r="F32" i="10"/>
  <c r="G162" i="2"/>
  <c r="O17" i="21"/>
  <c r="O22" i="21"/>
  <c r="O33" i="21" s="1"/>
  <c r="G209" i="2"/>
  <c r="O27" i="21"/>
  <c r="S27" i="21" s="1"/>
  <c r="I21" i="6"/>
  <c r="G116" i="2" s="1"/>
  <c r="A24" i="9"/>
  <c r="A25" i="9" s="1"/>
  <c r="A26" i="9" s="1"/>
  <c r="A27" i="9" s="1"/>
  <c r="A28" i="9"/>
  <c r="A29" i="9" s="1"/>
  <c r="A30" i="9" s="1"/>
  <c r="A31" i="9" s="1"/>
  <c r="A32" i="9"/>
  <c r="A33" i="9" s="1"/>
  <c r="A15" i="7"/>
  <c r="A17" i="7" s="1"/>
  <c r="A18" i="7" s="1"/>
  <c r="A19" i="7" s="1"/>
  <c r="A21" i="7" s="1"/>
  <c r="A17" i="6"/>
  <c r="A19" i="6" s="1"/>
  <c r="A21" i="6" s="1"/>
  <c r="A27" i="6" s="1"/>
  <c r="A29" i="6"/>
  <c r="A30" i="6" s="1"/>
  <c r="A31" i="6" s="1"/>
  <c r="A37" i="6" s="1"/>
  <c r="A39" i="6" s="1"/>
  <c r="A40" i="6" s="1"/>
  <c r="A41" i="6" s="1"/>
  <c r="A42" i="6" s="1"/>
  <c r="A43" i="6" s="1"/>
  <c r="A44" i="6" s="1"/>
  <c r="A45" i="6" s="1"/>
  <c r="A46" i="6" s="1"/>
  <c r="A47" i="6" s="1"/>
  <c r="A48" i="6" s="1"/>
  <c r="A49" i="6" s="1"/>
  <c r="A50" i="6" s="1"/>
  <c r="A51" i="6"/>
  <c r="A52" i="6" s="1"/>
  <c r="A53" i="6" s="1"/>
  <c r="A54" i="6" s="1"/>
  <c r="A55" i="6" s="1"/>
  <c r="A56" i="6" s="1"/>
  <c r="A57" i="6" s="1"/>
  <c r="A58" i="6" s="1"/>
  <c r="A59" i="6" s="1"/>
  <c r="A60" i="6" s="1"/>
  <c r="A67" i="6" s="1"/>
  <c r="A69" i="6" s="1"/>
  <c r="A70" i="6" s="1"/>
  <c r="A15" i="30"/>
  <c r="A25" i="30" s="1"/>
  <c r="A17" i="11"/>
  <c r="A19" i="11" s="1"/>
  <c r="A20" i="11" s="1"/>
  <c r="A21" i="11" s="1"/>
  <c r="A22" i="11" s="1"/>
  <c r="A24" i="11" s="1"/>
  <c r="A25" i="11" s="1"/>
  <c r="A26" i="11" s="1"/>
  <c r="A27" i="11" s="1"/>
  <c r="A29" i="11" s="1"/>
  <c r="A30" i="11" s="1"/>
  <c r="A32" i="11" s="1"/>
  <c r="A33" i="11" s="1"/>
  <c r="A34" i="11" s="1"/>
  <c r="A35" i="11" s="1"/>
  <c r="A36" i="11" s="1"/>
  <c r="A37" i="11" s="1"/>
  <c r="A38" i="11" s="1"/>
  <c r="A39" i="11" s="1"/>
  <c r="A40" i="11" s="1"/>
  <c r="A41" i="11" s="1"/>
  <c r="A42" i="11" s="1"/>
  <c r="J29" i="8"/>
  <c r="A4" i="13"/>
  <c r="A4" i="20"/>
  <c r="C60" i="13"/>
  <c r="K33" i="21"/>
  <c r="A22" i="21"/>
  <c r="A27" i="2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6" i="6"/>
  <c r="B64" i="6"/>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E58" i="9"/>
  <c r="E59" i="9"/>
  <c r="A3" i="6"/>
  <c r="A3" i="7" s="1"/>
  <c r="A15" i="8"/>
  <c r="A17" i="8" s="1"/>
  <c r="A19" i="8" s="1"/>
  <c r="A21" i="8" s="1"/>
  <c r="A27" i="8"/>
  <c r="A29" i="8" s="1"/>
  <c r="A31" i="8" s="1"/>
  <c r="A39" i="8" s="1"/>
  <c r="E12" i="6"/>
  <c r="C29" i="6"/>
  <c r="D36" i="6"/>
  <c r="B34" i="6" s="1"/>
  <c r="E10" i="5"/>
  <c r="A17" i="5"/>
  <c r="F54" i="2"/>
  <c r="F128" i="2" s="1"/>
  <c r="F216" i="2" s="1"/>
  <c r="F262" i="2" s="1"/>
  <c r="F55" i="2"/>
  <c r="F129" i="2" s="1"/>
  <c r="F217" i="2"/>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I33" i="39"/>
  <c r="C41" i="39"/>
  <c r="G41" i="39"/>
  <c r="I41" i="39"/>
  <c r="K42" i="39"/>
  <c r="C27" i="39"/>
  <c r="G27" i="39" s="1"/>
  <c r="C49" i="39"/>
  <c r="I49" i="39"/>
  <c r="I77" i="39"/>
  <c r="I110" i="39" s="1"/>
  <c r="D77" i="39"/>
  <c r="I93" i="39"/>
  <c r="D93" i="39"/>
  <c r="O109" i="39"/>
  <c r="J18" i="39"/>
  <c r="K23" i="39"/>
  <c r="I25" i="39"/>
  <c r="D26" i="39"/>
  <c r="G26" i="39"/>
  <c r="D33" i="39"/>
  <c r="K34" i="39"/>
  <c r="D41" i="39"/>
  <c r="D49" i="39"/>
  <c r="K50" i="39"/>
  <c r="K54" i="39"/>
  <c r="C60" i="39"/>
  <c r="G60" i="39"/>
  <c r="I60" i="39"/>
  <c r="K66" i="39"/>
  <c r="C66" i="39"/>
  <c r="G66" i="39"/>
  <c r="K67" i="39"/>
  <c r="C76" i="39"/>
  <c r="G76" i="39" s="1"/>
  <c r="I76" i="39"/>
  <c r="K82" i="39"/>
  <c r="C82" i="39"/>
  <c r="G82" i="39" s="1"/>
  <c r="C92" i="39"/>
  <c r="G92" i="39" s="1"/>
  <c r="I92" i="39"/>
  <c r="C17" i="39"/>
  <c r="K17" i="39"/>
  <c r="Q109" i="39"/>
  <c r="C19" i="39"/>
  <c r="G19" i="39" s="1"/>
  <c r="J20" i="39"/>
  <c r="J22" i="39"/>
  <c r="J23" i="39"/>
  <c r="K27" i="39"/>
  <c r="J28" i="39"/>
  <c r="C29" i="39"/>
  <c r="I29" i="39"/>
  <c r="K35" i="39"/>
  <c r="J36" i="39"/>
  <c r="C37" i="39"/>
  <c r="G37" i="39" s="1"/>
  <c r="I37" i="39"/>
  <c r="K43" i="39"/>
  <c r="J44" i="39"/>
  <c r="C45" i="39"/>
  <c r="G45" i="39"/>
  <c r="I45" i="39"/>
  <c r="K51" i="39"/>
  <c r="J52" i="39"/>
  <c r="J54" i="39"/>
  <c r="J60" i="39"/>
  <c r="K69" i="39"/>
  <c r="C70" i="39"/>
  <c r="G70" i="39"/>
  <c r="K85" i="39"/>
  <c r="I85" i="39"/>
  <c r="D85" i="39"/>
  <c r="G85" i="39"/>
  <c r="C86" i="39"/>
  <c r="G86" i="39"/>
  <c r="J92" i="39"/>
  <c r="E104" i="39"/>
  <c r="G104" i="39" s="1"/>
  <c r="D17" i="39"/>
  <c r="I17" i="39"/>
  <c r="R109" i="39"/>
  <c r="I20" i="39"/>
  <c r="C21" i="39"/>
  <c r="D23" i="39"/>
  <c r="J24" i="39"/>
  <c r="C31" i="39"/>
  <c r="G31" i="39"/>
  <c r="C32" i="39"/>
  <c r="D32" i="39"/>
  <c r="G32" i="39" s="1"/>
  <c r="D34" i="39"/>
  <c r="G34" i="39"/>
  <c r="C39" i="39"/>
  <c r="C40" i="39"/>
  <c r="G40" i="39" s="1"/>
  <c r="D40" i="39"/>
  <c r="D42" i="39"/>
  <c r="C47" i="39"/>
  <c r="G47" i="39" s="1"/>
  <c r="C48" i="39"/>
  <c r="G48" i="39"/>
  <c r="D48" i="39"/>
  <c r="D50" i="39"/>
  <c r="K58" i="39"/>
  <c r="C58" i="39"/>
  <c r="G58" i="39" s="1"/>
  <c r="K59" i="39"/>
  <c r="C68" i="39"/>
  <c r="G68" i="39"/>
  <c r="I68" i="39"/>
  <c r="K74" i="39"/>
  <c r="C74" i="39"/>
  <c r="G74" i="39"/>
  <c r="D76" i="39"/>
  <c r="C84" i="39"/>
  <c r="G84" i="39" s="1"/>
  <c r="I84" i="39"/>
  <c r="K90" i="39"/>
  <c r="C90" i="39"/>
  <c r="G90" i="39" s="1"/>
  <c r="K91" i="39"/>
  <c r="N109" i="39"/>
  <c r="S109" i="39"/>
  <c r="C53" i="39"/>
  <c r="G53" i="39"/>
  <c r="J55" i="39"/>
  <c r="C56" i="39"/>
  <c r="G56" i="39" s="1"/>
  <c r="I56" i="39"/>
  <c r="I61" i="39"/>
  <c r="K62" i="39"/>
  <c r="J63" i="39"/>
  <c r="C64" i="39"/>
  <c r="G64" i="39" s="1"/>
  <c r="I64" i="39"/>
  <c r="I69" i="39"/>
  <c r="K70" i="39"/>
  <c r="J71" i="39"/>
  <c r="C72" i="39"/>
  <c r="I72" i="39"/>
  <c r="K78" i="39"/>
  <c r="K110" i="39" s="1"/>
  <c r="J79" i="39"/>
  <c r="C80" i="39"/>
  <c r="I80" i="39"/>
  <c r="K86" i="39"/>
  <c r="J87" i="39"/>
  <c r="C88" i="39"/>
  <c r="G88" i="39"/>
  <c r="I88" i="39"/>
  <c r="K94" i="39"/>
  <c r="J95" i="39"/>
  <c r="C59" i="39"/>
  <c r="D59" i="39"/>
  <c r="C67" i="39"/>
  <c r="D67" i="39"/>
  <c r="G67" i="39" s="1"/>
  <c r="C75" i="39"/>
  <c r="G75" i="39" s="1"/>
  <c r="D75" i="39"/>
  <c r="C83" i="39"/>
  <c r="D83" i="39"/>
  <c r="G83" i="39" s="1"/>
  <c r="C91" i="39"/>
  <c r="D91" i="39"/>
  <c r="G91" i="39" s="1"/>
  <c r="C31" i="38"/>
  <c r="C60" i="38"/>
  <c r="G60" i="38"/>
  <c r="I60" i="38"/>
  <c r="K63" i="38"/>
  <c r="C63" i="38"/>
  <c r="G63" i="38"/>
  <c r="C76" i="38"/>
  <c r="J76" i="38"/>
  <c r="I84" i="38"/>
  <c r="D84" i="38"/>
  <c r="K87" i="38"/>
  <c r="C87" i="38"/>
  <c r="G87" i="38" s="1"/>
  <c r="C102" i="38"/>
  <c r="G102" i="38" s="1"/>
  <c r="I102" i="38"/>
  <c r="K105" i="38"/>
  <c r="C105" i="38"/>
  <c r="G105" i="38" s="1"/>
  <c r="C108" i="38"/>
  <c r="G108" i="38" s="1"/>
  <c r="J108" i="38"/>
  <c r="C109" i="38"/>
  <c r="J109" i="38"/>
  <c r="I116" i="38"/>
  <c r="D116" i="38"/>
  <c r="G116" i="38" s="1"/>
  <c r="K157" i="38"/>
  <c r="D157" i="38"/>
  <c r="E172" i="38"/>
  <c r="G172" i="38" s="1"/>
  <c r="C28" i="38"/>
  <c r="G28" i="38"/>
  <c r="J28" i="38"/>
  <c r="C33" i="38"/>
  <c r="C35" i="38"/>
  <c r="G35" i="38"/>
  <c r="K42" i="38"/>
  <c r="I49" i="38"/>
  <c r="J51" i="38"/>
  <c r="C52" i="38"/>
  <c r="I52" i="38"/>
  <c r="I57" i="38"/>
  <c r="K77" i="38"/>
  <c r="K88" i="38"/>
  <c r="C90" i="38"/>
  <c r="G90" i="38"/>
  <c r="I90" i="38"/>
  <c r="J97" i="38"/>
  <c r="J102" i="38"/>
  <c r="K108" i="38"/>
  <c r="K109" i="38"/>
  <c r="K120" i="38"/>
  <c r="I123" i="38"/>
  <c r="C123" i="38"/>
  <c r="D141" i="38"/>
  <c r="I141" i="38"/>
  <c r="K145" i="38"/>
  <c r="D149" i="38"/>
  <c r="G149" i="38"/>
  <c r="I149" i="38"/>
  <c r="C150" i="38"/>
  <c r="G150" i="38" s="1"/>
  <c r="I161" i="38"/>
  <c r="D161" i="38"/>
  <c r="C164" i="38"/>
  <c r="G164" i="38"/>
  <c r="C29" i="38"/>
  <c r="I30" i="38"/>
  <c r="K31" i="38"/>
  <c r="K32" i="38"/>
  <c r="I33" i="38"/>
  <c r="D34" i="38"/>
  <c r="K35" i="38"/>
  <c r="J36" i="38"/>
  <c r="K37" i="38"/>
  <c r="C38" i="38"/>
  <c r="C39" i="38"/>
  <c r="G39" i="38" s="1"/>
  <c r="D39" i="38"/>
  <c r="J42" i="38"/>
  <c r="K43" i="38"/>
  <c r="K71" i="38" s="1"/>
  <c r="J44" i="38"/>
  <c r="K45" i="38"/>
  <c r="C46" i="38"/>
  <c r="G46" i="38"/>
  <c r="C47" i="38"/>
  <c r="G47" i="38"/>
  <c r="D47" i="38"/>
  <c r="J50" i="38"/>
  <c r="K51" i="38"/>
  <c r="J52" i="38"/>
  <c r="K53" i="38"/>
  <c r="C54" i="38"/>
  <c r="G54" i="38" s="1"/>
  <c r="C55" i="38"/>
  <c r="D55" i="38"/>
  <c r="I58" i="38"/>
  <c r="D58" i="38"/>
  <c r="C59" i="38"/>
  <c r="K61" i="38"/>
  <c r="C61" i="38"/>
  <c r="C62" i="38"/>
  <c r="I78" i="38"/>
  <c r="C79" i="38"/>
  <c r="D81" i="38"/>
  <c r="C86" i="38"/>
  <c r="G86" i="38"/>
  <c r="I86" i="38"/>
  <c r="J88" i="38"/>
  <c r="D88" i="38"/>
  <c r="K89" i="38"/>
  <c r="C89" i="38"/>
  <c r="G89" i="38"/>
  <c r="C92" i="38"/>
  <c r="G92" i="38"/>
  <c r="J92" i="38"/>
  <c r="C93" i="38"/>
  <c r="J93" i="38"/>
  <c r="D96" i="38"/>
  <c r="C97" i="38"/>
  <c r="G97" i="38"/>
  <c r="I100" i="38"/>
  <c r="D100" i="38"/>
  <c r="C101" i="38"/>
  <c r="G101" i="38" s="1"/>
  <c r="K103" i="38"/>
  <c r="C103" i="38"/>
  <c r="C104" i="38"/>
  <c r="G104" i="38"/>
  <c r="I110" i="38"/>
  <c r="D113" i="38"/>
  <c r="G113" i="38" s="1"/>
  <c r="C118" i="38"/>
  <c r="G118" i="38" s="1"/>
  <c r="I118" i="38"/>
  <c r="J120" i="38"/>
  <c r="D120" i="38"/>
  <c r="K121" i="38"/>
  <c r="C121" i="38"/>
  <c r="G121" i="38" s="1"/>
  <c r="C124" i="38"/>
  <c r="G124" i="38" s="1"/>
  <c r="J124" i="38"/>
  <c r="C125" i="38"/>
  <c r="G125" i="38"/>
  <c r="J125" i="38"/>
  <c r="D128" i="38"/>
  <c r="G128" i="38" s="1"/>
  <c r="D130" i="38"/>
  <c r="G130" i="38" s="1"/>
  <c r="C133" i="38"/>
  <c r="J133" i="38"/>
  <c r="C155" i="38"/>
  <c r="G155" i="38" s="1"/>
  <c r="I155" i="38"/>
  <c r="C157" i="38"/>
  <c r="G157" i="38"/>
  <c r="K166" i="38"/>
  <c r="C166" i="38"/>
  <c r="G166" i="38" s="1"/>
  <c r="C77" i="38"/>
  <c r="G77" i="38" s="1"/>
  <c r="J77" i="38"/>
  <c r="K119" i="38"/>
  <c r="C119" i="38"/>
  <c r="G119" i="38"/>
  <c r="J129" i="38"/>
  <c r="C129" i="38"/>
  <c r="I134" i="38"/>
  <c r="C134" i="38"/>
  <c r="G134" i="38" s="1"/>
  <c r="K142" i="38"/>
  <c r="C142" i="38"/>
  <c r="G142" i="38"/>
  <c r="C153" i="38"/>
  <c r="G153" i="38"/>
  <c r="J153" i="38"/>
  <c r="C154" i="38"/>
  <c r="G154" i="38" s="1"/>
  <c r="J154" i="38"/>
  <c r="C34" i="38"/>
  <c r="J35" i="38"/>
  <c r="C36" i="38"/>
  <c r="G36" i="38" s="1"/>
  <c r="I36" i="38"/>
  <c r="I41" i="38"/>
  <c r="J43" i="38"/>
  <c r="C44" i="38"/>
  <c r="G44" i="38" s="1"/>
  <c r="I44" i="38"/>
  <c r="K50" i="38"/>
  <c r="J60" i="38"/>
  <c r="D76" i="38"/>
  <c r="I79" i="38"/>
  <c r="I91" i="38"/>
  <c r="C91" i="38"/>
  <c r="G91" i="38" s="1"/>
  <c r="I111" i="38"/>
  <c r="C122" i="38"/>
  <c r="G122" i="38" s="1"/>
  <c r="I122" i="38"/>
  <c r="D129" i="38"/>
  <c r="I145" i="38"/>
  <c r="D145" i="38"/>
  <c r="K149" i="38"/>
  <c r="C158" i="38"/>
  <c r="G158" i="38"/>
  <c r="I158" i="38"/>
  <c r="C32" i="38"/>
  <c r="G32" i="38" s="1"/>
  <c r="C40" i="38"/>
  <c r="I40" i="38"/>
  <c r="I43" i="38"/>
  <c r="C48" i="38"/>
  <c r="G48" i="38"/>
  <c r="I48" i="38"/>
  <c r="I51" i="38"/>
  <c r="C56" i="38"/>
  <c r="G56" i="38"/>
  <c r="I56" i="38"/>
  <c r="J59" i="38"/>
  <c r="C64" i="38"/>
  <c r="G64" i="38"/>
  <c r="I64" i="38"/>
  <c r="I65" i="38"/>
  <c r="C65" i="38"/>
  <c r="D91" i="38"/>
  <c r="D98" i="38"/>
  <c r="J101" i="38"/>
  <c r="C106" i="38"/>
  <c r="C184" i="38" s="1"/>
  <c r="I106" i="38"/>
  <c r="I184" i="38" s="1"/>
  <c r="I107" i="38"/>
  <c r="C107" i="38"/>
  <c r="G107" i="38" s="1"/>
  <c r="D123" i="38"/>
  <c r="K132" i="38"/>
  <c r="C132" i="38"/>
  <c r="G132" i="38"/>
  <c r="J134" i="38"/>
  <c r="I139" i="38"/>
  <c r="C151" i="38"/>
  <c r="I151" i="38"/>
  <c r="D165" i="38"/>
  <c r="I165" i="38"/>
  <c r="D167" i="38"/>
  <c r="G167" i="38" s="1"/>
  <c r="J64" i="38"/>
  <c r="K81" i="38"/>
  <c r="I83" i="38"/>
  <c r="J90" i="38"/>
  <c r="K97" i="38"/>
  <c r="I99" i="38"/>
  <c r="J106" i="38"/>
  <c r="K113" i="38"/>
  <c r="I115" i="38"/>
  <c r="J122" i="38"/>
  <c r="K130" i="38"/>
  <c r="I136" i="38"/>
  <c r="C136" i="38"/>
  <c r="G136" i="38"/>
  <c r="C138" i="38"/>
  <c r="G138" i="38"/>
  <c r="J138" i="38"/>
  <c r="D143" i="38"/>
  <c r="I143" i="38"/>
  <c r="K154" i="38"/>
  <c r="I160" i="38"/>
  <c r="C163" i="38"/>
  <c r="G163" i="38" s="1"/>
  <c r="I163" i="38"/>
  <c r="J168" i="38"/>
  <c r="K59" i="38"/>
  <c r="I61" i="38"/>
  <c r="K76" i="38"/>
  <c r="D77" i="38"/>
  <c r="J78" i="38"/>
  <c r="C82" i="38"/>
  <c r="K85" i="38"/>
  <c r="I87" i="38"/>
  <c r="D93" i="38"/>
  <c r="J94" i="38"/>
  <c r="C98" i="38"/>
  <c r="G98" i="38"/>
  <c r="K101" i="38"/>
  <c r="I103" i="38"/>
  <c r="D109" i="38"/>
  <c r="J110" i="38"/>
  <c r="C114" i="38"/>
  <c r="K117" i="38"/>
  <c r="I119" i="38"/>
  <c r="D125" i="38"/>
  <c r="K126" i="38"/>
  <c r="D133" i="38"/>
  <c r="K138" i="38"/>
  <c r="K144" i="38"/>
  <c r="D146" i="38"/>
  <c r="G146" i="38" s="1"/>
  <c r="C147" i="38"/>
  <c r="K148" i="38"/>
  <c r="D150" i="38"/>
  <c r="J150" i="38"/>
  <c r="D151" i="38"/>
  <c r="C160" i="38"/>
  <c r="J163" i="38"/>
  <c r="C167" i="38"/>
  <c r="I167" i="38"/>
  <c r="I168" i="38"/>
  <c r="C168" i="38"/>
  <c r="G168" i="38"/>
  <c r="D126" i="38"/>
  <c r="J127" i="38"/>
  <c r="J131" i="38"/>
  <c r="C135" i="38"/>
  <c r="G135" i="38" s="1"/>
  <c r="I135" i="38"/>
  <c r="C137" i="38"/>
  <c r="G137" i="38"/>
  <c r="D142" i="38"/>
  <c r="I144" i="38"/>
  <c r="J151" i="38"/>
  <c r="I152" i="38"/>
  <c r="C152" i="38"/>
  <c r="G152" i="38"/>
  <c r="K153" i="38"/>
  <c r="I156" i="38"/>
  <c r="J158" i="38"/>
  <c r="D159" i="38"/>
  <c r="D162" i="38"/>
  <c r="G162" i="38"/>
  <c r="I132" i="38"/>
  <c r="D138" i="38"/>
  <c r="J139" i="38"/>
  <c r="J184" i="38"/>
  <c r="C143" i="38"/>
  <c r="G143" i="38"/>
  <c r="K146" i="38"/>
  <c r="I148" i="38"/>
  <c r="D154" i="38"/>
  <c r="J155" i="38"/>
  <c r="C159" i="38"/>
  <c r="G159" i="38" s="1"/>
  <c r="K162" i="38"/>
  <c r="I164" i="38"/>
  <c r="C47" i="13"/>
  <c r="C47" i="20"/>
  <c r="A3" i="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F102" i="13" s="1"/>
  <c r="M107" i="13"/>
  <c r="M103" i="13"/>
  <c r="M105" i="13"/>
  <c r="P105" i="13" s="1"/>
  <c r="M106" i="13"/>
  <c r="P106" i="13" s="1"/>
  <c r="M104" i="13"/>
  <c r="O105" i="13"/>
  <c r="O103" i="13"/>
  <c r="P103" i="13" s="1"/>
  <c r="O104" i="13"/>
  <c r="O107" i="13"/>
  <c r="P107" i="13" s="1"/>
  <c r="O106" i="13"/>
  <c r="O108" i="13"/>
  <c r="P108" i="13" s="1"/>
  <c r="M109" i="13"/>
  <c r="M108" i="13"/>
  <c r="O109" i="13"/>
  <c r="D72" i="38"/>
  <c r="G110" i="38"/>
  <c r="G50" i="38"/>
  <c r="A181" i="38"/>
  <c r="G169" i="38"/>
  <c r="D184" i="38"/>
  <c r="G30" i="38"/>
  <c r="D35" i="5"/>
  <c r="A184" i="38"/>
  <c r="G31" i="38"/>
  <c r="B15" i="2"/>
  <c r="J256" i="2"/>
  <c r="E22" i="20" s="1"/>
  <c r="C668" i="20"/>
  <c r="C669" i="20" s="1"/>
  <c r="C670" i="20"/>
  <c r="C671" i="20" s="1"/>
  <c r="C672" i="20"/>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G42" i="39"/>
  <c r="G55" i="39"/>
  <c r="G33" i="39"/>
  <c r="F48" i="13"/>
  <c r="G48" i="20"/>
  <c r="A71" i="35"/>
  <c r="A75" i="35"/>
  <c r="A76" i="35" s="1"/>
  <c r="A77" i="35"/>
  <c r="A78" i="35" s="1"/>
  <c r="A79" i="35" s="1"/>
  <c r="A80" i="35" s="1"/>
  <c r="A84" i="35" s="1"/>
  <c r="G80" i="39"/>
  <c r="G50" i="39"/>
  <c r="E106" i="2"/>
  <c r="O26" i="42"/>
  <c r="C323" i="20"/>
  <c r="C324" i="20" s="1"/>
  <c r="C325" i="20" s="1"/>
  <c r="C326" i="20" s="1"/>
  <c r="C327" i="20" s="1"/>
  <c r="C328" i="20" s="1"/>
  <c r="C329" i="20" s="1"/>
  <c r="C330" i="20" s="1"/>
  <c r="C331" i="20" s="1"/>
  <c r="C332" i="20" s="1"/>
  <c r="C333" i="20" s="1"/>
  <c r="C334" i="20" s="1"/>
  <c r="C335" i="20" s="1"/>
  <c r="C336" i="20" s="1"/>
  <c r="C337" i="20" s="1"/>
  <c r="C338" i="20" s="1"/>
  <c r="C339" i="20" s="1"/>
  <c r="C340" i="20" s="1"/>
  <c r="C582" i="20"/>
  <c r="C583" i="20" s="1"/>
  <c r="C584" i="20" s="1"/>
  <c r="C585" i="20" s="1"/>
  <c r="C586" i="20" s="1"/>
  <c r="C587" i="20" s="1"/>
  <c r="C588" i="20"/>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G49" i="39"/>
  <c r="G62" i="39"/>
  <c r="G98" i="39"/>
  <c r="G126" i="38"/>
  <c r="G20" i="39"/>
  <c r="E94" i="41"/>
  <c r="C491" i="20"/>
  <c r="C492" i="20" s="1"/>
  <c r="C493" i="20"/>
  <c r="C494" i="20" s="1"/>
  <c r="C495" i="20"/>
  <c r="C496" i="20" s="1"/>
  <c r="C497" i="20" s="1"/>
  <c r="C498" i="20" s="1"/>
  <c r="C499" i="20" s="1"/>
  <c r="C500" i="20" s="1"/>
  <c r="C501" i="20" s="1"/>
  <c r="C502" i="20" s="1"/>
  <c r="C503" i="20"/>
  <c r="C504" i="20" s="1"/>
  <c r="C505" i="20" s="1"/>
  <c r="C506" i="20" s="1"/>
  <c r="C507" i="20" s="1"/>
  <c r="C508" i="20" s="1"/>
  <c r="C509" i="20" s="1"/>
  <c r="C510" i="20" s="1"/>
  <c r="C511" i="20" s="1"/>
  <c r="C512" i="20" s="1"/>
  <c r="C513" i="20" s="1"/>
  <c r="C514" i="20" s="1"/>
  <c r="C515" i="20" s="1"/>
  <c r="C516" i="20" s="1"/>
  <c r="C517" i="20" s="1"/>
  <c r="C518" i="20" s="1"/>
  <c r="C101" i="41"/>
  <c r="G34" i="38"/>
  <c r="G133" i="38"/>
  <c r="G109" i="38"/>
  <c r="G170" i="38"/>
  <c r="G129" i="38"/>
  <c r="G95" i="38"/>
  <c r="G68" i="38"/>
  <c r="F71" i="38"/>
  <c r="G79" i="38"/>
  <c r="G194" i="38"/>
  <c r="C197" i="38"/>
  <c r="G76" i="38"/>
  <c r="A29" i="35"/>
  <c r="A30" i="35" s="1"/>
  <c r="A31" i="35" s="1"/>
  <c r="A32" i="35" s="1"/>
  <c r="A33" i="35" s="1"/>
  <c r="A34" i="35" s="1"/>
  <c r="A35" i="35" s="1"/>
  <c r="A36" i="35" s="1"/>
  <c r="A37" i="35" s="1"/>
  <c r="A38" i="35" s="1"/>
  <c r="A39" i="35" s="1"/>
  <c r="A40" i="35" s="1"/>
  <c r="A41" i="35" s="1"/>
  <c r="A42" i="35" s="1"/>
  <c r="G40" i="38"/>
  <c r="G33" i="38"/>
  <c r="G94" i="39"/>
  <c r="E22" i="13"/>
  <c r="G39" i="39"/>
  <c r="G174" i="38"/>
  <c r="G100" i="39"/>
  <c r="E109" i="39"/>
  <c r="B18" i="2"/>
  <c r="B20" i="2"/>
  <c r="B27" i="2" s="1"/>
  <c r="B29" i="2" s="1"/>
  <c r="B30" i="2" s="1"/>
  <c r="I72" i="38"/>
  <c r="J197" i="38"/>
  <c r="G106" i="39"/>
  <c r="E20" i="2"/>
  <c r="G29" i="38"/>
  <c r="G82" i="38"/>
  <c r="G61" i="38"/>
  <c r="C72" i="38"/>
  <c r="A18" i="5"/>
  <c r="A19" i="5" s="1"/>
  <c r="A20" i="5" s="1"/>
  <c r="A23" i="5"/>
  <c r="A25" i="5" s="1"/>
  <c r="E31" i="2"/>
  <c r="G184" i="38"/>
  <c r="K177" i="38"/>
  <c r="K183" i="38" s="1"/>
  <c r="G84" i="38"/>
  <c r="G171" i="38"/>
  <c r="E177" i="38"/>
  <c r="E183" i="38" s="1"/>
  <c r="G78" i="39"/>
  <c r="C110" i="39"/>
  <c r="A27" i="30"/>
  <c r="A33" i="30"/>
  <c r="A44" i="30"/>
  <c r="A51" i="30"/>
  <c r="A60" i="30" s="1"/>
  <c r="A61" i="30" s="1"/>
  <c r="A63" i="30" s="1"/>
  <c r="A65" i="30"/>
  <c r="A71" i="30" s="1"/>
  <c r="A72" i="30" s="1"/>
  <c r="A74" i="30" s="1"/>
  <c r="A75" i="30" s="1"/>
  <c r="A79" i="30" s="1"/>
  <c r="A83" i="30" s="1"/>
  <c r="A93" i="30" s="1"/>
  <c r="A100" i="30" s="1"/>
  <c r="A103" i="30" s="1"/>
  <c r="A107" i="30" s="1"/>
  <c r="A110" i="30" s="1"/>
  <c r="A113" i="30" s="1"/>
  <c r="E71" i="38"/>
  <c r="G67" i="38"/>
  <c r="F177" i="38"/>
  <c r="F183" i="38"/>
  <c r="D34" i="5"/>
  <c r="A186" i="38"/>
  <c r="A188" i="38"/>
  <c r="A190" i="38"/>
  <c r="A192" i="38"/>
  <c r="A193" i="38" s="1"/>
  <c r="A194" i="38" s="1"/>
  <c r="A195" i="38" s="1"/>
  <c r="A196" i="38"/>
  <c r="A197" i="38" s="1"/>
  <c r="D52" i="5" s="1"/>
  <c r="J71" i="38"/>
  <c r="G165" i="38"/>
  <c r="G52" i="38"/>
  <c r="G195" i="38"/>
  <c r="G197" i="38"/>
  <c r="G160" i="38"/>
  <c r="J72" i="38"/>
  <c r="G62" i="38"/>
  <c r="G59" i="38"/>
  <c r="K72" i="38"/>
  <c r="G72" i="39"/>
  <c r="G17" i="39"/>
  <c r="E23" i="38"/>
  <c r="G151" i="38"/>
  <c r="G93" i="38"/>
  <c r="G21" i="38"/>
  <c r="G43" i="38"/>
  <c r="G88" i="38"/>
  <c r="G173" i="38"/>
  <c r="G22" i="39"/>
  <c r="G93" i="39"/>
  <c r="O21" i="42"/>
  <c r="A26" i="5"/>
  <c r="A27" i="5" s="1"/>
  <c r="A28" i="5" s="1"/>
  <c r="A31" i="5" s="1"/>
  <c r="A33" i="5" s="1"/>
  <c r="G72" i="38"/>
  <c r="E95" i="41"/>
  <c r="C89" i="41"/>
  <c r="E89" i="41" s="1"/>
  <c r="D103" i="41"/>
  <c r="D105" i="41" s="1"/>
  <c r="C103" i="41"/>
  <c r="C105" i="41" s="1"/>
  <c r="G92" i="6"/>
  <c r="G30" i="6" s="1"/>
  <c r="G31" i="6" s="1"/>
  <c r="G119" i="2" s="1"/>
  <c r="L119" i="2"/>
  <c r="A71" i="6"/>
  <c r="A72" i="6" s="1"/>
  <c r="A73" i="6" s="1"/>
  <c r="A74" i="6" s="1"/>
  <c r="A75" i="6"/>
  <c r="A76" i="6" s="1"/>
  <c r="A77" i="6" s="1"/>
  <c r="A78" i="6" s="1"/>
  <c r="A79" i="6" s="1"/>
  <c r="A80" i="6" s="1"/>
  <c r="A81" i="6" s="1"/>
  <c r="A82" i="6" s="1"/>
  <c r="A83" i="6" s="1"/>
  <c r="A84" i="6" s="1"/>
  <c r="A85" i="6" s="1"/>
  <c r="A86" i="6" s="1"/>
  <c r="A87" i="6" s="1"/>
  <c r="A88" i="6" s="1"/>
  <c r="A89" i="6" s="1"/>
  <c r="A90" i="6" s="1"/>
  <c r="G61" i="6"/>
  <c r="G29" i="6" s="1"/>
  <c r="C104" i="41"/>
  <c r="F38" i="10"/>
  <c r="F340" i="2" s="1"/>
  <c r="G189" i="2" s="1"/>
  <c r="G193" i="2" s="1"/>
  <c r="E68" i="9"/>
  <c r="E65" i="9"/>
  <c r="D71" i="9"/>
  <c r="F71" i="9"/>
  <c r="G163" i="2" s="1"/>
  <c r="L163" i="2" s="1"/>
  <c r="E64" i="9"/>
  <c r="E45" i="9"/>
  <c r="G207" i="2"/>
  <c r="L207" i="2" s="1"/>
  <c r="P122" i="13"/>
  <c r="L173" i="2"/>
  <c r="G51" i="5"/>
  <c r="I54" i="49"/>
  <c r="L172" i="2"/>
  <c r="G14" i="41"/>
  <c r="K76" i="6"/>
  <c r="E55" i="6"/>
  <c r="I51" i="30"/>
  <c r="I50" i="30" s="1"/>
  <c r="E65" i="30"/>
  <c r="E27" i="11" s="1"/>
  <c r="I27" i="11" s="1"/>
  <c r="E50" i="30"/>
  <c r="E83" i="30"/>
  <c r="E35" i="11" s="1"/>
  <c r="K35" i="11" s="1"/>
  <c r="E103" i="30"/>
  <c r="E38" i="11" s="1"/>
  <c r="M38" i="11" s="1"/>
  <c r="E79" i="30"/>
  <c r="E34" i="11" s="1"/>
  <c r="K34" i="11" s="1"/>
  <c r="E100" i="30"/>
  <c r="E37" i="11" s="1"/>
  <c r="K37" i="11" s="1"/>
  <c r="E75" i="30"/>
  <c r="E33" i="11" s="1"/>
  <c r="M33" i="11" s="1"/>
  <c r="E71" i="30"/>
  <c r="E30" i="11" s="1"/>
  <c r="M30" i="11" s="1"/>
  <c r="E107" i="30"/>
  <c r="E39" i="11" s="1"/>
  <c r="M39" i="11" s="1"/>
  <c r="E63" i="30"/>
  <c r="E26" i="11"/>
  <c r="I26" i="11" s="1"/>
  <c r="E110" i="30"/>
  <c r="E40" i="11" s="1"/>
  <c r="M40" i="11" s="1"/>
  <c r="E93" i="30"/>
  <c r="E36" i="11"/>
  <c r="K36" i="11" s="1"/>
  <c r="E44" i="30"/>
  <c r="E22" i="11" s="1"/>
  <c r="G22" i="11" s="1"/>
  <c r="M71" i="11" s="1"/>
  <c r="E61" i="30"/>
  <c r="E25" i="11" s="1"/>
  <c r="I25" i="11" s="1"/>
  <c r="I42" i="5"/>
  <c r="L237" i="2" l="1"/>
  <c r="I19" i="6"/>
  <c r="G115" i="2" s="1"/>
  <c r="I33" i="5"/>
  <c r="G101" i="2" s="1"/>
  <c r="G22" i="48"/>
  <c r="F43" i="48"/>
  <c r="P150" i="13"/>
  <c r="P144" i="13"/>
  <c r="P134" i="13"/>
  <c r="P128" i="13"/>
  <c r="P114" i="13"/>
  <c r="P110" i="13"/>
  <c r="G239" i="2"/>
  <c r="G24" i="48"/>
  <c r="J92" i="6"/>
  <c r="J30" i="6" s="1"/>
  <c r="J31" i="6" s="1"/>
  <c r="G117" i="2" s="1"/>
  <c r="G13" i="41"/>
  <c r="F47" i="48"/>
  <c r="I47" i="48"/>
  <c r="C23" i="35"/>
  <c r="G66" i="2" s="1"/>
  <c r="L66" i="2" s="1"/>
  <c r="I26" i="5"/>
  <c r="I41" i="5"/>
  <c r="G102" i="2" s="1"/>
  <c r="G199" i="2"/>
  <c r="G25" i="48"/>
  <c r="C74" i="41"/>
  <c r="E50" i="41" s="1"/>
  <c r="L238" i="2"/>
  <c r="I17" i="5"/>
  <c r="I49" i="5"/>
  <c r="S17" i="21"/>
  <c r="S33" i="21" s="1"/>
  <c r="L209" i="2" s="1"/>
  <c r="K23" i="35"/>
  <c r="G74" i="2" s="1"/>
  <c r="G177" i="2"/>
  <c r="G20" i="41"/>
  <c r="G22" i="41"/>
  <c r="E67" i="41"/>
  <c r="H31" i="41"/>
  <c r="H42" i="41" s="1"/>
  <c r="G255" i="2" s="1"/>
  <c r="I42" i="11"/>
  <c r="G181" i="2" s="1"/>
  <c r="G28" i="5"/>
  <c r="H235" i="2"/>
  <c r="I25" i="5"/>
  <c r="G100" i="2" s="1"/>
  <c r="P147" i="13"/>
  <c r="P141" i="13"/>
  <c r="P115" i="13"/>
  <c r="H10" i="50"/>
  <c r="D21" i="50" s="1"/>
  <c r="D22" i="50" s="1"/>
  <c r="D23" i="50" s="1"/>
  <c r="D24" i="50" s="1"/>
  <c r="E44" i="5"/>
  <c r="K46" i="6"/>
  <c r="E46" i="6" s="1"/>
  <c r="F15" i="50"/>
  <c r="F21" i="50" s="1"/>
  <c r="F22" i="50" s="1"/>
  <c r="F23" i="50" s="1"/>
  <c r="F24" i="50" s="1"/>
  <c r="F25" i="50" s="1"/>
  <c r="F26" i="50" s="1"/>
  <c r="E51" i="5"/>
  <c r="E20" i="5"/>
  <c r="I19" i="5"/>
  <c r="P102" i="13"/>
  <c r="I42" i="35"/>
  <c r="G84" i="2" s="1"/>
  <c r="E20" i="48"/>
  <c r="C42" i="35"/>
  <c r="G78" i="2" s="1"/>
  <c r="L78" i="2" s="1"/>
  <c r="H21" i="49"/>
  <c r="K21" i="49" s="1"/>
  <c r="I35" i="5"/>
  <c r="E36" i="5"/>
  <c r="I45" i="30"/>
  <c r="I44" i="30" s="1"/>
  <c r="F21" i="47"/>
  <c r="F22" i="47" s="1"/>
  <c r="F23" i="47" s="1"/>
  <c r="F24" i="47" s="1"/>
  <c r="F25" i="47" s="1"/>
  <c r="F26" i="47" s="1"/>
  <c r="F27" i="47" s="1"/>
  <c r="F28" i="47" s="1"/>
  <c r="K27" i="8"/>
  <c r="K31" i="8" s="1"/>
  <c r="G15" i="2" s="1"/>
  <c r="L15" i="2" s="1"/>
  <c r="D61" i="6"/>
  <c r="D29" i="6" s="1"/>
  <c r="D42" i="35"/>
  <c r="G79" i="2" s="1"/>
  <c r="L79" i="2" s="1"/>
  <c r="G20" i="5"/>
  <c r="P104" i="13"/>
  <c r="P160" i="13"/>
  <c r="P158" i="13"/>
  <c r="P156" i="13"/>
  <c r="P136" i="13"/>
  <c r="P126" i="13"/>
  <c r="E48" i="6"/>
  <c r="G18" i="41"/>
  <c r="E65" i="41"/>
  <c r="E251" i="2"/>
  <c r="E248" i="2"/>
  <c r="E250" i="2"/>
  <c r="A29" i="41"/>
  <c r="A30" i="41" s="1"/>
  <c r="A31" i="41" s="1"/>
  <c r="A32" i="41" s="1"/>
  <c r="A33" i="41" s="1"/>
  <c r="A34" i="41" s="1"/>
  <c r="A35" i="41" s="1"/>
  <c r="A36" i="41" s="1"/>
  <c r="A37" i="41" s="1"/>
  <c r="A38" i="41" s="1"/>
  <c r="A39" i="41" s="1"/>
  <c r="A40" i="41" s="1"/>
  <c r="A41" i="41" s="1"/>
  <c r="A42" i="41" s="1"/>
  <c r="E249" i="2"/>
  <c r="A34" i="5"/>
  <c r="A35" i="5" s="1"/>
  <c r="A36" i="5" s="1"/>
  <c r="A39" i="5" s="1"/>
  <c r="A41" i="5" s="1"/>
  <c r="E183" i="2"/>
  <c r="A47" i="11"/>
  <c r="E181" i="2"/>
  <c r="E185" i="2"/>
  <c r="E184" i="2"/>
  <c r="E86" i="2"/>
  <c r="E81" i="2"/>
  <c r="A49" i="35"/>
  <c r="A50" i="35" s="1"/>
  <c r="A51" i="35" s="1"/>
  <c r="A52" i="35" s="1"/>
  <c r="A53" i="35" s="1"/>
  <c r="A54" i="35" s="1"/>
  <c r="A55" i="35" s="1"/>
  <c r="A56" i="35" s="1"/>
  <c r="A57" i="35" s="1"/>
  <c r="A58" i="35" s="1"/>
  <c r="A59" i="35" s="1"/>
  <c r="A60" i="35" s="1"/>
  <c r="A61" i="35" s="1"/>
  <c r="A62" i="35" s="1"/>
  <c r="E79" i="2"/>
  <c r="E84" i="2"/>
  <c r="E85" i="2"/>
  <c r="E82" i="2"/>
  <c r="E80" i="2"/>
  <c r="E83" i="2"/>
  <c r="E78" i="2"/>
  <c r="D28" i="5"/>
  <c r="E66" i="9"/>
  <c r="E71" i="9" s="1"/>
  <c r="B31" i="2"/>
  <c r="B33" i="2" s="1"/>
  <c r="B34" i="2" s="1"/>
  <c r="D33" i="2"/>
  <c r="A23" i="7"/>
  <c r="B23" i="7"/>
  <c r="B28" i="48"/>
  <c r="A28" i="48"/>
  <c r="A37" i="48" s="1"/>
  <c r="E71" i="2"/>
  <c r="E70" i="2"/>
  <c r="E73" i="2"/>
  <c r="E67" i="2"/>
  <c r="E72" i="2"/>
  <c r="E66" i="2"/>
  <c r="E74" i="2"/>
  <c r="G81" i="38"/>
  <c r="C177" i="38"/>
  <c r="C183" i="38" s="1"/>
  <c r="H22" i="49"/>
  <c r="K22" i="49" s="1"/>
  <c r="I50" i="5"/>
  <c r="E69" i="9"/>
  <c r="G29" i="39"/>
  <c r="J109" i="39"/>
  <c r="E146" i="2"/>
  <c r="A36" i="9"/>
  <c r="A37" i="9" s="1"/>
  <c r="A38" i="9" s="1"/>
  <c r="A39" i="9" s="1"/>
  <c r="A40" i="9" s="1"/>
  <c r="A41" i="9" s="1"/>
  <c r="E100" i="41"/>
  <c r="D101" i="41"/>
  <c r="I27" i="5"/>
  <c r="K42" i="11"/>
  <c r="G185" i="2" s="1"/>
  <c r="E28" i="5"/>
  <c r="I61" i="6"/>
  <c r="I29" i="6" s="1"/>
  <c r="H23" i="49"/>
  <c r="K23" i="49" s="1"/>
  <c r="E108" i="2"/>
  <c r="N90" i="13"/>
  <c r="O21" i="13" s="1"/>
  <c r="G123" i="38"/>
  <c r="G59" i="39"/>
  <c r="K109" i="39"/>
  <c r="I71" i="38"/>
  <c r="G41" i="38"/>
  <c r="G120" i="38"/>
  <c r="G103" i="39"/>
  <c r="F109" i="39"/>
  <c r="D20" i="5"/>
  <c r="G21" i="39"/>
  <c r="C109" i="39"/>
  <c r="D110" i="39"/>
  <c r="G77" i="39"/>
  <c r="G110" i="39" s="1"/>
  <c r="D23" i="38"/>
  <c r="G17" i="38"/>
  <c r="G96" i="38"/>
  <c r="G177" i="38" s="1"/>
  <c r="G183" i="38" s="1"/>
  <c r="G30" i="39"/>
  <c r="P109" i="13"/>
  <c r="M91" i="13"/>
  <c r="N91" i="13"/>
  <c r="G147" i="38"/>
  <c r="D177" i="38"/>
  <c r="D183" i="38" s="1"/>
  <c r="G55" i="38"/>
  <c r="J177" i="38"/>
  <c r="J183" i="38" s="1"/>
  <c r="C71" i="38"/>
  <c r="F23" i="38"/>
  <c r="G19" i="38"/>
  <c r="G100" i="38"/>
  <c r="P155" i="13"/>
  <c r="P142" i="13"/>
  <c r="P132" i="13"/>
  <c r="P130" i="13"/>
  <c r="P125" i="13"/>
  <c r="P123" i="13"/>
  <c r="P121" i="13"/>
  <c r="P113" i="13"/>
  <c r="G101" i="39"/>
  <c r="O27" i="42"/>
  <c r="P154" i="13"/>
  <c r="P152" i="13"/>
  <c r="P146" i="13"/>
  <c r="P139" i="13"/>
  <c r="P137" i="13"/>
  <c r="P120" i="13"/>
  <c r="P118" i="13"/>
  <c r="G81" i="39"/>
  <c r="E88" i="41"/>
  <c r="E103" i="41" s="1"/>
  <c r="L200" i="2"/>
  <c r="M29" i="51"/>
  <c r="P26" i="51"/>
  <c r="P29" i="51" s="1"/>
  <c r="M48" i="51"/>
  <c r="P45" i="51"/>
  <c r="P48" i="51" s="1"/>
  <c r="L201" i="2"/>
  <c r="E52" i="6"/>
  <c r="G201" i="2"/>
  <c r="E42" i="6"/>
  <c r="G23" i="35"/>
  <c r="G70" i="2" s="1"/>
  <c r="L70" i="2" s="1"/>
  <c r="G19" i="41"/>
  <c r="G200" i="2"/>
  <c r="I17" i="6"/>
  <c r="G114" i="2" s="1"/>
  <c r="I43" i="48"/>
  <c r="E72" i="6"/>
  <c r="G16" i="41"/>
  <c r="F85" i="35"/>
  <c r="F87" i="35" s="1"/>
  <c r="G110" i="2" s="1"/>
  <c r="C28" i="48"/>
  <c r="D23" i="48" s="1"/>
  <c r="E23" i="48" s="1"/>
  <c r="G26" i="48"/>
  <c r="E49" i="6"/>
  <c r="E78" i="6"/>
  <c r="K41" i="48"/>
  <c r="K42" i="35"/>
  <c r="G86" i="2" s="1"/>
  <c r="C62" i="35"/>
  <c r="L228" i="2" s="1"/>
  <c r="F69" i="35"/>
  <c r="G106" i="2" s="1"/>
  <c r="G145" i="2"/>
  <c r="G159" i="2"/>
  <c r="G15" i="41"/>
  <c r="G21" i="41"/>
  <c r="J15" i="8"/>
  <c r="E47" i="6"/>
  <c r="I18" i="5"/>
  <c r="H43" i="48"/>
  <c r="H47" i="48"/>
  <c r="D47" i="48"/>
  <c r="D43" i="48"/>
  <c r="E27" i="30"/>
  <c r="G99" i="2"/>
  <c r="K45" i="48"/>
  <c r="G47" i="48"/>
  <c r="I43" i="5"/>
  <c r="G44" i="5"/>
  <c r="C21" i="7"/>
  <c r="C23" i="7" s="1"/>
  <c r="G123" i="2" s="1"/>
  <c r="L123" i="2" s="1"/>
  <c r="I34" i="5"/>
  <c r="G36" i="5"/>
  <c r="J47" i="48"/>
  <c r="J43" i="48"/>
  <c r="I80" i="6"/>
  <c r="E33" i="30"/>
  <c r="E21" i="11" s="1"/>
  <c r="G21" i="11" s="1"/>
  <c r="F26" i="49"/>
  <c r="H25" i="49"/>
  <c r="K25" i="49" s="1"/>
  <c r="E76" i="6"/>
  <c r="E39" i="6"/>
  <c r="D103" i="13"/>
  <c r="G102" i="13"/>
  <c r="C23" i="41"/>
  <c r="L248" i="2" s="1"/>
  <c r="G10" i="41"/>
  <c r="E23" i="41"/>
  <c r="L250" i="2" s="1"/>
  <c r="G11" i="41"/>
  <c r="F113" i="30"/>
  <c r="E15" i="30"/>
  <c r="D62" i="35"/>
  <c r="J17" i="8"/>
  <c r="J27" i="8" s="1"/>
  <c r="J31" i="8" s="1"/>
  <c r="I27" i="8"/>
  <c r="I31" i="8" s="1"/>
  <c r="I51" i="5"/>
  <c r="G103" i="2" s="1"/>
  <c r="E42" i="35"/>
  <c r="D41" i="9"/>
  <c r="E38" i="9"/>
  <c r="E41" i="9" s="1"/>
  <c r="D61" i="9"/>
  <c r="H234" i="2"/>
  <c r="F239" i="2"/>
  <c r="L234" i="2"/>
  <c r="K37" i="48"/>
  <c r="G43" i="48"/>
  <c r="E70" i="6"/>
  <c r="D92" i="6"/>
  <c r="D30" i="6" s="1"/>
  <c r="D31" i="6" s="1"/>
  <c r="G149" i="2"/>
  <c r="H24" i="49"/>
  <c r="K24" i="49" s="1"/>
  <c r="D23" i="35"/>
  <c r="G67" i="2" s="1"/>
  <c r="E23" i="35"/>
  <c r="G68" i="2" s="1"/>
  <c r="E61" i="9"/>
  <c r="P151" i="13"/>
  <c r="P117" i="13"/>
  <c r="I23" i="35"/>
  <c r="G72" i="2" s="1"/>
  <c r="F23" i="41"/>
  <c r="L251" i="2" s="1"/>
  <c r="G12" i="41"/>
  <c r="G42" i="35"/>
  <c r="G82" i="2" s="1"/>
  <c r="L82" i="2" s="1"/>
  <c r="H10" i="47"/>
  <c r="D74" i="41"/>
  <c r="E66" i="41"/>
  <c r="F73" i="41"/>
  <c r="D27" i="48" l="1"/>
  <c r="E27" i="48" s="1"/>
  <c r="H27" i="48" s="1"/>
  <c r="I27" i="48" s="1"/>
  <c r="I44" i="5"/>
  <c r="L102" i="2" s="1"/>
  <c r="K61" i="6"/>
  <c r="K29" i="6" s="1"/>
  <c r="I20" i="5"/>
  <c r="L99" i="2" s="1"/>
  <c r="E76" i="41"/>
  <c r="G93" i="2"/>
  <c r="K47" i="11" s="1"/>
  <c r="K50" i="11" s="1"/>
  <c r="K52" i="11" s="1"/>
  <c r="K54" i="11" s="1"/>
  <c r="H239" i="2"/>
  <c r="I36" i="5"/>
  <c r="L101" i="2" s="1"/>
  <c r="G94" i="2"/>
  <c r="G28" i="48"/>
  <c r="G90" i="2"/>
  <c r="O90" i="13"/>
  <c r="I28" i="5"/>
  <c r="L100" i="2" s="1"/>
  <c r="I54" i="50"/>
  <c r="E61" i="6"/>
  <c r="E29" i="6" s="1"/>
  <c r="L252" i="2"/>
  <c r="G257" i="2" s="1"/>
  <c r="G258" i="2" s="1"/>
  <c r="H255" i="2" s="1"/>
  <c r="L92" i="2"/>
  <c r="L246" i="2"/>
  <c r="E105" i="41"/>
  <c r="G71" i="38"/>
  <c r="D104" i="41"/>
  <c r="E101" i="41"/>
  <c r="E104" i="41" s="1"/>
  <c r="E153" i="2"/>
  <c r="B43" i="48"/>
  <c r="A39" i="48"/>
  <c r="A41" i="48" s="1"/>
  <c r="A48" i="41"/>
  <c r="A49" i="41" s="1"/>
  <c r="H22" i="50"/>
  <c r="K22" i="50" s="1"/>
  <c r="K61" i="11"/>
  <c r="K63" i="11" s="1"/>
  <c r="K65" i="11" s="1"/>
  <c r="K67" i="11" s="1"/>
  <c r="K68" i="11" s="1"/>
  <c r="D22" i="48"/>
  <c r="E22" i="48" s="1"/>
  <c r="H22" i="48" s="1"/>
  <c r="I22" i="48" s="1"/>
  <c r="D25" i="48"/>
  <c r="E25" i="48" s="1"/>
  <c r="H25" i="48" s="1"/>
  <c r="I25" i="48" s="1"/>
  <c r="D26" i="48"/>
  <c r="E26" i="48" s="1"/>
  <c r="H26" i="48" s="1"/>
  <c r="I26" i="48" s="1"/>
  <c r="D24" i="48"/>
  <c r="E24" i="48" s="1"/>
  <c r="H24" i="48" s="1"/>
  <c r="I24" i="48" s="1"/>
  <c r="F39" i="20"/>
  <c r="E39" i="13"/>
  <c r="N92" i="13"/>
  <c r="O91" i="13"/>
  <c r="O92" i="13" s="1"/>
  <c r="O22" i="13"/>
  <c r="O23" i="13" s="1"/>
  <c r="D227" i="2"/>
  <c r="D228" i="2"/>
  <c r="D36" i="5"/>
  <c r="M92" i="13"/>
  <c r="N22" i="13"/>
  <c r="N23" i="13" s="1"/>
  <c r="G23" i="38"/>
  <c r="E161" i="2"/>
  <c r="A44" i="9"/>
  <c r="A45" i="9" s="1"/>
  <c r="A46" i="9" s="1"/>
  <c r="A47" i="9" s="1"/>
  <c r="A48" i="9" s="1"/>
  <c r="A49" i="9" s="1"/>
  <c r="A50" i="9" s="1"/>
  <c r="A51" i="9" s="1"/>
  <c r="A52" i="9" s="1"/>
  <c r="A53" i="9" s="1"/>
  <c r="A54" i="9" s="1"/>
  <c r="A55" i="9" s="1"/>
  <c r="A56" i="9" s="1"/>
  <c r="A57" i="9" s="1"/>
  <c r="A58" i="9" s="1"/>
  <c r="A59" i="9" s="1"/>
  <c r="A61" i="9" s="1"/>
  <c r="C70" i="13"/>
  <c r="D36" i="2"/>
  <c r="C70" i="20"/>
  <c r="B36" i="2"/>
  <c r="B37" i="2" s="1"/>
  <c r="A42" i="5"/>
  <c r="A43" i="5" s="1"/>
  <c r="A44" i="5" s="1"/>
  <c r="A47" i="5" s="1"/>
  <c r="A49" i="5" s="1"/>
  <c r="K43" i="48"/>
  <c r="E38" i="13"/>
  <c r="F38" i="20"/>
  <c r="G109" i="39"/>
  <c r="A49" i="11"/>
  <c r="A50" i="11" s="1"/>
  <c r="C50" i="11"/>
  <c r="G92" i="2"/>
  <c r="I47" i="11" s="1"/>
  <c r="E20" i="11"/>
  <c r="G20" i="11" s="1"/>
  <c r="G42" i="11" s="1"/>
  <c r="G183" i="2" s="1"/>
  <c r="E25" i="30"/>
  <c r="H23" i="48"/>
  <c r="G164" i="2"/>
  <c r="G165" i="2" s="1"/>
  <c r="G167" i="2" s="1"/>
  <c r="G169" i="2" s="1"/>
  <c r="G80" i="2"/>
  <c r="G87" i="2" s="1"/>
  <c r="D64" i="35"/>
  <c r="L80" i="2" s="1"/>
  <c r="D25" i="50"/>
  <c r="H24" i="50"/>
  <c r="K24" i="50" s="1"/>
  <c r="E47" i="11"/>
  <c r="F27" i="49"/>
  <c r="H26" i="49"/>
  <c r="K26" i="49" s="1"/>
  <c r="L67" i="2"/>
  <c r="L90" i="2" s="1"/>
  <c r="G75" i="2"/>
  <c r="G113" i="2"/>
  <c r="H23" i="50"/>
  <c r="K23" i="50" s="1"/>
  <c r="K47" i="48"/>
  <c r="I54" i="47"/>
  <c r="D21" i="47"/>
  <c r="K56" i="11"/>
  <c r="K57" i="11" s="1"/>
  <c r="L226" i="2"/>
  <c r="P21" i="13"/>
  <c r="F27" i="50"/>
  <c r="F29" i="47"/>
  <c r="K80" i="6"/>
  <c r="I92" i="6"/>
  <c r="I30" i="6" s="1"/>
  <c r="I31" i="6" s="1"/>
  <c r="G118" i="2" s="1"/>
  <c r="H21" i="50"/>
  <c r="E113" i="30"/>
  <c r="E17" i="11"/>
  <c r="G23" i="41"/>
  <c r="E103" i="13"/>
  <c r="F103" i="13" s="1"/>
  <c r="D104" i="13" s="1"/>
  <c r="G104" i="2"/>
  <c r="H256" i="2" l="1"/>
  <c r="H257" i="2"/>
  <c r="D23" i="13" s="1"/>
  <c r="F23" i="13" s="1"/>
  <c r="E77" i="41"/>
  <c r="E79" i="41" s="1"/>
  <c r="E80" i="41" s="1"/>
  <c r="E51" i="41" s="1"/>
  <c r="E56" i="41" s="1"/>
  <c r="L245" i="2" s="1"/>
  <c r="L104" i="2"/>
  <c r="B39" i="2"/>
  <c r="B42" i="2" s="1"/>
  <c r="B44" i="2" s="1"/>
  <c r="B24" i="2"/>
  <c r="A64" i="9"/>
  <c r="A65" i="9" s="1"/>
  <c r="A66" i="9" s="1"/>
  <c r="A68" i="9" s="1"/>
  <c r="A69" i="9" s="1"/>
  <c r="A71" i="9" s="1"/>
  <c r="E163" i="2" s="1"/>
  <c r="E162" i="2"/>
  <c r="A51" i="11"/>
  <c r="A52" i="11" s="1"/>
  <c r="C52" i="11"/>
  <c r="P22" i="13"/>
  <c r="P23" i="13" s="1"/>
  <c r="A50" i="41"/>
  <c r="A51" i="41" s="1"/>
  <c r="A52" i="41" s="1"/>
  <c r="A53" i="41" s="1"/>
  <c r="A54" i="41" s="1"/>
  <c r="A55" i="41" s="1"/>
  <c r="A56" i="41" s="1"/>
  <c r="D44" i="5"/>
  <c r="A43" i="48"/>
  <c r="E154" i="2"/>
  <c r="A50" i="5"/>
  <c r="A51" i="5" s="1"/>
  <c r="A52" i="5" s="1"/>
  <c r="E104" i="13"/>
  <c r="F104" i="13" s="1"/>
  <c r="F30" i="47"/>
  <c r="L229" i="2"/>
  <c r="L68" i="2" s="1"/>
  <c r="E58" i="41"/>
  <c r="J255" i="2" s="1"/>
  <c r="L255" i="2" s="1"/>
  <c r="G103" i="13"/>
  <c r="K21" i="50"/>
  <c r="D22" i="47"/>
  <c r="H21" i="47"/>
  <c r="I255" i="2"/>
  <c r="L257" i="2"/>
  <c r="I257" i="2"/>
  <c r="F28" i="50"/>
  <c r="F28" i="49"/>
  <c r="H27" i="49"/>
  <c r="K27" i="49" s="1"/>
  <c r="D21" i="13"/>
  <c r="D21" i="20"/>
  <c r="D26" i="50"/>
  <c r="H25" i="50"/>
  <c r="K25" i="50" s="1"/>
  <c r="I23" i="48"/>
  <c r="I28" i="48" s="1"/>
  <c r="H28" i="48"/>
  <c r="I50" i="11"/>
  <c r="I52" i="11" s="1"/>
  <c r="I54" i="11" s="1"/>
  <c r="I61" i="11"/>
  <c r="I63" i="11" s="1"/>
  <c r="I65" i="11" s="1"/>
  <c r="M17" i="11"/>
  <c r="M42" i="11" s="1"/>
  <c r="G184" i="2" s="1"/>
  <c r="L184" i="2" s="1"/>
  <c r="E42" i="11"/>
  <c r="K92" i="6"/>
  <c r="K30" i="6" s="1"/>
  <c r="K31" i="6" s="1"/>
  <c r="E80" i="6"/>
  <c r="E92" i="6" s="1"/>
  <c r="E30" i="6" s="1"/>
  <c r="E31" i="6" s="1"/>
  <c r="G120" i="2" s="1"/>
  <c r="L120" i="2" s="1"/>
  <c r="G91" i="2"/>
  <c r="E50" i="11"/>
  <c r="E61" i="11"/>
  <c r="I256" i="2"/>
  <c r="L256" i="2"/>
  <c r="D22" i="20"/>
  <c r="F22" i="20" s="1"/>
  <c r="D22" i="13"/>
  <c r="F22" i="13" s="1"/>
  <c r="J80" i="2"/>
  <c r="D23" i="20" l="1"/>
  <c r="F23" i="20" s="1"/>
  <c r="L231" i="2"/>
  <c r="J114" i="2" s="1"/>
  <c r="L114" i="2" s="1"/>
  <c r="B58" i="41"/>
  <c r="E245" i="2"/>
  <c r="A58" i="41"/>
  <c r="D51" i="5"/>
  <c r="G121" i="2"/>
  <c r="G125" i="2" s="1"/>
  <c r="B47" i="48"/>
  <c r="A45" i="48"/>
  <c r="B56" i="41"/>
  <c r="A53" i="11"/>
  <c r="A54" i="11" s="1"/>
  <c r="C54" i="11"/>
  <c r="B45" i="2"/>
  <c r="D105" i="13"/>
  <c r="G104" i="13"/>
  <c r="E63" i="11"/>
  <c r="G47" i="11"/>
  <c r="G95" i="2"/>
  <c r="D27" i="50"/>
  <c r="H26" i="50"/>
  <c r="K21" i="47"/>
  <c r="E52" i="11"/>
  <c r="L258" i="2"/>
  <c r="G190" i="2" s="1"/>
  <c r="H28" i="49"/>
  <c r="K28" i="49" s="1"/>
  <c r="F29" i="49"/>
  <c r="D23" i="47"/>
  <c r="H22" i="47"/>
  <c r="K22" i="47" s="1"/>
  <c r="G186" i="2"/>
  <c r="J69" i="2"/>
  <c r="L69" i="2" s="1"/>
  <c r="J161" i="2"/>
  <c r="L161" i="2" s="1"/>
  <c r="J162" i="2"/>
  <c r="L162" i="2" s="1"/>
  <c r="J149" i="2"/>
  <c r="L149" i="2" s="1"/>
  <c r="E21" i="20"/>
  <c r="F21" i="20" s="1"/>
  <c r="E21" i="13"/>
  <c r="F21" i="13" s="1"/>
  <c r="F24" i="13" s="1"/>
  <c r="E29" i="13" s="1"/>
  <c r="G75" i="20"/>
  <c r="J76" i="2"/>
  <c r="H75" i="13"/>
  <c r="J174" i="2"/>
  <c r="L174" i="2" s="1"/>
  <c r="J81" i="2"/>
  <c r="L81" i="2" s="1"/>
  <c r="E71" i="11"/>
  <c r="I71" i="11"/>
  <c r="F29" i="50"/>
  <c r="F31" i="47"/>
  <c r="F24" i="20" l="1"/>
  <c r="F29" i="20" s="1"/>
  <c r="J235" i="2"/>
  <c r="L235" i="2" s="1"/>
  <c r="L239" i="2" s="1"/>
  <c r="L241" i="2" s="1"/>
  <c r="B46" i="2"/>
  <c r="D303" i="2"/>
  <c r="A47" i="48"/>
  <c r="C21" i="48" s="1"/>
  <c r="E155" i="2"/>
  <c r="A61" i="41"/>
  <c r="D255" i="2"/>
  <c r="L91" i="2"/>
  <c r="F64" i="13" s="1"/>
  <c r="C55" i="11"/>
  <c r="A55" i="11"/>
  <c r="F30" i="50"/>
  <c r="H76" i="13"/>
  <c r="H77" i="13" s="1"/>
  <c r="H78" i="13" s="1"/>
  <c r="H79" i="13" s="1"/>
  <c r="D98" i="13" s="1"/>
  <c r="F59" i="13"/>
  <c r="G59" i="20"/>
  <c r="G76" i="20"/>
  <c r="G77" i="20" s="1"/>
  <c r="G78" i="20" s="1"/>
  <c r="G79" i="20" s="1"/>
  <c r="F30" i="49"/>
  <c r="H29" i="49"/>
  <c r="F32" i="47"/>
  <c r="E54" i="11"/>
  <c r="E65" i="11"/>
  <c r="J72" i="2"/>
  <c r="L72" i="2" s="1"/>
  <c r="J115" i="2"/>
  <c r="L115" i="2" s="1"/>
  <c r="J110" i="2"/>
  <c r="L110" i="2" s="1"/>
  <c r="J73" i="2"/>
  <c r="L73" i="2" s="1"/>
  <c r="J86" i="2"/>
  <c r="L86" i="2" s="1"/>
  <c r="J85" i="2"/>
  <c r="L85" i="2" s="1"/>
  <c r="J164" i="2"/>
  <c r="L164" i="2" s="1"/>
  <c r="J159" i="2"/>
  <c r="L159" i="2" s="1"/>
  <c r="J181" i="2"/>
  <c r="L181" i="2" s="1"/>
  <c r="J175" i="2"/>
  <c r="L175" i="2" s="1"/>
  <c r="J74" i="2"/>
  <c r="L74" i="2" s="1"/>
  <c r="J117" i="2"/>
  <c r="L117" i="2" s="1"/>
  <c r="J84" i="2"/>
  <c r="L84" i="2" s="1"/>
  <c r="J176" i="2"/>
  <c r="L176" i="2" s="1"/>
  <c r="F35" i="20"/>
  <c r="E35" i="13"/>
  <c r="G211" i="2"/>
  <c r="L211" i="2"/>
  <c r="K26" i="50"/>
  <c r="L113" i="2"/>
  <c r="D24" i="47"/>
  <c r="H23" i="47"/>
  <c r="K23" i="47" s="1"/>
  <c r="G205" i="2"/>
  <c r="D28" i="50"/>
  <c r="H27" i="50"/>
  <c r="K27" i="50" s="1"/>
  <c r="G50" i="11"/>
  <c r="G61" i="11"/>
  <c r="M47" i="11"/>
  <c r="E105" i="13"/>
  <c r="L87" i="2" l="1"/>
  <c r="G64" i="20"/>
  <c r="L177" i="2"/>
  <c r="A56" i="11"/>
  <c r="C56" i="11"/>
  <c r="L94" i="2"/>
  <c r="A64" i="41"/>
  <c r="D63" i="41"/>
  <c r="B48" i="2"/>
  <c r="B66" i="2" s="1"/>
  <c r="E48" i="2"/>
  <c r="F31" i="49"/>
  <c r="H30" i="49"/>
  <c r="K30" i="49" s="1"/>
  <c r="D29" i="50"/>
  <c r="H28" i="50"/>
  <c r="K28" i="50" s="1"/>
  <c r="G198" i="2"/>
  <c r="G203" i="2" s="1"/>
  <c r="G213" i="2" s="1"/>
  <c r="F36" i="47"/>
  <c r="F39" i="47"/>
  <c r="G63" i="11"/>
  <c r="M61" i="11"/>
  <c r="D25" i="47"/>
  <c r="H24" i="47"/>
  <c r="K24" i="47" s="1"/>
  <c r="L93" i="2"/>
  <c r="L95" i="2" s="1"/>
  <c r="J95" i="2" s="1"/>
  <c r="G71" i="11" s="1"/>
  <c r="D366" i="20"/>
  <c r="I367" i="20" s="1"/>
  <c r="E370" i="20" s="1"/>
  <c r="D455" i="20"/>
  <c r="I456" i="20" s="1"/>
  <c r="E459" i="20" s="1"/>
  <c r="D544" i="20"/>
  <c r="I545" i="20" s="1"/>
  <c r="E548" i="20" s="1"/>
  <c r="D722" i="20"/>
  <c r="I723" i="20" s="1"/>
  <c r="E726" i="20" s="1"/>
  <c r="D99" i="20"/>
  <c r="I100" i="20" s="1"/>
  <c r="E103" i="20" s="1"/>
  <c r="D633" i="20"/>
  <c r="I634" i="20" s="1"/>
  <c r="E637" i="20" s="1"/>
  <c r="D188" i="20"/>
  <c r="I189" i="20" s="1"/>
  <c r="E192" i="20" s="1"/>
  <c r="D277" i="20"/>
  <c r="I278" i="20" s="1"/>
  <c r="E281" i="20" s="1"/>
  <c r="D811" i="20"/>
  <c r="I812" i="20" s="1"/>
  <c r="E815" i="20" s="1"/>
  <c r="F105" i="13"/>
  <c r="G52" i="11"/>
  <c r="M50" i="11"/>
  <c r="L75" i="2"/>
  <c r="J75" i="2" s="1"/>
  <c r="K29" i="49"/>
  <c r="F31" i="50"/>
  <c r="B67" i="2" l="1"/>
  <c r="B68" i="2" s="1"/>
  <c r="A57" i="11"/>
  <c r="C57" i="11"/>
  <c r="A65" i="41"/>
  <c r="A66" i="41" s="1"/>
  <c r="A67" i="41" s="1"/>
  <c r="A68" i="41" s="1"/>
  <c r="A69" i="41" s="1"/>
  <c r="A70" i="41" s="1"/>
  <c r="A71" i="41" s="1"/>
  <c r="A72" i="41" s="1"/>
  <c r="A73" i="41" s="1"/>
  <c r="A74" i="41" s="1"/>
  <c r="F32" i="50"/>
  <c r="G54" i="11"/>
  <c r="M52" i="11"/>
  <c r="F192" i="20"/>
  <c r="D193" i="20" s="1"/>
  <c r="F548" i="20"/>
  <c r="D549" i="20" s="1"/>
  <c r="D106" i="13"/>
  <c r="G105" i="13"/>
  <c r="F637" i="20"/>
  <c r="D638" i="20" s="1"/>
  <c r="F459" i="20"/>
  <c r="D460" i="20" s="1"/>
  <c r="G65" i="11"/>
  <c r="M63" i="11"/>
  <c r="H31" i="49"/>
  <c r="K31" i="49" s="1"/>
  <c r="F32" i="49"/>
  <c r="F815" i="20"/>
  <c r="D816" i="20" s="1"/>
  <c r="F103" i="20"/>
  <c r="D104" i="20" s="1"/>
  <c r="F370" i="20"/>
  <c r="D371" i="20" s="1"/>
  <c r="D26" i="47"/>
  <c r="H25" i="47"/>
  <c r="K25" i="47" s="1"/>
  <c r="F40" i="47"/>
  <c r="J116" i="2"/>
  <c r="L116" i="2" s="1"/>
  <c r="J199" i="2"/>
  <c r="L199" i="2" s="1"/>
  <c r="J118" i="2"/>
  <c r="L118" i="2" s="1"/>
  <c r="J185" i="2"/>
  <c r="L185" i="2" s="1"/>
  <c r="J160" i="2"/>
  <c r="L160" i="2" s="1"/>
  <c r="L165" i="2" s="1"/>
  <c r="L167" i="2" s="1"/>
  <c r="L169" i="2" s="1"/>
  <c r="F281" i="20"/>
  <c r="D282" i="20" s="1"/>
  <c r="F726" i="20"/>
  <c r="D727" i="20" s="1"/>
  <c r="D30" i="50"/>
  <c r="H29" i="50"/>
  <c r="A58" i="11" l="1"/>
  <c r="A60" i="11" s="1"/>
  <c r="C58" i="11"/>
  <c r="L121" i="2"/>
  <c r="L125" i="2" s="1"/>
  <c r="L205" i="2" s="1"/>
  <c r="B76" i="41"/>
  <c r="A76" i="41"/>
  <c r="B50" i="41"/>
  <c r="C75" i="13"/>
  <c r="E226" i="2"/>
  <c r="B69" i="2"/>
  <c r="B70" i="2" s="1"/>
  <c r="C75" i="20"/>
  <c r="F28" i="20"/>
  <c r="F30" i="20" s="1"/>
  <c r="F39" i="49"/>
  <c r="F36" i="49"/>
  <c r="H32" i="49"/>
  <c r="G55" i="11"/>
  <c r="G56" i="11" s="1"/>
  <c r="G57" i="11" s="1"/>
  <c r="I55" i="11"/>
  <c r="I56" i="11" s="1"/>
  <c r="I57" i="11" s="1"/>
  <c r="E55" i="11"/>
  <c r="E56" i="11" s="1"/>
  <c r="D27" i="47"/>
  <c r="H26" i="47"/>
  <c r="K26" i="47" s="1"/>
  <c r="E106" i="13"/>
  <c r="F36" i="50"/>
  <c r="F39" i="50"/>
  <c r="D31" i="50"/>
  <c r="H30" i="50"/>
  <c r="K30" i="50" s="1"/>
  <c r="E193" i="20"/>
  <c r="F193" i="20" s="1"/>
  <c r="D194" i="20" s="1"/>
  <c r="E549" i="20"/>
  <c r="F549" i="20" s="1"/>
  <c r="D550" i="20" s="1"/>
  <c r="K29" i="50"/>
  <c r="E727" i="20"/>
  <c r="F727" i="20" s="1"/>
  <c r="D728" i="20" s="1"/>
  <c r="F41" i="47"/>
  <c r="E104" i="20"/>
  <c r="F104" i="20" s="1"/>
  <c r="D105" i="20" s="1"/>
  <c r="E460" i="20"/>
  <c r="F460" i="20" s="1"/>
  <c r="D461" i="20" s="1"/>
  <c r="E282" i="20"/>
  <c r="F37" i="20"/>
  <c r="E37" i="13"/>
  <c r="E371" i="20"/>
  <c r="F371" i="20" s="1"/>
  <c r="D372" i="20" s="1"/>
  <c r="E816" i="20"/>
  <c r="F816" i="20" s="1"/>
  <c r="D817" i="20" s="1"/>
  <c r="G66" i="11"/>
  <c r="G67" i="11" s="1"/>
  <c r="G68" i="11" s="1"/>
  <c r="I66" i="11"/>
  <c r="I67" i="11" s="1"/>
  <c r="I68" i="11" s="1"/>
  <c r="E66" i="11"/>
  <c r="E67" i="11" s="1"/>
  <c r="E638" i="20"/>
  <c r="F638" i="20" s="1"/>
  <c r="D639" i="20" s="1"/>
  <c r="E28" i="13" l="1"/>
  <c r="E30" i="13" s="1"/>
  <c r="B71" i="2"/>
  <c r="B72" i="2" s="1"/>
  <c r="A77" i="41"/>
  <c r="A78" i="41" s="1"/>
  <c r="A79" i="41" s="1"/>
  <c r="A80" i="41" s="1"/>
  <c r="B80" i="41"/>
  <c r="A61" i="11"/>
  <c r="C61" i="11"/>
  <c r="E105" i="20"/>
  <c r="F105" i="20" s="1"/>
  <c r="D106" i="20" s="1"/>
  <c r="E817" i="20"/>
  <c r="E461" i="20"/>
  <c r="F461" i="20" s="1"/>
  <c r="D462" i="20" s="1"/>
  <c r="E194" i="20"/>
  <c r="F194" i="20" s="1"/>
  <c r="D195" i="20" s="1"/>
  <c r="E639" i="20"/>
  <c r="E728" i="20"/>
  <c r="F728" i="20" s="1"/>
  <c r="D729" i="20" s="1"/>
  <c r="M67" i="11"/>
  <c r="E68" i="11"/>
  <c r="D32" i="50"/>
  <c r="H32" i="50" s="1"/>
  <c r="K32" i="50" s="1"/>
  <c r="H31" i="50"/>
  <c r="K31" i="50" s="1"/>
  <c r="D28" i="47"/>
  <c r="H27" i="47"/>
  <c r="K27" i="47" s="1"/>
  <c r="F49" i="13"/>
  <c r="G49" i="20"/>
  <c r="L198" i="2"/>
  <c r="L203" i="2" s="1"/>
  <c r="F42" i="47"/>
  <c r="F40" i="50"/>
  <c r="F106" i="13"/>
  <c r="M56" i="11"/>
  <c r="E57" i="11"/>
  <c r="K32" i="49"/>
  <c r="K33" i="49" s="1"/>
  <c r="D36" i="49" s="1"/>
  <c r="H36" i="49" s="1"/>
  <c r="H33" i="49"/>
  <c r="F34" i="20"/>
  <c r="F36" i="20" s="1"/>
  <c r="F40" i="20" s="1"/>
  <c r="G57" i="20" s="1"/>
  <c r="G56" i="20"/>
  <c r="E372" i="20"/>
  <c r="F372" i="20" s="1"/>
  <c r="D373" i="20" s="1"/>
  <c r="E550" i="20"/>
  <c r="F550" i="20" s="1"/>
  <c r="D551" i="20" s="1"/>
  <c r="F40" i="49"/>
  <c r="F282" i="20"/>
  <c r="D283" i="20" s="1"/>
  <c r="E34" i="13"/>
  <c r="E36" i="13" s="1"/>
  <c r="E40" i="13" s="1"/>
  <c r="F57" i="13" s="1"/>
  <c r="F56" i="13"/>
  <c r="H33" i="50" l="1"/>
  <c r="K33" i="50"/>
  <c r="D36" i="50" s="1"/>
  <c r="H36" i="50" s="1"/>
  <c r="K36" i="50" s="1"/>
  <c r="A85" i="41"/>
  <c r="B51" i="41"/>
  <c r="B73" i="2"/>
  <c r="B74" i="2" s="1"/>
  <c r="A62" i="11"/>
  <c r="A63" i="11" s="1"/>
  <c r="E729" i="20"/>
  <c r="F729" i="20" s="1"/>
  <c r="D730" i="20" s="1"/>
  <c r="E195" i="20"/>
  <c r="F195" i="20" s="1"/>
  <c r="D196" i="20" s="1"/>
  <c r="E106" i="20"/>
  <c r="F106" i="20" s="1"/>
  <c r="D107" i="20" s="1"/>
  <c r="F41" i="49"/>
  <c r="E283" i="20"/>
  <c r="F283" i="20" s="1"/>
  <c r="D284" i="20" s="1"/>
  <c r="E551" i="20"/>
  <c r="F551" i="20" s="1"/>
  <c r="D552" i="20" s="1"/>
  <c r="F41" i="50"/>
  <c r="D29" i="47"/>
  <c r="H28" i="47"/>
  <c r="K28" i="47" s="1"/>
  <c r="E462" i="20"/>
  <c r="F462" i="20" s="1"/>
  <c r="D463" i="20" s="1"/>
  <c r="F817" i="20"/>
  <c r="D818" i="20" s="1"/>
  <c r="M57" i="11"/>
  <c r="M68" i="11"/>
  <c r="F639" i="20"/>
  <c r="D640" i="20" s="1"/>
  <c r="E373" i="20"/>
  <c r="F373" i="20" s="1"/>
  <c r="D374" i="20" s="1"/>
  <c r="D107" i="13"/>
  <c r="G106" i="13"/>
  <c r="F50" i="13"/>
  <c r="G50" i="20"/>
  <c r="K36" i="49"/>
  <c r="F43" i="47"/>
  <c r="B75" i="2" l="1"/>
  <c r="B77" i="2" s="1"/>
  <c r="B78" i="2" s="1"/>
  <c r="E75" i="2"/>
  <c r="A64" i="11"/>
  <c r="A65" i="11" s="1"/>
  <c r="C63" i="11"/>
  <c r="A86" i="41"/>
  <c r="E196" i="20"/>
  <c r="F196" i="20"/>
  <c r="D197" i="20" s="1"/>
  <c r="D39" i="50"/>
  <c r="I39" i="50"/>
  <c r="F44" i="47"/>
  <c r="G58" i="11"/>
  <c r="H28" i="30" s="1"/>
  <c r="I28" i="30" s="1"/>
  <c r="I27" i="30" s="1"/>
  <c r="I58" i="11"/>
  <c r="E58" i="11"/>
  <c r="E107" i="13"/>
  <c r="F107" i="13" s="1"/>
  <c r="E552" i="20"/>
  <c r="F552" i="20" s="1"/>
  <c r="D553" i="20" s="1"/>
  <c r="E374" i="20"/>
  <c r="F374" i="20" s="1"/>
  <c r="D375" i="20" s="1"/>
  <c r="E463" i="20"/>
  <c r="F463" i="20" s="1"/>
  <c r="D464" i="20" s="1"/>
  <c r="F42" i="50"/>
  <c r="E284" i="20"/>
  <c r="F284" i="20" s="1"/>
  <c r="D285" i="20" s="1"/>
  <c r="E107" i="20"/>
  <c r="F107" i="20" s="1"/>
  <c r="D108" i="20" s="1"/>
  <c r="E730" i="20"/>
  <c r="F730" i="20" s="1"/>
  <c r="D731" i="20" s="1"/>
  <c r="E640" i="20"/>
  <c r="F640" i="20" s="1"/>
  <c r="D641" i="20" s="1"/>
  <c r="D39" i="49"/>
  <c r="I39" i="49"/>
  <c r="I69" i="11"/>
  <c r="G69" i="11"/>
  <c r="H34" i="30" s="1"/>
  <c r="I34" i="30" s="1"/>
  <c r="I33" i="30" s="1"/>
  <c r="E69" i="11"/>
  <c r="E818" i="20"/>
  <c r="F818" i="20" s="1"/>
  <c r="D819" i="20" s="1"/>
  <c r="D30" i="47"/>
  <c r="H29" i="47"/>
  <c r="K29" i="47" s="1"/>
  <c r="F42" i="49"/>
  <c r="A87" i="41" l="1"/>
  <c r="A88" i="41" s="1"/>
  <c r="B88" i="41"/>
  <c r="A66" i="11"/>
  <c r="C66" i="11"/>
  <c r="C65" i="11"/>
  <c r="B79" i="2"/>
  <c r="B80" i="2" s="1"/>
  <c r="E90" i="2"/>
  <c r="E641" i="20"/>
  <c r="F641" i="20" s="1"/>
  <c r="D642" i="20" s="1"/>
  <c r="E285" i="20"/>
  <c r="F285" i="20"/>
  <c r="D286" i="20" s="1"/>
  <c r="E375" i="20"/>
  <c r="F375" i="20" s="1"/>
  <c r="D376" i="20" s="1"/>
  <c r="E731" i="20"/>
  <c r="F731" i="20" s="1"/>
  <c r="D732" i="20" s="1"/>
  <c r="E108" i="20"/>
  <c r="F108" i="20" s="1"/>
  <c r="D109" i="20" s="1"/>
  <c r="D108" i="13"/>
  <c r="G107" i="13"/>
  <c r="F43" i="49"/>
  <c r="D31" i="47"/>
  <c r="H30" i="47"/>
  <c r="K30" i="47" s="1"/>
  <c r="E464" i="20"/>
  <c r="F464" i="20" s="1"/>
  <c r="D465" i="20" s="1"/>
  <c r="I40" i="50"/>
  <c r="I41" i="50" s="1"/>
  <c r="I42" i="50" s="1"/>
  <c r="I43" i="50" s="1"/>
  <c r="I44" i="50" s="1"/>
  <c r="I45" i="50" s="1"/>
  <c r="I46" i="50" s="1"/>
  <c r="I47" i="50" s="1"/>
  <c r="I48" i="50" s="1"/>
  <c r="I49" i="50" s="1"/>
  <c r="I50" i="50" s="1"/>
  <c r="E819" i="20"/>
  <c r="F819" i="20"/>
  <c r="D820" i="20" s="1"/>
  <c r="I25" i="30"/>
  <c r="L183" i="2" s="1"/>
  <c r="L186" i="2" s="1"/>
  <c r="L213" i="2" s="1"/>
  <c r="L13" i="2" s="1"/>
  <c r="K39" i="50"/>
  <c r="D40" i="50" s="1"/>
  <c r="H39" i="50"/>
  <c r="E197" i="20"/>
  <c r="F197" i="20" s="1"/>
  <c r="D198" i="20" s="1"/>
  <c r="E553" i="20"/>
  <c r="F553" i="20" s="1"/>
  <c r="D554" i="20" s="1"/>
  <c r="I40" i="49"/>
  <c r="I41" i="49" s="1"/>
  <c r="I42" i="49" s="1"/>
  <c r="I43" i="49" s="1"/>
  <c r="I44" i="49" s="1"/>
  <c r="I45" i="49" s="1"/>
  <c r="I46" i="49" s="1"/>
  <c r="I47" i="49" s="1"/>
  <c r="I48" i="49" s="1"/>
  <c r="I49" i="49" s="1"/>
  <c r="I50" i="49" s="1"/>
  <c r="K39" i="49"/>
  <c r="D40" i="49" s="1"/>
  <c r="H39" i="49"/>
  <c r="F43" i="50"/>
  <c r="F45" i="47"/>
  <c r="C67" i="11" l="1"/>
  <c r="A67" i="11"/>
  <c r="B81" i="2"/>
  <c r="B82" i="2" s="1"/>
  <c r="E91" i="2"/>
  <c r="A89" i="41"/>
  <c r="B89" i="41"/>
  <c r="E109" i="20"/>
  <c r="F109" i="20" s="1"/>
  <c r="D110" i="20" s="1"/>
  <c r="E554" i="20"/>
  <c r="F554" i="20" s="1"/>
  <c r="D555" i="20" s="1"/>
  <c r="E732" i="20"/>
  <c r="F732" i="20" s="1"/>
  <c r="D733" i="20" s="1"/>
  <c r="E465" i="20"/>
  <c r="F465" i="20" s="1"/>
  <c r="D466" i="20" s="1"/>
  <c r="K40" i="49"/>
  <c r="D41" i="49" s="1"/>
  <c r="H40" i="49"/>
  <c r="E286" i="20"/>
  <c r="F286" i="20" s="1"/>
  <c r="D287" i="20" s="1"/>
  <c r="E198" i="20"/>
  <c r="F198" i="20" s="1"/>
  <c r="D199" i="20" s="1"/>
  <c r="I53" i="50"/>
  <c r="I55" i="50" s="1"/>
  <c r="E108" i="13"/>
  <c r="F108" i="13" s="1"/>
  <c r="F44" i="50"/>
  <c r="E376" i="20"/>
  <c r="F376" i="20"/>
  <c r="D377" i="20" s="1"/>
  <c r="E642" i="20"/>
  <c r="F642" i="20" s="1"/>
  <c r="D643" i="20" s="1"/>
  <c r="K40" i="50"/>
  <c r="D41" i="50" s="1"/>
  <c r="H40" i="50"/>
  <c r="F47" i="13"/>
  <c r="F51" i="13" s="1"/>
  <c r="F55" i="13" s="1"/>
  <c r="F58" i="13" s="1"/>
  <c r="L20" i="2"/>
  <c r="L30" i="2"/>
  <c r="L31" i="2" s="1"/>
  <c r="G47" i="20"/>
  <c r="G51" i="20" s="1"/>
  <c r="G55" i="20" s="1"/>
  <c r="G58" i="20" s="1"/>
  <c r="L37" i="2"/>
  <c r="L34" i="2"/>
  <c r="D32" i="47"/>
  <c r="H32" i="47" s="1"/>
  <c r="H31" i="47"/>
  <c r="K31" i="47" s="1"/>
  <c r="I53" i="49"/>
  <c r="I55" i="49" s="1"/>
  <c r="E820" i="20"/>
  <c r="F820" i="20" s="1"/>
  <c r="D821" i="20" s="1"/>
  <c r="F46" i="47"/>
  <c r="F44" i="49"/>
  <c r="B83" i="2" l="1"/>
  <c r="B84" i="2" s="1"/>
  <c r="E92" i="2"/>
  <c r="A91" i="41"/>
  <c r="A68" i="11"/>
  <c r="C68" i="11"/>
  <c r="E555" i="20"/>
  <c r="F555" i="20" s="1"/>
  <c r="D556" i="20" s="1"/>
  <c r="E821" i="20"/>
  <c r="F821" i="20"/>
  <c r="D822" i="20" s="1"/>
  <c r="E643" i="20"/>
  <c r="F643" i="20" s="1"/>
  <c r="D644" i="20" s="1"/>
  <c r="D109" i="13"/>
  <c r="G108" i="13"/>
  <c r="E287" i="20"/>
  <c r="F287" i="20" s="1"/>
  <c r="D288" i="20" s="1"/>
  <c r="E110" i="20"/>
  <c r="F110" i="20" s="1"/>
  <c r="D111" i="20" s="1"/>
  <c r="G70" i="20"/>
  <c r="F70" i="13"/>
  <c r="J97" i="13" s="1"/>
  <c r="E466" i="20"/>
  <c r="F466" i="20" s="1"/>
  <c r="D467" i="20" s="1"/>
  <c r="F47" i="47"/>
  <c r="G60" i="20"/>
  <c r="G68" i="20" s="1"/>
  <c r="G69" i="20" s="1"/>
  <c r="G65" i="20"/>
  <c r="G66" i="20" s="1"/>
  <c r="E377" i="20"/>
  <c r="F377" i="20" s="1"/>
  <c r="D378" i="20" s="1"/>
  <c r="E199" i="20"/>
  <c r="F199" i="20" s="1"/>
  <c r="D200" i="20" s="1"/>
  <c r="E733" i="20"/>
  <c r="F733" i="20" s="1"/>
  <c r="D734" i="20" s="1"/>
  <c r="F65" i="13"/>
  <c r="F66" i="13" s="1"/>
  <c r="F60" i="13"/>
  <c r="F68" i="13" s="1"/>
  <c r="F69" i="13" s="1"/>
  <c r="F71" i="13" s="1"/>
  <c r="F45" i="50"/>
  <c r="F45" i="49"/>
  <c r="K32" i="47"/>
  <c r="K33" i="47" s="1"/>
  <c r="D36" i="47" s="1"/>
  <c r="H33" i="47"/>
  <c r="K41" i="50"/>
  <c r="D42" i="50" s="1"/>
  <c r="H41" i="50"/>
  <c r="K41" i="49"/>
  <c r="D42" i="49" s="1"/>
  <c r="H41" i="49"/>
  <c r="A92" i="41" l="1"/>
  <c r="G71" i="20"/>
  <c r="A69" i="11"/>
  <c r="A71" i="11" s="1"/>
  <c r="C69" i="11"/>
  <c r="B85" i="2"/>
  <c r="B86" i="2" s="1"/>
  <c r="E93" i="2"/>
  <c r="E378" i="20"/>
  <c r="F378" i="20" s="1"/>
  <c r="D379" i="20" s="1"/>
  <c r="E200" i="20"/>
  <c r="F200" i="20" s="1"/>
  <c r="D201" i="20" s="1"/>
  <c r="E288" i="20"/>
  <c r="F288" i="20" s="1"/>
  <c r="D289" i="20" s="1"/>
  <c r="F46" i="49"/>
  <c r="E467" i="20"/>
  <c r="F467" i="20" s="1"/>
  <c r="D468" i="20" s="1"/>
  <c r="E822" i="20"/>
  <c r="F822" i="20" s="1"/>
  <c r="D823" i="20" s="1"/>
  <c r="E109" i="13"/>
  <c r="F109" i="13" s="1"/>
  <c r="E111" i="20"/>
  <c r="F111" i="20" s="1"/>
  <c r="D112" i="20" s="1"/>
  <c r="K42" i="50"/>
  <c r="D43" i="50" s="1"/>
  <c r="H42" i="50"/>
  <c r="F46" i="50"/>
  <c r="H107" i="13"/>
  <c r="H106" i="13"/>
  <c r="H103" i="13"/>
  <c r="H102" i="13"/>
  <c r="H105" i="13"/>
  <c r="H108" i="13"/>
  <c r="H104" i="13"/>
  <c r="J98" i="13"/>
  <c r="K42" i="49"/>
  <c r="D43" i="49" s="1"/>
  <c r="H42" i="49"/>
  <c r="H36" i="47"/>
  <c r="K36" i="47" s="1"/>
  <c r="E734" i="20"/>
  <c r="F734" i="20" s="1"/>
  <c r="D735" i="20" s="1"/>
  <c r="F48" i="47"/>
  <c r="I810" i="20"/>
  <c r="I98" i="20"/>
  <c r="I454" i="20"/>
  <c r="I543" i="20"/>
  <c r="I187" i="20"/>
  <c r="I365" i="20"/>
  <c r="I632" i="20"/>
  <c r="I721" i="20"/>
  <c r="I276" i="20"/>
  <c r="E644" i="20"/>
  <c r="F644" i="20" s="1"/>
  <c r="D645" i="20" s="1"/>
  <c r="E556" i="20"/>
  <c r="F556" i="20" s="1"/>
  <c r="D557" i="20" s="1"/>
  <c r="B87" i="2" l="1"/>
  <c r="B89" i="2" s="1"/>
  <c r="B90" i="2" s="1"/>
  <c r="E94" i="2"/>
  <c r="E87" i="2"/>
  <c r="A93" i="41"/>
  <c r="A94" i="41" s="1"/>
  <c r="B94" i="41"/>
  <c r="E201" i="20"/>
  <c r="F201" i="20" s="1"/>
  <c r="E823" i="20"/>
  <c r="F823" i="20" s="1"/>
  <c r="D39" i="47"/>
  <c r="I39" i="47"/>
  <c r="D110" i="13"/>
  <c r="G109" i="13"/>
  <c r="H109" i="13" s="1"/>
  <c r="E557" i="20"/>
  <c r="F557" i="20" s="1"/>
  <c r="F47" i="49"/>
  <c r="G644" i="20"/>
  <c r="G637" i="20"/>
  <c r="G642" i="20"/>
  <c r="N624" i="20" s="1"/>
  <c r="G641" i="20"/>
  <c r="G643" i="20"/>
  <c r="G638" i="20"/>
  <c r="G640" i="20"/>
  <c r="I633" i="20"/>
  <c r="G639" i="20"/>
  <c r="G463" i="20"/>
  <c r="G461" i="20"/>
  <c r="G467" i="20"/>
  <c r="N446" i="20" s="1"/>
  <c r="G462" i="20"/>
  <c r="G464" i="20"/>
  <c r="G465" i="20"/>
  <c r="G466" i="20"/>
  <c r="G459" i="20"/>
  <c r="I455" i="20"/>
  <c r="G460" i="20"/>
  <c r="F49" i="47"/>
  <c r="F47" i="50"/>
  <c r="K43" i="50"/>
  <c r="D44" i="50" s="1"/>
  <c r="H43" i="50"/>
  <c r="E468" i="20"/>
  <c r="F468" i="20" s="1"/>
  <c r="G373" i="20"/>
  <c r="G374" i="20"/>
  <c r="G378" i="20"/>
  <c r="G370" i="20"/>
  <c r="G377" i="20"/>
  <c r="G375" i="20"/>
  <c r="N357" i="20" s="1"/>
  <c r="G371" i="20"/>
  <c r="G376" i="20"/>
  <c r="G372" i="20"/>
  <c r="I366" i="20"/>
  <c r="I104" i="13"/>
  <c r="J104" i="13" s="1"/>
  <c r="I105" i="13"/>
  <c r="J105" i="13" s="1"/>
  <c r="I102" i="13"/>
  <c r="I107" i="13"/>
  <c r="J107" i="13" s="1"/>
  <c r="I106" i="13"/>
  <c r="J106" i="13" s="1"/>
  <c r="I103" i="13"/>
  <c r="J103" i="13" s="1"/>
  <c r="I108" i="13"/>
  <c r="J108" i="13" s="1"/>
  <c r="I109" i="13"/>
  <c r="J109" i="13" s="1"/>
  <c r="E112" i="20"/>
  <c r="F112" i="20" s="1"/>
  <c r="E289" i="20"/>
  <c r="F289" i="20" s="1"/>
  <c r="E379" i="20"/>
  <c r="F379" i="20"/>
  <c r="D380" i="20" s="1"/>
  <c r="G726" i="20"/>
  <c r="G727" i="20"/>
  <c r="G730" i="20"/>
  <c r="G731" i="20"/>
  <c r="G734" i="20"/>
  <c r="G728" i="20"/>
  <c r="N713" i="20" s="1"/>
  <c r="G729" i="20"/>
  <c r="G733" i="20"/>
  <c r="G732" i="20"/>
  <c r="I722" i="20"/>
  <c r="G553" i="20"/>
  <c r="I544" i="20"/>
  <c r="G551" i="20"/>
  <c r="G555" i="20"/>
  <c r="N535" i="20" s="1"/>
  <c r="G550" i="20"/>
  <c r="G549" i="20"/>
  <c r="G548" i="20"/>
  <c r="G556" i="20"/>
  <c r="G554" i="20"/>
  <c r="G552" i="20"/>
  <c r="E645" i="20"/>
  <c r="F645" i="20" s="1"/>
  <c r="D646" i="20" s="1"/>
  <c r="G109" i="20"/>
  <c r="I99" i="20"/>
  <c r="G105" i="20"/>
  <c r="G103" i="20"/>
  <c r="G111" i="20"/>
  <c r="G104" i="20"/>
  <c r="G108" i="20"/>
  <c r="G107" i="20"/>
  <c r="G110" i="20"/>
  <c r="G106" i="20"/>
  <c r="E735" i="20"/>
  <c r="F735" i="20" s="1"/>
  <c r="G286" i="20"/>
  <c r="G282" i="20"/>
  <c r="G281" i="20"/>
  <c r="I277" i="20"/>
  <c r="G284" i="20"/>
  <c r="G283" i="20"/>
  <c r="G285" i="20"/>
  <c r="G287" i="20"/>
  <c r="G288" i="20"/>
  <c r="I188" i="20"/>
  <c r="G195" i="20"/>
  <c r="G196" i="20"/>
  <c r="G198" i="20"/>
  <c r="G194" i="20"/>
  <c r="G199" i="20"/>
  <c r="G192" i="20"/>
  <c r="G193" i="20"/>
  <c r="G200" i="20"/>
  <c r="N179" i="20" s="1"/>
  <c r="G197" i="20"/>
  <c r="H820" i="20"/>
  <c r="H816" i="20"/>
  <c r="G815" i="20"/>
  <c r="I811" i="20"/>
  <c r="H815" i="20" s="1"/>
  <c r="G821" i="20"/>
  <c r="G818" i="20"/>
  <c r="H818" i="20"/>
  <c r="G816" i="20"/>
  <c r="H817" i="20"/>
  <c r="H822" i="20"/>
  <c r="G822" i="20"/>
  <c r="G817" i="20"/>
  <c r="H821" i="20"/>
  <c r="I821" i="20" s="1"/>
  <c r="G820" i="20"/>
  <c r="H819" i="20"/>
  <c r="G819" i="20"/>
  <c r="K43" i="49"/>
  <c r="D44" i="49" s="1"/>
  <c r="H43" i="49"/>
  <c r="D113" i="20" l="1"/>
  <c r="G112" i="20"/>
  <c r="D824" i="20"/>
  <c r="E824" i="20" s="1"/>
  <c r="F824" i="20" s="1"/>
  <c r="G823" i="20"/>
  <c r="N802" i="20" s="1"/>
  <c r="H823" i="20"/>
  <c r="D290" i="20"/>
  <c r="E290" i="20" s="1"/>
  <c r="F290" i="20" s="1"/>
  <c r="G289" i="20"/>
  <c r="N268" i="20" s="1"/>
  <c r="D202" i="20"/>
  <c r="E202" i="20" s="1"/>
  <c r="F202" i="20" s="1"/>
  <c r="G201" i="20"/>
  <c r="A95" i="41"/>
  <c r="B95" i="41"/>
  <c r="I818" i="20"/>
  <c r="I819" i="20"/>
  <c r="B91" i="2"/>
  <c r="D736" i="20"/>
  <c r="G735" i="20"/>
  <c r="E646" i="20"/>
  <c r="F646" i="20" s="1"/>
  <c r="H733" i="20"/>
  <c r="I733" i="20" s="1"/>
  <c r="H732" i="20"/>
  <c r="I732" i="20" s="1"/>
  <c r="H730" i="20"/>
  <c r="I730" i="20" s="1"/>
  <c r="H734" i="20"/>
  <c r="I734" i="20" s="1"/>
  <c r="H726" i="20"/>
  <c r="H727" i="20"/>
  <c r="I727" i="20" s="1"/>
  <c r="H735" i="20"/>
  <c r="I735" i="20" s="1"/>
  <c r="H731" i="20"/>
  <c r="I731" i="20" s="1"/>
  <c r="H728" i="20"/>
  <c r="H729" i="20"/>
  <c r="I729" i="20" s="1"/>
  <c r="I817" i="20"/>
  <c r="I816" i="20"/>
  <c r="E380" i="20"/>
  <c r="F380" i="20" s="1"/>
  <c r="E113" i="20"/>
  <c r="F113" i="20" s="1"/>
  <c r="D114" i="20" s="1"/>
  <c r="F48" i="50"/>
  <c r="D558" i="20"/>
  <c r="G557" i="20"/>
  <c r="I815" i="20"/>
  <c r="D469" i="20"/>
  <c r="G468" i="20"/>
  <c r="H642" i="20"/>
  <c r="H643" i="20"/>
  <c r="I643" i="20" s="1"/>
  <c r="H644" i="20"/>
  <c r="I644" i="20" s="1"/>
  <c r="H637" i="20"/>
  <c r="H640" i="20"/>
  <c r="I640" i="20" s="1"/>
  <c r="H639" i="20"/>
  <c r="I639" i="20" s="1"/>
  <c r="H641" i="20"/>
  <c r="I641" i="20" s="1"/>
  <c r="H638" i="20"/>
  <c r="I638" i="20" s="1"/>
  <c r="H645" i="20"/>
  <c r="N803" i="20"/>
  <c r="H192" i="20"/>
  <c r="H195" i="20"/>
  <c r="I195" i="20" s="1"/>
  <c r="H199" i="20"/>
  <c r="I199" i="20" s="1"/>
  <c r="H193" i="20"/>
  <c r="I193" i="20" s="1"/>
  <c r="H201" i="20"/>
  <c r="I201" i="20" s="1"/>
  <c r="H198" i="20"/>
  <c r="I198" i="20" s="1"/>
  <c r="H197" i="20"/>
  <c r="I197" i="20" s="1"/>
  <c r="H194" i="20"/>
  <c r="I194" i="20" s="1"/>
  <c r="H196" i="20"/>
  <c r="I196" i="20" s="1"/>
  <c r="H200" i="20"/>
  <c r="I822" i="20"/>
  <c r="K44" i="49"/>
  <c r="D45" i="49" s="1"/>
  <c r="H44" i="49"/>
  <c r="I820" i="20"/>
  <c r="H284" i="20"/>
  <c r="I284" i="20" s="1"/>
  <c r="H286" i="20"/>
  <c r="I286" i="20" s="1"/>
  <c r="H282" i="20"/>
  <c r="I282" i="20" s="1"/>
  <c r="H288" i="20"/>
  <c r="I288" i="20" s="1"/>
  <c r="H289" i="20"/>
  <c r="H287" i="20"/>
  <c r="I287" i="20" s="1"/>
  <c r="H283" i="20"/>
  <c r="I283" i="20" s="1"/>
  <c r="H285" i="20"/>
  <c r="I285" i="20" s="1"/>
  <c r="H281" i="20"/>
  <c r="J102" i="13"/>
  <c r="G379" i="20"/>
  <c r="G645" i="20"/>
  <c r="H110" i="20"/>
  <c r="I110" i="20" s="1"/>
  <c r="H105" i="20"/>
  <c r="I105" i="20" s="1"/>
  <c r="H112" i="20"/>
  <c r="I112" i="20" s="1"/>
  <c r="H103" i="20"/>
  <c r="H107" i="20"/>
  <c r="I107" i="20" s="1"/>
  <c r="H106" i="20"/>
  <c r="I106" i="20" s="1"/>
  <c r="H111" i="20"/>
  <c r="I111" i="20" s="1"/>
  <c r="H109" i="20"/>
  <c r="I109" i="20" s="1"/>
  <c r="H104" i="20"/>
  <c r="I104" i="20" s="1"/>
  <c r="H108" i="20"/>
  <c r="I108" i="20" s="1"/>
  <c r="H550" i="20"/>
  <c r="I550" i="20" s="1"/>
  <c r="H552" i="20"/>
  <c r="I552" i="20" s="1"/>
  <c r="H554" i="20"/>
  <c r="I554" i="20" s="1"/>
  <c r="H556" i="20"/>
  <c r="I556" i="20" s="1"/>
  <c r="H557" i="20"/>
  <c r="H553" i="20"/>
  <c r="I553" i="20" s="1"/>
  <c r="H549" i="20"/>
  <c r="I549" i="20" s="1"/>
  <c r="H548" i="20"/>
  <c r="H551" i="20"/>
  <c r="I551" i="20" s="1"/>
  <c r="H555" i="20"/>
  <c r="F50" i="47"/>
  <c r="H459" i="20"/>
  <c r="H468" i="20"/>
  <c r="H460" i="20"/>
  <c r="I460" i="20" s="1"/>
  <c r="H464" i="20"/>
  <c r="I464" i="20" s="1"/>
  <c r="H466" i="20"/>
  <c r="I466" i="20" s="1"/>
  <c r="H463" i="20"/>
  <c r="I463" i="20" s="1"/>
  <c r="H462" i="20"/>
  <c r="I462" i="20" s="1"/>
  <c r="H461" i="20"/>
  <c r="I461" i="20" s="1"/>
  <c r="H465" i="20"/>
  <c r="I465" i="20" s="1"/>
  <c r="H467" i="20"/>
  <c r="F48" i="49"/>
  <c r="I40" i="47"/>
  <c r="I41" i="47" s="1"/>
  <c r="I42" i="47" s="1"/>
  <c r="I43" i="47" s="1"/>
  <c r="I44" i="47" s="1"/>
  <c r="I45" i="47" s="1"/>
  <c r="I46" i="47" s="1"/>
  <c r="I47" i="47" s="1"/>
  <c r="I48" i="47" s="1"/>
  <c r="I49" i="47" s="1"/>
  <c r="I50" i="47" s="1"/>
  <c r="K44" i="50"/>
  <c r="D45" i="50" s="1"/>
  <c r="H44" i="50"/>
  <c r="K39" i="47"/>
  <c r="D40" i="47" s="1"/>
  <c r="H39" i="47"/>
  <c r="H372" i="20"/>
  <c r="I372" i="20" s="1"/>
  <c r="H371" i="20"/>
  <c r="I371" i="20" s="1"/>
  <c r="H373" i="20"/>
  <c r="I373" i="20" s="1"/>
  <c r="H376" i="20"/>
  <c r="I376" i="20" s="1"/>
  <c r="H375" i="20"/>
  <c r="H377" i="20"/>
  <c r="I377" i="20" s="1"/>
  <c r="H370" i="20"/>
  <c r="H379" i="20"/>
  <c r="H374" i="20"/>
  <c r="I374" i="20" s="1"/>
  <c r="H378" i="20"/>
  <c r="I378" i="20" s="1"/>
  <c r="E110" i="13"/>
  <c r="F110" i="13" s="1"/>
  <c r="D381" i="20" l="1"/>
  <c r="H380" i="20"/>
  <c r="I557" i="20"/>
  <c r="N804" i="20"/>
  <c r="I823" i="20"/>
  <c r="I379" i="20"/>
  <c r="D647" i="20"/>
  <c r="H646" i="20"/>
  <c r="A97" i="41"/>
  <c r="C64" i="13"/>
  <c r="C64" i="20"/>
  <c r="B92" i="2"/>
  <c r="B93" i="2" s="1"/>
  <c r="B94" i="2" s="1"/>
  <c r="D111" i="13"/>
  <c r="G110" i="13"/>
  <c r="D203" i="20"/>
  <c r="G202" i="20"/>
  <c r="I548" i="20"/>
  <c r="I637" i="20"/>
  <c r="D825" i="20"/>
  <c r="H824" i="20"/>
  <c r="G824" i="20"/>
  <c r="E114" i="20"/>
  <c r="F114" i="20" s="1"/>
  <c r="G114" i="20" s="1"/>
  <c r="E647" i="20"/>
  <c r="F647" i="20" s="1"/>
  <c r="K45" i="50"/>
  <c r="D46" i="50" s="1"/>
  <c r="H45" i="50"/>
  <c r="F49" i="49"/>
  <c r="I468" i="20"/>
  <c r="I459" i="20"/>
  <c r="H113" i="20"/>
  <c r="I645" i="20"/>
  <c r="E469" i="20"/>
  <c r="F469" i="20" s="1"/>
  <c r="G469" i="20" s="1"/>
  <c r="F49" i="50"/>
  <c r="G380" i="20"/>
  <c r="I726" i="20"/>
  <c r="D291" i="20"/>
  <c r="G290" i="20"/>
  <c r="G646" i="20"/>
  <c r="I281" i="20"/>
  <c r="G113" i="20"/>
  <c r="E381" i="20"/>
  <c r="F381" i="20" s="1"/>
  <c r="I370" i="20"/>
  <c r="I555" i="20"/>
  <c r="N536" i="20"/>
  <c r="N537" i="20" s="1"/>
  <c r="I375" i="20"/>
  <c r="N358" i="20"/>
  <c r="N359" i="20" s="1"/>
  <c r="K40" i="47"/>
  <c r="D41" i="47" s="1"/>
  <c r="H40" i="47"/>
  <c r="I53" i="47"/>
  <c r="I55" i="47" s="1"/>
  <c r="I467" i="20"/>
  <c r="N447" i="20"/>
  <c r="N448" i="20" s="1"/>
  <c r="I103" i="20"/>
  <c r="N269" i="20"/>
  <c r="N270" i="20" s="1"/>
  <c r="I289" i="20"/>
  <c r="H290" i="20"/>
  <c r="K45" i="49"/>
  <c r="D46" i="49" s="1"/>
  <c r="H45" i="49"/>
  <c r="H202" i="20"/>
  <c r="I200" i="20"/>
  <c r="N180" i="20"/>
  <c r="N181" i="20" s="1"/>
  <c r="I192" i="20"/>
  <c r="I642" i="20"/>
  <c r="N625" i="20"/>
  <c r="N626" i="20" s="1"/>
  <c r="E558" i="20"/>
  <c r="F558" i="20" s="1"/>
  <c r="I728" i="20"/>
  <c r="N714" i="20"/>
  <c r="N715" i="20" s="1"/>
  <c r="E736" i="20"/>
  <c r="F736" i="20" s="1"/>
  <c r="G736" i="20" s="1"/>
  <c r="I380" i="20" l="1"/>
  <c r="I290" i="20"/>
  <c r="B95" i="2"/>
  <c r="E95" i="2"/>
  <c r="A98" i="41"/>
  <c r="D559" i="20"/>
  <c r="H558" i="20"/>
  <c r="G558" i="20"/>
  <c r="D382" i="20"/>
  <c r="H381" i="20"/>
  <c r="G381" i="20"/>
  <c r="D648" i="20"/>
  <c r="G647" i="20"/>
  <c r="H647" i="20"/>
  <c r="I202" i="20"/>
  <c r="F50" i="50"/>
  <c r="K46" i="50"/>
  <c r="D47" i="50" s="1"/>
  <c r="H46" i="50"/>
  <c r="I824" i="20"/>
  <c r="E203" i="20"/>
  <c r="F203" i="20" s="1"/>
  <c r="E291" i="20"/>
  <c r="F291" i="20" s="1"/>
  <c r="I113" i="20"/>
  <c r="F50" i="49"/>
  <c r="D115" i="20"/>
  <c r="H114" i="20"/>
  <c r="E825" i="20"/>
  <c r="F825" i="20" s="1"/>
  <c r="H110" i="13"/>
  <c r="I110" i="13"/>
  <c r="D470" i="20"/>
  <c r="H469" i="20"/>
  <c r="D737" i="20"/>
  <c r="H736" i="20"/>
  <c r="K46" i="49"/>
  <c r="D47" i="49" s="1"/>
  <c r="H46" i="49"/>
  <c r="K41" i="47"/>
  <c r="D42" i="47" s="1"/>
  <c r="H41" i="47"/>
  <c r="I646" i="20"/>
  <c r="E111" i="13"/>
  <c r="F111" i="13" s="1"/>
  <c r="D112" i="13" s="1"/>
  <c r="A99" i="41" l="1"/>
  <c r="A100" i="41" s="1"/>
  <c r="B100" i="41"/>
  <c r="B98" i="2"/>
  <c r="B99" i="2" s="1"/>
  <c r="C47" i="11"/>
  <c r="D292" i="20"/>
  <c r="G291" i="20"/>
  <c r="H291" i="20"/>
  <c r="D204" i="20"/>
  <c r="G203" i="20"/>
  <c r="H203" i="20"/>
  <c r="D826" i="20"/>
  <c r="G825" i="20"/>
  <c r="H825" i="20"/>
  <c r="E112" i="13"/>
  <c r="F112" i="13" s="1"/>
  <c r="I469" i="20"/>
  <c r="I647" i="20"/>
  <c r="K47" i="49"/>
  <c r="D48" i="49" s="1"/>
  <c r="H47" i="49"/>
  <c r="E470" i="20"/>
  <c r="F470" i="20" s="1"/>
  <c r="E115" i="20"/>
  <c r="F115" i="20" s="1"/>
  <c r="K47" i="50"/>
  <c r="D48" i="50" s="1"/>
  <c r="H47" i="50"/>
  <c r="I381" i="20"/>
  <c r="I114" i="20"/>
  <c r="I736" i="20"/>
  <c r="J110" i="13"/>
  <c r="E648" i="20"/>
  <c r="F648" i="20" s="1"/>
  <c r="E382" i="20"/>
  <c r="F382" i="20" s="1"/>
  <c r="I558" i="20"/>
  <c r="G111" i="13"/>
  <c r="K42" i="47"/>
  <c r="D43" i="47" s="1"/>
  <c r="H42" i="47"/>
  <c r="E737" i="20"/>
  <c r="F737" i="20" s="1"/>
  <c r="E559" i="20"/>
  <c r="F559" i="20" s="1"/>
  <c r="D471" i="20" l="1"/>
  <c r="G470" i="20"/>
  <c r="D383" i="20"/>
  <c r="E383" i="20" s="1"/>
  <c r="F383" i="20" s="1"/>
  <c r="G382" i="20"/>
  <c r="D116" i="20"/>
  <c r="G115" i="20"/>
  <c r="B100" i="2"/>
  <c r="B101" i="2" s="1"/>
  <c r="B102" i="2" s="1"/>
  <c r="B103" i="2" s="1"/>
  <c r="B104" i="2" s="1"/>
  <c r="A101" i="41"/>
  <c r="B103" i="41"/>
  <c r="B101" i="41"/>
  <c r="D560" i="20"/>
  <c r="H559" i="20"/>
  <c r="G559" i="20"/>
  <c r="D738" i="20"/>
  <c r="G737" i="20"/>
  <c r="H737" i="20"/>
  <c r="D649" i="20"/>
  <c r="H648" i="20"/>
  <c r="G648" i="20"/>
  <c r="D113" i="13"/>
  <c r="G112" i="13"/>
  <c r="K48" i="49"/>
  <c r="D49" i="49" s="1"/>
  <c r="H48" i="49"/>
  <c r="I825" i="20"/>
  <c r="E292" i="20"/>
  <c r="F292" i="20" s="1"/>
  <c r="N90" i="20"/>
  <c r="M26" i="20" s="1"/>
  <c r="G27" i="2" s="1"/>
  <c r="L27" i="2" s="1"/>
  <c r="I203" i="20"/>
  <c r="E116" i="20"/>
  <c r="F116" i="20" s="1"/>
  <c r="D117" i="20" s="1"/>
  <c r="E471" i="20"/>
  <c r="F471" i="20" s="1"/>
  <c r="D472" i="20" s="1"/>
  <c r="E204" i="20"/>
  <c r="F204" i="20" s="1"/>
  <c r="D205" i="20" s="1"/>
  <c r="H111" i="13"/>
  <c r="I111" i="13"/>
  <c r="K48" i="50"/>
  <c r="D49" i="50" s="1"/>
  <c r="H48" i="50"/>
  <c r="K43" i="47"/>
  <c r="D44" i="47" s="1"/>
  <c r="H43" i="47"/>
  <c r="H382" i="20"/>
  <c r="H115" i="20"/>
  <c r="H470" i="20"/>
  <c r="E826" i="20"/>
  <c r="F826" i="20" s="1"/>
  <c r="I291" i="20"/>
  <c r="A103" i="41" l="1"/>
  <c r="B104" i="41"/>
  <c r="B106" i="2"/>
  <c r="B108" i="2" s="1"/>
  <c r="B110" i="2" s="1"/>
  <c r="B112" i="2" s="1"/>
  <c r="B113" i="2" s="1"/>
  <c r="E104" i="2"/>
  <c r="D293" i="20"/>
  <c r="H292" i="20"/>
  <c r="G292" i="20"/>
  <c r="D827" i="20"/>
  <c r="G826" i="20"/>
  <c r="H826" i="20"/>
  <c r="D384" i="20"/>
  <c r="G383" i="20"/>
  <c r="H383" i="20"/>
  <c r="E649" i="20"/>
  <c r="F649" i="20" s="1"/>
  <c r="I470" i="20"/>
  <c r="H204" i="20"/>
  <c r="K49" i="49"/>
  <c r="D50" i="49" s="1"/>
  <c r="H49" i="49"/>
  <c r="E113" i="13"/>
  <c r="F113" i="13" s="1"/>
  <c r="K49" i="50"/>
  <c r="D50" i="50" s="1"/>
  <c r="H49" i="50"/>
  <c r="E472" i="20"/>
  <c r="F472" i="20" s="1"/>
  <c r="I115" i="20"/>
  <c r="N91" i="20"/>
  <c r="I737" i="20"/>
  <c r="I559" i="20"/>
  <c r="I382" i="20"/>
  <c r="E205" i="20"/>
  <c r="F205" i="20" s="1"/>
  <c r="D206" i="20" s="1"/>
  <c r="E117" i="20"/>
  <c r="F117" i="20" s="1"/>
  <c r="H112" i="13"/>
  <c r="I112" i="13"/>
  <c r="E738" i="20"/>
  <c r="F738" i="20" s="1"/>
  <c r="K44" i="47"/>
  <c r="D45" i="47" s="1"/>
  <c r="H44" i="47"/>
  <c r="G204" i="20"/>
  <c r="H471" i="20"/>
  <c r="H116" i="20"/>
  <c r="J111" i="13"/>
  <c r="G471" i="20"/>
  <c r="G116" i="20"/>
  <c r="I648" i="20"/>
  <c r="E560" i="20"/>
  <c r="F560" i="20" s="1"/>
  <c r="I471" i="20" l="1"/>
  <c r="D561" i="20"/>
  <c r="E561" i="20" s="1"/>
  <c r="F561" i="20" s="1"/>
  <c r="H560" i="20"/>
  <c r="D739" i="20"/>
  <c r="E739" i="20" s="1"/>
  <c r="F739" i="20" s="1"/>
  <c r="D740" i="20" s="1"/>
  <c r="H738" i="20"/>
  <c r="B114" i="2"/>
  <c r="B115" i="2" s="1"/>
  <c r="B116" i="2" s="1"/>
  <c r="B117" i="2" s="1"/>
  <c r="B118" i="2" s="1"/>
  <c r="B119" i="2" s="1"/>
  <c r="B120" i="2" s="1"/>
  <c r="B121" i="2" s="1"/>
  <c r="E121" i="2"/>
  <c r="J112" i="13"/>
  <c r="A104" i="41"/>
  <c r="E246" i="2"/>
  <c r="D114" i="13"/>
  <c r="G113" i="13"/>
  <c r="D118" i="20"/>
  <c r="G117" i="20"/>
  <c r="H117" i="20"/>
  <c r="I117" i="20" s="1"/>
  <c r="D473" i="20"/>
  <c r="G472" i="20"/>
  <c r="H472" i="20"/>
  <c r="D650" i="20"/>
  <c r="G649" i="20"/>
  <c r="H649" i="20"/>
  <c r="E206" i="20"/>
  <c r="F206" i="20" s="1"/>
  <c r="K50" i="49"/>
  <c r="H50" i="49"/>
  <c r="H51" i="49" s="1"/>
  <c r="E827" i="20"/>
  <c r="F827" i="20" s="1"/>
  <c r="D828" i="20" s="1"/>
  <c r="G560" i="20"/>
  <c r="G738" i="20"/>
  <c r="I738" i="20" s="1"/>
  <c r="E384" i="20"/>
  <c r="F384" i="20" s="1"/>
  <c r="H205" i="20"/>
  <c r="K50" i="50"/>
  <c r="H50" i="50"/>
  <c r="H51" i="50" s="1"/>
  <c r="I204" i="20"/>
  <c r="I826" i="20"/>
  <c r="I292" i="20"/>
  <c r="I116" i="20"/>
  <c r="K45" i="47"/>
  <c r="D46" i="47" s="1"/>
  <c r="H45" i="47"/>
  <c r="G205" i="20"/>
  <c r="N92" i="20"/>
  <c r="N26" i="20"/>
  <c r="O26" i="20" s="1"/>
  <c r="I383" i="20"/>
  <c r="E293" i="20"/>
  <c r="F293" i="20" s="1"/>
  <c r="D294" i="20" s="1"/>
  <c r="I560" i="20" l="1"/>
  <c r="A105" i="41"/>
  <c r="B105" i="41"/>
  <c r="H293" i="20"/>
  <c r="B123" i="2"/>
  <c r="D562" i="20"/>
  <c r="G561" i="20"/>
  <c r="H561" i="20"/>
  <c r="D207" i="20"/>
  <c r="G206" i="20"/>
  <c r="H206" i="20"/>
  <c r="D385" i="20"/>
  <c r="G384" i="20"/>
  <c r="H384" i="20"/>
  <c r="E740" i="20"/>
  <c r="F740" i="20" s="1"/>
  <c r="E828" i="20"/>
  <c r="F828" i="20" s="1"/>
  <c r="I649" i="20"/>
  <c r="E118" i="20"/>
  <c r="F118" i="20" s="1"/>
  <c r="G293" i="20"/>
  <c r="I205" i="20"/>
  <c r="E473" i="20"/>
  <c r="F473" i="20" s="1"/>
  <c r="H113" i="13"/>
  <c r="I113" i="13"/>
  <c r="E294" i="20"/>
  <c r="F294" i="20" s="1"/>
  <c r="H739" i="20"/>
  <c r="H827" i="20"/>
  <c r="E650" i="20"/>
  <c r="F650" i="20" s="1"/>
  <c r="E114" i="13"/>
  <c r="F114" i="13" s="1"/>
  <c r="D115" i="13" s="1"/>
  <c r="K46" i="47"/>
  <c r="D47" i="47" s="1"/>
  <c r="H46" i="47"/>
  <c r="G739" i="20"/>
  <c r="G827" i="20"/>
  <c r="I472" i="20"/>
  <c r="I293" i="20" l="1"/>
  <c r="D119" i="20"/>
  <c r="G118" i="20"/>
  <c r="D299" i="2"/>
  <c r="B125" i="2"/>
  <c r="D125" i="2"/>
  <c r="D651" i="20"/>
  <c r="H650" i="20"/>
  <c r="G650" i="20"/>
  <c r="D741" i="20"/>
  <c r="G740" i="20"/>
  <c r="H740" i="20"/>
  <c r="D829" i="20"/>
  <c r="G828" i="20"/>
  <c r="H828" i="20"/>
  <c r="D474" i="20"/>
  <c r="H473" i="20"/>
  <c r="G473" i="20"/>
  <c r="D295" i="20"/>
  <c r="G294" i="20"/>
  <c r="H294" i="20"/>
  <c r="I739" i="20"/>
  <c r="J113" i="13"/>
  <c r="E119" i="20"/>
  <c r="F119" i="20" s="1"/>
  <c r="E385" i="20"/>
  <c r="F385" i="20" s="1"/>
  <c r="D386" i="20" s="1"/>
  <c r="I561" i="20"/>
  <c r="E207" i="20"/>
  <c r="F207" i="20" s="1"/>
  <c r="I206" i="20"/>
  <c r="E115" i="13"/>
  <c r="F115" i="13" s="1"/>
  <c r="G114" i="13"/>
  <c r="K47" i="47"/>
  <c r="D48" i="47" s="1"/>
  <c r="H47" i="47"/>
  <c r="I827" i="20"/>
  <c r="H118" i="20"/>
  <c r="I384" i="20"/>
  <c r="E562" i="20"/>
  <c r="F562" i="20" s="1"/>
  <c r="I118" i="20" l="1"/>
  <c r="D208" i="20"/>
  <c r="E208" i="20" s="1"/>
  <c r="F208" i="20" s="1"/>
  <c r="G207" i="20"/>
  <c r="I294" i="20"/>
  <c r="C28" i="13"/>
  <c r="C28" i="20"/>
  <c r="B140" i="2"/>
  <c r="D120" i="20"/>
  <c r="G119" i="20"/>
  <c r="H119" i="20"/>
  <c r="D116" i="13"/>
  <c r="G115" i="13"/>
  <c r="D563" i="20"/>
  <c r="G562" i="20"/>
  <c r="H562" i="20"/>
  <c r="I562" i="20" s="1"/>
  <c r="H385" i="20"/>
  <c r="I473" i="20"/>
  <c r="E829" i="20"/>
  <c r="F829" i="20" s="1"/>
  <c r="K48" i="47"/>
  <c r="D49" i="47" s="1"/>
  <c r="H48" i="47"/>
  <c r="G385" i="20"/>
  <c r="E474" i="20"/>
  <c r="F474" i="20" s="1"/>
  <c r="D475" i="20" s="1"/>
  <c r="I740" i="20"/>
  <c r="I650" i="20"/>
  <c r="E386" i="20"/>
  <c r="F386" i="20" s="1"/>
  <c r="E741" i="20"/>
  <c r="F741" i="20"/>
  <c r="D742" i="20" s="1"/>
  <c r="H114" i="13"/>
  <c r="I114" i="13"/>
  <c r="H207" i="20"/>
  <c r="E295" i="20"/>
  <c r="F295" i="20"/>
  <c r="D296" i="20" s="1"/>
  <c r="I828" i="20"/>
  <c r="E651" i="20"/>
  <c r="F651" i="20" s="1"/>
  <c r="G741" i="20" l="1"/>
  <c r="D209" i="20"/>
  <c r="G208" i="20"/>
  <c r="D652" i="20"/>
  <c r="E652" i="20" s="1"/>
  <c r="F652" i="20" s="1"/>
  <c r="G651" i="20"/>
  <c r="H295" i="20"/>
  <c r="G295" i="20"/>
  <c r="J114" i="13"/>
  <c r="I119" i="20"/>
  <c r="B141" i="2"/>
  <c r="B142" i="2" s="1"/>
  <c r="B143" i="2" s="1"/>
  <c r="B144" i="2" s="1"/>
  <c r="D830" i="20"/>
  <c r="G829" i="20"/>
  <c r="H829" i="20"/>
  <c r="D387" i="20"/>
  <c r="H386" i="20"/>
  <c r="G386" i="20"/>
  <c r="E475" i="20"/>
  <c r="F475" i="20"/>
  <c r="D476" i="20" s="1"/>
  <c r="E116" i="13"/>
  <c r="F116" i="13" s="1"/>
  <c r="E209" i="20"/>
  <c r="F209" i="20" s="1"/>
  <c r="K49" i="47"/>
  <c r="D50" i="47" s="1"/>
  <c r="H49" i="47"/>
  <c r="E296" i="20"/>
  <c r="F296" i="20" s="1"/>
  <c r="H474" i="20"/>
  <c r="I474" i="20" s="1"/>
  <c r="E563" i="20"/>
  <c r="F563" i="20" s="1"/>
  <c r="I207" i="20"/>
  <c r="E742" i="20"/>
  <c r="F742" i="20" s="1"/>
  <c r="H651" i="20"/>
  <c r="I651" i="20" s="1"/>
  <c r="H741" i="20"/>
  <c r="I741" i="20" s="1"/>
  <c r="G474" i="20"/>
  <c r="H208" i="20"/>
  <c r="I208" i="20" s="1"/>
  <c r="I385" i="20"/>
  <c r="H115" i="13"/>
  <c r="I115" i="13"/>
  <c r="E120" i="20"/>
  <c r="F120" i="20" s="1"/>
  <c r="J115" i="13" l="1"/>
  <c r="D210" i="20"/>
  <c r="G209" i="20"/>
  <c r="B145" i="2"/>
  <c r="B146" i="2" s="1"/>
  <c r="I829" i="20"/>
  <c r="E145" i="2"/>
  <c r="I295" i="20"/>
  <c r="D743" i="20"/>
  <c r="G742" i="20"/>
  <c r="H742" i="20"/>
  <c r="D297" i="20"/>
  <c r="G296" i="20"/>
  <c r="H296" i="20"/>
  <c r="D121" i="20"/>
  <c r="G120" i="20"/>
  <c r="H120" i="20"/>
  <c r="D653" i="20"/>
  <c r="G652" i="20"/>
  <c r="H652" i="20"/>
  <c r="D564" i="20"/>
  <c r="H563" i="20"/>
  <c r="G563" i="20"/>
  <c r="D117" i="13"/>
  <c r="G116" i="13"/>
  <c r="E387" i="20"/>
  <c r="F387" i="20" s="1"/>
  <c r="E210" i="20"/>
  <c r="F210" i="20" s="1"/>
  <c r="D211" i="20" s="1"/>
  <c r="K50" i="47"/>
  <c r="H50" i="47"/>
  <c r="H51" i="47" s="1"/>
  <c r="H475" i="20"/>
  <c r="E476" i="20"/>
  <c r="F476" i="20" s="1"/>
  <c r="H209" i="20"/>
  <c r="I209" i="20" s="1"/>
  <c r="G475" i="20"/>
  <c r="I386" i="20"/>
  <c r="E830" i="20"/>
  <c r="F830" i="20" s="1"/>
  <c r="D831" i="20" s="1"/>
  <c r="I742" i="20" l="1"/>
  <c r="G210" i="20"/>
  <c r="E44" i="2"/>
  <c r="B147" i="2"/>
  <c r="B148" i="2" s="1"/>
  <c r="D294" i="2"/>
  <c r="I475" i="20"/>
  <c r="I652" i="20"/>
  <c r="E149" i="2"/>
  <c r="I563" i="20"/>
  <c r="I296" i="20"/>
  <c r="D388" i="20"/>
  <c r="H387" i="20"/>
  <c r="G387" i="20"/>
  <c r="D477" i="20"/>
  <c r="H476" i="20"/>
  <c r="G476" i="20"/>
  <c r="E297" i="20"/>
  <c r="F297" i="20" s="1"/>
  <c r="D298" i="20" s="1"/>
  <c r="E121" i="20"/>
  <c r="F121" i="20"/>
  <c r="D122" i="20" s="1"/>
  <c r="E117" i="13"/>
  <c r="F117" i="13" s="1"/>
  <c r="D118" i="13" s="1"/>
  <c r="H830" i="20"/>
  <c r="E211" i="20"/>
  <c r="F211" i="20"/>
  <c r="D212" i="20" s="1"/>
  <c r="E653" i="20"/>
  <c r="F653" i="20" s="1"/>
  <c r="D654" i="20" s="1"/>
  <c r="E831" i="20"/>
  <c r="F831" i="20" s="1"/>
  <c r="G830" i="20"/>
  <c r="H210" i="20"/>
  <c r="I210" i="20" s="1"/>
  <c r="H116" i="13"/>
  <c r="I116" i="13"/>
  <c r="E564" i="20"/>
  <c r="F564" i="20" s="1"/>
  <c r="D565" i="20" s="1"/>
  <c r="I120" i="20"/>
  <c r="E743" i="20"/>
  <c r="F743" i="20" s="1"/>
  <c r="D744" i="20" s="1"/>
  <c r="J116" i="13" l="1"/>
  <c r="B149" i="2"/>
  <c r="D296" i="2"/>
  <c r="D832" i="20"/>
  <c r="H831" i="20"/>
  <c r="G831" i="20"/>
  <c r="E654" i="20"/>
  <c r="F654" i="20" s="1"/>
  <c r="E298" i="20"/>
  <c r="F298" i="20" s="1"/>
  <c r="H743" i="20"/>
  <c r="E565" i="20"/>
  <c r="F565" i="20"/>
  <c r="D566" i="20" s="1"/>
  <c r="E118" i="13"/>
  <c r="F118" i="13" s="1"/>
  <c r="G743" i="20"/>
  <c r="H564" i="20"/>
  <c r="I830" i="20"/>
  <c r="H121" i="20"/>
  <c r="H297" i="20"/>
  <c r="I387" i="20"/>
  <c r="E744" i="20"/>
  <c r="F744" i="20" s="1"/>
  <c r="E212" i="20"/>
  <c r="F212" i="20" s="1"/>
  <c r="E122" i="20"/>
  <c r="F122" i="20" s="1"/>
  <c r="E477" i="20"/>
  <c r="F477" i="20"/>
  <c r="D478" i="20" s="1"/>
  <c r="H653" i="20"/>
  <c r="H211" i="20"/>
  <c r="G564" i="20"/>
  <c r="G653" i="20"/>
  <c r="G211" i="20"/>
  <c r="G117" i="13"/>
  <c r="G121" i="20"/>
  <c r="G297" i="20"/>
  <c r="I476" i="20"/>
  <c r="E388" i="20"/>
  <c r="F388" i="20" s="1"/>
  <c r="D389" i="20" s="1"/>
  <c r="I653" i="20" l="1"/>
  <c r="I211" i="20"/>
  <c r="I297" i="20"/>
  <c r="D123" i="20"/>
  <c r="E123" i="20" s="1"/>
  <c r="F123" i="20" s="1"/>
  <c r="D124" i="20" s="1"/>
  <c r="G122" i="20"/>
  <c r="H565" i="20"/>
  <c r="G477" i="20"/>
  <c r="G565" i="20"/>
  <c r="B151" i="2"/>
  <c r="E113" i="2"/>
  <c r="D293" i="2"/>
  <c r="D655" i="20"/>
  <c r="G654" i="20"/>
  <c r="H654" i="20"/>
  <c r="D213" i="20"/>
  <c r="H212" i="20"/>
  <c r="G212" i="20"/>
  <c r="D119" i="13"/>
  <c r="G118" i="13"/>
  <c r="D745" i="20"/>
  <c r="H744" i="20"/>
  <c r="G744" i="20"/>
  <c r="D299" i="20"/>
  <c r="G298" i="20"/>
  <c r="H298" i="20"/>
  <c r="E389" i="20"/>
  <c r="F389" i="20" s="1"/>
  <c r="D390" i="20" s="1"/>
  <c r="I743" i="20"/>
  <c r="E478" i="20"/>
  <c r="F478" i="20" s="1"/>
  <c r="I121" i="20"/>
  <c r="E566" i="20"/>
  <c r="F566" i="20" s="1"/>
  <c r="I831" i="20"/>
  <c r="H117" i="13"/>
  <c r="I117" i="13"/>
  <c r="H388" i="20"/>
  <c r="G388" i="20"/>
  <c r="H477" i="20"/>
  <c r="H122" i="20"/>
  <c r="I564" i="20"/>
  <c r="E832" i="20"/>
  <c r="F832" i="20" s="1"/>
  <c r="I122" i="20" l="1"/>
  <c r="I654" i="20"/>
  <c r="I565" i="20"/>
  <c r="I477" i="20"/>
  <c r="D567" i="20"/>
  <c r="H566" i="20"/>
  <c r="I298" i="20"/>
  <c r="I388" i="20"/>
  <c r="B152" i="2"/>
  <c r="D479" i="20"/>
  <c r="G478" i="20"/>
  <c r="H478" i="20"/>
  <c r="D833" i="20"/>
  <c r="G832" i="20"/>
  <c r="H832" i="20"/>
  <c r="I832" i="20" s="1"/>
  <c r="E124" i="20"/>
  <c r="F124" i="20" s="1"/>
  <c r="D125" i="20" s="1"/>
  <c r="E299" i="20"/>
  <c r="F299" i="20" s="1"/>
  <c r="D300" i="20" s="1"/>
  <c r="E213" i="20"/>
  <c r="F213" i="20" s="1"/>
  <c r="J117" i="13"/>
  <c r="G566" i="20"/>
  <c r="I566" i="20" s="1"/>
  <c r="H123" i="20"/>
  <c r="E119" i="13"/>
  <c r="F119" i="13" s="1"/>
  <c r="E390" i="20"/>
  <c r="F390" i="20" s="1"/>
  <c r="I744" i="20"/>
  <c r="H118" i="13"/>
  <c r="I118" i="13"/>
  <c r="E567" i="20"/>
  <c r="F567" i="20"/>
  <c r="D568" i="20" s="1"/>
  <c r="G123" i="20"/>
  <c r="H389" i="20"/>
  <c r="G389" i="20"/>
  <c r="E745" i="20"/>
  <c r="F745" i="20" s="1"/>
  <c r="I212" i="20"/>
  <c r="E655" i="20"/>
  <c r="F655" i="20" s="1"/>
  <c r="H567" i="20" l="1"/>
  <c r="J118" i="13"/>
  <c r="D120" i="13"/>
  <c r="E120" i="13" s="1"/>
  <c r="F120" i="13" s="1"/>
  <c r="D121" i="13" s="1"/>
  <c r="G119" i="13"/>
  <c r="I119" i="13" s="1"/>
  <c r="D656" i="20"/>
  <c r="E656" i="20" s="1"/>
  <c r="F656" i="20" s="1"/>
  <c r="D657" i="20" s="1"/>
  <c r="H655" i="20"/>
  <c r="G655" i="20"/>
  <c r="G567" i="20"/>
  <c r="I567" i="20" s="1"/>
  <c r="I478" i="20"/>
  <c r="B153" i="2"/>
  <c r="B154" i="2" s="1"/>
  <c r="B155" i="2" s="1"/>
  <c r="B156" i="2" s="1"/>
  <c r="B157" i="2" s="1"/>
  <c r="B158" i="2" s="1"/>
  <c r="E160" i="2"/>
  <c r="D214" i="20"/>
  <c r="G213" i="20"/>
  <c r="H213" i="20"/>
  <c r="D391" i="20"/>
  <c r="H390" i="20"/>
  <c r="G390" i="20"/>
  <c r="D746" i="20"/>
  <c r="G745" i="20"/>
  <c r="H745" i="20"/>
  <c r="E300" i="20"/>
  <c r="F300" i="20" s="1"/>
  <c r="D301" i="20" s="1"/>
  <c r="H299" i="20"/>
  <c r="H124" i="20"/>
  <c r="E125" i="20"/>
  <c r="F125" i="20" s="1"/>
  <c r="D126" i="20" s="1"/>
  <c r="E568" i="20"/>
  <c r="F568" i="20" s="1"/>
  <c r="I123" i="20"/>
  <c r="G299" i="20"/>
  <c r="G124" i="20"/>
  <c r="E833" i="20"/>
  <c r="F833" i="20" s="1"/>
  <c r="D834" i="20" s="1"/>
  <c r="I389" i="20"/>
  <c r="E479" i="20"/>
  <c r="F479" i="20" s="1"/>
  <c r="D480" i="20" s="1"/>
  <c r="H119" i="13" l="1"/>
  <c r="G125" i="20"/>
  <c r="I655" i="20"/>
  <c r="G479" i="20"/>
  <c r="H125" i="20"/>
  <c r="I124" i="20"/>
  <c r="G120" i="13"/>
  <c r="H120" i="13" s="1"/>
  <c r="H479" i="20"/>
  <c r="J119" i="13"/>
  <c r="I213" i="20"/>
  <c r="B159" i="2"/>
  <c r="E159" i="2"/>
  <c r="D569" i="20"/>
  <c r="G568" i="20"/>
  <c r="H568" i="20"/>
  <c r="I568" i="20" s="1"/>
  <c r="E834" i="20"/>
  <c r="F834" i="20" s="1"/>
  <c r="G833" i="20"/>
  <c r="I299" i="20"/>
  <c r="H300" i="20"/>
  <c r="E746" i="20"/>
  <c r="F746" i="20" s="1"/>
  <c r="H833" i="20"/>
  <c r="E126" i="20"/>
  <c r="F126" i="20" s="1"/>
  <c r="D127" i="20" s="1"/>
  <c r="E121" i="13"/>
  <c r="F121" i="13" s="1"/>
  <c r="G300" i="20"/>
  <c r="E657" i="20"/>
  <c r="F657" i="20" s="1"/>
  <c r="E301" i="20"/>
  <c r="F301" i="20"/>
  <c r="D302" i="20" s="1"/>
  <c r="E391" i="20"/>
  <c r="F391" i="20" s="1"/>
  <c r="H656" i="20"/>
  <c r="E480" i="20"/>
  <c r="F480" i="20" s="1"/>
  <c r="G656" i="20"/>
  <c r="I745" i="20"/>
  <c r="I390" i="20"/>
  <c r="E214" i="20"/>
  <c r="F214" i="20" s="1"/>
  <c r="I120" i="13" l="1"/>
  <c r="I125" i="20"/>
  <c r="D747" i="20"/>
  <c r="E747" i="20" s="1"/>
  <c r="F747" i="20" s="1"/>
  <c r="D748" i="20" s="1"/>
  <c r="G746" i="20"/>
  <c r="I479" i="20"/>
  <c r="D215" i="20"/>
  <c r="G214" i="20"/>
  <c r="D658" i="20"/>
  <c r="E658" i="20" s="1"/>
  <c r="F658" i="20" s="1"/>
  <c r="D659" i="20" s="1"/>
  <c r="G657" i="20"/>
  <c r="B160" i="2"/>
  <c r="B161" i="2" s="1"/>
  <c r="B162" i="2" s="1"/>
  <c r="B163" i="2" s="1"/>
  <c r="B164" i="2" s="1"/>
  <c r="B165" i="2" s="1"/>
  <c r="G301" i="20"/>
  <c r="G126" i="20"/>
  <c r="H746" i="20"/>
  <c r="I300" i="20"/>
  <c r="D392" i="20"/>
  <c r="H391" i="20"/>
  <c r="G391" i="20"/>
  <c r="D481" i="20"/>
  <c r="G480" i="20"/>
  <c r="H480" i="20"/>
  <c r="D835" i="20"/>
  <c r="G834" i="20"/>
  <c r="H834" i="20"/>
  <c r="D122" i="13"/>
  <c r="G121" i="13"/>
  <c r="E302" i="20"/>
  <c r="F302" i="20" s="1"/>
  <c r="D303" i="20" s="1"/>
  <c r="E127" i="20"/>
  <c r="F127" i="20" s="1"/>
  <c r="D128" i="20" s="1"/>
  <c r="I656" i="20"/>
  <c r="E215" i="20"/>
  <c r="F215" i="20" s="1"/>
  <c r="H214" i="20"/>
  <c r="H301" i="20"/>
  <c r="H657" i="20"/>
  <c r="I657" i="20" s="1"/>
  <c r="H126" i="20"/>
  <c r="I833" i="20"/>
  <c r="J120" i="13"/>
  <c r="E569" i="20"/>
  <c r="F569" i="20" s="1"/>
  <c r="D570" i="20" s="1"/>
  <c r="I480" i="20" l="1"/>
  <c r="I301" i="20"/>
  <c r="I214" i="20"/>
  <c r="I126" i="20"/>
  <c r="I746" i="20"/>
  <c r="H747" i="20"/>
  <c r="B167" i="2"/>
  <c r="D297" i="2"/>
  <c r="E167" i="2"/>
  <c r="E165" i="2"/>
  <c r="D216" i="20"/>
  <c r="H215" i="20"/>
  <c r="G215" i="20"/>
  <c r="E659" i="20"/>
  <c r="F659" i="20" s="1"/>
  <c r="E481" i="20"/>
  <c r="F481" i="20"/>
  <c r="D482" i="20" s="1"/>
  <c r="G747" i="20"/>
  <c r="H127" i="20"/>
  <c r="H658" i="20"/>
  <c r="I658" i="20" s="1"/>
  <c r="H302" i="20"/>
  <c r="H121" i="13"/>
  <c r="I121" i="13"/>
  <c r="E835" i="20"/>
  <c r="F835" i="20" s="1"/>
  <c r="D836" i="20" s="1"/>
  <c r="E570" i="20"/>
  <c r="F570" i="20" s="1"/>
  <c r="D571" i="20" s="1"/>
  <c r="E128" i="20"/>
  <c r="F128" i="20" s="1"/>
  <c r="D129" i="20" s="1"/>
  <c r="H569" i="20"/>
  <c r="E748" i="20"/>
  <c r="F748" i="20" s="1"/>
  <c r="D749" i="20" s="1"/>
  <c r="G127" i="20"/>
  <c r="G658" i="20"/>
  <c r="G302" i="20"/>
  <c r="E122" i="13"/>
  <c r="F122" i="13" s="1"/>
  <c r="D123" i="13" s="1"/>
  <c r="I391" i="20"/>
  <c r="E303" i="20"/>
  <c r="F303" i="20" s="1"/>
  <c r="G569" i="20"/>
  <c r="I834" i="20"/>
  <c r="E392" i="20"/>
  <c r="F392" i="20" s="1"/>
  <c r="D660" i="20" l="1"/>
  <c r="G659" i="20"/>
  <c r="I747" i="20"/>
  <c r="G481" i="20"/>
  <c r="J121" i="13"/>
  <c r="B168" i="2"/>
  <c r="E169" i="2"/>
  <c r="I302" i="20"/>
  <c r="H481" i="20"/>
  <c r="H659" i="20"/>
  <c r="I659" i="20" s="1"/>
  <c r="D304" i="20"/>
  <c r="G303" i="20"/>
  <c r="H303" i="20"/>
  <c r="D393" i="20"/>
  <c r="G392" i="20"/>
  <c r="H392" i="20"/>
  <c r="E129" i="20"/>
  <c r="F129" i="20" s="1"/>
  <c r="D130" i="20" s="1"/>
  <c r="H748" i="20"/>
  <c r="I569" i="20"/>
  <c r="E123" i="13"/>
  <c r="F123" i="13" s="1"/>
  <c r="H128" i="20"/>
  <c r="I127" i="20"/>
  <c r="E482" i="20"/>
  <c r="F482" i="20" s="1"/>
  <c r="E660" i="20"/>
  <c r="F660" i="20" s="1"/>
  <c r="I215" i="20"/>
  <c r="E749" i="20"/>
  <c r="F749" i="20" s="1"/>
  <c r="D750" i="20" s="1"/>
  <c r="E571" i="20"/>
  <c r="F571" i="20" s="1"/>
  <c r="D572" i="20" s="1"/>
  <c r="E836" i="20"/>
  <c r="F836" i="20" s="1"/>
  <c r="D837" i="20" s="1"/>
  <c r="G748" i="20"/>
  <c r="H570" i="20"/>
  <c r="H835" i="20"/>
  <c r="G122" i="13"/>
  <c r="G128" i="20"/>
  <c r="G570" i="20"/>
  <c r="G835" i="20"/>
  <c r="E216" i="20"/>
  <c r="F216" i="20" s="1"/>
  <c r="I481" i="20" l="1"/>
  <c r="I303" i="20"/>
  <c r="D661" i="20"/>
  <c r="G660" i="20"/>
  <c r="I392" i="20"/>
  <c r="I128" i="20"/>
  <c r="C48" i="20"/>
  <c r="E30" i="2"/>
  <c r="D310" i="2"/>
  <c r="B169" i="2"/>
  <c r="D312" i="2"/>
  <c r="C48" i="13"/>
  <c r="D307" i="2"/>
  <c r="D217" i="20"/>
  <c r="H216" i="20"/>
  <c r="G216" i="20"/>
  <c r="D124" i="13"/>
  <c r="G123" i="13"/>
  <c r="D483" i="20"/>
  <c r="H482" i="20"/>
  <c r="G482" i="20"/>
  <c r="E837" i="20"/>
  <c r="F837" i="20" s="1"/>
  <c r="E130" i="20"/>
  <c r="F130" i="20" s="1"/>
  <c r="E661" i="20"/>
  <c r="F661" i="20" s="1"/>
  <c r="I748" i="20"/>
  <c r="E750" i="20"/>
  <c r="F750" i="20" s="1"/>
  <c r="H129" i="20"/>
  <c r="I570" i="20"/>
  <c r="E572" i="20"/>
  <c r="F572" i="20" s="1"/>
  <c r="E393" i="20"/>
  <c r="F393" i="20" s="1"/>
  <c r="H122" i="13"/>
  <c r="I122" i="13"/>
  <c r="H836" i="20"/>
  <c r="H571" i="20"/>
  <c r="H749" i="20"/>
  <c r="I835" i="20"/>
  <c r="G836" i="20"/>
  <c r="G571" i="20"/>
  <c r="G749" i="20"/>
  <c r="H660" i="20"/>
  <c r="I660" i="20" s="1"/>
  <c r="G129" i="20"/>
  <c r="E304" i="20"/>
  <c r="F304" i="20" s="1"/>
  <c r="D305" i="20" s="1"/>
  <c r="D838" i="20" l="1"/>
  <c r="G837" i="20"/>
  <c r="H837" i="20"/>
  <c r="I837" i="20" s="1"/>
  <c r="D131" i="20"/>
  <c r="E131" i="20" s="1"/>
  <c r="F131" i="20" s="1"/>
  <c r="H130" i="20"/>
  <c r="G130" i="20"/>
  <c r="B171" i="2"/>
  <c r="B172" i="2" s="1"/>
  <c r="D394" i="20"/>
  <c r="G393" i="20"/>
  <c r="H393" i="20"/>
  <c r="I393" i="20" s="1"/>
  <c r="D751" i="20"/>
  <c r="H750" i="20"/>
  <c r="G750" i="20"/>
  <c r="D573" i="20"/>
  <c r="G572" i="20"/>
  <c r="H572" i="20"/>
  <c r="D662" i="20"/>
  <c r="G661" i="20"/>
  <c r="H661" i="20"/>
  <c r="I749" i="20"/>
  <c r="I571" i="20"/>
  <c r="I482" i="20"/>
  <c r="E305" i="20"/>
  <c r="F305" i="20" s="1"/>
  <c r="E124" i="13"/>
  <c r="F124" i="13" s="1"/>
  <c r="E838" i="20"/>
  <c r="F838" i="20" s="1"/>
  <c r="E483" i="20"/>
  <c r="F483" i="20" s="1"/>
  <c r="D484" i="20" s="1"/>
  <c r="I216" i="20"/>
  <c r="H304" i="20"/>
  <c r="I836" i="20"/>
  <c r="I129" i="20"/>
  <c r="G304" i="20"/>
  <c r="J122" i="13"/>
  <c r="H123" i="13"/>
  <c r="I123" i="13"/>
  <c r="J123" i="13" s="1"/>
  <c r="E217" i="20"/>
  <c r="F217" i="20" s="1"/>
  <c r="I661" i="20" l="1"/>
  <c r="B173" i="2"/>
  <c r="B174" i="2" s="1"/>
  <c r="I130" i="20"/>
  <c r="D839" i="20"/>
  <c r="H838" i="20"/>
  <c r="G838" i="20"/>
  <c r="D218" i="20"/>
  <c r="G217" i="20"/>
  <c r="H217" i="20"/>
  <c r="D132" i="20"/>
  <c r="G131" i="20"/>
  <c r="H131" i="20"/>
  <c r="D125" i="13"/>
  <c r="G124" i="13"/>
  <c r="D306" i="20"/>
  <c r="G305" i="20"/>
  <c r="H305" i="20"/>
  <c r="E751" i="20"/>
  <c r="F751" i="20" s="1"/>
  <c r="D752" i="20" s="1"/>
  <c r="E573" i="20"/>
  <c r="F573" i="20" s="1"/>
  <c r="G483" i="20"/>
  <c r="E662" i="20"/>
  <c r="F662" i="20" s="1"/>
  <c r="D663" i="20" s="1"/>
  <c r="E484" i="20"/>
  <c r="F484" i="20" s="1"/>
  <c r="H483" i="20"/>
  <c r="I304" i="20"/>
  <c r="I572" i="20"/>
  <c r="I750" i="20"/>
  <c r="E394" i="20"/>
  <c r="F394" i="20" s="1"/>
  <c r="D395" i="20" s="1"/>
  <c r="I483" i="20" l="1"/>
  <c r="I305" i="20"/>
  <c r="I217" i="20"/>
  <c r="C59" i="13"/>
  <c r="C59" i="20"/>
  <c r="B175" i="2"/>
  <c r="B176" i="2" s="1"/>
  <c r="B177" i="2" s="1"/>
  <c r="C76" i="13"/>
  <c r="C76" i="20"/>
  <c r="E34" i="2"/>
  <c r="D485" i="20"/>
  <c r="H484" i="20"/>
  <c r="G484" i="20"/>
  <c r="D574" i="20"/>
  <c r="G573" i="20"/>
  <c r="H573" i="20"/>
  <c r="I573" i="20" s="1"/>
  <c r="E395" i="20"/>
  <c r="F395" i="20" s="1"/>
  <c r="E663" i="20"/>
  <c r="F663" i="20" s="1"/>
  <c r="D664" i="20" s="1"/>
  <c r="E752" i="20"/>
  <c r="F752" i="20"/>
  <c r="D753" i="20" s="1"/>
  <c r="E306" i="20"/>
  <c r="F306" i="20" s="1"/>
  <c r="D307" i="20" s="1"/>
  <c r="E218" i="20"/>
  <c r="F218" i="20"/>
  <c r="D219" i="20" s="1"/>
  <c r="H124" i="13"/>
  <c r="I124" i="13"/>
  <c r="E132" i="20"/>
  <c r="F132" i="20" s="1"/>
  <c r="G394" i="20"/>
  <c r="E125" i="13"/>
  <c r="F125" i="13" s="1"/>
  <c r="I838" i="20"/>
  <c r="H394" i="20"/>
  <c r="H662" i="20"/>
  <c r="G662" i="20"/>
  <c r="H751" i="20"/>
  <c r="G751" i="20"/>
  <c r="I131" i="20"/>
  <c r="E839" i="20"/>
  <c r="F839" i="20" s="1"/>
  <c r="J124" i="13" l="1"/>
  <c r="B179" i="2"/>
  <c r="B180" i="2" s="1"/>
  <c r="B181" i="2" s="1"/>
  <c r="I394" i="20"/>
  <c r="E177" i="2"/>
  <c r="D840" i="20"/>
  <c r="H839" i="20"/>
  <c r="G839" i="20"/>
  <c r="D126" i="13"/>
  <c r="G125" i="13"/>
  <c r="D396" i="20"/>
  <c r="G395" i="20"/>
  <c r="H395" i="20"/>
  <c r="I395" i="20" s="1"/>
  <c r="D133" i="20"/>
  <c r="G132" i="20"/>
  <c r="H132" i="20"/>
  <c r="E219" i="20"/>
  <c r="F219" i="20" s="1"/>
  <c r="E753" i="20"/>
  <c r="F753" i="20" s="1"/>
  <c r="H306" i="20"/>
  <c r="H752" i="20"/>
  <c r="H663" i="20"/>
  <c r="I484" i="20"/>
  <c r="E307" i="20"/>
  <c r="F307" i="20" s="1"/>
  <c r="E664" i="20"/>
  <c r="F664" i="20" s="1"/>
  <c r="E574" i="20"/>
  <c r="F574" i="20" s="1"/>
  <c r="I662" i="20"/>
  <c r="H218" i="20"/>
  <c r="I751" i="20"/>
  <c r="G218" i="20"/>
  <c r="G306" i="20"/>
  <c r="G752" i="20"/>
  <c r="G663" i="20"/>
  <c r="E485" i="20"/>
  <c r="F485" i="20" s="1"/>
  <c r="I132" i="20" l="1"/>
  <c r="B182" i="2"/>
  <c r="B183" i="2" s="1"/>
  <c r="B184" i="2" s="1"/>
  <c r="B185" i="2" s="1"/>
  <c r="B186" i="2" s="1"/>
  <c r="D575" i="20"/>
  <c r="H574" i="20"/>
  <c r="G574" i="20"/>
  <c r="D486" i="20"/>
  <c r="G485" i="20"/>
  <c r="H485" i="20"/>
  <c r="D220" i="20"/>
  <c r="G219" i="20"/>
  <c r="H219" i="20"/>
  <c r="D665" i="20"/>
  <c r="G664" i="20"/>
  <c r="H664" i="20"/>
  <c r="D308" i="20"/>
  <c r="G307" i="20"/>
  <c r="H307" i="20"/>
  <c r="D754" i="20"/>
  <c r="G753" i="20"/>
  <c r="H753" i="20"/>
  <c r="I663" i="20"/>
  <c r="E396" i="20"/>
  <c r="F396" i="20" s="1"/>
  <c r="I839" i="20"/>
  <c r="I306" i="20"/>
  <c r="E126" i="13"/>
  <c r="F126" i="13" s="1"/>
  <c r="I218" i="20"/>
  <c r="I752" i="20"/>
  <c r="E133" i="20"/>
  <c r="F133" i="20" s="1"/>
  <c r="D134" i="20" s="1"/>
  <c r="H125" i="13"/>
  <c r="I125" i="13"/>
  <c r="E840" i="20"/>
  <c r="F840" i="20" s="1"/>
  <c r="J125" i="13" l="1"/>
  <c r="I307" i="20"/>
  <c r="I664" i="20"/>
  <c r="E186" i="2"/>
  <c r="B188" i="2"/>
  <c r="B189" i="2" s="1"/>
  <c r="I753" i="20"/>
  <c r="I485" i="20"/>
  <c r="D127" i="13"/>
  <c r="G126" i="13"/>
  <c r="D397" i="20"/>
  <c r="H396" i="20"/>
  <c r="G396" i="20"/>
  <c r="D841" i="20"/>
  <c r="H840" i="20"/>
  <c r="G840" i="20"/>
  <c r="E134" i="20"/>
  <c r="F134" i="20" s="1"/>
  <c r="E220" i="20"/>
  <c r="F220" i="20" s="1"/>
  <c r="E665" i="20"/>
  <c r="F665" i="20" s="1"/>
  <c r="I574" i="20"/>
  <c r="E754" i="20"/>
  <c r="F754" i="20" s="1"/>
  <c r="E486" i="20"/>
  <c r="F486" i="20" s="1"/>
  <c r="D487" i="20" s="1"/>
  <c r="H133" i="20"/>
  <c r="G133" i="20"/>
  <c r="E308" i="20"/>
  <c r="F308" i="20" s="1"/>
  <c r="D309" i="20" s="1"/>
  <c r="I219" i="20"/>
  <c r="E575" i="20"/>
  <c r="F575" i="20" s="1"/>
  <c r="I396" i="20" l="1"/>
  <c r="D755" i="20"/>
  <c r="E755" i="20" s="1"/>
  <c r="F755" i="20" s="1"/>
  <c r="G754" i="20"/>
  <c r="G486" i="20"/>
  <c r="B190" i="2"/>
  <c r="D193" i="2"/>
  <c r="D221" i="20"/>
  <c r="H220" i="20"/>
  <c r="G220" i="20"/>
  <c r="D576" i="20"/>
  <c r="G575" i="20"/>
  <c r="H575" i="20"/>
  <c r="D666" i="20"/>
  <c r="G665" i="20"/>
  <c r="H665" i="20"/>
  <c r="D135" i="20"/>
  <c r="H134" i="20"/>
  <c r="G134" i="20"/>
  <c r="H308" i="20"/>
  <c r="E487" i="20"/>
  <c r="F487" i="20" s="1"/>
  <c r="D488" i="20" s="1"/>
  <c r="I840" i="20"/>
  <c r="E397" i="20"/>
  <c r="F397" i="20"/>
  <c r="D398" i="20" s="1"/>
  <c r="I133" i="20"/>
  <c r="E841" i="20"/>
  <c r="F841" i="20" s="1"/>
  <c r="H126" i="13"/>
  <c r="I126" i="13"/>
  <c r="E309" i="20"/>
  <c r="F309" i="20" s="1"/>
  <c r="D310" i="20" s="1"/>
  <c r="G308" i="20"/>
  <c r="H486" i="20"/>
  <c r="H754" i="20"/>
  <c r="E127" i="13"/>
  <c r="F127" i="13" s="1"/>
  <c r="I754" i="20" l="1"/>
  <c r="I486" i="20"/>
  <c r="D756" i="20"/>
  <c r="G755" i="20"/>
  <c r="B191" i="2"/>
  <c r="B192" i="2" s="1"/>
  <c r="B193" i="2" s="1"/>
  <c r="C35" i="20"/>
  <c r="C35" i="13"/>
  <c r="G309" i="20"/>
  <c r="I575" i="20"/>
  <c r="G487" i="20"/>
  <c r="D128" i="13"/>
  <c r="G127" i="13"/>
  <c r="D842" i="20"/>
  <c r="G841" i="20"/>
  <c r="H841" i="20"/>
  <c r="E310" i="20"/>
  <c r="F310" i="20" s="1"/>
  <c r="E488" i="20"/>
  <c r="F488" i="20" s="1"/>
  <c r="I134" i="20"/>
  <c r="E666" i="20"/>
  <c r="F666" i="20" s="1"/>
  <c r="E135" i="20"/>
  <c r="F135" i="20" s="1"/>
  <c r="D136" i="20" s="1"/>
  <c r="I220" i="20"/>
  <c r="E398" i="20"/>
  <c r="F398" i="20" s="1"/>
  <c r="E576" i="20"/>
  <c r="F576" i="20" s="1"/>
  <c r="E756" i="20"/>
  <c r="F756" i="20" s="1"/>
  <c r="D757" i="20" s="1"/>
  <c r="H397" i="20"/>
  <c r="H755" i="20"/>
  <c r="H309" i="20"/>
  <c r="J126" i="13"/>
  <c r="G397" i="20"/>
  <c r="H487" i="20"/>
  <c r="I487" i="20" s="1"/>
  <c r="I308" i="20"/>
  <c r="I665" i="20"/>
  <c r="E221" i="20"/>
  <c r="F221" i="20" s="1"/>
  <c r="D222" i="20" s="1"/>
  <c r="I309" i="20" l="1"/>
  <c r="I755" i="20"/>
  <c r="I397" i="20"/>
  <c r="D489" i="20"/>
  <c r="G488" i="20"/>
  <c r="D311" i="20"/>
  <c r="E311" i="20" s="1"/>
  <c r="F311" i="20" s="1"/>
  <c r="D312" i="20" s="1"/>
  <c r="G310" i="20"/>
  <c r="B194" i="2"/>
  <c r="E199" i="2"/>
  <c r="D577" i="20"/>
  <c r="G576" i="20"/>
  <c r="H576" i="20"/>
  <c r="D399" i="20"/>
  <c r="G398" i="20"/>
  <c r="H398" i="20"/>
  <c r="I398" i="20" s="1"/>
  <c r="D667" i="20"/>
  <c r="G666" i="20"/>
  <c r="H666" i="20"/>
  <c r="H756" i="20"/>
  <c r="E489" i="20"/>
  <c r="F489" i="20" s="1"/>
  <c r="D490" i="20" s="1"/>
  <c r="E842" i="20"/>
  <c r="F842" i="20" s="1"/>
  <c r="E757" i="20"/>
  <c r="F757" i="20" s="1"/>
  <c r="H127" i="13"/>
  <c r="I127" i="13"/>
  <c r="E222" i="20"/>
  <c r="F222" i="20" s="1"/>
  <c r="E136" i="20"/>
  <c r="F136" i="20" s="1"/>
  <c r="H221" i="20"/>
  <c r="G221" i="20"/>
  <c r="G756" i="20"/>
  <c r="H135" i="20"/>
  <c r="G135" i="20"/>
  <c r="H488" i="20"/>
  <c r="I488" i="20" s="1"/>
  <c r="H310" i="20"/>
  <c r="I841" i="20"/>
  <c r="E128" i="13"/>
  <c r="F128" i="13" s="1"/>
  <c r="J127" i="13" l="1"/>
  <c r="I576" i="20"/>
  <c r="I310" i="20"/>
  <c r="D223" i="20"/>
  <c r="G222" i="20"/>
  <c r="H222" i="20"/>
  <c r="I222" i="20" s="1"/>
  <c r="D137" i="20"/>
  <c r="E137" i="20" s="1"/>
  <c r="F137" i="20" s="1"/>
  <c r="G136" i="20"/>
  <c r="H136" i="20"/>
  <c r="I135" i="20"/>
  <c r="D338" i="2"/>
  <c r="B195" i="2"/>
  <c r="D758" i="20"/>
  <c r="G757" i="20"/>
  <c r="H757" i="20"/>
  <c r="D129" i="13"/>
  <c r="G128" i="13"/>
  <c r="D843" i="20"/>
  <c r="H842" i="20"/>
  <c r="G842" i="20"/>
  <c r="E667" i="20"/>
  <c r="F667" i="20" s="1"/>
  <c r="E312" i="20"/>
  <c r="F312" i="20" s="1"/>
  <c r="E399" i="20"/>
  <c r="F399" i="20" s="1"/>
  <c r="E223" i="20"/>
  <c r="F223" i="20" s="1"/>
  <c r="H311" i="20"/>
  <c r="H489" i="20"/>
  <c r="I756" i="20"/>
  <c r="E490" i="20"/>
  <c r="F490" i="20" s="1"/>
  <c r="D491" i="20" s="1"/>
  <c r="I221" i="20"/>
  <c r="G311" i="20"/>
  <c r="G489" i="20"/>
  <c r="I666" i="20"/>
  <c r="E577" i="20"/>
  <c r="F577" i="20" s="1"/>
  <c r="I136" i="20" l="1"/>
  <c r="I757" i="20"/>
  <c r="D400" i="20"/>
  <c r="E400" i="20" s="1"/>
  <c r="F400" i="20" s="1"/>
  <c r="G399" i="20"/>
  <c r="H399" i="20"/>
  <c r="D668" i="20"/>
  <c r="E668" i="20" s="1"/>
  <c r="F668" i="20" s="1"/>
  <c r="H667" i="20"/>
  <c r="G667" i="20"/>
  <c r="D138" i="20"/>
  <c r="G137" i="20"/>
  <c r="H137" i="20"/>
  <c r="B196" i="2"/>
  <c r="E200" i="2"/>
  <c r="D578" i="20"/>
  <c r="G577" i="20"/>
  <c r="H577" i="20"/>
  <c r="D224" i="20"/>
  <c r="H223" i="20"/>
  <c r="G223" i="20"/>
  <c r="D313" i="20"/>
  <c r="G312" i="20"/>
  <c r="H312" i="20"/>
  <c r="E491" i="20"/>
  <c r="F491" i="20" s="1"/>
  <c r="E129" i="13"/>
  <c r="F129" i="13" s="1"/>
  <c r="H490" i="20"/>
  <c r="I842" i="20"/>
  <c r="G490" i="20"/>
  <c r="I489" i="20"/>
  <c r="E843" i="20"/>
  <c r="F843" i="20" s="1"/>
  <c r="I311" i="20"/>
  <c r="E138" i="20"/>
  <c r="F138" i="20" s="1"/>
  <c r="H128" i="13"/>
  <c r="I128" i="13"/>
  <c r="E758" i="20"/>
  <c r="F758" i="20" s="1"/>
  <c r="D492" i="20" l="1"/>
  <c r="G491" i="20"/>
  <c r="J128" i="13"/>
  <c r="I577" i="20"/>
  <c r="D130" i="13"/>
  <c r="G129" i="13"/>
  <c r="D669" i="20"/>
  <c r="G668" i="20"/>
  <c r="I399" i="20"/>
  <c r="B198" i="2"/>
  <c r="E201" i="2"/>
  <c r="I137" i="20"/>
  <c r="I667" i="20"/>
  <c r="D844" i="20"/>
  <c r="G843" i="20"/>
  <c r="H843" i="20"/>
  <c r="D401" i="20"/>
  <c r="H400" i="20"/>
  <c r="G400" i="20"/>
  <c r="D139" i="20"/>
  <c r="H138" i="20"/>
  <c r="G138" i="20"/>
  <c r="D759" i="20"/>
  <c r="H758" i="20"/>
  <c r="G758" i="20"/>
  <c r="H129" i="13"/>
  <c r="I129" i="13"/>
  <c r="J129" i="13" s="1"/>
  <c r="E492" i="20"/>
  <c r="F492" i="20" s="1"/>
  <c r="D493" i="20" s="1"/>
  <c r="E224" i="20"/>
  <c r="F224" i="20"/>
  <c r="D225" i="20" s="1"/>
  <c r="E669" i="20"/>
  <c r="F669" i="20" s="1"/>
  <c r="E130" i="13"/>
  <c r="F130" i="13" s="1"/>
  <c r="E313" i="20"/>
  <c r="F313" i="20"/>
  <c r="D314" i="20" s="1"/>
  <c r="G313" i="20"/>
  <c r="H668" i="20"/>
  <c r="I668" i="20" s="1"/>
  <c r="I490" i="20"/>
  <c r="H491" i="20"/>
  <c r="I491" i="20" s="1"/>
  <c r="I312" i="20"/>
  <c r="I223" i="20"/>
  <c r="E578" i="20"/>
  <c r="F578" i="20" s="1"/>
  <c r="I843" i="20" l="1"/>
  <c r="B199" i="2"/>
  <c r="B200" i="2" s="1"/>
  <c r="B201" i="2" s="1"/>
  <c r="B203" i="2" s="1"/>
  <c r="E203" i="2"/>
  <c r="I138" i="20"/>
  <c r="D131" i="13"/>
  <c r="G130" i="13"/>
  <c r="D670" i="20"/>
  <c r="G669" i="20"/>
  <c r="H669" i="20"/>
  <c r="D579" i="20"/>
  <c r="G578" i="20"/>
  <c r="H578" i="20"/>
  <c r="E493" i="20"/>
  <c r="F493" i="20"/>
  <c r="D494" i="20" s="1"/>
  <c r="G493" i="20"/>
  <c r="H493" i="20"/>
  <c r="E225" i="20"/>
  <c r="F225" i="20" s="1"/>
  <c r="E401" i="20"/>
  <c r="F401" i="20"/>
  <c r="D402" i="20" s="1"/>
  <c r="G401" i="20"/>
  <c r="I758" i="20"/>
  <c r="H224" i="20"/>
  <c r="H492" i="20"/>
  <c r="E759" i="20"/>
  <c r="F759" i="20" s="1"/>
  <c r="E314" i="20"/>
  <c r="F314" i="20" s="1"/>
  <c r="E139" i="20"/>
  <c r="F139" i="20" s="1"/>
  <c r="H313" i="20"/>
  <c r="I313" i="20" s="1"/>
  <c r="G224" i="20"/>
  <c r="G492" i="20"/>
  <c r="I400" i="20"/>
  <c r="E844" i="20"/>
  <c r="F844" i="20" s="1"/>
  <c r="D845" i="20" s="1"/>
  <c r="I224" i="20" l="1"/>
  <c r="I493" i="20"/>
  <c r="I578" i="20"/>
  <c r="B205" i="2"/>
  <c r="C50" i="13"/>
  <c r="C50" i="20"/>
  <c r="E37" i="2"/>
  <c r="H401" i="20"/>
  <c r="I401" i="20" s="1"/>
  <c r="D140" i="20"/>
  <c r="G139" i="20"/>
  <c r="H139" i="20"/>
  <c r="D315" i="20"/>
  <c r="G314" i="20"/>
  <c r="H314" i="20"/>
  <c r="I314" i="20" s="1"/>
  <c r="D760" i="20"/>
  <c r="G759" i="20"/>
  <c r="H759" i="20"/>
  <c r="D226" i="20"/>
  <c r="H225" i="20"/>
  <c r="G225" i="20"/>
  <c r="G844" i="20"/>
  <c r="I492" i="20"/>
  <c r="E670" i="20"/>
  <c r="F670" i="20"/>
  <c r="D671" i="20" s="1"/>
  <c r="E402" i="20"/>
  <c r="F402" i="20" s="1"/>
  <c r="E494" i="20"/>
  <c r="F494" i="20" s="1"/>
  <c r="E579" i="20"/>
  <c r="F579" i="20"/>
  <c r="D580" i="20" s="1"/>
  <c r="H130" i="13"/>
  <c r="I130" i="13"/>
  <c r="J130" i="13" s="1"/>
  <c r="E845" i="20"/>
  <c r="F845" i="20" s="1"/>
  <c r="H844" i="20"/>
  <c r="I844" i="20" s="1"/>
  <c r="I669" i="20"/>
  <c r="E131" i="13"/>
  <c r="F131" i="13" s="1"/>
  <c r="D132" i="13" s="1"/>
  <c r="G131" i="13" l="1"/>
  <c r="I139" i="20"/>
  <c r="C49" i="13"/>
  <c r="C49" i="20"/>
  <c r="B207" i="2"/>
  <c r="E198" i="2"/>
  <c r="D846" i="20"/>
  <c r="H845" i="20"/>
  <c r="G845" i="20"/>
  <c r="D495" i="20"/>
  <c r="G494" i="20"/>
  <c r="H494" i="20"/>
  <c r="I494" i="20" s="1"/>
  <c r="D403" i="20"/>
  <c r="G402" i="20"/>
  <c r="H402" i="20"/>
  <c r="E671" i="20"/>
  <c r="F671" i="20" s="1"/>
  <c r="I225" i="20"/>
  <c r="E315" i="20"/>
  <c r="F315" i="20" s="1"/>
  <c r="D316" i="20" s="1"/>
  <c r="H579" i="20"/>
  <c r="H670" i="20"/>
  <c r="E226" i="20"/>
  <c r="F226" i="20" s="1"/>
  <c r="H131" i="13"/>
  <c r="I131" i="13"/>
  <c r="E580" i="20"/>
  <c r="F580" i="20" s="1"/>
  <c r="D581" i="20" s="1"/>
  <c r="E132" i="13"/>
  <c r="F132" i="13" s="1"/>
  <c r="E760" i="20"/>
  <c r="F760" i="20" s="1"/>
  <c r="G579" i="20"/>
  <c r="G670" i="20"/>
  <c r="I759" i="20"/>
  <c r="E140" i="20"/>
  <c r="F140" i="20" s="1"/>
  <c r="D672" i="20" l="1"/>
  <c r="G671" i="20"/>
  <c r="D227" i="20"/>
  <c r="E227" i="20" s="1"/>
  <c r="F227" i="20" s="1"/>
  <c r="G226" i="20"/>
  <c r="H226" i="20"/>
  <c r="I670" i="20"/>
  <c r="I579" i="20"/>
  <c r="J131" i="13"/>
  <c r="D301" i="2"/>
  <c r="B209" i="2"/>
  <c r="D141" i="20"/>
  <c r="G140" i="20"/>
  <c r="H140" i="20"/>
  <c r="D761" i="20"/>
  <c r="H760" i="20"/>
  <c r="G760" i="20"/>
  <c r="D133" i="13"/>
  <c r="G132" i="13"/>
  <c r="E581" i="20"/>
  <c r="F581" i="20" s="1"/>
  <c r="E403" i="20"/>
  <c r="F403" i="20" s="1"/>
  <c r="E316" i="20"/>
  <c r="F316" i="20" s="1"/>
  <c r="H315" i="20"/>
  <c r="I845" i="20"/>
  <c r="E495" i="20"/>
  <c r="F495" i="20" s="1"/>
  <c r="D496" i="20" s="1"/>
  <c r="E672" i="20"/>
  <c r="F672" i="20" s="1"/>
  <c r="D673" i="20" s="1"/>
  <c r="H580" i="20"/>
  <c r="G580" i="20"/>
  <c r="G315" i="20"/>
  <c r="H671" i="20"/>
  <c r="I671" i="20" s="1"/>
  <c r="I402" i="20"/>
  <c r="E846" i="20"/>
  <c r="F846" i="20" s="1"/>
  <c r="D404" i="20" l="1"/>
  <c r="G403" i="20"/>
  <c r="H403" i="20"/>
  <c r="D228" i="20"/>
  <c r="E228" i="20" s="1"/>
  <c r="F228" i="20" s="1"/>
  <c r="D229" i="20" s="1"/>
  <c r="G227" i="20"/>
  <c r="H227" i="20"/>
  <c r="I227" i="20" s="1"/>
  <c r="D214" i="2"/>
  <c r="D317" i="20"/>
  <c r="E317" i="20" s="1"/>
  <c r="F317" i="20" s="1"/>
  <c r="G316" i="20"/>
  <c r="H316" i="20"/>
  <c r="I316" i="20" s="1"/>
  <c r="I140" i="20"/>
  <c r="B211" i="2"/>
  <c r="B213" i="2" s="1"/>
  <c r="D211" i="2"/>
  <c r="I226" i="20"/>
  <c r="D847" i="20"/>
  <c r="H846" i="20"/>
  <c r="G846" i="20"/>
  <c r="D582" i="20"/>
  <c r="G581" i="20"/>
  <c r="H581" i="20"/>
  <c r="E761" i="20"/>
  <c r="F761" i="20" s="1"/>
  <c r="D762" i="20" s="1"/>
  <c r="H495" i="20"/>
  <c r="E673" i="20"/>
  <c r="F673" i="20" s="1"/>
  <c r="D674" i="20" s="1"/>
  <c r="E496" i="20"/>
  <c r="F496" i="20" s="1"/>
  <c r="D497" i="20" s="1"/>
  <c r="H132" i="13"/>
  <c r="I132" i="13"/>
  <c r="I580" i="20"/>
  <c r="E133" i="13"/>
  <c r="F133" i="13" s="1"/>
  <c r="D134" i="13" s="1"/>
  <c r="H672" i="20"/>
  <c r="E404" i="20"/>
  <c r="F404" i="20" s="1"/>
  <c r="D405" i="20" s="1"/>
  <c r="G672" i="20"/>
  <c r="G495" i="20"/>
  <c r="I315" i="20"/>
  <c r="I760" i="20"/>
  <c r="E141" i="20"/>
  <c r="F141" i="20" s="1"/>
  <c r="D142" i="20" s="1"/>
  <c r="I581" i="20" l="1"/>
  <c r="E13" i="2"/>
  <c r="B226" i="2"/>
  <c r="I403" i="20"/>
  <c r="D318" i="20"/>
  <c r="G317" i="20"/>
  <c r="H317" i="20"/>
  <c r="E229" i="20"/>
  <c r="F229" i="20" s="1"/>
  <c r="G133" i="13"/>
  <c r="H673" i="20"/>
  <c r="H228" i="20"/>
  <c r="H141" i="20"/>
  <c r="H404" i="20"/>
  <c r="G673" i="20"/>
  <c r="I846" i="20"/>
  <c r="E142" i="20"/>
  <c r="F142" i="20" s="1"/>
  <c r="E405" i="20"/>
  <c r="F405" i="20"/>
  <c r="D406" i="20" s="1"/>
  <c r="E134" i="13"/>
  <c r="F134" i="13" s="1"/>
  <c r="E497" i="20"/>
  <c r="F497" i="20" s="1"/>
  <c r="E674" i="20"/>
  <c r="F674" i="20"/>
  <c r="D675" i="20" s="1"/>
  <c r="E762" i="20"/>
  <c r="F762" i="20" s="1"/>
  <c r="E582" i="20"/>
  <c r="F582" i="20" s="1"/>
  <c r="H496" i="20"/>
  <c r="I495" i="20"/>
  <c r="I672" i="20"/>
  <c r="G496" i="20"/>
  <c r="G228" i="20"/>
  <c r="H761" i="20"/>
  <c r="G141" i="20"/>
  <c r="G404" i="20"/>
  <c r="J132" i="13"/>
  <c r="G761" i="20"/>
  <c r="E847" i="20"/>
  <c r="F847" i="20" s="1"/>
  <c r="I496" i="20" l="1"/>
  <c r="D498" i="20"/>
  <c r="G497" i="20"/>
  <c r="D135" i="13"/>
  <c r="E135" i="13" s="1"/>
  <c r="F135" i="13" s="1"/>
  <c r="G134" i="13"/>
  <c r="H134" i="13" s="1"/>
  <c r="G674" i="20"/>
  <c r="I317" i="20"/>
  <c r="B227" i="2"/>
  <c r="B228" i="2" s="1"/>
  <c r="B229" i="2" s="1"/>
  <c r="I404" i="20"/>
  <c r="D848" i="20"/>
  <c r="G847" i="20"/>
  <c r="H847" i="20"/>
  <c r="I847" i="20" s="1"/>
  <c r="D763" i="20"/>
  <c r="H762" i="20"/>
  <c r="G762" i="20"/>
  <c r="D143" i="20"/>
  <c r="G142" i="20"/>
  <c r="H142" i="20"/>
  <c r="D230" i="20"/>
  <c r="G229" i="20"/>
  <c r="H229" i="20"/>
  <c r="D583" i="20"/>
  <c r="H582" i="20"/>
  <c r="G582" i="20"/>
  <c r="I134" i="13"/>
  <c r="I141" i="20"/>
  <c r="I228" i="20"/>
  <c r="E406" i="20"/>
  <c r="F406" i="20" s="1"/>
  <c r="D407" i="20" s="1"/>
  <c r="H133" i="13"/>
  <c r="I133" i="13"/>
  <c r="I761" i="20"/>
  <c r="E675" i="20"/>
  <c r="F675" i="20" s="1"/>
  <c r="D676" i="20" s="1"/>
  <c r="E498" i="20"/>
  <c r="F498" i="20" s="1"/>
  <c r="H405" i="20"/>
  <c r="H674" i="20"/>
  <c r="H497" i="20"/>
  <c r="G405" i="20"/>
  <c r="I673" i="20"/>
  <c r="E318" i="20"/>
  <c r="F318" i="20" s="1"/>
  <c r="I497" i="20" l="1"/>
  <c r="I674" i="20"/>
  <c r="D499" i="20"/>
  <c r="E499" i="20" s="1"/>
  <c r="F499" i="20" s="1"/>
  <c r="G498" i="20"/>
  <c r="E231" i="2"/>
  <c r="B231" i="2"/>
  <c r="B233" i="2" s="1"/>
  <c r="B234" i="2" s="1"/>
  <c r="E68" i="2"/>
  <c r="E229" i="2"/>
  <c r="I405" i="20"/>
  <c r="G675" i="20"/>
  <c r="J133" i="13"/>
  <c r="I229" i="20"/>
  <c r="D136" i="13"/>
  <c r="G135" i="13"/>
  <c r="D319" i="20"/>
  <c r="G318" i="20"/>
  <c r="H318" i="20"/>
  <c r="E143" i="20"/>
  <c r="F143" i="20" s="1"/>
  <c r="I582" i="20"/>
  <c r="E407" i="20"/>
  <c r="F407" i="20" s="1"/>
  <c r="D408" i="20" s="1"/>
  <c r="E763" i="20"/>
  <c r="F763" i="20"/>
  <c r="D764" i="20" s="1"/>
  <c r="E676" i="20"/>
  <c r="F676" i="20" s="1"/>
  <c r="D677" i="20" s="1"/>
  <c r="H406" i="20"/>
  <c r="E230" i="20"/>
  <c r="F230" i="20" s="1"/>
  <c r="D231" i="20" s="1"/>
  <c r="H498" i="20"/>
  <c r="H675" i="20"/>
  <c r="I675" i="20" s="1"/>
  <c r="G406" i="20"/>
  <c r="J134" i="13"/>
  <c r="E583" i="20"/>
  <c r="F583" i="20" s="1"/>
  <c r="I142" i="20"/>
  <c r="I762" i="20"/>
  <c r="E848" i="20"/>
  <c r="F848" i="20" s="1"/>
  <c r="I498" i="20" l="1"/>
  <c r="D849" i="20"/>
  <c r="E849" i="20" s="1"/>
  <c r="F849" i="20" s="1"/>
  <c r="H848" i="20"/>
  <c r="D500" i="20"/>
  <c r="E500" i="20" s="1"/>
  <c r="F500" i="20" s="1"/>
  <c r="G499" i="20"/>
  <c r="D144" i="20"/>
  <c r="E144" i="20" s="1"/>
  <c r="F144" i="20" s="1"/>
  <c r="D145" i="20" s="1"/>
  <c r="G143" i="20"/>
  <c r="B235" i="2"/>
  <c r="B236" i="2" s="1"/>
  <c r="B237" i="2" s="1"/>
  <c r="B238" i="2" s="1"/>
  <c r="B239" i="2" s="1"/>
  <c r="B241" i="2" s="1"/>
  <c r="B244" i="2" s="1"/>
  <c r="B245" i="2" s="1"/>
  <c r="E239" i="2"/>
  <c r="I406" i="20"/>
  <c r="D584" i="20"/>
  <c r="H583" i="20"/>
  <c r="G583" i="20"/>
  <c r="E231" i="20"/>
  <c r="F231" i="20" s="1"/>
  <c r="E764" i="20"/>
  <c r="F764" i="20"/>
  <c r="D765" i="20" s="1"/>
  <c r="E319" i="20"/>
  <c r="F319" i="20" s="1"/>
  <c r="D320" i="20" s="1"/>
  <c r="H676" i="20"/>
  <c r="H135" i="13"/>
  <c r="I135" i="13"/>
  <c r="E677" i="20"/>
  <c r="F677" i="20" s="1"/>
  <c r="D678" i="20" s="1"/>
  <c r="E408" i="20"/>
  <c r="F408" i="20" s="1"/>
  <c r="H230" i="20"/>
  <c r="G230" i="20"/>
  <c r="H763" i="20"/>
  <c r="H407" i="20"/>
  <c r="G848" i="20"/>
  <c r="G676" i="20"/>
  <c r="G763" i="20"/>
  <c r="G407" i="20"/>
  <c r="H143" i="20"/>
  <c r="H499" i="20"/>
  <c r="I499" i="20" s="1"/>
  <c r="I318" i="20"/>
  <c r="E136" i="13"/>
  <c r="F136" i="13" s="1"/>
  <c r="I763" i="20" l="1"/>
  <c r="I143" i="20"/>
  <c r="I848" i="20"/>
  <c r="G764" i="20"/>
  <c r="D137" i="13"/>
  <c r="G136" i="13"/>
  <c r="I136" i="13" s="1"/>
  <c r="B246" i="2"/>
  <c r="B247" i="2" s="1"/>
  <c r="B248" i="2" s="1"/>
  <c r="H319" i="20"/>
  <c r="H144" i="20"/>
  <c r="I230" i="20"/>
  <c r="J135" i="13"/>
  <c r="G319" i="20"/>
  <c r="G144" i="20"/>
  <c r="H764" i="20"/>
  <c r="D232" i="20"/>
  <c r="H231" i="20"/>
  <c r="G231" i="20"/>
  <c r="D409" i="20"/>
  <c r="H408" i="20"/>
  <c r="G408" i="20"/>
  <c r="D501" i="20"/>
  <c r="G500" i="20"/>
  <c r="H500" i="20"/>
  <c r="D850" i="20"/>
  <c r="H849" i="20"/>
  <c r="G849" i="20"/>
  <c r="E678" i="20"/>
  <c r="F678" i="20" s="1"/>
  <c r="E137" i="13"/>
  <c r="F137" i="13" s="1"/>
  <c r="D138" i="13" s="1"/>
  <c r="H677" i="20"/>
  <c r="E320" i="20"/>
  <c r="F320" i="20"/>
  <c r="D321" i="20" s="1"/>
  <c r="E765" i="20"/>
  <c r="F765" i="20" s="1"/>
  <c r="I583" i="20"/>
  <c r="H136" i="13"/>
  <c r="I407" i="20"/>
  <c r="G677" i="20"/>
  <c r="E145" i="20"/>
  <c r="F145" i="20" s="1"/>
  <c r="D146" i="20" s="1"/>
  <c r="I676" i="20"/>
  <c r="E584" i="20"/>
  <c r="F584" i="20" s="1"/>
  <c r="J136" i="13" l="1"/>
  <c r="I677" i="20"/>
  <c r="I764" i="20"/>
  <c r="H320" i="20"/>
  <c r="I320" i="20" s="1"/>
  <c r="B249" i="2"/>
  <c r="G320" i="20"/>
  <c r="G137" i="13"/>
  <c r="H137" i="13" s="1"/>
  <c r="I144" i="20"/>
  <c r="G145" i="20"/>
  <c r="I319" i="20"/>
  <c r="D585" i="20"/>
  <c r="G584" i="20"/>
  <c r="H584" i="20"/>
  <c r="D766" i="20"/>
  <c r="G765" i="20"/>
  <c r="H765" i="20"/>
  <c r="D679" i="20"/>
  <c r="G678" i="20"/>
  <c r="H678" i="20"/>
  <c r="E409" i="20"/>
  <c r="F409" i="20" s="1"/>
  <c r="E146" i="20"/>
  <c r="F146" i="20" s="1"/>
  <c r="I849" i="20"/>
  <c r="E321" i="20"/>
  <c r="F321" i="20" s="1"/>
  <c r="E138" i="13"/>
  <c r="F138" i="13" s="1"/>
  <c r="D139" i="13" s="1"/>
  <c r="E850" i="20"/>
  <c r="F850" i="20" s="1"/>
  <c r="I231" i="20"/>
  <c r="E501" i="20"/>
  <c r="F501" i="20"/>
  <c r="D502" i="20" s="1"/>
  <c r="H145" i="20"/>
  <c r="I145" i="20" s="1"/>
  <c r="I500" i="20"/>
  <c r="I408" i="20"/>
  <c r="E232" i="20"/>
  <c r="F232" i="20" s="1"/>
  <c r="I137" i="13" l="1"/>
  <c r="I765" i="20"/>
  <c r="D410" i="20"/>
  <c r="E410" i="20" s="1"/>
  <c r="F410" i="20" s="1"/>
  <c r="G409" i="20"/>
  <c r="I584" i="20"/>
  <c r="H501" i="20"/>
  <c r="J137" i="13"/>
  <c r="G501" i="20"/>
  <c r="G138" i="13"/>
  <c r="H138" i="13" s="1"/>
  <c r="B250" i="2"/>
  <c r="D256" i="2"/>
  <c r="D851" i="20"/>
  <c r="H850" i="20"/>
  <c r="G850" i="20"/>
  <c r="D322" i="20"/>
  <c r="G321" i="20"/>
  <c r="H321" i="20"/>
  <c r="D233" i="20"/>
  <c r="G232" i="20"/>
  <c r="H232" i="20"/>
  <c r="D147" i="20"/>
  <c r="H146" i="20"/>
  <c r="G146" i="20"/>
  <c r="E766" i="20"/>
  <c r="F766" i="20" s="1"/>
  <c r="D767" i="20" s="1"/>
  <c r="E139" i="13"/>
  <c r="F139" i="13" s="1"/>
  <c r="D140" i="13" s="1"/>
  <c r="E679" i="20"/>
  <c r="F679" i="20" s="1"/>
  <c r="E502" i="20"/>
  <c r="F502" i="20" s="1"/>
  <c r="H409" i="20"/>
  <c r="I678" i="20"/>
  <c r="E585" i="20"/>
  <c r="F585" i="20" s="1"/>
  <c r="I501" i="20" l="1"/>
  <c r="I321" i="20"/>
  <c r="I138" i="13"/>
  <c r="J138" i="13" s="1"/>
  <c r="I409" i="20"/>
  <c r="D680" i="20"/>
  <c r="G679" i="20"/>
  <c r="B251" i="2"/>
  <c r="B252" i="2" s="1"/>
  <c r="E252" i="2"/>
  <c r="D503" i="20"/>
  <c r="H502" i="20"/>
  <c r="G502" i="20"/>
  <c r="D411" i="20"/>
  <c r="H410" i="20"/>
  <c r="G410" i="20"/>
  <c r="D586" i="20"/>
  <c r="G585" i="20"/>
  <c r="H585" i="20"/>
  <c r="E140" i="13"/>
  <c r="F140" i="13" s="1"/>
  <c r="E322" i="20"/>
  <c r="F322" i="20" s="1"/>
  <c r="E680" i="20"/>
  <c r="F680" i="20" s="1"/>
  <c r="D681" i="20" s="1"/>
  <c r="E233" i="20"/>
  <c r="F233" i="20" s="1"/>
  <c r="E767" i="20"/>
  <c r="F767" i="20" s="1"/>
  <c r="I146" i="20"/>
  <c r="H766" i="20"/>
  <c r="E147" i="20"/>
  <c r="F147" i="20" s="1"/>
  <c r="I850" i="20"/>
  <c r="H679" i="20"/>
  <c r="G139" i="13"/>
  <c r="G766" i="20"/>
  <c r="I232" i="20"/>
  <c r="E851" i="20"/>
  <c r="F851" i="20" s="1"/>
  <c r="G680" i="20" l="1"/>
  <c r="H680" i="20"/>
  <c r="I680" i="20" s="1"/>
  <c r="I679" i="20"/>
  <c r="D768" i="20"/>
  <c r="H767" i="20"/>
  <c r="G767" i="20"/>
  <c r="D234" i="20"/>
  <c r="H233" i="20"/>
  <c r="G233" i="20"/>
  <c r="B254" i="2"/>
  <c r="B255" i="2" s="1"/>
  <c r="D257" i="2"/>
  <c r="I766" i="20"/>
  <c r="D852" i="20"/>
  <c r="G851" i="20"/>
  <c r="H851" i="20"/>
  <c r="D323" i="20"/>
  <c r="G322" i="20"/>
  <c r="H322" i="20"/>
  <c r="D148" i="20"/>
  <c r="G147" i="20"/>
  <c r="H147" i="20"/>
  <c r="D141" i="13"/>
  <c r="G140" i="13"/>
  <c r="E586" i="20"/>
  <c r="F586" i="20" s="1"/>
  <c r="E681" i="20"/>
  <c r="F681" i="20" s="1"/>
  <c r="I502" i="20"/>
  <c r="E411" i="20"/>
  <c r="F411" i="20" s="1"/>
  <c r="E768" i="20"/>
  <c r="H139" i="13"/>
  <c r="I139" i="13"/>
  <c r="J139" i="13" s="1"/>
  <c r="I585" i="20"/>
  <c r="I410" i="20"/>
  <c r="E503" i="20"/>
  <c r="F503" i="20"/>
  <c r="D504" i="20" s="1"/>
  <c r="G503" i="20"/>
  <c r="I851" i="20" l="1"/>
  <c r="E234" i="20"/>
  <c r="F234" i="20" s="1"/>
  <c r="F768" i="20"/>
  <c r="D769" i="20" s="1"/>
  <c r="E769" i="20" s="1"/>
  <c r="F769" i="20" s="1"/>
  <c r="H503" i="20"/>
  <c r="I503" i="20" s="1"/>
  <c r="I322" i="20"/>
  <c r="D359" i="2"/>
  <c r="B256" i="2"/>
  <c r="B257" i="2" s="1"/>
  <c r="D258" i="2" s="1"/>
  <c r="D350" i="2"/>
  <c r="I767" i="20"/>
  <c r="I233" i="20"/>
  <c r="D587" i="20"/>
  <c r="G586" i="20"/>
  <c r="H586" i="20"/>
  <c r="D412" i="20"/>
  <c r="G411" i="20"/>
  <c r="H411" i="20"/>
  <c r="D682" i="20"/>
  <c r="H681" i="20"/>
  <c r="G681" i="20"/>
  <c r="E323" i="20"/>
  <c r="F323" i="20" s="1"/>
  <c r="D324" i="20" s="1"/>
  <c r="H140" i="13"/>
  <c r="I140" i="13"/>
  <c r="E504" i="20"/>
  <c r="F504" i="20" s="1"/>
  <c r="E141" i="13"/>
  <c r="F141" i="13" s="1"/>
  <c r="E148" i="20"/>
  <c r="F148" i="20" s="1"/>
  <c r="D149" i="20" s="1"/>
  <c r="I147" i="20"/>
  <c r="E852" i="20"/>
  <c r="F852" i="20" s="1"/>
  <c r="D853" i="20" s="1"/>
  <c r="I411" i="20" l="1"/>
  <c r="G768" i="20"/>
  <c r="D235" i="20"/>
  <c r="E235" i="20" s="1"/>
  <c r="F235" i="20" s="1"/>
  <c r="D236" i="20" s="1"/>
  <c r="G234" i="20"/>
  <c r="H768" i="20"/>
  <c r="H234" i="20"/>
  <c r="J140" i="13"/>
  <c r="G323" i="20"/>
  <c r="I681" i="20"/>
  <c r="B258" i="2"/>
  <c r="C16" i="20"/>
  <c r="C16" i="13"/>
  <c r="C19" i="13"/>
  <c r="I586" i="20"/>
  <c r="C19" i="20"/>
  <c r="D142" i="13"/>
  <c r="G141" i="13"/>
  <c r="D505" i="20"/>
  <c r="G504" i="20"/>
  <c r="H504" i="20"/>
  <c r="D770" i="20"/>
  <c r="G769" i="20"/>
  <c r="H769" i="20"/>
  <c r="E236" i="20"/>
  <c r="F236" i="20" s="1"/>
  <c r="E324" i="20"/>
  <c r="F324" i="20" s="1"/>
  <c r="E682" i="20"/>
  <c r="F682" i="20" s="1"/>
  <c r="H852" i="20"/>
  <c r="E853" i="20"/>
  <c r="F853" i="20" s="1"/>
  <c r="E149" i="20"/>
  <c r="F149" i="20" s="1"/>
  <c r="E412" i="20"/>
  <c r="F412" i="20" s="1"/>
  <c r="G852" i="20"/>
  <c r="H235" i="20"/>
  <c r="H148" i="20"/>
  <c r="G148" i="20"/>
  <c r="H323" i="20"/>
  <c r="I323" i="20" s="1"/>
  <c r="E587" i="20"/>
  <c r="F587" i="20" s="1"/>
  <c r="G235" i="20" l="1"/>
  <c r="I148" i="20"/>
  <c r="I234" i="20"/>
  <c r="I768" i="20"/>
  <c r="I769" i="20"/>
  <c r="D683" i="20"/>
  <c r="E683" i="20" s="1"/>
  <c r="H682" i="20"/>
  <c r="G682" i="20"/>
  <c r="D325" i="20"/>
  <c r="E325" i="20" s="1"/>
  <c r="F325" i="20" s="1"/>
  <c r="H324" i="20"/>
  <c r="G324" i="20"/>
  <c r="I235" i="20"/>
  <c r="B260" i="2"/>
  <c r="B77" i="41"/>
  <c r="E205" i="2"/>
  <c r="D191" i="2"/>
  <c r="D588" i="20"/>
  <c r="G587" i="20"/>
  <c r="H587" i="20"/>
  <c r="D150" i="20"/>
  <c r="H149" i="20"/>
  <c r="G149" i="20"/>
  <c r="D854" i="20"/>
  <c r="H853" i="20"/>
  <c r="G853" i="20"/>
  <c r="D413" i="20"/>
  <c r="H412" i="20"/>
  <c r="G412" i="20"/>
  <c r="D237" i="20"/>
  <c r="G236" i="20"/>
  <c r="H236" i="20"/>
  <c r="H141" i="13"/>
  <c r="I141" i="13"/>
  <c r="E505" i="20"/>
  <c r="F505" i="20" s="1"/>
  <c r="E770" i="20"/>
  <c r="F770" i="20"/>
  <c r="D771" i="20" s="1"/>
  <c r="I852" i="20"/>
  <c r="I504" i="20"/>
  <c r="E142" i="13"/>
  <c r="F142" i="13" s="1"/>
  <c r="I853" i="20" l="1"/>
  <c r="F683" i="20"/>
  <c r="D684" i="20" s="1"/>
  <c r="G770" i="20"/>
  <c r="I236" i="20"/>
  <c r="I587" i="20"/>
  <c r="I682" i="20"/>
  <c r="D143" i="13"/>
  <c r="E143" i="13" s="1"/>
  <c r="F143" i="13" s="1"/>
  <c r="G142" i="13"/>
  <c r="I142" i="13" s="1"/>
  <c r="D506" i="20"/>
  <c r="G505" i="20"/>
  <c r="G683" i="20"/>
  <c r="I324" i="20"/>
  <c r="D326" i="20"/>
  <c r="H325" i="20"/>
  <c r="G325" i="20"/>
  <c r="E684" i="20"/>
  <c r="F684" i="20" s="1"/>
  <c r="D685" i="20" s="1"/>
  <c r="E854" i="20"/>
  <c r="F854" i="20" s="1"/>
  <c r="D855" i="20" s="1"/>
  <c r="E150" i="20"/>
  <c r="F150" i="20" s="1"/>
  <c r="E771" i="20"/>
  <c r="F771" i="20" s="1"/>
  <c r="I412" i="20"/>
  <c r="E413" i="20"/>
  <c r="F413" i="20" s="1"/>
  <c r="H770" i="20"/>
  <c r="H683" i="20"/>
  <c r="H505" i="20"/>
  <c r="I505" i="20" s="1"/>
  <c r="J141" i="13"/>
  <c r="E237" i="20"/>
  <c r="F237" i="20" s="1"/>
  <c r="I149" i="20"/>
  <c r="E588" i="20"/>
  <c r="F588" i="20" s="1"/>
  <c r="D589" i="20" s="1"/>
  <c r="D151" i="20" l="1"/>
  <c r="H150" i="20"/>
  <c r="I770" i="20"/>
  <c r="J142" i="13"/>
  <c r="H142" i="13"/>
  <c r="D772" i="20"/>
  <c r="H771" i="20"/>
  <c r="E506" i="20"/>
  <c r="F506" i="20" s="1"/>
  <c r="D507" i="20" s="1"/>
  <c r="E507" i="20" s="1"/>
  <c r="F507" i="20" s="1"/>
  <c r="D508" i="20" s="1"/>
  <c r="I683" i="20"/>
  <c r="D414" i="20"/>
  <c r="E414" i="20" s="1"/>
  <c r="F414" i="20" s="1"/>
  <c r="D415" i="20" s="1"/>
  <c r="G413" i="20"/>
  <c r="I150" i="20"/>
  <c r="G771" i="20"/>
  <c r="G150" i="20"/>
  <c r="D144" i="13"/>
  <c r="G143" i="13"/>
  <c r="D238" i="20"/>
  <c r="H237" i="20"/>
  <c r="G237" i="20"/>
  <c r="E855" i="20"/>
  <c r="F855" i="20" s="1"/>
  <c r="H854" i="20"/>
  <c r="H588" i="20"/>
  <c r="E772" i="20"/>
  <c r="F772" i="20" s="1"/>
  <c r="G854" i="20"/>
  <c r="G684" i="20"/>
  <c r="I325" i="20"/>
  <c r="E589" i="20"/>
  <c r="F589" i="20" s="1"/>
  <c r="E685" i="20"/>
  <c r="F685" i="20" s="1"/>
  <c r="H684" i="20"/>
  <c r="I684" i="20" s="1"/>
  <c r="E151" i="20"/>
  <c r="F151" i="20" s="1"/>
  <c r="D152" i="20" s="1"/>
  <c r="G588" i="20"/>
  <c r="H413" i="20"/>
  <c r="E326" i="20"/>
  <c r="F326" i="20" s="1"/>
  <c r="I771" i="20" l="1"/>
  <c r="I237" i="20"/>
  <c r="H506" i="20"/>
  <c r="I413" i="20"/>
  <c r="G506" i="20"/>
  <c r="D856" i="20"/>
  <c r="E856" i="20" s="1"/>
  <c r="F856" i="20" s="1"/>
  <c r="D857" i="20" s="1"/>
  <c r="G855" i="20"/>
  <c r="G414" i="20"/>
  <c r="D327" i="20"/>
  <c r="H326" i="20"/>
  <c r="G326" i="20"/>
  <c r="D686" i="20"/>
  <c r="G685" i="20"/>
  <c r="H685" i="20"/>
  <c r="D590" i="20"/>
  <c r="G589" i="20"/>
  <c r="H589" i="20"/>
  <c r="D773" i="20"/>
  <c r="G772" i="20"/>
  <c r="H772" i="20"/>
  <c r="I772" i="20" s="1"/>
  <c r="E152" i="20"/>
  <c r="F152" i="20" s="1"/>
  <c r="H151" i="20"/>
  <c r="H507" i="20"/>
  <c r="G507" i="20"/>
  <c r="I854" i="20"/>
  <c r="H143" i="13"/>
  <c r="I143" i="13"/>
  <c r="J143" i="13" s="1"/>
  <c r="E508" i="20"/>
  <c r="F508" i="20" s="1"/>
  <c r="D509" i="20" s="1"/>
  <c r="I588" i="20"/>
  <c r="E415" i="20"/>
  <c r="F415" i="20" s="1"/>
  <c r="D416" i="20" s="1"/>
  <c r="E238" i="20"/>
  <c r="F238" i="20" s="1"/>
  <c r="G151" i="20"/>
  <c r="H414" i="20"/>
  <c r="H855" i="20"/>
  <c r="E144" i="13"/>
  <c r="F144" i="13" s="1"/>
  <c r="I855" i="20" l="1"/>
  <c r="I414" i="20"/>
  <c r="I506" i="20"/>
  <c r="D153" i="20"/>
  <c r="G152" i="20"/>
  <c r="H152" i="20"/>
  <c r="I152" i="20" s="1"/>
  <c r="I685" i="20"/>
  <c r="D145" i="13"/>
  <c r="G144" i="13"/>
  <c r="D239" i="20"/>
  <c r="G238" i="20"/>
  <c r="H238" i="20"/>
  <c r="E509" i="20"/>
  <c r="F509" i="20" s="1"/>
  <c r="E590" i="20"/>
  <c r="F590" i="20" s="1"/>
  <c r="D591" i="20" s="1"/>
  <c r="G856" i="20"/>
  <c r="I326" i="20"/>
  <c r="E416" i="20"/>
  <c r="F416" i="20" s="1"/>
  <c r="D417" i="20" s="1"/>
  <c r="E857" i="20"/>
  <c r="F857" i="20" s="1"/>
  <c r="D858" i="20" s="1"/>
  <c r="E686" i="20"/>
  <c r="F686" i="20" s="1"/>
  <c r="H415" i="20"/>
  <c r="G415" i="20"/>
  <c r="H508" i="20"/>
  <c r="I507" i="20"/>
  <c r="E153" i="20"/>
  <c r="F153" i="20" s="1"/>
  <c r="E773" i="20"/>
  <c r="F773" i="20" s="1"/>
  <c r="G508" i="20"/>
  <c r="H856" i="20"/>
  <c r="I151" i="20"/>
  <c r="I589" i="20"/>
  <c r="E327" i="20"/>
  <c r="F327" i="20" s="1"/>
  <c r="D510" i="20" l="1"/>
  <c r="G509" i="20"/>
  <c r="I415" i="20"/>
  <c r="G590" i="20"/>
  <c r="D774" i="20"/>
  <c r="G773" i="20"/>
  <c r="H773" i="20"/>
  <c r="D154" i="20"/>
  <c r="G153" i="20"/>
  <c r="H153" i="20"/>
  <c r="I153" i="20" s="1"/>
  <c r="D687" i="20"/>
  <c r="G686" i="20"/>
  <c r="H686" i="20"/>
  <c r="D328" i="20"/>
  <c r="G327" i="20"/>
  <c r="H327" i="20"/>
  <c r="I327" i="20" s="1"/>
  <c r="H416" i="20"/>
  <c r="E510" i="20"/>
  <c r="F510" i="20" s="1"/>
  <c r="I508" i="20"/>
  <c r="G416" i="20"/>
  <c r="H144" i="13"/>
  <c r="I144" i="13"/>
  <c r="E858" i="20"/>
  <c r="F858" i="20" s="1"/>
  <c r="E417" i="20"/>
  <c r="F417" i="20" s="1"/>
  <c r="H857" i="20"/>
  <c r="E591" i="20"/>
  <c r="F591" i="20" s="1"/>
  <c r="E239" i="20"/>
  <c r="F239" i="20"/>
  <c r="D240" i="20" s="1"/>
  <c r="G857" i="20"/>
  <c r="I856" i="20"/>
  <c r="H590" i="20"/>
  <c r="H509" i="20"/>
  <c r="I509" i="20" s="1"/>
  <c r="I238" i="20"/>
  <c r="E145" i="13"/>
  <c r="F145" i="13" s="1"/>
  <c r="D146" i="13" s="1"/>
  <c r="I590" i="20" l="1"/>
  <c r="D511" i="20"/>
  <c r="E511" i="20" s="1"/>
  <c r="F511" i="20" s="1"/>
  <c r="G510" i="20"/>
  <c r="I773" i="20"/>
  <c r="D592" i="20"/>
  <c r="G591" i="20"/>
  <c r="H591" i="20"/>
  <c r="I591" i="20" s="1"/>
  <c r="D418" i="20"/>
  <c r="H417" i="20"/>
  <c r="G417" i="20"/>
  <c r="D859" i="20"/>
  <c r="H858" i="20"/>
  <c r="G858" i="20"/>
  <c r="E240" i="20"/>
  <c r="F240" i="20"/>
  <c r="D241" i="20" s="1"/>
  <c r="E687" i="20"/>
  <c r="F687" i="20" s="1"/>
  <c r="H239" i="20"/>
  <c r="E146" i="13"/>
  <c r="F146" i="13" s="1"/>
  <c r="E154" i="20"/>
  <c r="F154" i="20"/>
  <c r="D155" i="20" s="1"/>
  <c r="I857" i="20"/>
  <c r="E328" i="20"/>
  <c r="F328" i="20" s="1"/>
  <c r="D329" i="20" s="1"/>
  <c r="G145" i="13"/>
  <c r="G239" i="20"/>
  <c r="J144" i="13"/>
  <c r="H510" i="20"/>
  <c r="I416" i="20"/>
  <c r="I686" i="20"/>
  <c r="E774" i="20"/>
  <c r="F774" i="20" s="1"/>
  <c r="I510" i="20" l="1"/>
  <c r="D688" i="20"/>
  <c r="E688" i="20" s="1"/>
  <c r="F688" i="20" s="1"/>
  <c r="D689" i="20" s="1"/>
  <c r="G687" i="20"/>
  <c r="D512" i="20"/>
  <c r="E512" i="20" s="1"/>
  <c r="F512" i="20" s="1"/>
  <c r="G511" i="20"/>
  <c r="D775" i="20"/>
  <c r="H774" i="20"/>
  <c r="G774" i="20"/>
  <c r="G154" i="20"/>
  <c r="G240" i="20"/>
  <c r="I858" i="20"/>
  <c r="D147" i="13"/>
  <c r="G146" i="13"/>
  <c r="E418" i="20"/>
  <c r="F418" i="20" s="1"/>
  <c r="E155" i="20"/>
  <c r="F155" i="20"/>
  <c r="D156" i="20" s="1"/>
  <c r="E241" i="20"/>
  <c r="F241" i="20" s="1"/>
  <c r="D242" i="20" s="1"/>
  <c r="E859" i="20"/>
  <c r="F859" i="20"/>
  <c r="D860" i="20" s="1"/>
  <c r="E775" i="20"/>
  <c r="F775" i="20" s="1"/>
  <c r="H328" i="20"/>
  <c r="E329" i="20"/>
  <c r="F329" i="20" s="1"/>
  <c r="H145" i="13"/>
  <c r="I145" i="13"/>
  <c r="I239" i="20"/>
  <c r="G328" i="20"/>
  <c r="H511" i="20"/>
  <c r="H154" i="20"/>
  <c r="H687" i="20"/>
  <c r="H240" i="20"/>
  <c r="I240" i="20" s="1"/>
  <c r="I417" i="20"/>
  <c r="E592" i="20"/>
  <c r="F592" i="20" s="1"/>
  <c r="D593" i="20" s="1"/>
  <c r="I687" i="20" l="1"/>
  <c r="I154" i="20"/>
  <c r="I511" i="20"/>
  <c r="I774" i="20"/>
  <c r="H592" i="20"/>
  <c r="G592" i="20"/>
  <c r="D513" i="20"/>
  <c r="G512" i="20"/>
  <c r="H512" i="20"/>
  <c r="D330" i="20"/>
  <c r="G329" i="20"/>
  <c r="H329" i="20"/>
  <c r="I329" i="20" s="1"/>
  <c r="D419" i="20"/>
  <c r="G418" i="20"/>
  <c r="H418" i="20"/>
  <c r="D776" i="20"/>
  <c r="G775" i="20"/>
  <c r="H775" i="20"/>
  <c r="E860" i="20"/>
  <c r="F860" i="20" s="1"/>
  <c r="E689" i="20"/>
  <c r="F689" i="20" s="1"/>
  <c r="E593" i="20"/>
  <c r="F593" i="20" s="1"/>
  <c r="H688" i="20"/>
  <c r="H146" i="13"/>
  <c r="I146" i="13"/>
  <c r="J146" i="13" s="1"/>
  <c r="E242" i="20"/>
  <c r="F242" i="20" s="1"/>
  <c r="E156" i="20"/>
  <c r="F156" i="20" s="1"/>
  <c r="I328" i="20"/>
  <c r="G859" i="20"/>
  <c r="H241" i="20"/>
  <c r="H155" i="20"/>
  <c r="J145" i="13"/>
  <c r="H859" i="20"/>
  <c r="G241" i="20"/>
  <c r="G688" i="20"/>
  <c r="G155" i="20"/>
  <c r="E147" i="13"/>
  <c r="F147" i="13" s="1"/>
  <c r="D148" i="13" s="1"/>
  <c r="I859" i="20" l="1"/>
  <c r="D594" i="20"/>
  <c r="E594" i="20" s="1"/>
  <c r="F594" i="20" s="1"/>
  <c r="G593" i="20"/>
  <c r="H593" i="20"/>
  <c r="I593" i="20" s="1"/>
  <c r="I775" i="20"/>
  <c r="G147" i="13"/>
  <c r="I147" i="13" s="1"/>
  <c r="I512" i="20"/>
  <c r="I592" i="20"/>
  <c r="D157" i="20"/>
  <c r="G156" i="20"/>
  <c r="H156" i="20"/>
  <c r="I156" i="20" s="1"/>
  <c r="D243" i="20"/>
  <c r="G242" i="20"/>
  <c r="H242" i="20"/>
  <c r="D690" i="20"/>
  <c r="G689" i="20"/>
  <c r="H689" i="20"/>
  <c r="D861" i="20"/>
  <c r="G860" i="20"/>
  <c r="H860" i="20"/>
  <c r="I155" i="20"/>
  <c r="E330" i="20"/>
  <c r="F330" i="20"/>
  <c r="D331" i="20" s="1"/>
  <c r="H147" i="13"/>
  <c r="E419" i="20"/>
  <c r="F419" i="20" s="1"/>
  <c r="E148" i="13"/>
  <c r="F148" i="13" s="1"/>
  <c r="I241" i="20"/>
  <c r="E776" i="20"/>
  <c r="F776" i="20" s="1"/>
  <c r="D777" i="20" s="1"/>
  <c r="I688" i="20"/>
  <c r="I418" i="20"/>
  <c r="E513" i="20"/>
  <c r="F513" i="20" s="1"/>
  <c r="J147" i="13" l="1"/>
  <c r="G330" i="20"/>
  <c r="I860" i="20"/>
  <c r="I242" i="20"/>
  <c r="D149" i="13"/>
  <c r="G148" i="13"/>
  <c r="D514" i="20"/>
  <c r="H513" i="20"/>
  <c r="G513" i="20"/>
  <c r="D420" i="20"/>
  <c r="G419" i="20"/>
  <c r="H419" i="20"/>
  <c r="I419" i="20" s="1"/>
  <c r="D595" i="20"/>
  <c r="G594" i="20"/>
  <c r="H594" i="20"/>
  <c r="I594" i="20" s="1"/>
  <c r="E243" i="20"/>
  <c r="F243" i="20" s="1"/>
  <c r="H776" i="20"/>
  <c r="E331" i="20"/>
  <c r="F331" i="20" s="1"/>
  <c r="E690" i="20"/>
  <c r="F690" i="20" s="1"/>
  <c r="G776" i="20"/>
  <c r="E777" i="20"/>
  <c r="F777" i="20" s="1"/>
  <c r="E861" i="20"/>
  <c r="F861" i="20" s="1"/>
  <c r="H330" i="20"/>
  <c r="I330" i="20" s="1"/>
  <c r="I689" i="20"/>
  <c r="E157" i="20"/>
  <c r="F157" i="20" s="1"/>
  <c r="I776" i="20" l="1"/>
  <c r="I513" i="20"/>
  <c r="D244" i="20"/>
  <c r="G243" i="20"/>
  <c r="H243" i="20"/>
  <c r="D691" i="20"/>
  <c r="H690" i="20"/>
  <c r="G690" i="20"/>
  <c r="D862" i="20"/>
  <c r="H861" i="20"/>
  <c r="G861" i="20"/>
  <c r="D332" i="20"/>
  <c r="G331" i="20"/>
  <c r="H331" i="20"/>
  <c r="D158" i="20"/>
  <c r="H157" i="20"/>
  <c r="G157" i="20"/>
  <c r="D778" i="20"/>
  <c r="H777" i="20"/>
  <c r="G777" i="20"/>
  <c r="E514" i="20"/>
  <c r="F514" i="20" s="1"/>
  <c r="D515" i="20" s="1"/>
  <c r="E420" i="20"/>
  <c r="F420" i="20" s="1"/>
  <c r="H148" i="13"/>
  <c r="I148" i="13"/>
  <c r="J148" i="13" s="1"/>
  <c r="E595" i="20"/>
  <c r="F595" i="20" s="1"/>
  <c r="E149" i="13"/>
  <c r="F149" i="13" s="1"/>
  <c r="I243" i="20" l="1"/>
  <c r="D596" i="20"/>
  <c r="G595" i="20"/>
  <c r="H595" i="20"/>
  <c r="I595" i="20" s="1"/>
  <c r="D150" i="13"/>
  <c r="E150" i="13" s="1"/>
  <c r="F150" i="13" s="1"/>
  <c r="G149" i="13"/>
  <c r="I331" i="20"/>
  <c r="I861" i="20"/>
  <c r="D421" i="20"/>
  <c r="G420" i="20"/>
  <c r="H420" i="20"/>
  <c r="E515" i="20"/>
  <c r="F515" i="20" s="1"/>
  <c r="E596" i="20"/>
  <c r="F596" i="20" s="1"/>
  <c r="D597" i="20" s="1"/>
  <c r="H514" i="20"/>
  <c r="I157" i="20"/>
  <c r="E332" i="20"/>
  <c r="F332" i="20" s="1"/>
  <c r="E778" i="20"/>
  <c r="F778" i="20" s="1"/>
  <c r="E691" i="20"/>
  <c r="F691" i="20"/>
  <c r="D692" i="20" s="1"/>
  <c r="H149" i="13"/>
  <c r="I149" i="13"/>
  <c r="E862" i="20"/>
  <c r="F862" i="20" s="1"/>
  <c r="G514" i="20"/>
  <c r="I777" i="20"/>
  <c r="E158" i="20"/>
  <c r="F158" i="20" s="1"/>
  <c r="I690" i="20"/>
  <c r="E244" i="20"/>
  <c r="F244" i="20"/>
  <c r="D245" i="20" s="1"/>
  <c r="J149" i="13" l="1"/>
  <c r="G244" i="20"/>
  <c r="D779" i="20"/>
  <c r="E779" i="20" s="1"/>
  <c r="F779" i="20" s="1"/>
  <c r="G778" i="20"/>
  <c r="G691" i="20"/>
  <c r="I514" i="20"/>
  <c r="I420" i="20"/>
  <c r="D516" i="20"/>
  <c r="G515" i="20"/>
  <c r="H515" i="20"/>
  <c r="D151" i="13"/>
  <c r="G150" i="13"/>
  <c r="D159" i="20"/>
  <c r="G158" i="20"/>
  <c r="H158" i="20"/>
  <c r="D863" i="20"/>
  <c r="H862" i="20"/>
  <c r="G862" i="20"/>
  <c r="D333" i="20"/>
  <c r="H332" i="20"/>
  <c r="G332" i="20"/>
  <c r="E597" i="20"/>
  <c r="F597" i="20"/>
  <c r="D598" i="20" s="1"/>
  <c r="E245" i="20"/>
  <c r="F245" i="20" s="1"/>
  <c r="E692" i="20"/>
  <c r="F692" i="20" s="1"/>
  <c r="H596" i="20"/>
  <c r="G596" i="20"/>
  <c r="H244" i="20"/>
  <c r="I244" i="20" s="1"/>
  <c r="H691" i="20"/>
  <c r="H778" i="20"/>
  <c r="E421" i="20"/>
  <c r="F421" i="20" s="1"/>
  <c r="I778" i="20" l="1"/>
  <c r="I691" i="20"/>
  <c r="I515" i="20"/>
  <c r="I158" i="20"/>
  <c r="D693" i="20"/>
  <c r="G692" i="20"/>
  <c r="H692" i="20"/>
  <c r="I692" i="20" s="1"/>
  <c r="D780" i="20"/>
  <c r="G779" i="20"/>
  <c r="H779" i="20"/>
  <c r="I779" i="20" s="1"/>
  <c r="D246" i="20"/>
  <c r="G245" i="20"/>
  <c r="H245" i="20"/>
  <c r="D422" i="20"/>
  <c r="G421" i="20"/>
  <c r="H421" i="20"/>
  <c r="E333" i="20"/>
  <c r="F333" i="20" s="1"/>
  <c r="E151" i="13"/>
  <c r="F151" i="13" s="1"/>
  <c r="I596" i="20"/>
  <c r="I862" i="20"/>
  <c r="E598" i="20"/>
  <c r="F598" i="20" s="1"/>
  <c r="H597" i="20"/>
  <c r="E159" i="20"/>
  <c r="F159" i="20"/>
  <c r="D160" i="20" s="1"/>
  <c r="G597" i="20"/>
  <c r="I332" i="20"/>
  <c r="E863" i="20"/>
  <c r="F863" i="20" s="1"/>
  <c r="H150" i="13"/>
  <c r="I150" i="13"/>
  <c r="E516" i="20"/>
  <c r="F516" i="20" s="1"/>
  <c r="D517" i="20" s="1"/>
  <c r="D152" i="13" l="1"/>
  <c r="G151" i="13"/>
  <c r="D334" i="20"/>
  <c r="E334" i="20" s="1"/>
  <c r="F334" i="20" s="1"/>
  <c r="H333" i="20"/>
  <c r="I333" i="20" s="1"/>
  <c r="G333" i="20"/>
  <c r="J150" i="13"/>
  <c r="I421" i="20"/>
  <c r="D864" i="20"/>
  <c r="G863" i="20"/>
  <c r="H863" i="20"/>
  <c r="I863" i="20" s="1"/>
  <c r="D599" i="20"/>
  <c r="H598" i="20"/>
  <c r="G598" i="20"/>
  <c r="E780" i="20"/>
  <c r="F780" i="20" s="1"/>
  <c r="D781" i="20" s="1"/>
  <c r="H516" i="20"/>
  <c r="H159" i="20"/>
  <c r="E152" i="13"/>
  <c r="F152" i="13" s="1"/>
  <c r="E422" i="20"/>
  <c r="F422" i="20" s="1"/>
  <c r="D423" i="20" s="1"/>
  <c r="E517" i="20"/>
  <c r="F517" i="20" s="1"/>
  <c r="E160" i="20"/>
  <c r="F160" i="20" s="1"/>
  <c r="H151" i="13"/>
  <c r="I151" i="13"/>
  <c r="E246" i="20"/>
  <c r="F246" i="20" s="1"/>
  <c r="I597" i="20"/>
  <c r="G516" i="20"/>
  <c r="G159" i="20"/>
  <c r="I245" i="20"/>
  <c r="E693" i="20"/>
  <c r="F693" i="20" s="1"/>
  <c r="D694" i="20" s="1"/>
  <c r="G693" i="20" l="1"/>
  <c r="D335" i="20"/>
  <c r="G334" i="20"/>
  <c r="H334" i="20"/>
  <c r="I334" i="20" s="1"/>
  <c r="D518" i="20"/>
  <c r="G517" i="20"/>
  <c r="H517" i="20"/>
  <c r="D161" i="20"/>
  <c r="G160" i="20"/>
  <c r="H160" i="20"/>
  <c r="I160" i="20" s="1"/>
  <c r="D247" i="20"/>
  <c r="H246" i="20"/>
  <c r="G246" i="20"/>
  <c r="D153" i="13"/>
  <c r="G152" i="13"/>
  <c r="E423" i="20"/>
  <c r="F423" i="20" s="1"/>
  <c r="I159" i="20"/>
  <c r="E694" i="20"/>
  <c r="F694" i="20" s="1"/>
  <c r="D695" i="20" s="1"/>
  <c r="E781" i="20"/>
  <c r="F781" i="20" s="1"/>
  <c r="D782" i="20" s="1"/>
  <c r="E599" i="20"/>
  <c r="F599" i="20" s="1"/>
  <c r="D600" i="20" s="1"/>
  <c r="H422" i="20"/>
  <c r="I516" i="20"/>
  <c r="G422" i="20"/>
  <c r="H780" i="20"/>
  <c r="H693" i="20"/>
  <c r="I693" i="20" s="1"/>
  <c r="J151" i="13"/>
  <c r="G780" i="20"/>
  <c r="I598" i="20"/>
  <c r="E864" i="20"/>
  <c r="F864" i="20" s="1"/>
  <c r="D865" i="20" s="1"/>
  <c r="D424" i="20" l="1"/>
  <c r="G423" i="20"/>
  <c r="I422" i="20"/>
  <c r="I780" i="20"/>
  <c r="E865" i="20"/>
  <c r="F865" i="20" s="1"/>
  <c r="D866" i="20" s="1"/>
  <c r="E600" i="20"/>
  <c r="F600" i="20" s="1"/>
  <c r="D601" i="20" s="1"/>
  <c r="E782" i="20"/>
  <c r="F782" i="20" s="1"/>
  <c r="E695" i="20"/>
  <c r="F695" i="20" s="1"/>
  <c r="E153" i="13"/>
  <c r="F153" i="13" s="1"/>
  <c r="D154" i="13" s="1"/>
  <c r="E335" i="20"/>
  <c r="F335" i="20" s="1"/>
  <c r="E424" i="20"/>
  <c r="F424" i="20" s="1"/>
  <c r="E518" i="20"/>
  <c r="E519" i="20" s="1"/>
  <c r="G864" i="20"/>
  <c r="H599" i="20"/>
  <c r="H781" i="20"/>
  <c r="H694" i="20"/>
  <c r="I246" i="20"/>
  <c r="E161" i="20"/>
  <c r="F161" i="20" s="1"/>
  <c r="H864" i="20"/>
  <c r="I864" i="20" s="1"/>
  <c r="G599" i="20"/>
  <c r="G781" i="20"/>
  <c r="G694" i="20"/>
  <c r="H423" i="20"/>
  <c r="I423" i="20" s="1"/>
  <c r="H152" i="13"/>
  <c r="I152" i="13"/>
  <c r="E247" i="20"/>
  <c r="F247" i="20" s="1"/>
  <c r="I517" i="20"/>
  <c r="F518" i="20" l="1"/>
  <c r="G518" i="20" s="1"/>
  <c r="G519" i="20" s="1"/>
  <c r="I599" i="20"/>
  <c r="J152" i="13"/>
  <c r="D248" i="20"/>
  <c r="G247" i="20"/>
  <c r="H247" i="20"/>
  <c r="D162" i="20"/>
  <c r="H161" i="20"/>
  <c r="G161" i="20"/>
  <c r="D425" i="20"/>
  <c r="G424" i="20"/>
  <c r="H424" i="20"/>
  <c r="D696" i="20"/>
  <c r="G695" i="20"/>
  <c r="H695" i="20"/>
  <c r="D336" i="20"/>
  <c r="G335" i="20"/>
  <c r="H335" i="20"/>
  <c r="D783" i="20"/>
  <c r="G782" i="20"/>
  <c r="H782" i="20"/>
  <c r="H600" i="20"/>
  <c r="G865" i="20"/>
  <c r="I694" i="20"/>
  <c r="H518" i="20"/>
  <c r="G600" i="20"/>
  <c r="H865" i="20"/>
  <c r="I865" i="20" s="1"/>
  <c r="I781" i="20"/>
  <c r="G153" i="13"/>
  <c r="E154" i="13"/>
  <c r="F154" i="13" s="1"/>
  <c r="D155" i="13" s="1"/>
  <c r="E601" i="20"/>
  <c r="F601" i="20"/>
  <c r="D602" i="20" s="1"/>
  <c r="E866" i="20"/>
  <c r="F866" i="20" s="1"/>
  <c r="G601" i="20" l="1"/>
  <c r="I782" i="20"/>
  <c r="I695" i="20"/>
  <c r="I335" i="20"/>
  <c r="I247" i="20"/>
  <c r="D867" i="20"/>
  <c r="G866" i="20"/>
  <c r="H866" i="20"/>
  <c r="I866" i="20" s="1"/>
  <c r="E155" i="13"/>
  <c r="F155" i="13" s="1"/>
  <c r="E783" i="20"/>
  <c r="F783" i="20" s="1"/>
  <c r="E162" i="20"/>
  <c r="E163" i="20" s="1"/>
  <c r="E602" i="20"/>
  <c r="F602" i="20" s="1"/>
  <c r="D603" i="20" s="1"/>
  <c r="I600" i="20"/>
  <c r="E425" i="20"/>
  <c r="F425" i="20" s="1"/>
  <c r="H153" i="13"/>
  <c r="I153" i="13"/>
  <c r="I518" i="20"/>
  <c r="I519" i="20" s="1"/>
  <c r="H519" i="20"/>
  <c r="E696" i="20"/>
  <c r="E697" i="20" s="1"/>
  <c r="H601" i="20"/>
  <c r="I601" i="20" s="1"/>
  <c r="G154" i="13"/>
  <c r="E336" i="20"/>
  <c r="F336" i="20"/>
  <c r="D337" i="20" s="1"/>
  <c r="G336" i="20"/>
  <c r="I424" i="20"/>
  <c r="I161" i="20"/>
  <c r="E248" i="20"/>
  <c r="F248" i="20" s="1"/>
  <c r="D249" i="20" s="1"/>
  <c r="F696" i="20" l="1"/>
  <c r="G696" i="20" s="1"/>
  <c r="G697" i="20" s="1"/>
  <c r="D156" i="13"/>
  <c r="G155" i="13"/>
  <c r="D426" i="20"/>
  <c r="G425" i="20"/>
  <c r="H425" i="20"/>
  <c r="D784" i="20"/>
  <c r="G783" i="20"/>
  <c r="H783" i="20"/>
  <c r="H248" i="20"/>
  <c r="E337" i="20"/>
  <c r="F337" i="20" s="1"/>
  <c r="H696" i="20"/>
  <c r="H602" i="20"/>
  <c r="E249" i="20"/>
  <c r="F249" i="20" s="1"/>
  <c r="E603" i="20"/>
  <c r="F603" i="20" s="1"/>
  <c r="F162" i="20"/>
  <c r="G248" i="20"/>
  <c r="H336" i="20"/>
  <c r="I336" i="20" s="1"/>
  <c r="H154" i="13"/>
  <c r="I154" i="13"/>
  <c r="J154" i="13" s="1"/>
  <c r="J153" i="13"/>
  <c r="G602" i="20"/>
  <c r="E867" i="20"/>
  <c r="F867" i="20" s="1"/>
  <c r="I602" i="20" l="1"/>
  <c r="D338" i="20"/>
  <c r="E338" i="20" s="1"/>
  <c r="F338" i="20" s="1"/>
  <c r="G337" i="20"/>
  <c r="I783" i="20"/>
  <c r="D868" i="20"/>
  <c r="G867" i="20"/>
  <c r="H867" i="20"/>
  <c r="D604" i="20"/>
  <c r="G603" i="20"/>
  <c r="H603" i="20"/>
  <c r="I603" i="20" s="1"/>
  <c r="D250" i="20"/>
  <c r="G249" i="20"/>
  <c r="H249" i="20"/>
  <c r="G162" i="20"/>
  <c r="G163" i="20" s="1"/>
  <c r="H162" i="20"/>
  <c r="E426" i="20"/>
  <c r="F426" i="20" s="1"/>
  <c r="I696" i="20"/>
  <c r="I697" i="20" s="1"/>
  <c r="H697" i="20"/>
  <c r="E784" i="20"/>
  <c r="F784" i="20"/>
  <c r="D785" i="20" s="1"/>
  <c r="H155" i="13"/>
  <c r="I155" i="13"/>
  <c r="H337" i="20"/>
  <c r="I337" i="20" s="1"/>
  <c r="I248" i="20"/>
  <c r="I425" i="20"/>
  <c r="E156" i="13"/>
  <c r="F156" i="13" s="1"/>
  <c r="D157" i="13" s="1"/>
  <c r="G784" i="20" l="1"/>
  <c r="J155" i="13"/>
  <c r="I867" i="20"/>
  <c r="D339" i="20"/>
  <c r="G338" i="20"/>
  <c r="H338" i="20"/>
  <c r="D427" i="20"/>
  <c r="G426" i="20"/>
  <c r="H426" i="20"/>
  <c r="E604" i="20"/>
  <c r="F604" i="20" s="1"/>
  <c r="D605" i="20" s="1"/>
  <c r="E785" i="20"/>
  <c r="E786" i="20" s="1"/>
  <c r="F785" i="20"/>
  <c r="G785" i="20" s="1"/>
  <c r="G786" i="20" s="1"/>
  <c r="I162" i="20"/>
  <c r="I163" i="20" s="1"/>
  <c r="H163" i="20"/>
  <c r="E250" i="20"/>
  <c r="F250" i="20"/>
  <c r="D251" i="20" s="1"/>
  <c r="E157" i="13"/>
  <c r="F157" i="13"/>
  <c r="D158" i="13" s="1"/>
  <c r="G156" i="13"/>
  <c r="H784" i="20"/>
  <c r="I784" i="20" s="1"/>
  <c r="I249" i="20"/>
  <c r="E868" i="20"/>
  <c r="F868" i="20" s="1"/>
  <c r="D869" i="20" s="1"/>
  <c r="I426" i="20" l="1"/>
  <c r="H250" i="20"/>
  <c r="G157" i="13"/>
  <c r="H157" i="13" s="1"/>
  <c r="G250" i="20"/>
  <c r="I338" i="20"/>
  <c r="E869" i="20"/>
  <c r="F869" i="20"/>
  <c r="D870" i="20" s="1"/>
  <c r="H869" i="20"/>
  <c r="H156" i="13"/>
  <c r="I156" i="13"/>
  <c r="J156" i="13" s="1"/>
  <c r="E605" i="20"/>
  <c r="F605" i="20" s="1"/>
  <c r="D606" i="20" s="1"/>
  <c r="I157" i="13"/>
  <c r="E427" i="20"/>
  <c r="F427" i="20" s="1"/>
  <c r="D428" i="20" s="1"/>
  <c r="G868" i="20"/>
  <c r="E158" i="13"/>
  <c r="F158" i="13" s="1"/>
  <c r="E251" i="20"/>
  <c r="E252" i="20" s="1"/>
  <c r="H785" i="20"/>
  <c r="H604" i="20"/>
  <c r="H868" i="20"/>
  <c r="G604" i="20"/>
  <c r="E339" i="20"/>
  <c r="F339" i="20"/>
  <c r="D340" i="20" s="1"/>
  <c r="J157" i="13" l="1"/>
  <c r="F251" i="20"/>
  <c r="G251" i="20" s="1"/>
  <c r="G252" i="20" s="1"/>
  <c r="G869" i="20"/>
  <c r="I869" i="20" s="1"/>
  <c r="D159" i="13"/>
  <c r="E159" i="13" s="1"/>
  <c r="F159" i="13" s="1"/>
  <c r="G158" i="13"/>
  <c r="H251" i="20"/>
  <c r="I251" i="20" s="1"/>
  <c r="H427" i="20"/>
  <c r="H339" i="20"/>
  <c r="I339" i="20" s="1"/>
  <c r="G339" i="20"/>
  <c r="I868" i="20"/>
  <c r="G427" i="20"/>
  <c r="I250" i="20"/>
  <c r="H158" i="13"/>
  <c r="I158" i="13"/>
  <c r="E606" i="20"/>
  <c r="F606" i="20" s="1"/>
  <c r="E340" i="20"/>
  <c r="E341" i="20" s="1"/>
  <c r="I604" i="20"/>
  <c r="E428" i="20"/>
  <c r="F428" i="20" s="1"/>
  <c r="H605" i="20"/>
  <c r="E870" i="20"/>
  <c r="F870" i="20" s="1"/>
  <c r="D871" i="20" s="1"/>
  <c r="I785" i="20"/>
  <c r="I786" i="20" s="1"/>
  <c r="H786" i="20"/>
  <c r="G605" i="20"/>
  <c r="D429" i="20" l="1"/>
  <c r="G428" i="20"/>
  <c r="I252" i="20"/>
  <c r="H252" i="20"/>
  <c r="I427" i="20"/>
  <c r="I605" i="20"/>
  <c r="J158" i="13"/>
  <c r="D160" i="13"/>
  <c r="G159" i="13"/>
  <c r="D607" i="20"/>
  <c r="G606" i="20"/>
  <c r="H606" i="20"/>
  <c r="E871" i="20"/>
  <c r="F871" i="20" s="1"/>
  <c r="E429" i="20"/>
  <c r="E430" i="20" s="1"/>
  <c r="H870" i="20"/>
  <c r="G870" i="20"/>
  <c r="H428" i="20"/>
  <c r="I428" i="20" s="1"/>
  <c r="F340" i="20"/>
  <c r="D872" i="20" l="1"/>
  <c r="G871" i="20"/>
  <c r="F429" i="20"/>
  <c r="E872" i="20"/>
  <c r="F872" i="20" s="1"/>
  <c r="D873" i="20" s="1"/>
  <c r="E607" i="20"/>
  <c r="E608" i="20" s="1"/>
  <c r="I870" i="20"/>
  <c r="H159" i="13"/>
  <c r="I159" i="13"/>
  <c r="G340" i="20"/>
  <c r="G341" i="20" s="1"/>
  <c r="H340" i="20"/>
  <c r="H871" i="20"/>
  <c r="I871" i="20" s="1"/>
  <c r="I606" i="20"/>
  <c r="E160" i="13"/>
  <c r="F160" i="13" s="1"/>
  <c r="D161" i="13" l="1"/>
  <c r="G160" i="13"/>
  <c r="H160" i="13" s="1"/>
  <c r="H429" i="20"/>
  <c r="G429" i="20"/>
  <c r="G430" i="20" s="1"/>
  <c r="E873" i="20"/>
  <c r="F873" i="20"/>
  <c r="D874" i="20" s="1"/>
  <c r="E161" i="13"/>
  <c r="E162" i="13" s="1"/>
  <c r="I340" i="20"/>
  <c r="I341" i="20" s="1"/>
  <c r="H341" i="20"/>
  <c r="F607" i="20"/>
  <c r="H872" i="20"/>
  <c r="J159" i="13"/>
  <c r="G872" i="20"/>
  <c r="I160" i="13" l="1"/>
  <c r="J160" i="13"/>
  <c r="H430" i="20"/>
  <c r="I429" i="20"/>
  <c r="I430" i="20" s="1"/>
  <c r="F161" i="13"/>
  <c r="G161" i="13" s="1"/>
  <c r="I161" i="13" s="1"/>
  <c r="G607" i="20"/>
  <c r="G608" i="20" s="1"/>
  <c r="H607" i="20"/>
  <c r="E874" i="20"/>
  <c r="E875" i="20" s="1"/>
  <c r="H873" i="20"/>
  <c r="I872" i="20"/>
  <c r="G873" i="20"/>
  <c r="H161" i="13" l="1"/>
  <c r="H162" i="13" s="1"/>
  <c r="F874" i="20"/>
  <c r="I162" i="13"/>
  <c r="I607" i="20"/>
  <c r="I608" i="20" s="1"/>
  <c r="H608" i="20"/>
  <c r="I873" i="20"/>
  <c r="J161" i="13" l="1"/>
  <c r="J162" i="13" s="1"/>
  <c r="G874" i="20"/>
  <c r="G875" i="20" s="1"/>
  <c r="H874" i="20"/>
  <c r="H875" i="20" l="1"/>
  <c r="I874" i="20"/>
  <c r="I875" i="20" s="1"/>
</calcChain>
</file>

<file path=xl/sharedStrings.xml><?xml version="1.0" encoding="utf-8"?>
<sst xmlns="http://schemas.openxmlformats.org/spreadsheetml/2006/main" count="2563" uniqueCount="1119">
  <si>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</si>
  <si>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</si>
  <si>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</si>
  <si>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</si>
  <si>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</si>
  <si>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</si>
  <si>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</si>
  <si>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</si>
  <si>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</si>
  <si>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</si>
  <si>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</si>
  <si>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</si>
  <si>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</si>
  <si>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</si>
  <si>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</si>
  <si>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</si>
  <si>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</si>
  <si>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</si>
  <si>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</si>
  <si>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</si>
  <si>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</si>
  <si>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</si>
  <si>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</si>
  <si>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</si>
  <si>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</si>
  <si>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</si>
  <si>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</si>
  <si>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</si>
  <si>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</si>
  <si>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</si>
  <si>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</si>
  <si>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</si>
  <si>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</si>
  <si>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</si>
  <si>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</si>
  <si>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</si>
  <si>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</si>
  <si>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</si>
  <si>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</si>
  <si>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</si>
  <si>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</si>
  <si>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</si>
  <si>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</si>
  <si>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</si>
  <si>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</si>
  <si>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</si>
  <si>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</si>
  <si>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</si>
  <si>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</si>
  <si>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</si>
  <si>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</si>
  <si>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</si>
  <si>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</si>
  <si>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</si>
  <si>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</si>
  <si>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</si>
  <si>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</si>
  <si>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</si>
  <si>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</si>
  <si>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</si>
  <si>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</si>
  <si>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</si>
  <si>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</si>
  <si>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</si>
  <si>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</si>
  <si>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</si>
  <si>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</si>
  <si>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</si>
  <si>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</si>
  <si>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</si>
  <si>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</si>
  <si>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</si>
  <si>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</si>
  <si>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</si>
  <si>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</si>
  <si>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</si>
  <si>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</si>
  <si>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</si>
  <si>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</si>
  <si>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</si>
  <si>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</si>
  <si>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</si>
  <si>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</si>
  <si>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</si>
  <si>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</si>
  <si>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</si>
  <si>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</si>
  <si>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</si>
  <si>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</si>
  <si>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</si>
  <si>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</si>
  <si>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</si>
  <si>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</si>
  <si>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</si>
  <si>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</si>
  <si>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</si>
  <si>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</si>
  <si>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</si>
  <si>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</si>
  <si>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</si>
  <si>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</si>
  <si>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</si>
  <si>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</si>
  <si>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</si>
  <si>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</si>
  <si>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</si>
  <si>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</si>
  <si>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</si>
  <si>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</si>
  <si>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</si>
  <si>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</si>
  <si>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</si>
  <si>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</si>
  <si>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</si>
  <si>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</si>
  <si>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</si>
  <si>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</si>
  <si>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</si>
  <si>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</si>
  <si>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</si>
  <si>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</si>
  <si>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</si>
  <si>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</si>
  <si>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</si>
  <si>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</si>
  <si>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</si>
  <si>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</si>
  <si>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</si>
  <si>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</si>
  <si>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</si>
  <si>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</si>
  <si>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</si>
  <si>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</si>
  <si>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</si>
  <si>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</si>
  <si>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</si>
  <si>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</si>
  <si>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</si>
  <si>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</si>
  <si>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</si>
  <si>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</si>
  <si>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</si>
  <si>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</si>
  <si>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</si>
  <si>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</si>
  <si>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</si>
  <si>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</si>
  <si>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</si>
  <si>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</si>
  <si>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</si>
  <si>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</si>
  <si>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</si>
  <si>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</si>
  <si>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</si>
  <si>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</si>
  <si>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</si>
  <si>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</si>
  <si>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</si>
  <si>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</si>
  <si>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</si>
  <si>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</si>
  <si>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</si>
  <si>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</si>
  <si>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</si>
  <si>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</si>
  <si>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</si>
  <si>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</si>
  <si>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</si>
  <si>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</si>
  <si>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</si>
  <si>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</si>
  <si>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</si>
  <si>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</si>
  <si>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</si>
  <si>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</si>
  <si>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</si>
  <si>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</si>
  <si>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</si>
  <si>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</si>
  <si>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</si>
  <si>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</si>
  <si>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</si>
  <si>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</si>
  <si>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</si>
  <si>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</si>
  <si>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</si>
  <si>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</si>
  <si>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</si>
  <si>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</si>
  <si>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</si>
  <si>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</si>
  <si>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</si>
  <si>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</si>
  <si>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</si>
  <si>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</si>
  <si>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</si>
  <si>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</si>
  <si>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</si>
  <si>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</si>
  <si>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</si>
  <si>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</si>
  <si>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</si>
  <si>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</si>
  <si>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</si>
  <si>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</si>
  <si>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</si>
  <si>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</si>
  <si>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</si>
  <si>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</si>
  <si>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</si>
  <si>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</si>
  <si>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</si>
  <si>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</si>
  <si>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</si>
  <si>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</si>
  <si>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</si>
  <si>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</si>
  <si>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</si>
  <si>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</si>
  <si>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</si>
  <si>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</si>
  <si>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</si>
  <si>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</si>
  <si>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</si>
  <si>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</si>
  <si>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</si>
  <si>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</si>
  <si>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</si>
  <si>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</si>
  <si>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</si>
  <si>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</si>
  <si>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</si>
  <si>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</si>
  <si>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</si>
  <si>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</si>
  <si>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</si>
  <si>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</si>
  <si>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</si>
  <si>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</si>
  <si>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</si>
  <si>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</si>
  <si>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</si>
  <si>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</si>
  <si>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</si>
  <si>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</si>
  <si>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</si>
  <si>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</si>
  <si>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</si>
  <si>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</si>
  <si>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</si>
  <si>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</si>
  <si>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</si>
  <si>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</si>
  <si>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</si>
  <si>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</si>
  <si>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</si>
  <si>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</si>
  <si>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</si>
  <si>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</si>
  <si>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</si>
  <si>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</si>
  <si>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</si>
  <si>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</si>
  <si>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</si>
  <si>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</si>
  <si>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</si>
  <si>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</si>
  <si>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</si>
  <si>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</si>
  <si>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</si>
  <si>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</si>
  <si>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</si>
  <si>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</si>
  <si>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</si>
  <si>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</si>
  <si>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</si>
  <si>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</si>
  <si>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</si>
  <si>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</si>
  <si>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</si>
  <si>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</si>
  <si>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</si>
  <si>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</si>
  <si>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</si>
  <si>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</si>
  <si>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</si>
  <si>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</si>
  <si>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</si>
  <si>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</si>
  <si>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</si>
  <si>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</si>
  <si>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</si>
  <si>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</si>
  <si>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</si>
  <si>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</si>
  <si>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</si>
  <si>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</si>
  <si>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</si>
  <si>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</si>
  <si>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</si>
  <si>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</si>
  <si>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</si>
  <si>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</si>
  <si>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</si>
  <si>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</si>
  <si>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</si>
  <si>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</si>
  <si>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</si>
  <si>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</si>
  <si>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</si>
  <si>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</si>
  <si>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</si>
  <si>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</si>
  <si>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</si>
  <si>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</si>
  <si>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</si>
  <si>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</si>
  <si>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</si>
  <si>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</si>
  <si>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</si>
  <si>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</si>
  <si>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</si>
  <si>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</si>
  <si>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</si>
  <si>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</si>
  <si>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</si>
  <si>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</si>
  <si>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</si>
  <si>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</si>
  <si>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</si>
  <si>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</si>
  <si>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</si>
  <si>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</si>
  <si>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</si>
  <si>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</si>
  <si>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</si>
  <si>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</si>
  <si>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</si>
  <si>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</si>
  <si>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</si>
  <si>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</si>
  <si>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</si>
  <si>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</si>
  <si>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</si>
  <si>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</si>
  <si>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</si>
  <si>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</si>
  <si>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</si>
  <si>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</si>
  <si>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</si>
  <si>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</si>
  <si>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</si>
  <si>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</si>
  <si>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</si>
  <si>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</si>
  <si>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</si>
  <si>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</si>
  <si>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</si>
  <si>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</si>
  <si>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</si>
  <si>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</si>
  <si>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</si>
  <si>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</si>
  <si>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</si>
  <si>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</si>
  <si>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</si>
  <si>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</si>
  <si>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</si>
  <si>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</si>
  <si>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</si>
  <si>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</si>
  <si>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</si>
  <si>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</si>
  <si>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</si>
  <si>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</si>
  <si>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</si>
  <si>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</si>
  <si>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</si>
  <si>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</si>
  <si>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</si>
  <si>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</si>
  <si>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</si>
  <si>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</si>
  <si>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</si>
  <si>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</si>
  <si>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</si>
  <si>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</si>
  <si>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</si>
  <si>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</si>
  <si>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</si>
  <si>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</si>
  <si>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</si>
  <si>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</si>
  <si>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</si>
  <si>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</si>
  <si>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</si>
  <si>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</si>
  <si>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</si>
  <si>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</si>
  <si>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</si>
  <si>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</si>
  <si>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</si>
  <si>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</si>
  <si>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</si>
  <si>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</si>
  <si>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</si>
  <si>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</si>
  <si>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</si>
  <si>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</si>
  <si>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</si>
  <si>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</si>
  <si>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</si>
  <si>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</si>
  <si>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</si>
  <si>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</si>
  <si>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</si>
  <si>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</si>
  <si>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</si>
  <si>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</si>
  <si>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</si>
  <si>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</si>
  <si>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</si>
  <si>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</si>
  <si>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</si>
  <si>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</si>
  <si>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</si>
  <si>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</si>
  <si>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</si>
  <si>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</si>
  <si>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</si>
  <si>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</si>
  <si>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</si>
  <si>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</si>
  <si>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</si>
  <si>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</si>
  <si>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</si>
  <si>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</si>
  <si>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</si>
  <si>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</si>
  <si>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</si>
  <si>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</si>
  <si>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</si>
  <si>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</si>
  <si>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</si>
  <si>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</si>
  <si>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</si>
  <si>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</si>
  <si>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</si>
  <si>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</si>
  <si>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</si>
  <si>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</si>
  <si>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</si>
  <si>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</si>
  <si>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</si>
  <si>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</si>
  <si>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</si>
  <si>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</si>
  <si>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</si>
  <si>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</si>
  <si>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</si>
  <si>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</si>
  <si>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</si>
  <si>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</si>
  <si>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</si>
  <si>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</si>
  <si>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</si>
  <si>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</si>
  <si>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</si>
  <si>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</si>
  <si>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</si>
  <si>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</si>
  <si>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</si>
  <si>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</si>
  <si>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</si>
  <si>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</si>
  <si>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</si>
  <si>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</si>
  <si>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</si>
  <si>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</si>
  <si>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</si>
  <si>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</si>
  <si>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</si>
  <si>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</si>
  <si>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</si>
  <si>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</si>
  <si>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</si>
  <si>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</si>
  <si>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</si>
  <si>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</si>
  <si>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</si>
  <si>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</si>
  <si>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</si>
  <si>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</si>
  <si>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</si>
  <si>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</si>
  <si>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</si>
  <si>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</si>
  <si>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</si>
  <si>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</si>
  <si>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</si>
  <si>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</si>
  <si>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</si>
  <si>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</si>
  <si>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</si>
  <si>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</si>
  <si>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</si>
  <si>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</si>
  <si>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</si>
  <si>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</si>
  <si>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</si>
  <si>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</si>
  <si>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</si>
  <si>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</si>
  <si>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</si>
  <si>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</si>
  <si>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</si>
  <si>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</si>
  <si>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</si>
  <si>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</si>
  <si>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</si>
  <si>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</si>
  <si>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</si>
  <si>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</si>
  <si>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</si>
  <si>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</si>
  <si>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</si>
  <si>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</si>
  <si>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</si>
  <si>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</si>
  <si>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</si>
  <si>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</si>
  <si>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</si>
  <si>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</si>
  <si>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</si>
  <si>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</si>
  <si>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</si>
  <si>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</si>
  <si>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</si>
  <si>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</si>
  <si>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</si>
  <si>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</si>
  <si>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</si>
  <si>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</si>
  <si>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</si>
  <si>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</si>
  <si>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</si>
  <si>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</si>
  <si>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</si>
  <si>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</si>
  <si>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</si>
  <si>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</si>
  <si>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</si>
  <si>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</si>
  <si>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</si>
  <si>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</si>
  <si>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</si>
  <si>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</si>
  <si>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</si>
  <si>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</si>
  <si>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</si>
  <si>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</si>
  <si>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</si>
  <si>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</si>
  <si>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</si>
  <si>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</si>
  <si>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</si>
  <si>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</si>
  <si>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</si>
  <si>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</si>
  <si>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</si>
  <si>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</si>
  <si>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</si>
  <si>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</si>
  <si>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</si>
  <si>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</si>
  <si>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</si>
  <si>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</si>
  <si>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</si>
  <si>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</si>
  <si>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</si>
  <si>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</si>
  <si>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</si>
  <si>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</si>
  <si>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</si>
  <si>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</si>
  <si>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</si>
  <si>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</si>
  <si>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</si>
  <si>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</si>
  <si>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</si>
  <si>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</si>
  <si>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</si>
  <si>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</si>
  <si>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</si>
  <si>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</si>
  <si>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</si>
  <si>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</si>
  <si>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</si>
  <si>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</si>
  <si>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</si>
  <si>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</si>
  <si>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</si>
  <si>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</si>
  <si>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</si>
  <si>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</si>
  <si>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</si>
  <si>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</si>
  <si>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</si>
  <si>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</si>
  <si>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</si>
  <si>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</si>
  <si>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</si>
  <si>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</si>
  <si>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</si>
  <si>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</si>
  <si>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</si>
  <si>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</si>
  <si>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</si>
  <si>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</si>
  <si>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</si>
  <si>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</si>
  <si>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</si>
  <si>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</si>
  <si>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</si>
  <si>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</si>
  <si>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</si>
  <si>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</si>
  <si>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</si>
  <si>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</si>
  <si>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</si>
  <si>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</si>
  <si>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</si>
  <si>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</si>
  <si>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</si>
  <si>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</si>
  <si>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</si>
  <si>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</si>
  <si>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</si>
  <si>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</si>
  <si>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</si>
  <si>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</si>
  <si>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</si>
  <si>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</si>
  <si>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</si>
  <si>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</si>
  <si>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</si>
  <si>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</si>
  <si>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</si>
  <si>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</si>
  <si>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</si>
  <si>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</si>
  <si>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</si>
  <si>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</si>
  <si>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</si>
  <si>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</si>
  <si>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</si>
  <si>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</si>
  <si>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</si>
  <si>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</si>
  <si>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</si>
  <si>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</si>
  <si>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</si>
  <si>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</si>
  <si>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</si>
  <si>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</si>
  <si>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</si>
  <si>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</si>
  <si>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</si>
  <si>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</si>
  <si>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</si>
  <si>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</si>
  <si>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</si>
  <si>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</si>
  <si>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</si>
  <si>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</si>
  <si>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</si>
  <si>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</si>
  <si>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</si>
  <si>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</si>
  <si>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</si>
  <si>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</si>
  <si>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</si>
  <si>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</si>
  <si>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</si>
  <si>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</si>
  <si>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</si>
  <si>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</si>
  <si>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</si>
  <si>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</si>
  <si>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</si>
  <si>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</si>
  <si>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</si>
  <si>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</si>
  <si>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</si>
  <si>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</si>
  <si>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</si>
  <si>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</si>
  <si>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</si>
  <si>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</si>
  <si>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</si>
  <si>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</si>
  <si>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</si>
  <si>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</si>
  <si>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</si>
  <si>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</si>
  <si>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</si>
  <si>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</si>
  <si>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</si>
  <si>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</si>
  <si>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</si>
  <si>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</si>
  <si>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</si>
  <si>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</si>
  <si>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</si>
  <si>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</si>
  <si>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</si>
  <si>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</si>
  <si>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</si>
  <si>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</si>
  <si>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</si>
  <si>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</si>
  <si>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</si>
  <si>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</si>
  <si>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</si>
  <si>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</si>
  <si>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</si>
  <si>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</si>
  <si>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</si>
  <si>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</si>
  <si>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</si>
  <si>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</si>
  <si>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</si>
  <si>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</si>
  <si>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</si>
  <si>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</si>
  <si>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</si>
  <si>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</si>
  <si>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</si>
  <si>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</si>
  <si>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</si>
  <si>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</si>
  <si>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</si>
  <si>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</si>
  <si>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</si>
  <si>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</si>
  <si>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</si>
  <si>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</si>
  <si>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</si>
  <si>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</si>
  <si>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</si>
  <si>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</si>
  <si>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</si>
  <si>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</si>
  <si>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</si>
  <si>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</si>
  <si>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</si>
  <si>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</si>
  <si>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</si>
  <si>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</si>
  <si>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</si>
  <si>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</si>
  <si>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</si>
  <si>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</si>
  <si>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</si>
  <si>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</si>
  <si>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</si>
  <si>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</si>
  <si>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</si>
  <si>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</si>
  <si>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</si>
  <si>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</si>
  <si>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</si>
  <si>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</si>
  <si>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</si>
  <si>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</si>
  <si>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</si>
  <si>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</si>
  <si>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</si>
  <si>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</si>
  <si>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</si>
  <si>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</si>
  <si>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</si>
  <si>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</si>
  <si>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</si>
  <si>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</si>
  <si>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</si>
  <si>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</si>
  <si>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</si>
  <si>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</si>
  <si>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</si>
  <si>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</si>
  <si>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</si>
  <si>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</si>
  <si>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</si>
  <si>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</si>
  <si>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</si>
  <si>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</si>
  <si>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</si>
  <si>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</si>
  <si>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</si>
  <si>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</si>
  <si>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</si>
  <si>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</si>
  <si>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</si>
  <si>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</si>
  <si>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</si>
  <si>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</si>
  <si>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</si>
  <si>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</si>
  <si>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</si>
  <si>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</si>
  <si>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</si>
  <si>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</si>
  <si>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</si>
  <si>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</si>
  <si>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</si>
  <si>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</si>
  <si>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</si>
  <si>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</si>
  <si>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</si>
  <si>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</si>
  <si>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</si>
  <si>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</si>
  <si>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</si>
  <si>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</si>
  <si>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</si>
  <si>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</si>
  <si>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</si>
  <si>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</si>
  <si>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</si>
  <si>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</si>
  <si>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</si>
  <si>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</si>
  <si>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</si>
  <si>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</si>
  <si>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</si>
  <si>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</si>
  <si>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</si>
  <si>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</si>
  <si>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</si>
  <si>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</si>
  <si>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</si>
  <si>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</si>
  <si>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</si>
  <si>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</si>
  <si>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</si>
  <si>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</si>
  <si>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</si>
  <si>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</si>
  <si>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</si>
  <si>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</si>
  <si>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</si>
  <si>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</si>
  <si>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</si>
  <si>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</si>
  <si>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</si>
  <si>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</si>
  <si>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</si>
  <si>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</si>
  <si>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</si>
  <si>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</si>
  <si>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</si>
  <si>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</si>
  <si>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</si>
  <si>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</si>
  <si>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</si>
  <si>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</si>
  <si>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</si>
  <si>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</si>
  <si>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</si>
  <si>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</si>
  <si>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</si>
  <si>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</si>
  <si>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</si>
  <si>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</si>
  <si>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</si>
  <si>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</si>
  <si>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</si>
  <si>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</si>
  <si>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</si>
  <si>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</si>
  <si>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</si>
  <si>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</si>
  <si>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</si>
  <si>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</si>
  <si>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</si>
  <si>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</si>
  <si>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</si>
  <si>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</si>
  <si>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</si>
  <si>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</si>
  <si>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</si>
  <si>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</si>
  <si>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</si>
  <si>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</si>
  <si>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</si>
  <si>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</si>
  <si>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</si>
  <si>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</si>
  <si>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</si>
  <si>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</si>
  <si>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</si>
  <si>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</si>
  <si>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</si>
  <si>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</si>
  <si>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</si>
  <si>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</si>
  <si>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</si>
  <si>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</si>
  <si>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</si>
  <si>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</si>
  <si>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</si>
  <si>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</si>
  <si>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</si>
  <si>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</si>
  <si>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</si>
  <si>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</si>
  <si>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</si>
  <si>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</si>
  <si>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</si>
  <si>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</si>
  <si>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</si>
  <si>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</si>
  <si>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</si>
  <si>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</si>
  <si>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</si>
  <si>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</si>
  <si>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</si>
  <si>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</si>
  <si>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</si>
  <si>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</si>
  <si>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</si>
  <si>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</si>
  <si>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</si>
  <si>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</si>
  <si>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</si>
  <si>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</si>
  <si>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</si>
  <si>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</si>
  <si>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</si>
  <si>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</si>
  <si>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</si>
  <si>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</si>
  <si>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</si>
  <si>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</si>
  <si>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</si>
  <si>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</si>
  <si>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</si>
  <si>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</si>
  <si>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</si>
  <si>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</si>
  <si>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</si>
  <si>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</si>
  <si>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</si>
  <si>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</si>
  <si>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</si>
  <si>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</si>
  <si>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</si>
  <si>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</si>
  <si>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</si>
  <si>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</si>
  <si>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</si>
  <si>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</si>
  <si>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</si>
  <si>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</si>
  <si>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</si>
  <si>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</si>
  <si>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</si>
  <si>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</si>
  <si>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</si>
  <si>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</si>
  <si>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</si>
  <si>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</si>
  <si>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</si>
  <si>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</si>
  <si>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</si>
  <si>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Total Other Jurisdictions:  (Line 6 * Net Plant Allocator)</t>
  </si>
  <si>
    <t>State Public Service Commission Fees</t>
  </si>
  <si>
    <t>State Franchise Taxes</t>
  </si>
  <si>
    <t>State Lic/Registration Fee</t>
  </si>
  <si>
    <t>Misc. State and Local Tax</t>
  </si>
  <si>
    <t>Sales &amp; Use</t>
  </si>
  <si>
    <t>RTEP ID: b1465.5 (Make switching improvements at Sullivan and Jefferson 765 kV stations)</t>
  </si>
  <si>
    <t>RTEP ID: b2831.1 (Upgrade Tanner Creek-Miami Fort 345kV circuit)</t>
  </si>
  <si>
    <t>EFFECTIVE AS OF October 31, 2018</t>
  </si>
  <si>
    <t xml:space="preserve">  (1) As approved in Indiana Case No. 44967.</t>
  </si>
  <si>
    <t xml:space="preserve">  (2) As approved in MICHIGAN Case No. U18370.</t>
  </si>
  <si>
    <t>Tvelve Months Ended</t>
  </si>
  <si>
    <t>REVENUE REQUIREMENT (v/o incentives)</t>
  </si>
  <si>
    <t xml:space="preserve">(vorksheet E Ln 8) (Note A) </t>
  </si>
  <si>
    <t>(vorksheet E Ln 9) (Note X)</t>
  </si>
  <si>
    <t>Prepaid Leases-All Functions</t>
  </si>
  <si>
    <t>Other - Dist</t>
  </si>
  <si>
    <t>Other Payments - Long Term</t>
  </si>
  <si>
    <t>9280005</t>
  </si>
  <si>
    <t>Reg Com Exp-FERC Trans Cases</t>
  </si>
  <si>
    <t xml:space="preserve">Indiana Michigan Power Company </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</si>
  <si>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</si>
  <si>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</si>
  <si>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</si>
  <si>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</si>
  <si>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</si>
  <si>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</si>
  <si>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EFFECTIVE AS OF 3/6/2019</t>
  </si>
  <si>
    <t xml:space="preserve"> GENERAL PLANT</t>
  </si>
  <si>
    <t>Transportation Equipment</t>
  </si>
  <si>
    <t>Power Operated Equipment</t>
  </si>
  <si>
    <t>INDIANA MICHIGAN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</si>
  <si>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</si>
  <si>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</si>
  <si>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</si>
  <si>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</si>
  <si>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</si>
  <si>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</si>
  <si>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</si>
  <si>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</si>
  <si>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</si>
  <si>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</si>
  <si>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</si>
  <si>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</si>
  <si>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</si>
  <si>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</si>
  <si>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</si>
  <si>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</si>
  <si>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</si>
  <si>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</si>
  <si>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</si>
  <si>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</si>
  <si>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</si>
  <si>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</si>
  <si>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</si>
  <si>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</si>
  <si>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</si>
  <si>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</si>
  <si>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</si>
  <si>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</si>
  <si>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</si>
  <si>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</si>
  <si>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</si>
  <si>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</si>
  <si>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3.16</t>
  </si>
  <si>
    <t>1b</t>
  </si>
  <si>
    <r>
      <t>281</t>
    </r>
    <r>
      <rPr>
        <sz val="9"/>
        <color indexed="10"/>
        <rFont val="Arial"/>
        <family val="2"/>
      </rPr>
      <t>1</t>
    </r>
    <r>
      <rPr>
        <sz val="9"/>
        <rFont val="Arial"/>
        <family val="2"/>
      </rPr>
      <t>001</t>
    </r>
  </si>
  <si>
    <t>ADFIT - Accel Amortization Property</t>
  </si>
  <si>
    <t>Protected</t>
  </si>
  <si>
    <t>ARAM</t>
  </si>
  <si>
    <t>Life of Asset</t>
  </si>
  <si>
    <t>1c</t>
  </si>
  <si>
    <r>
      <t>281</t>
    </r>
    <r>
      <rPr>
        <sz val="9"/>
        <color indexed="10"/>
        <rFont val="Arial"/>
        <family val="2"/>
      </rPr>
      <t>4</t>
    </r>
    <r>
      <rPr>
        <sz val="9"/>
        <rFont val="Arial"/>
        <family val="2"/>
      </rPr>
      <t>001</t>
    </r>
  </si>
  <si>
    <t>ADFIT - Accel Amort FAS 109 Excess</t>
  </si>
  <si>
    <t>WS B - 1, Col B/C, ADIT Item 2.06</t>
  </si>
  <si>
    <t>1d</t>
  </si>
  <si>
    <r>
      <t>282</t>
    </r>
    <r>
      <rPr>
        <sz val="9"/>
        <color indexed="10"/>
        <rFont val="Arial"/>
        <family val="2"/>
      </rPr>
      <t>1</t>
    </r>
    <r>
      <rPr>
        <sz val="9"/>
        <rFont val="Arial"/>
        <family val="2"/>
      </rPr>
      <t>001</t>
    </r>
  </si>
  <si>
    <t>ADFIT - Utility Property</t>
  </si>
  <si>
    <t>WS B - 1 Cols O+P+Q+R+S , ADIT Item 5.59</t>
  </si>
  <si>
    <t>1e</t>
  </si>
  <si>
    <t>Unprotected</t>
  </si>
  <si>
    <t>10 Years</t>
  </si>
  <si>
    <t>1/2018 - 12/2027</t>
  </si>
  <si>
    <t>1f</t>
  </si>
  <si>
    <r>
      <t>282</t>
    </r>
    <r>
      <rPr>
        <sz val="9"/>
        <color indexed="10"/>
        <rFont val="Arial"/>
        <family val="2"/>
      </rPr>
      <t>4</t>
    </r>
    <r>
      <rPr>
        <sz val="9"/>
        <rFont val="Arial"/>
        <family val="2"/>
      </rPr>
      <t>001</t>
    </r>
  </si>
  <si>
    <t>ADFIT - Utility Property FAS 109 Excess</t>
  </si>
  <si>
    <t>WS B - 1 Col B/C, ADIT Item 5.59</t>
  </si>
  <si>
    <t>1g</t>
  </si>
  <si>
    <t>1h</t>
  </si>
  <si>
    <r>
      <t>283</t>
    </r>
    <r>
      <rPr>
        <sz val="9"/>
        <color indexed="10"/>
        <rFont val="Arial"/>
        <family val="2"/>
      </rPr>
      <t>1</t>
    </r>
    <r>
      <rPr>
        <sz val="9"/>
        <rFont val="Arial"/>
        <family val="2"/>
      </rPr>
      <t>001</t>
    </r>
  </si>
  <si>
    <t>ADFIT - Other Utility Deferrals</t>
  </si>
  <si>
    <t>WS B - 1 Col B/C, Items 10.25</t>
  </si>
  <si>
    <t>1i</t>
  </si>
  <si>
    <r>
      <t>283</t>
    </r>
    <r>
      <rPr>
        <sz val="9"/>
        <color indexed="10"/>
        <rFont val="Arial"/>
        <family val="2"/>
      </rPr>
      <t>4</t>
    </r>
    <r>
      <rPr>
        <sz val="9"/>
        <rFont val="Arial"/>
        <family val="2"/>
      </rPr>
      <t>001</t>
    </r>
  </si>
  <si>
    <t>ADFIT - Other FAS 109 Excess</t>
  </si>
  <si>
    <t>WS B - 1 Col B/C, Item 10.28</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</si>
  <si>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</si>
  <si>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</si>
  <si>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</si>
  <si>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</si>
  <si>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</si>
  <si>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</si>
  <si>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</si>
  <si>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</si>
  <si>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</si>
  <si>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</si>
  <si>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</si>
  <si>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</si>
  <si>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</si>
  <si>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</si>
  <si>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WS B - 1 Col Q, ADIT 5.59</t>
  </si>
  <si>
    <t>4c</t>
  </si>
  <si>
    <t>4d</t>
  </si>
  <si>
    <t>4e</t>
  </si>
  <si>
    <t>4f</t>
  </si>
  <si>
    <t>WS B - 1 Col Q, item 10.25</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</si>
  <si>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</si>
  <si>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</si>
  <si>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</si>
  <si>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</si>
  <si>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</si>
  <si>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</si>
  <si>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</si>
  <si>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</si>
  <si>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</si>
  <si>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</si>
  <si>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</si>
  <si>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</si>
  <si>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</si>
  <si>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</si>
  <si>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</si>
  <si>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9302005</t>
  </si>
  <si>
    <t>Nucl Fac Ins - Replce Engy Cst</t>
  </si>
  <si>
    <t>Gross Receipts Audit</t>
  </si>
  <si>
    <t>2021</t>
  </si>
  <si>
    <t>2019 Forecasted Revenue Requirement For Year 2019</t>
  </si>
  <si>
    <t>Appalachian Power Company</t>
  </si>
  <si>
    <t>Senior Unsecured Notes - Series F</t>
  </si>
  <si>
    <t>November 2004</t>
  </si>
  <si>
    <t>November 2014</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</si>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</sst>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mm/d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1">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ont>
    <font>
      <sz val="9"/>
      <color indexed="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83">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59"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5"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9"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9"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0" fontId="11" fillId="0" borderId="0"/>
    <xf numFmtId="3" fontId="11" fillId="0" borderId="0"/>
    <xf numFmtId="3" fontId="128" fillId="0" borderId="0"/>
    <xf numFmtId="3" fontId="11" fillId="0" borderId="0"/>
    <xf numFmtId="0" fontId="159"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60" fillId="0" borderId="0"/>
    <xf numFmtId="0" fontId="11" fillId="0" borderId="0"/>
    <xf numFmtId="0" fontId="11" fillId="0" borderId="0"/>
    <xf numFmtId="0" fontId="160"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 fillId="0" borderId="0"/>
    <xf numFmtId="0" fontId="11" fillId="0" borderId="0"/>
    <xf numFmtId="0" fontId="155"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3" fillId="0" borderId="0"/>
    <xf numFmtId="0" fontId="11" fillId="0" borderId="0"/>
    <xf numFmtId="0" fontId="153"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9"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9" fillId="0" borderId="0"/>
    <xf numFmtId="0" fontId="11" fillId="0" borderId="0"/>
    <xf numFmtId="0" fontId="159" fillId="0" borderId="0"/>
    <xf numFmtId="0" fontId="11" fillId="0" borderId="0"/>
    <xf numFmtId="0" fontId="159"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11"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5"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9"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68">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81" applyFont="1" applyFill="1" applyAlignment="1">
      <alignment horizontal="center"/>
    </xf>
    <xf numFmtId="0" fontId="14" fillId="0" borderId="0" xfId="281" applyFont="1" applyFill="1"/>
    <xf numFmtId="9" fontId="8" fillId="0" borderId="0" xfId="281" quotePrefix="1" applyNumberFormat="1" applyFont="1" applyFill="1" applyAlignment="1">
      <alignment horizontal="center"/>
    </xf>
    <xf numFmtId="0" fontId="16" fillId="0" borderId="0" xfId="281" applyFont="1" applyAlignment="1">
      <alignment horizontal="right"/>
    </xf>
    <xf numFmtId="0" fontId="16" fillId="0" borderId="0" xfId="281" applyFont="1" applyAlignment="1">
      <alignment horizontal="center"/>
    </xf>
    <xf numFmtId="0" fontId="16" fillId="0" borderId="0" xfId="281" applyFont="1" applyFill="1" applyAlignment="1">
      <alignment horizontal="center"/>
    </xf>
    <xf numFmtId="9" fontId="8" fillId="0" borderId="0" xfId="281"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281" applyFont="1" applyFill="1"/>
    <xf numFmtId="41" fontId="11" fillId="0" borderId="0" xfId="281" applyNumberFormat="1" applyFont="1" applyFill="1"/>
    <xf numFmtId="0" fontId="14" fillId="0" borderId="0" xfId="281" applyFont="1" applyFill="1" applyAlignment="1">
      <alignment horizontal="left"/>
    </xf>
    <xf numFmtId="3" fontId="11" fillId="0" borderId="0" xfId="0" applyNumberFormat="1" applyFont="1" applyFill="1"/>
    <xf numFmtId="0" fontId="4" fillId="0" borderId="0" xfId="281" applyFont="1" applyFill="1" applyAlignment="1">
      <alignment horizontal="right"/>
    </xf>
    <xf numFmtId="40" fontId="11" fillId="0" borderId="0" xfId="0" applyNumberFormat="1" applyFont="1" applyFill="1"/>
    <xf numFmtId="0" fontId="11" fillId="0" borderId="0" xfId="281" applyFont="1"/>
    <xf numFmtId="0" fontId="4" fillId="0" borderId="0" xfId="281" applyFont="1" applyFill="1"/>
    <xf numFmtId="0" fontId="8" fillId="0" borderId="0" xfId="281" applyFont="1" applyFill="1" applyBorder="1" applyAlignment="1">
      <alignment horizontal="left"/>
    </xf>
    <xf numFmtId="0" fontId="8" fillId="0" borderId="0" xfId="281" applyFont="1" applyFill="1" applyBorder="1"/>
    <xf numFmtId="0" fontId="11" fillId="0" borderId="0" xfId="281" applyFont="1" applyAlignment="1">
      <alignment horizontal="left"/>
    </xf>
    <xf numFmtId="0" fontId="5" fillId="0" borderId="0" xfId="281"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81" applyNumberFormat="1" applyFont="1" applyFill="1" applyBorder="1"/>
    <xf numFmtId="0" fontId="27" fillId="0" borderId="0" xfId="281" applyFont="1" applyFill="1" applyAlignment="1">
      <alignment horizontal="left"/>
    </xf>
    <xf numFmtId="0" fontId="25" fillId="0" borderId="0" xfId="281" applyFont="1" applyFill="1"/>
    <xf numFmtId="41" fontId="25" fillId="0" borderId="0" xfId="281" applyNumberFormat="1" applyFont="1" applyFill="1" applyBorder="1" applyAlignment="1">
      <alignment vertical="top"/>
    </xf>
    <xf numFmtId="181" fontId="25" fillId="0" borderId="0" xfId="281" applyNumberFormat="1" applyFont="1" applyFill="1"/>
    <xf numFmtId="41" fontId="25" fillId="0" borderId="0" xfId="281" applyNumberFormat="1" applyFont="1" applyFill="1" applyBorder="1"/>
    <xf numFmtId="0" fontId="25" fillId="0" borderId="0" xfId="281" applyFont="1" applyFill="1" applyAlignment="1">
      <alignment horizontal="left"/>
    </xf>
    <xf numFmtId="0" fontId="28" fillId="0" borderId="0" xfId="281" applyFont="1" applyFill="1" applyBorder="1"/>
    <xf numFmtId="0" fontId="25" fillId="0" borderId="0" xfId="281" applyFont="1" applyFill="1" applyAlignment="1">
      <alignment horizontal="center"/>
    </xf>
    <xf numFmtId="0" fontId="9" fillId="0" borderId="0" xfId="281" applyFont="1" applyFill="1" applyAlignment="1">
      <alignment horizontal="center"/>
    </xf>
    <xf numFmtId="173" fontId="25" fillId="0" borderId="0" xfId="281" applyNumberFormat="1" applyFont="1" applyFill="1"/>
    <xf numFmtId="173" fontId="25" fillId="0" borderId="0" xfId="281" applyNumberFormat="1" applyFont="1" applyFill="1" applyBorder="1" applyAlignment="1">
      <alignment vertical="top"/>
    </xf>
    <xf numFmtId="41" fontId="25" fillId="0" borderId="13" xfId="281" applyNumberFormat="1" applyFont="1" applyFill="1" applyBorder="1"/>
    <xf numFmtId="173" fontId="5" fillId="0" borderId="0" xfId="86" applyNumberFormat="1" applyFont="1" applyFill="1" applyAlignment="1">
      <alignment horizontal="center"/>
    </xf>
    <xf numFmtId="0" fontId="4" fillId="0" borderId="0" xfId="281" applyFont="1" applyFill="1" applyAlignment="1">
      <alignment horizontal="center"/>
    </xf>
    <xf numFmtId="0" fontId="29" fillId="0" borderId="0" xfId="281" applyFont="1" applyFill="1" applyBorder="1"/>
    <xf numFmtId="0" fontId="9" fillId="0" borderId="0" xfId="281" applyFont="1" applyAlignment="1">
      <alignment horizontal="center"/>
    </xf>
    <xf numFmtId="41" fontId="4" fillId="0" borderId="13" xfId="281"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81" applyNumberFormat="1" applyFont="1" applyFill="1"/>
    <xf numFmtId="3" fontId="4" fillId="0" borderId="0" xfId="0" applyNumberFormat="1" applyFont="1" applyFill="1" applyAlignment="1"/>
    <xf numFmtId="41" fontId="26" fillId="25" borderId="0" xfId="281" applyNumberFormat="1" applyFont="1" applyFill="1" applyBorder="1"/>
    <xf numFmtId="0" fontId="6" fillId="0" borderId="0" xfId="236" applyFont="1" applyFill="1" applyBorder="1" applyAlignment="1">
      <alignment horizontal="left"/>
    </xf>
    <xf numFmtId="0" fontId="11" fillId="0" borderId="0" xfId="236" applyFont="1" applyBorder="1" applyAlignment="1"/>
    <xf numFmtId="0" fontId="11" fillId="0" borderId="0" xfId="236" applyFont="1" applyBorder="1" applyAlignment="1">
      <alignment horizontal="center"/>
    </xf>
    <xf numFmtId="0" fontId="11" fillId="0" borderId="0" xfId="236" applyFont="1" applyBorder="1"/>
    <xf numFmtId="0" fontId="11" fillId="0" borderId="0" xfId="236" applyNumberFormat="1" applyFont="1" applyFill="1" applyBorder="1" applyAlignment="1">
      <alignment horizontal="left"/>
    </xf>
    <xf numFmtId="0" fontId="8" fillId="0" borderId="0" xfId="236" applyNumberFormat="1" applyFont="1" applyFill="1" applyBorder="1" applyAlignment="1">
      <alignment horizontal="left"/>
    </xf>
    <xf numFmtId="0" fontId="11" fillId="0" borderId="0" xfId="236" applyFont="1" applyFill="1" applyBorder="1" applyAlignment="1">
      <alignment horizontal="center" wrapText="1"/>
    </xf>
    <xf numFmtId="3" fontId="11" fillId="0" borderId="0" xfId="236" applyNumberFormat="1" applyFont="1" applyFill="1" applyBorder="1" applyAlignment="1"/>
    <xf numFmtId="0" fontId="11" fillId="0" borderId="0" xfId="236" applyFont="1" applyFill="1" applyBorder="1" applyAlignment="1"/>
    <xf numFmtId="0" fontId="11" fillId="0" borderId="0" xfId="236"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36" applyFont="1" applyFill="1" applyBorder="1" applyAlignment="1"/>
    <xf numFmtId="0" fontId="11" fillId="0" borderId="0" xfId="236" applyFont="1" applyFill="1" applyBorder="1"/>
    <xf numFmtId="0" fontId="8" fillId="0" borderId="0" xfId="236" applyFont="1" applyBorder="1" applyAlignment="1"/>
    <xf numFmtId="0" fontId="8" fillId="0" borderId="0" xfId="236" applyNumberFormat="1" applyFont="1" applyFill="1" applyBorder="1" applyAlignment="1">
      <alignment horizontal="center"/>
    </xf>
    <xf numFmtId="164" fontId="11" fillId="0" borderId="0" xfId="304" applyNumberFormat="1" applyFont="1" applyFill="1" applyBorder="1" applyAlignment="1"/>
    <xf numFmtId="173" fontId="11" fillId="0" borderId="0" xfId="91" applyNumberFormat="1" applyFont="1" applyFill="1" applyBorder="1" applyAlignment="1">
      <alignment horizontal="left"/>
    </xf>
    <xf numFmtId="0" fontId="11" fillId="0" borderId="0" xfId="236" applyFont="1" applyFill="1" applyBorder="1" applyAlignment="1">
      <alignment horizontal="center"/>
    </xf>
    <xf numFmtId="3" fontId="11" fillId="0" borderId="0" xfId="236" applyNumberFormat="1" applyFont="1" applyFill="1" applyBorder="1" applyAlignment="1">
      <alignment horizontal="right"/>
    </xf>
    <xf numFmtId="3" fontId="11" fillId="0" borderId="0" xfId="236"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81" applyFont="1" applyFill="1"/>
    <xf numFmtId="0" fontId="16" fillId="0" borderId="0" xfId="236" applyFont="1" applyFill="1" applyBorder="1" applyAlignment="1">
      <alignment horizontal="left"/>
    </xf>
    <xf numFmtId="0" fontId="8" fillId="0" borderId="0" xfId="236" applyFont="1" applyFill="1" applyBorder="1" applyAlignment="1">
      <alignment horizontal="left"/>
    </xf>
    <xf numFmtId="0" fontId="8" fillId="0" borderId="0" xfId="236" applyFont="1" applyFill="1" applyBorder="1" applyAlignment="1">
      <alignment horizontal="center"/>
    </xf>
    <xf numFmtId="173" fontId="11" fillId="0" borderId="14" xfId="91" applyNumberFormat="1" applyFont="1" applyFill="1" applyBorder="1" applyAlignment="1">
      <alignment horizontal="right"/>
    </xf>
    <xf numFmtId="0" fontId="8" fillId="0" borderId="0" xfId="236" applyFont="1" applyBorder="1" applyAlignment="1">
      <alignment horizontal="center"/>
    </xf>
    <xf numFmtId="0" fontId="11" fillId="0" borderId="0" xfId="281" applyFont="1" applyAlignment="1">
      <alignment horizontal="center"/>
    </xf>
    <xf numFmtId="0" fontId="4" fillId="0" borderId="0" xfId="236" applyFont="1" applyBorder="1" applyAlignment="1">
      <alignment horizontal="center"/>
    </xf>
    <xf numFmtId="49" fontId="4" fillId="0" borderId="0" xfId="281" applyNumberFormat="1" applyFont="1" applyAlignment="1">
      <alignment horizontal="center"/>
    </xf>
    <xf numFmtId="0" fontId="0" fillId="0" borderId="0" xfId="0" applyAlignment="1">
      <alignment horizontal="right"/>
    </xf>
    <xf numFmtId="0" fontId="8" fillId="0" borderId="0" xfId="236"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5" fontId="17" fillId="0" borderId="0" xfId="291" applyNumberFormat="1" applyFont="1"/>
    <xf numFmtId="0" fontId="70" fillId="0" borderId="0" xfId="291" applyFont="1"/>
    <xf numFmtId="185" fontId="17" fillId="0" borderId="0" xfId="291" applyNumberFormat="1" applyFont="1" applyAlignment="1">
      <alignment horizontal="center"/>
    </xf>
    <xf numFmtId="0" fontId="11" fillId="0" borderId="0" xfId="291" applyFont="1"/>
    <xf numFmtId="0" fontId="17" fillId="0" borderId="0" xfId="291" applyFont="1"/>
    <xf numFmtId="0" fontId="17" fillId="0" borderId="0" xfId="291" applyNumberFormat="1" applyFont="1" applyAlignment="1">
      <alignment horizontal="center"/>
    </xf>
    <xf numFmtId="0" fontId="17" fillId="0" borderId="0" xfId="291" applyNumberFormat="1" applyFont="1"/>
    <xf numFmtId="0" fontId="17" fillId="0" borderId="0" xfId="291" applyNumberFormat="1" applyFont="1" applyBorder="1" applyAlignment="1">
      <alignment horizontal="center"/>
    </xf>
    <xf numFmtId="185" fontId="71" fillId="0" borderId="0" xfId="291" applyNumberFormat="1" applyFont="1"/>
    <xf numFmtId="0" fontId="72" fillId="0" borderId="0" xfId="291" applyFont="1"/>
    <xf numFmtId="173" fontId="70" fillId="0" borderId="0" xfId="291" applyNumberFormat="1" applyFont="1"/>
    <xf numFmtId="0" fontId="73" fillId="0" borderId="0" xfId="291" applyFont="1"/>
    <xf numFmtId="185" fontId="11" fillId="0" borderId="0" xfId="291" applyNumberFormat="1" applyFont="1"/>
    <xf numFmtId="0" fontId="74" fillId="0" borderId="0" xfId="288" applyFont="1" applyFill="1" applyAlignment="1">
      <alignment horizontal="center"/>
    </xf>
    <xf numFmtId="0" fontId="74" fillId="0" borderId="0" xfId="288" applyFont="1" applyFill="1" applyAlignment="1">
      <alignment horizontal="left" indent="2"/>
    </xf>
    <xf numFmtId="39" fontId="74" fillId="0" borderId="0" xfId="288" applyNumberFormat="1" applyFont="1" applyFill="1"/>
    <xf numFmtId="0" fontId="70" fillId="0" borderId="0" xfId="291" applyFont="1" applyFill="1"/>
    <xf numFmtId="0" fontId="11" fillId="0" borderId="0" xfId="291" applyNumberFormat="1" applyFont="1" applyAlignment="1">
      <alignment horizontal="center"/>
    </xf>
    <xf numFmtId="0" fontId="11" fillId="0" borderId="0" xfId="291" applyNumberFormat="1" applyFont="1"/>
    <xf numFmtId="43" fontId="70" fillId="0" borderId="0" xfId="86" applyFont="1"/>
    <xf numFmtId="173" fontId="75" fillId="0" borderId="0" xfId="291" applyNumberFormat="1" applyFont="1"/>
    <xf numFmtId="185" fontId="4" fillId="0" borderId="0" xfId="291"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91" applyNumberFormat="1" applyFont="1" applyBorder="1"/>
    <xf numFmtId="10" fontId="4" fillId="0" borderId="14" xfId="0" applyNumberFormat="1" applyFont="1" applyFill="1" applyBorder="1" applyAlignment="1"/>
    <xf numFmtId="0" fontId="78" fillId="0" borderId="0" xfId="291" applyFont="1" applyAlignment="1">
      <alignment horizontal="center"/>
    </xf>
    <xf numFmtId="173" fontId="0" fillId="0" borderId="0" xfId="86" applyNumberFormat="1" applyFont="1" applyFill="1"/>
    <xf numFmtId="173" fontId="0" fillId="0" borderId="0" xfId="0" applyNumberFormat="1"/>
    <xf numFmtId="41" fontId="11" fillId="0" borderId="0" xfId="281" applyNumberFormat="1" applyFont="1"/>
    <xf numFmtId="173" fontId="11" fillId="0" borderId="0" xfId="86" applyNumberFormat="1" applyFont="1" applyFill="1"/>
    <xf numFmtId="0" fontId="8" fillId="0" borderId="0" xfId="281" applyFont="1" applyAlignment="1">
      <alignment horizontal="center" wrapText="1"/>
    </xf>
    <xf numFmtId="38" fontId="11" fillId="0" borderId="0" xfId="0" applyNumberFormat="1" applyFont="1" applyFill="1" applyBorder="1" applyAlignment="1">
      <alignment horizontal="center"/>
    </xf>
    <xf numFmtId="0" fontId="1" fillId="0" borderId="0" xfId="281" applyFill="1" applyAlignment="1">
      <alignment horizontal="left"/>
    </xf>
    <xf numFmtId="0" fontId="79" fillId="0" borderId="0" xfId="281" applyFont="1" applyFill="1" applyBorder="1" applyAlignment="1">
      <alignment horizontal="left"/>
    </xf>
    <xf numFmtId="0" fontId="1" fillId="0" borderId="0" xfId="281" applyFill="1"/>
    <xf numFmtId="0" fontId="79" fillId="0" borderId="0" xfId="281" applyFont="1" applyFill="1" applyBorder="1"/>
    <xf numFmtId="0" fontId="68" fillId="0" borderId="0" xfId="281"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36" applyNumberFormat="1" applyFont="1" applyFill="1" applyBorder="1" applyAlignment="1">
      <alignment horizontal="left"/>
    </xf>
    <xf numFmtId="38" fontId="11" fillId="0" borderId="0" xfId="236" applyNumberFormat="1" applyFont="1" applyFill="1" applyBorder="1" applyAlignment="1">
      <alignment horizontal="right"/>
    </xf>
    <xf numFmtId="0" fontId="11" fillId="0" borderId="0" xfId="236"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36" applyFont="1" applyBorder="1" applyAlignment="1">
      <alignment horizontal="center"/>
    </xf>
    <xf numFmtId="38" fontId="7" fillId="0" borderId="0" xfId="236" applyNumberFormat="1" applyFont="1" applyFill="1" applyBorder="1" applyAlignment="1"/>
    <xf numFmtId="173" fontId="7" fillId="0" borderId="14" xfId="86" applyNumberFormat="1" applyFont="1" applyFill="1" applyBorder="1" applyAlignment="1"/>
    <xf numFmtId="0" fontId="11" fillId="0" borderId="14" xfId="236" applyNumberFormat="1" applyFont="1" applyFill="1" applyBorder="1" applyAlignment="1">
      <alignment horizontal="left"/>
    </xf>
    <xf numFmtId="0" fontId="17" fillId="0" borderId="0" xfId="291" applyNumberFormat="1" applyFont="1" applyFill="1" applyAlignment="1">
      <alignment horizontal="center"/>
    </xf>
    <xf numFmtId="0" fontId="11" fillId="0" borderId="0" xfId="291" applyNumberFormat="1" applyFont="1" applyFill="1"/>
    <xf numFmtId="41" fontId="70" fillId="0" borderId="0" xfId="291" applyNumberFormat="1" applyFont="1" applyFill="1"/>
    <xf numFmtId="41" fontId="70" fillId="0" borderId="0" xfId="291" applyNumberFormat="1" applyFont="1" applyFill="1" applyBorder="1"/>
    <xf numFmtId="173" fontId="70" fillId="0" borderId="0" xfId="291" applyNumberFormat="1" applyFont="1" applyFill="1"/>
    <xf numFmtId="10" fontId="70" fillId="0" borderId="11" xfId="300" applyNumberFormat="1" applyFont="1" applyFill="1" applyBorder="1"/>
    <xf numFmtId="173" fontId="70" fillId="0" borderId="0" xfId="86" applyNumberFormat="1" applyFont="1" applyFill="1"/>
    <xf numFmtId="3" fontId="3" fillId="0" borderId="0" xfId="0" applyNumberFormat="1" applyFont="1" applyAlignment="1">
      <alignment horizontal="center"/>
    </xf>
    <xf numFmtId="10" fontId="11" fillId="0" borderId="0" xfId="300"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300" applyNumberFormat="1" applyFont="1"/>
    <xf numFmtId="174" fontId="1" fillId="0" borderId="0" xfId="12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81" applyFont="1"/>
    <xf numFmtId="0" fontId="1" fillId="0" borderId="0" xfId="281" applyAlignment="1">
      <alignment horizontal="left"/>
    </xf>
    <xf numFmtId="0" fontId="1" fillId="0" borderId="0" xfId="281"/>
    <xf numFmtId="0" fontId="14" fillId="0" borderId="0" xfId="281" applyFont="1" applyAlignment="1">
      <alignment horizontal="left"/>
    </xf>
    <xf numFmtId="173" fontId="11" fillId="0" borderId="0" xfId="236" applyNumberFormat="1" applyFont="1" applyFill="1" applyBorder="1"/>
    <xf numFmtId="0" fontId="11" fillId="25" borderId="0" xfId="236" applyNumberFormat="1" applyFont="1" applyFill="1" applyBorder="1" applyAlignment="1">
      <alignment horizontal="center"/>
    </xf>
    <xf numFmtId="0" fontId="8" fillId="25" borderId="0" xfId="236" applyNumberFormat="1" applyFont="1" applyFill="1" applyBorder="1" applyAlignment="1">
      <alignment horizontal="left"/>
    </xf>
    <xf numFmtId="0" fontId="7" fillId="25" borderId="0" xfId="236" applyFont="1" applyFill="1" applyBorder="1" applyAlignment="1"/>
    <xf numFmtId="0" fontId="11" fillId="25" borderId="0" xfId="236" applyNumberFormat="1" applyFont="1" applyFill="1" applyBorder="1" applyAlignment="1">
      <alignment horizontal="left"/>
    </xf>
    <xf numFmtId="0" fontId="11" fillId="25" borderId="0" xfId="236"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304" applyNumberFormat="1" applyFont="1" applyFill="1" applyBorder="1" applyAlignment="1"/>
    <xf numFmtId="173" fontId="11" fillId="25" borderId="0" xfId="91" applyNumberFormat="1" applyFont="1" applyFill="1" applyBorder="1" applyAlignment="1">
      <alignment horizontal="left"/>
    </xf>
    <xf numFmtId="0" fontId="14" fillId="0" borderId="0" xfId="281" applyFont="1" applyAlignment="1"/>
    <xf numFmtId="0" fontId="12" fillId="0" borderId="0" xfId="0" applyFont="1" applyBorder="1"/>
    <xf numFmtId="0" fontId="16" fillId="0" borderId="0" xfId="236" applyFont="1" applyFill="1" applyBorder="1" applyAlignment="1">
      <alignment horizontal="center"/>
    </xf>
    <xf numFmtId="0" fontId="12" fillId="0" borderId="0" xfId="236"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81" applyFont="1" applyFill="1"/>
    <xf numFmtId="0" fontId="82" fillId="0" borderId="0" xfId="281" applyFont="1" applyFill="1"/>
    <xf numFmtId="9" fontId="9" fillId="0" borderId="0" xfId="281" quotePrefix="1" applyNumberFormat="1" applyFont="1" applyFill="1" applyAlignment="1">
      <alignment horizontal="center"/>
    </xf>
    <xf numFmtId="0" fontId="3" fillId="0" borderId="0" xfId="291" applyNumberFormat="1" applyFont="1" applyAlignment="1">
      <alignment horizontal="center"/>
    </xf>
    <xf numFmtId="0" fontId="3" fillId="0" borderId="0" xfId="291" applyNumberFormat="1" applyFont="1"/>
    <xf numFmtId="185" fontId="3" fillId="0" borderId="0" xfId="291" applyNumberFormat="1" applyFont="1" applyAlignment="1">
      <alignment horizontal="center"/>
    </xf>
    <xf numFmtId="0" fontId="8" fillId="0" borderId="0" xfId="291" applyFont="1"/>
    <xf numFmtId="0" fontId="3" fillId="0" borderId="11" xfId="291" applyNumberFormat="1" applyFont="1" applyBorder="1" applyAlignment="1">
      <alignment horizontal="center"/>
    </xf>
    <xf numFmtId="185" fontId="3" fillId="0" borderId="11" xfId="291" applyNumberFormat="1" applyFont="1" applyBorder="1" applyAlignment="1">
      <alignment horizontal="center"/>
    </xf>
    <xf numFmtId="0" fontId="73" fillId="0" borderId="11" xfId="291" applyFont="1" applyBorder="1" applyAlignment="1">
      <alignment horizontal="center"/>
    </xf>
    <xf numFmtId="0" fontId="8" fillId="0" borderId="0" xfId="291" applyFont="1" applyAlignment="1">
      <alignment horizontal="center"/>
    </xf>
    <xf numFmtId="0" fontId="83" fillId="0" borderId="0" xfId="291" applyFont="1" applyFill="1"/>
    <xf numFmtId="6" fontId="11" fillId="0" borderId="0" xfId="0" applyNumberFormat="1" applyFont="1" applyAlignment="1">
      <alignment horizontal="right"/>
    </xf>
    <xf numFmtId="174" fontId="0" fillId="0" borderId="0" xfId="129"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73" fontId="85" fillId="0" borderId="0" xfId="86" applyNumberFormat="1" applyFont="1" applyFill="1"/>
    <xf numFmtId="173" fontId="70" fillId="0" borderId="0" xfId="86" applyNumberFormat="1" applyFont="1" applyFill="1" applyBorder="1"/>
    <xf numFmtId="9" fontId="70" fillId="0" borderId="0" xfId="300" applyFont="1" applyFill="1"/>
    <xf numFmtId="41" fontId="86" fillId="26" borderId="0" xfId="291" applyNumberFormat="1" applyFont="1" applyFill="1"/>
    <xf numFmtId="41" fontId="86" fillId="26" borderId="0" xfId="291" applyNumberFormat="1" applyFont="1" applyFill="1" applyBorder="1"/>
    <xf numFmtId="10" fontId="70" fillId="0" borderId="0" xfId="300" applyNumberFormat="1" applyFont="1" applyFill="1"/>
    <xf numFmtId="10" fontId="70" fillId="0" borderId="0" xfId="300" applyNumberFormat="1" applyFont="1" applyFill="1" applyBorder="1"/>
    <xf numFmtId="0" fontId="90" fillId="0" borderId="0" xfId="0" applyFont="1" applyBorder="1" applyAlignment="1">
      <alignment horizontal="center"/>
    </xf>
    <xf numFmtId="0" fontId="89" fillId="0" borderId="0" xfId="281" applyFont="1" applyFill="1" applyAlignment="1">
      <alignment horizontal="center"/>
    </xf>
    <xf numFmtId="173" fontId="11" fillId="0" borderId="0" xfId="291" applyNumberFormat="1" applyFont="1"/>
    <xf numFmtId="164" fontId="70" fillId="0" borderId="0" xfId="300" applyNumberFormat="1" applyFont="1" applyFill="1"/>
    <xf numFmtId="0" fontId="4" fillId="0" borderId="0" xfId="291" applyFont="1"/>
    <xf numFmtId="173" fontId="4" fillId="0" borderId="0" xfId="291" applyNumberFormat="1" applyFont="1"/>
    <xf numFmtId="164" fontId="0" fillId="0" borderId="0" xfId="300" applyNumberFormat="1" applyFont="1"/>
    <xf numFmtId="173" fontId="93" fillId="0" borderId="0" xfId="291" applyNumberFormat="1" applyFont="1" applyFill="1" applyBorder="1"/>
    <xf numFmtId="0" fontId="22" fillId="0" borderId="0" xfId="281" applyFont="1" applyFill="1" applyAlignment="1">
      <alignment horizontal="center"/>
    </xf>
    <xf numFmtId="37" fontId="11" fillId="0" borderId="15" xfId="0" applyNumberFormat="1" applyFont="1" applyFill="1" applyBorder="1"/>
    <xf numFmtId="37" fontId="11" fillId="0" borderId="0" xfId="236" applyNumberFormat="1" applyFont="1" applyFill="1" applyBorder="1" applyAlignment="1">
      <alignment horizontal="right"/>
    </xf>
    <xf numFmtId="37" fontId="7" fillId="0" borderId="0" xfId="236" applyNumberFormat="1" applyFont="1" applyFill="1" applyBorder="1" applyAlignment="1"/>
    <xf numFmtId="0" fontId="96" fillId="0" borderId="0" xfId="281"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300" applyFont="1"/>
    <xf numFmtId="0" fontId="98" fillId="0" borderId="0" xfId="0" applyFont="1" applyAlignment="1">
      <alignment horizontal="center" wrapText="1"/>
    </xf>
    <xf numFmtId="0" fontId="17" fillId="0" borderId="0" xfId="288" applyFont="1" applyFill="1" applyAlignment="1">
      <alignment horizontal="center"/>
    </xf>
    <xf numFmtId="0" fontId="31" fillId="0" borderId="0" xfId="281" applyFont="1" applyFill="1" applyAlignment="1">
      <alignment horizontal="left"/>
    </xf>
    <xf numFmtId="0" fontId="31" fillId="0" borderId="0" xfId="281" applyFont="1" applyFill="1"/>
    <xf numFmtId="0" fontId="100" fillId="0" borderId="0" xfId="281" applyFont="1" applyFill="1" applyAlignment="1">
      <alignment horizontal="center"/>
    </xf>
    <xf numFmtId="0" fontId="101" fillId="0" borderId="0" xfId="281" applyFont="1" applyFill="1" applyBorder="1"/>
    <xf numFmtId="189" fontId="102" fillId="0" borderId="0" xfId="236"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36" applyNumberFormat="1" applyFont="1" applyBorder="1" applyAlignment="1">
      <alignment horizontal="center"/>
    </xf>
    <xf numFmtId="0" fontId="103" fillId="0" borderId="0" xfId="291" applyFont="1" applyFill="1"/>
    <xf numFmtId="41" fontId="103" fillId="0" borderId="0" xfId="291" applyNumberFormat="1" applyFont="1" applyFill="1"/>
    <xf numFmtId="41" fontId="103" fillId="0" borderId="0" xfId="291"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81" applyFont="1" applyFill="1" applyBorder="1" applyAlignment="1">
      <alignment horizontal="center"/>
    </xf>
    <xf numFmtId="0" fontId="4" fillId="0" borderId="0" xfId="0" applyFont="1" applyBorder="1" applyAlignment="1">
      <alignment horizontal="center"/>
    </xf>
    <xf numFmtId="0" fontId="3" fillId="0" borderId="0" xfId="291" applyNumberFormat="1" applyFont="1" applyBorder="1" applyAlignment="1">
      <alignment horizontal="center"/>
    </xf>
    <xf numFmtId="0" fontId="11" fillId="0" borderId="0" xfId="291" applyFont="1" applyBorder="1"/>
    <xf numFmtId="0" fontId="3" fillId="0" borderId="11" xfId="291" applyNumberFormat="1" applyFont="1" applyBorder="1"/>
    <xf numFmtId="185" fontId="3" fillId="0" borderId="0" xfId="291" applyNumberFormat="1" applyFont="1" applyBorder="1" applyAlignment="1">
      <alignment horizontal="center"/>
    </xf>
    <xf numFmtId="0" fontId="11" fillId="0" borderId="0" xfId="291" applyFont="1" applyFill="1"/>
    <xf numFmtId="0" fontId="70" fillId="0" borderId="0" xfId="291" applyFont="1" applyAlignment="1">
      <alignment horizontal="center"/>
    </xf>
    <xf numFmtId="173" fontId="77" fillId="0" borderId="0" xfId="291" applyNumberFormat="1" applyFont="1" applyFill="1" applyBorder="1"/>
    <xf numFmtId="0" fontId="17" fillId="0" borderId="0" xfId="291" applyFont="1" applyFill="1"/>
    <xf numFmtId="3" fontId="77" fillId="0" borderId="0" xfId="291" applyNumberFormat="1" applyFont="1" applyFill="1" applyBorder="1"/>
    <xf numFmtId="173" fontId="77" fillId="0" borderId="0" xfId="291" applyNumberFormat="1" applyFont="1" applyFill="1"/>
    <xf numFmtId="0" fontId="0" fillId="0" borderId="0" xfId="0" applyBorder="1" applyAlignment="1">
      <alignment horizontal="center"/>
    </xf>
    <xf numFmtId="0" fontId="70" fillId="0" borderId="0" xfId="291" applyFont="1" applyFill="1" applyBorder="1"/>
    <xf numFmtId="173" fontId="70" fillId="0" borderId="0" xfId="291" applyNumberFormat="1" applyFont="1" applyFill="1" applyBorder="1"/>
    <xf numFmtId="0" fontId="21" fillId="0" borderId="0" xfId="281" applyFont="1" applyFill="1" applyBorder="1"/>
    <xf numFmtId="38" fontId="25" fillId="0" borderId="13" xfId="281" applyNumberFormat="1" applyFont="1" applyFill="1" applyBorder="1" applyAlignment="1">
      <alignment horizontal="right"/>
    </xf>
    <xf numFmtId="0" fontId="31" fillId="0" borderId="0" xfId="281" applyFont="1" applyAlignment="1">
      <alignment horizontal="center"/>
    </xf>
    <xf numFmtId="0" fontId="74" fillId="0" borderId="0" xfId="291" applyNumberFormat="1" applyFont="1" applyFill="1"/>
    <xf numFmtId="10" fontId="2" fillId="0" borderId="0" xfId="293" applyNumberFormat="1" applyProtection="1"/>
    <xf numFmtId="10" fontId="2" fillId="0" borderId="16" xfId="293" applyNumberFormat="1" applyBorder="1" applyProtection="1"/>
    <xf numFmtId="194" fontId="2" fillId="0" borderId="16" xfId="293" applyNumberFormat="1" applyBorder="1" applyProtection="1"/>
    <xf numFmtId="176" fontId="2" fillId="0" borderId="16" xfId="293" applyNumberFormat="1" applyBorder="1" applyProtection="1"/>
    <xf numFmtId="193" fontId="2" fillId="0" borderId="16" xfId="293" applyNumberFormat="1" applyBorder="1" applyProtection="1"/>
    <xf numFmtId="196" fontId="2" fillId="0" borderId="0" xfId="293" applyNumberFormat="1" applyProtection="1"/>
    <xf numFmtId="176" fontId="2" fillId="0" borderId="0" xfId="293" applyNumberFormat="1" applyProtection="1"/>
    <xf numFmtId="193" fontId="2" fillId="0" borderId="0" xfId="293" applyNumberFormat="1" applyProtection="1"/>
    <xf numFmtId="10" fontId="116" fillId="0" borderId="0" xfId="293" applyNumberFormat="1" applyFont="1" applyProtection="1"/>
    <xf numFmtId="173" fontId="119" fillId="0" borderId="0" xfId="0" applyNumberFormat="1" applyFont="1"/>
    <xf numFmtId="0" fontId="106" fillId="0" borderId="0" xfId="236" applyFont="1" applyFill="1" applyBorder="1" applyAlignment="1">
      <alignment horizontal="center"/>
    </xf>
    <xf numFmtId="0" fontId="98" fillId="0" borderId="0" xfId="236" applyFont="1" applyFill="1" applyBorder="1" applyAlignment="1">
      <alignment horizontal="left"/>
    </xf>
    <xf numFmtId="0" fontId="31" fillId="0" borderId="0" xfId="236" applyNumberFormat="1" applyFont="1" applyFill="1" applyBorder="1" applyAlignment="1">
      <alignment horizontal="center"/>
    </xf>
    <xf numFmtId="0" fontId="31" fillId="0" borderId="0" xfId="236" applyNumberFormat="1" applyFont="1" applyFill="1" applyBorder="1" applyAlignment="1">
      <alignment horizontal="left"/>
    </xf>
    <xf numFmtId="0" fontId="31" fillId="0" borderId="0" xfId="236" applyFont="1" applyFill="1" applyBorder="1" applyAlignment="1"/>
    <xf numFmtId="0" fontId="31" fillId="0" borderId="0" xfId="236" applyFont="1" applyFill="1" applyBorder="1" applyAlignment="1">
      <alignment horizontal="center"/>
    </xf>
    <xf numFmtId="0" fontId="31" fillId="0" borderId="0" xfId="236" applyFont="1" applyBorder="1"/>
    <xf numFmtId="0" fontId="31" fillId="0" borderId="0" xfId="236" applyFont="1" applyFill="1" applyBorder="1"/>
    <xf numFmtId="3" fontId="31" fillId="0" borderId="0" xfId="236" applyNumberFormat="1" applyFont="1" applyFill="1" applyBorder="1" applyAlignment="1"/>
    <xf numFmtId="0" fontId="106" fillId="0" borderId="0" xfId="236" applyFont="1" applyFill="1" applyBorder="1"/>
    <xf numFmtId="38" fontId="11" fillId="0" borderId="0" xfId="0" applyNumberFormat="1" applyFont="1" applyBorder="1"/>
    <xf numFmtId="0" fontId="31" fillId="0" borderId="0" xfId="281" applyFont="1" applyFill="1" applyBorder="1"/>
    <xf numFmtId="0" fontId="118" fillId="0" borderId="0" xfId="281" applyFont="1" applyFill="1" applyAlignment="1">
      <alignment horizontal="center"/>
    </xf>
    <xf numFmtId="0" fontId="11" fillId="0" borderId="0" xfId="281"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81"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91" applyNumberFormat="1" applyFont="1" applyFill="1" applyBorder="1"/>
    <xf numFmtId="0" fontId="70" fillId="31" borderId="0" xfId="291" applyFont="1" applyFill="1" applyAlignment="1">
      <alignment horizontal="center"/>
    </xf>
    <xf numFmtId="174" fontId="0" fillId="0" borderId="0" xfId="129" applyNumberFormat="1" applyFont="1"/>
    <xf numFmtId="0" fontId="11" fillId="0" borderId="0" xfId="281" applyFont="1" applyFill="1" applyAlignment="1">
      <alignment horizontal="center"/>
    </xf>
    <xf numFmtId="3" fontId="31" fillId="31" borderId="0" xfId="236" applyNumberFormat="1" applyFont="1" applyFill="1" applyBorder="1" applyAlignment="1"/>
    <xf numFmtId="0" fontId="4" fillId="31" borderId="0" xfId="0" applyFont="1" applyFill="1"/>
    <xf numFmtId="10" fontId="11" fillId="0" borderId="0" xfId="300"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300" applyNumberFormat="1" applyFont="1" applyFill="1"/>
    <xf numFmtId="0" fontId="73" fillId="0" borderId="0" xfId="291" applyFont="1" applyFill="1"/>
    <xf numFmtId="41" fontId="70" fillId="31" borderId="0" xfId="291" applyNumberFormat="1" applyFont="1" applyFill="1"/>
    <xf numFmtId="0" fontId="70" fillId="31" borderId="0" xfId="291" applyFont="1" applyFill="1"/>
    <xf numFmtId="10" fontId="70" fillId="31" borderId="0" xfId="300" applyNumberFormat="1" applyFont="1" applyFill="1" applyBorder="1"/>
    <xf numFmtId="10" fontId="2" fillId="0" borderId="0" xfId="293" applyNumberFormat="1" applyBorder="1" applyProtection="1"/>
    <xf numFmtId="172" fontId="2" fillId="0" borderId="0" xfId="290" applyFont="1" applyAlignment="1" applyProtection="1"/>
    <xf numFmtId="172" fontId="4" fillId="0" borderId="0" xfId="290" applyFont="1" applyAlignment="1" applyProtection="1"/>
    <xf numFmtId="0" fontId="0" fillId="0" borderId="0" xfId="0" applyBorder="1" applyProtection="1"/>
    <xf numFmtId="0" fontId="5" fillId="0" borderId="0" xfId="290" applyNumberFormat="1" applyFont="1" applyBorder="1" applyAlignment="1" applyProtection="1">
      <alignment horizontal="left"/>
    </xf>
    <xf numFmtId="14" fontId="5" fillId="0" borderId="0" xfId="290" applyNumberFormat="1" applyFont="1" applyBorder="1" applyAlignment="1" applyProtection="1"/>
    <xf numFmtId="172" fontId="5" fillId="0" borderId="0" xfId="290" applyFont="1" applyFill="1" applyAlignment="1" applyProtection="1"/>
    <xf numFmtId="172" fontId="4" fillId="0" borderId="0" xfId="290" applyFont="1" applyFill="1" applyAlignment="1" applyProtection="1"/>
    <xf numFmtId="0" fontId="4" fillId="0" borderId="0" xfId="290"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90" applyNumberFormat="1" applyFont="1" applyProtection="1"/>
    <xf numFmtId="0" fontId="4" fillId="0" borderId="0" xfId="290" applyNumberFormat="1" applyFont="1" applyAlignment="1" applyProtection="1">
      <alignment horizontal="right"/>
    </xf>
    <xf numFmtId="0" fontId="18" fillId="0" borderId="0" xfId="86" applyNumberFormat="1" applyFont="1" applyFill="1" applyAlignment="1" applyProtection="1"/>
    <xf numFmtId="3" fontId="4" fillId="0" borderId="0" xfId="290" applyNumberFormat="1" applyFont="1" applyAlignment="1" applyProtection="1"/>
    <xf numFmtId="3" fontId="4" fillId="0" borderId="0" xfId="0" applyNumberFormat="1" applyFont="1" applyAlignment="1" applyProtection="1">
      <alignment horizontal="center"/>
    </xf>
    <xf numFmtId="0" fontId="2" fillId="0" borderId="0" xfId="290" applyNumberFormat="1" applyFont="1" applyAlignment="1" applyProtection="1">
      <alignment horizontal="center"/>
    </xf>
    <xf numFmtId="0" fontId="4" fillId="0" borderId="0" xfId="290" applyNumberFormat="1" applyFont="1" applyAlignment="1" applyProtection="1">
      <alignment horizontal="center"/>
    </xf>
    <xf numFmtId="49" fontId="4" fillId="0" borderId="0" xfId="290"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90" applyNumberFormat="1" applyFont="1" applyProtection="1"/>
    <xf numFmtId="39" fontId="4" fillId="0" borderId="0" xfId="86" applyNumberFormat="1" applyFont="1" applyAlignment="1" applyProtection="1">
      <alignment horizontal="center"/>
    </xf>
    <xf numFmtId="0" fontId="2" fillId="0" borderId="6" xfId="290" applyNumberFormat="1" applyFont="1" applyBorder="1" applyAlignment="1" applyProtection="1">
      <alignment horizontal="center"/>
    </xf>
    <xf numFmtId="0" fontId="4" fillId="0" borderId="0" xfId="290" applyNumberFormat="1" applyFont="1" applyBorder="1" applyAlignment="1" applyProtection="1">
      <alignment horizontal="center"/>
    </xf>
    <xf numFmtId="0" fontId="4" fillId="0" borderId="6" xfId="290" applyNumberFormat="1" applyFont="1" applyBorder="1" applyAlignment="1" applyProtection="1">
      <alignment horizontal="center"/>
    </xf>
    <xf numFmtId="0" fontId="4" fillId="0" borderId="0" xfId="0" applyNumberFormat="1" applyFont="1" applyProtection="1"/>
    <xf numFmtId="0" fontId="4" fillId="0" borderId="0" xfId="290" applyNumberFormat="1" applyFont="1" applyFill="1" applyProtection="1"/>
    <xf numFmtId="3" fontId="4" fillId="0" borderId="0" xfId="290" applyNumberFormat="1" applyFont="1" applyProtection="1"/>
    <xf numFmtId="0" fontId="4" fillId="0" borderId="0" xfId="290" applyNumberFormat="1" applyFont="1" applyAlignment="1" applyProtection="1">
      <alignment horizontal="left"/>
    </xf>
    <xf numFmtId="170" fontId="4" fillId="0" borderId="0" xfId="290" applyNumberFormat="1" applyFont="1" applyProtection="1"/>
    <xf numFmtId="3" fontId="4" fillId="0" borderId="0" xfId="290" applyNumberFormat="1" applyFont="1" applyFill="1" applyAlignment="1" applyProtection="1">
      <alignment horizontal="left"/>
    </xf>
    <xf numFmtId="3" fontId="4" fillId="0" borderId="0" xfId="290" applyNumberFormat="1" applyFont="1" applyFill="1" applyAlignment="1" applyProtection="1"/>
    <xf numFmtId="0" fontId="4" fillId="0" borderId="6" xfId="290" applyNumberFormat="1" applyFont="1" applyBorder="1" applyAlignment="1" applyProtection="1">
      <alignment horizontal="centerContinuous"/>
    </xf>
    <xf numFmtId="0" fontId="4" fillId="0" borderId="0" xfId="0" applyNumberFormat="1" applyFont="1" applyAlignment="1" applyProtection="1"/>
    <xf numFmtId="41" fontId="4" fillId="0" borderId="0" xfId="290" applyNumberFormat="1" applyFont="1" applyFill="1" applyBorder="1" applyAlignment="1" applyProtection="1"/>
    <xf numFmtId="3" fontId="4" fillId="0" borderId="0" xfId="290" applyNumberFormat="1" applyFont="1" applyFill="1" applyAlignment="1" applyProtection="1">
      <alignment horizontal="center"/>
    </xf>
    <xf numFmtId="165" fontId="4" fillId="0" borderId="0" xfId="290" applyNumberFormat="1" applyFont="1" applyFill="1" applyAlignment="1" applyProtection="1">
      <alignment horizontal="right"/>
    </xf>
    <xf numFmtId="42" fontId="4" fillId="0" borderId="0" xfId="290" applyNumberFormat="1" applyFont="1" applyBorder="1" applyAlignment="1" applyProtection="1"/>
    <xf numFmtId="172" fontId="4" fillId="0" borderId="11" xfId="290" applyFont="1" applyBorder="1" applyAlignment="1" applyProtection="1"/>
    <xf numFmtId="172" fontId="4" fillId="0" borderId="0" xfId="290" applyFont="1" applyBorder="1" applyAlignment="1" applyProtection="1"/>
    <xf numFmtId="0" fontId="2" fillId="0" borderId="0" xfId="290" applyNumberFormat="1" applyFont="1" applyFill="1" applyAlignment="1" applyProtection="1">
      <alignment horizontal="center"/>
    </xf>
    <xf numFmtId="0" fontId="4" fillId="0" borderId="0" xfId="290"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90" applyNumberFormat="1" applyFont="1" applyAlignment="1" applyProtection="1">
      <alignment horizontal="left"/>
    </xf>
    <xf numFmtId="3" fontId="4" fillId="0" borderId="0" xfId="290" applyNumberFormat="1" applyFont="1" applyAlignment="1" applyProtection="1">
      <alignment horizontal="center"/>
    </xf>
    <xf numFmtId="174" fontId="4" fillId="0" borderId="14" xfId="290" applyNumberFormat="1" applyFont="1" applyBorder="1" applyAlignment="1" applyProtection="1"/>
    <xf numFmtId="42" fontId="4" fillId="0" borderId="0" xfId="290" applyNumberFormat="1" applyFont="1" applyAlignment="1" applyProtection="1"/>
    <xf numFmtId="172" fontId="76" fillId="0" borderId="0" xfId="290" applyFont="1" applyAlignment="1" applyProtection="1">
      <alignment horizontal="center" wrapText="1"/>
    </xf>
    <xf numFmtId="0" fontId="4" fillId="0" borderId="0" xfId="0" applyNumberFormat="1" applyFont="1" applyFill="1" applyAlignment="1" applyProtection="1"/>
    <xf numFmtId="41" fontId="4" fillId="0" borderId="0" xfId="290" applyNumberFormat="1" applyFont="1" applyFill="1" applyAlignment="1" applyProtection="1"/>
    <xf numFmtId="42" fontId="4" fillId="0" borderId="0" xfId="290" applyNumberFormat="1" applyFont="1" applyFill="1" applyAlignment="1" applyProtection="1"/>
    <xf numFmtId="43" fontId="4" fillId="0" borderId="0" xfId="86" applyFont="1" applyProtection="1"/>
    <xf numFmtId="0" fontId="4" fillId="0" borderId="0" xfId="290" applyNumberFormat="1" applyFont="1" applyFill="1" applyAlignment="1" applyProtection="1"/>
    <xf numFmtId="171" fontId="4" fillId="0" borderId="0" xfId="290" applyNumberFormat="1" applyFont="1" applyProtection="1"/>
    <xf numFmtId="10" fontId="4" fillId="0" borderId="0" xfId="290" applyNumberFormat="1" applyFont="1" applyAlignment="1" applyProtection="1"/>
    <xf numFmtId="10" fontId="4" fillId="0" borderId="0" xfId="290" applyNumberFormat="1" applyFont="1" applyProtection="1"/>
    <xf numFmtId="0" fontId="31" fillId="0" borderId="0" xfId="0" applyFont="1" applyProtection="1"/>
    <xf numFmtId="10" fontId="4" fillId="0" borderId="0" xfId="300" applyNumberFormat="1" applyFont="1" applyAlignment="1" applyProtection="1"/>
    <xf numFmtId="186" fontId="4" fillId="0" borderId="0" xfId="290"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90" applyNumberFormat="1" applyFont="1" applyAlignment="1" applyProtection="1">
      <alignment horizontal="center"/>
    </xf>
    <xf numFmtId="41" fontId="4" fillId="0" borderId="14" xfId="290" applyNumberFormat="1" applyFont="1" applyBorder="1" applyAlignment="1" applyProtection="1">
      <alignment horizontal="center"/>
    </xf>
    <xf numFmtId="41" fontId="4" fillId="0" borderId="0" xfId="290" applyNumberFormat="1" applyFont="1" applyFill="1" applyAlignment="1" applyProtection="1">
      <alignment horizontal="right"/>
    </xf>
    <xf numFmtId="42" fontId="4" fillId="0" borderId="0" xfId="300" applyNumberFormat="1" applyFont="1" applyAlignment="1" applyProtection="1"/>
    <xf numFmtId="43" fontId="4" fillId="0" borderId="0" xfId="290" applyNumberFormat="1" applyFont="1" applyFill="1" applyAlignment="1" applyProtection="1">
      <alignment horizontal="right"/>
    </xf>
    <xf numFmtId="172" fontId="4" fillId="0" borderId="0" xfId="290" applyFont="1" applyFill="1" applyAlignment="1" applyProtection="1">
      <alignment horizontal="right"/>
    </xf>
    <xf numFmtId="0" fontId="31" fillId="0" borderId="0" xfId="0" applyFont="1" applyAlignment="1" applyProtection="1">
      <alignment horizontal="center"/>
    </xf>
    <xf numFmtId="49" fontId="4" fillId="0" borderId="0" xfId="290" applyNumberFormat="1" applyFont="1" applyAlignment="1" applyProtection="1">
      <alignment horizontal="left"/>
    </xf>
    <xf numFmtId="0" fontId="2" fillId="0" borderId="0" xfId="290" applyNumberFormat="1" applyFont="1" applyAlignment="1" applyProtection="1">
      <alignment horizontal="center" vertical="center"/>
    </xf>
    <xf numFmtId="3" fontId="5" fillId="0" borderId="0" xfId="290" applyNumberFormat="1" applyFont="1" applyAlignment="1" applyProtection="1">
      <alignment horizontal="center"/>
    </xf>
    <xf numFmtId="172" fontId="5" fillId="0" borderId="0" xfId="290" applyFont="1" applyAlignment="1" applyProtection="1">
      <alignment horizontal="center"/>
    </xf>
    <xf numFmtId="49" fontId="5" fillId="0" borderId="0" xfId="290" applyNumberFormat="1" applyFont="1" applyAlignment="1" applyProtection="1">
      <alignment horizontal="center"/>
    </xf>
    <xf numFmtId="0" fontId="9" fillId="0" borderId="0" xfId="290" applyNumberFormat="1" applyFont="1" applyAlignment="1" applyProtection="1">
      <alignment horizontal="center"/>
    </xf>
    <xf numFmtId="172" fontId="9" fillId="0" borderId="0" xfId="290" applyFont="1" applyBorder="1" applyAlignment="1" applyProtection="1">
      <alignment horizontal="center"/>
    </xf>
    <xf numFmtId="3" fontId="5" fillId="0" borderId="0" xfId="290" applyNumberFormat="1" applyFont="1" applyAlignment="1" applyProtection="1"/>
    <xf numFmtId="3" fontId="4" fillId="0" borderId="0" xfId="290" applyNumberFormat="1" applyFont="1" applyFill="1" applyBorder="1" applyAlignment="1" applyProtection="1">
      <alignment horizontal="center"/>
    </xf>
    <xf numFmtId="0" fontId="4" fillId="0" borderId="0" xfId="290" applyNumberFormat="1" applyFont="1" applyBorder="1" applyAlignment="1" applyProtection="1"/>
    <xf numFmtId="173" fontId="4" fillId="0" borderId="0" xfId="86" applyNumberFormat="1" applyFont="1" applyFill="1" applyAlignment="1" applyProtection="1"/>
    <xf numFmtId="0" fontId="4" fillId="0" borderId="0" xfId="290" applyNumberFormat="1" applyFont="1" applyBorder="1" applyAlignment="1" applyProtection="1">
      <alignment vertical="center"/>
    </xf>
    <xf numFmtId="3" fontId="4" fillId="0" borderId="0" xfId="290" applyNumberFormat="1" applyFont="1" applyFill="1" applyAlignment="1" applyProtection="1">
      <alignment vertical="center" wrapText="1"/>
    </xf>
    <xf numFmtId="3" fontId="4" fillId="0" borderId="0" xfId="290" applyNumberFormat="1" applyFont="1" applyFill="1" applyAlignment="1" applyProtection="1">
      <alignment horizontal="center" vertical="center"/>
    </xf>
    <xf numFmtId="3" fontId="4" fillId="0" borderId="0" xfId="290" applyNumberFormat="1" applyFont="1" applyFill="1" applyAlignment="1" applyProtection="1">
      <alignment vertical="center"/>
    </xf>
    <xf numFmtId="41" fontId="4" fillId="0" borderId="0" xfId="290" applyNumberFormat="1" applyFont="1" applyFill="1" applyAlignment="1" applyProtection="1">
      <alignment vertical="center"/>
    </xf>
    <xf numFmtId="0" fontId="4" fillId="0" borderId="0" xfId="290" applyNumberFormat="1" applyFont="1" applyFill="1" applyBorder="1" applyAlignment="1" applyProtection="1"/>
    <xf numFmtId="41" fontId="4" fillId="0" borderId="6" xfId="290" applyNumberFormat="1" applyFont="1" applyFill="1" applyBorder="1" applyAlignment="1" applyProtection="1"/>
    <xf numFmtId="0" fontId="31" fillId="0" borderId="0" xfId="0" applyFont="1" applyAlignment="1" applyProtection="1"/>
    <xf numFmtId="178" fontId="5" fillId="0" borderId="0" xfId="290" applyNumberFormat="1" applyFont="1" applyFill="1" applyAlignment="1" applyProtection="1">
      <alignment horizontal="right"/>
    </xf>
    <xf numFmtId="182" fontId="5" fillId="0" borderId="0" xfId="86" applyNumberFormat="1" applyFont="1" applyFill="1" applyAlignment="1" applyProtection="1"/>
    <xf numFmtId="178" fontId="4" fillId="0" borderId="0" xfId="290" applyNumberFormat="1" applyFont="1" applyFill="1" applyAlignment="1" applyProtection="1"/>
    <xf numFmtId="184" fontId="4" fillId="0" borderId="0" xfId="290" applyNumberFormat="1" applyFont="1" applyFill="1" applyAlignment="1" applyProtection="1"/>
    <xf numFmtId="183" fontId="4" fillId="0" borderId="0" xfId="290" applyNumberFormat="1" applyFont="1" applyFill="1" applyAlignment="1" applyProtection="1"/>
    <xf numFmtId="165" fontId="4" fillId="0" borderId="0" xfId="290" applyNumberFormat="1" applyFont="1" applyFill="1" applyAlignment="1" applyProtection="1"/>
    <xf numFmtId="0" fontId="4" fillId="0" borderId="0" xfId="290" applyNumberFormat="1" applyFont="1" applyFill="1" applyAlignment="1" applyProtection="1">
      <alignment horizontal="center" vertical="center"/>
    </xf>
    <xf numFmtId="164" fontId="4" fillId="0" borderId="0" xfId="290"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90" applyNumberFormat="1" applyFont="1" applyAlignment="1" applyProtection="1"/>
    <xf numFmtId="165" fontId="4" fillId="0" borderId="0" xfId="290" applyNumberFormat="1" applyFont="1" applyAlignment="1" applyProtection="1"/>
    <xf numFmtId="3" fontId="5" fillId="0" borderId="0" xfId="290"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90" applyNumberFormat="1" applyFont="1" applyFill="1" applyAlignment="1" applyProtection="1">
      <alignment horizontal="left"/>
    </xf>
    <xf numFmtId="0" fontId="31" fillId="0" borderId="0" xfId="0" applyFont="1" applyFill="1" applyProtection="1"/>
    <xf numFmtId="10" fontId="4" fillId="0" borderId="0" xfId="300" applyNumberFormat="1" applyFont="1" applyFill="1" applyAlignment="1" applyProtection="1"/>
    <xf numFmtId="175" fontId="4" fillId="0" borderId="0" xfId="290" applyNumberFormat="1" applyFont="1" applyFill="1" applyAlignment="1" applyProtection="1"/>
    <xf numFmtId="41" fontId="4" fillId="0" borderId="0" xfId="290" applyNumberFormat="1" applyFont="1" applyAlignment="1" applyProtection="1">
      <alignment horizontal="center" vertical="center"/>
    </xf>
    <xf numFmtId="41" fontId="4" fillId="0" borderId="6" xfId="290" applyNumberFormat="1" applyFont="1" applyBorder="1" applyAlignment="1" applyProtection="1"/>
    <xf numFmtId="164" fontId="4" fillId="0" borderId="0" xfId="290" applyNumberFormat="1" applyFont="1" applyAlignment="1" applyProtection="1">
      <alignment horizontal="center"/>
    </xf>
    <xf numFmtId="0" fontId="88" fillId="0" borderId="0" xfId="290" applyNumberFormat="1" applyFont="1" applyAlignment="1" applyProtection="1">
      <alignment horizontal="center"/>
    </xf>
    <xf numFmtId="3" fontId="4" fillId="0" borderId="0" xfId="290" applyNumberFormat="1" applyFont="1" applyFill="1" applyAlignment="1" applyProtection="1">
      <alignment horizontal="right"/>
    </xf>
    <xf numFmtId="172" fontId="4" fillId="0" borderId="0" xfId="290" applyFont="1" applyAlignment="1" applyProtection="1">
      <alignment horizontal="center"/>
    </xf>
    <xf numFmtId="172" fontId="4" fillId="0" borderId="0" xfId="290" applyFont="1" applyFill="1" applyAlignment="1" applyProtection="1">
      <alignment horizontal="center"/>
    </xf>
    <xf numFmtId="0" fontId="0" fillId="0" borderId="0" xfId="0" applyAlignment="1" applyProtection="1">
      <alignment horizontal="center"/>
    </xf>
    <xf numFmtId="49" fontId="4" fillId="0" borderId="0" xfId="290" applyNumberFormat="1" applyFont="1" applyFill="1" applyAlignment="1" applyProtection="1">
      <alignment horizontal="center"/>
    </xf>
    <xf numFmtId="0" fontId="5" fillId="0" borderId="0" xfId="290" applyNumberFormat="1" applyFont="1" applyFill="1" applyAlignment="1" applyProtection="1">
      <alignment horizontal="center"/>
    </xf>
    <xf numFmtId="172" fontId="5" fillId="0" borderId="0" xfId="290" applyFont="1" applyAlignment="1" applyProtection="1"/>
    <xf numFmtId="0" fontId="5" fillId="0" borderId="0" xfId="290" applyNumberFormat="1" applyFont="1" applyAlignment="1" applyProtection="1">
      <alignment horizontal="center"/>
    </xf>
    <xf numFmtId="3" fontId="9" fillId="0" borderId="0" xfId="290" applyNumberFormat="1" applyFont="1" applyAlignment="1" applyProtection="1">
      <alignment horizontal="center"/>
    </xf>
    <xf numFmtId="3" fontId="5" fillId="0" borderId="0" xfId="290" applyNumberFormat="1" applyFont="1" applyFill="1" applyAlignment="1" applyProtection="1"/>
    <xf numFmtId="3" fontId="9" fillId="0" borderId="0" xfId="290" applyNumberFormat="1" applyFont="1" applyFill="1" applyAlignment="1" applyProtection="1"/>
    <xf numFmtId="3" fontId="9" fillId="0" borderId="0" xfId="290"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90" applyNumberFormat="1" applyFont="1" applyFill="1" applyAlignment="1" applyProtection="1">
      <alignment horizontal="right"/>
    </xf>
    <xf numFmtId="41" fontId="4" fillId="0" borderId="0" xfId="290" applyNumberFormat="1" applyFont="1" applyBorder="1" applyAlignment="1" applyProtection="1"/>
    <xf numFmtId="3" fontId="4" fillId="0" borderId="0" xfId="290" applyNumberFormat="1" applyFont="1" applyAlignment="1" applyProtection="1">
      <alignment vertical="center" wrapText="1"/>
    </xf>
    <xf numFmtId="41" fontId="97" fillId="0" borderId="0" xfId="290" applyNumberFormat="1" applyFont="1" applyFill="1" applyAlignment="1" applyProtection="1">
      <alignment horizontal="right"/>
    </xf>
    <xf numFmtId="3" fontId="4" fillId="0" borderId="0" xfId="290" applyNumberFormat="1" applyFont="1" applyAlignment="1" applyProtection="1">
      <alignment horizontal="center" vertical="center"/>
    </xf>
    <xf numFmtId="3" fontId="4" fillId="0" borderId="0" xfId="290" applyNumberFormat="1" applyFont="1" applyAlignment="1" applyProtection="1">
      <alignment vertical="center"/>
    </xf>
    <xf numFmtId="41" fontId="4" fillId="0" borderId="0" xfId="290" applyNumberFormat="1" applyFont="1" applyAlignment="1" applyProtection="1">
      <alignment vertical="center"/>
    </xf>
    <xf numFmtId="43" fontId="4" fillId="0" borderId="0" xfId="300" applyNumberFormat="1" applyFont="1" applyFill="1" applyAlignment="1" applyProtection="1"/>
    <xf numFmtId="166" fontId="4" fillId="0" borderId="0" xfId="290" applyNumberFormat="1" applyFont="1" applyAlignment="1" applyProtection="1"/>
    <xf numFmtId="167" fontId="4" fillId="0" borderId="0" xfId="290" applyNumberFormat="1" applyFont="1" applyAlignment="1" applyProtection="1"/>
    <xf numFmtId="172" fontId="22" fillId="0" borderId="0" xfId="290" applyFont="1" applyAlignment="1" applyProtection="1"/>
    <xf numFmtId="164" fontId="4" fillId="0" borderId="0" xfId="290" applyNumberFormat="1" applyFont="1" applyBorder="1" applyAlignment="1" applyProtection="1">
      <alignment horizontal="left"/>
    </xf>
    <xf numFmtId="168" fontId="4" fillId="0" borderId="0" xfId="290" applyNumberFormat="1" applyFont="1" applyAlignment="1" applyProtection="1"/>
    <xf numFmtId="10" fontId="4" fillId="0" borderId="0" xfId="290" applyNumberFormat="1" applyFont="1" applyFill="1" applyAlignment="1" applyProtection="1">
      <alignment horizontal="right"/>
    </xf>
    <xf numFmtId="10" fontId="31" fillId="0" borderId="0" xfId="300" applyNumberFormat="1" applyFont="1" applyProtection="1"/>
    <xf numFmtId="3" fontId="22" fillId="0" borderId="0" xfId="290" applyNumberFormat="1" applyFont="1" applyAlignment="1" applyProtection="1"/>
    <xf numFmtId="167" fontId="4" fillId="0" borderId="0" xfId="290" applyNumberFormat="1" applyFont="1" applyFill="1" applyAlignment="1" applyProtection="1"/>
    <xf numFmtId="166" fontId="4" fillId="0" borderId="0" xfId="290" applyNumberFormat="1" applyFont="1" applyAlignment="1" applyProtection="1">
      <alignment horizontal="center"/>
    </xf>
    <xf numFmtId="187" fontId="22" fillId="0" borderId="0" xfId="290" applyNumberFormat="1" applyFont="1" applyAlignment="1" applyProtection="1">
      <alignment horizontal="center"/>
    </xf>
    <xf numFmtId="188" fontId="4" fillId="0" borderId="0" xfId="290" applyNumberFormat="1" applyFont="1" applyAlignment="1" applyProtection="1"/>
    <xf numFmtId="164" fontId="4" fillId="0" borderId="0" xfId="290" applyNumberFormat="1" applyFont="1" applyFill="1" applyBorder="1" applyAlignment="1" applyProtection="1">
      <alignment horizontal="left"/>
    </xf>
    <xf numFmtId="179" fontId="4" fillId="0" borderId="0" xfId="290"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90" applyNumberFormat="1" applyFont="1" applyAlignment="1" applyProtection="1"/>
    <xf numFmtId="43" fontId="22" fillId="0" borderId="0" xfId="86" applyFont="1" applyAlignment="1" applyProtection="1"/>
    <xf numFmtId="179" fontId="4" fillId="0" borderId="0" xfId="290" applyNumberFormat="1" applyFont="1" applyAlignment="1" applyProtection="1">
      <alignment horizontal="center"/>
    </xf>
    <xf numFmtId="10" fontId="4" fillId="0" borderId="0" xfId="290" applyNumberFormat="1" applyFont="1" applyFill="1" applyAlignment="1" applyProtection="1">
      <alignment horizontal="left"/>
    </xf>
    <xf numFmtId="187" fontId="4" fillId="0" borderId="0" xfId="290" applyNumberFormat="1" applyFont="1" applyAlignment="1" applyProtection="1">
      <alignment horizontal="center"/>
    </xf>
    <xf numFmtId="168" fontId="4" fillId="0" borderId="0" xfId="290" applyNumberFormat="1" applyFont="1" applyFill="1" applyAlignment="1" applyProtection="1">
      <alignment horizontal="left"/>
    </xf>
    <xf numFmtId="41" fontId="4" fillId="0" borderId="0" xfId="290" applyNumberFormat="1" applyFont="1" applyAlignment="1" applyProtection="1">
      <alignment horizontal="right"/>
    </xf>
    <xf numFmtId="41" fontId="4" fillId="0" borderId="11" xfId="290" applyNumberFormat="1" applyFont="1" applyBorder="1" applyAlignment="1" applyProtection="1"/>
    <xf numFmtId="179" fontId="4" fillId="0" borderId="0" xfId="290" applyNumberFormat="1" applyFont="1" applyAlignment="1" applyProtection="1"/>
    <xf numFmtId="172" fontId="22" fillId="0" borderId="0" xfId="290" applyFont="1" applyFill="1" applyAlignment="1" applyProtection="1"/>
    <xf numFmtId="164" fontId="4" fillId="0" borderId="0" xfId="290" applyNumberFormat="1" applyFont="1" applyFill="1" applyBorder="1" applyAlignment="1" applyProtection="1">
      <alignment horizontal="left" vertical="center"/>
    </xf>
    <xf numFmtId="41" fontId="4" fillId="0" borderId="0" xfId="290" applyNumberFormat="1" applyFont="1" applyFill="1" applyAlignment="1" applyProtection="1">
      <alignment horizontal="center" vertical="center"/>
    </xf>
    <xf numFmtId="180" fontId="4" fillId="0" borderId="0" xfId="290" applyNumberFormat="1" applyFont="1" applyAlignment="1" applyProtection="1"/>
    <xf numFmtId="173" fontId="4" fillId="0" borderId="14" xfId="86" applyNumberFormat="1" applyFont="1" applyBorder="1" applyAlignment="1" applyProtection="1"/>
    <xf numFmtId="0" fontId="4" fillId="0" borderId="0" xfId="290" applyNumberFormat="1" applyFont="1" applyFill="1" applyBorder="1" applyAlignment="1" applyProtection="1">
      <alignment horizontal="left"/>
    </xf>
    <xf numFmtId="0" fontId="5" fillId="0" borderId="0" xfId="290" applyNumberFormat="1" applyFont="1" applyAlignment="1" applyProtection="1"/>
    <xf numFmtId="0" fontId="4" fillId="0" borderId="0" xfId="0" applyFont="1" applyFill="1" applyAlignment="1" applyProtection="1">
      <alignment horizontal="left"/>
    </xf>
    <xf numFmtId="0" fontId="4" fillId="0" borderId="0" xfId="290" applyNumberFormat="1" applyFont="1" applyFill="1" applyBorder="1" applyProtection="1"/>
    <xf numFmtId="3" fontId="4" fillId="0" borderId="0" xfId="290" applyNumberFormat="1" applyFont="1" applyFill="1" applyBorder="1" applyAlignment="1" applyProtection="1"/>
    <xf numFmtId="172" fontId="4" fillId="0" borderId="0" xfId="290" applyFont="1" applyFill="1" applyBorder="1" applyAlignment="1" applyProtection="1"/>
    <xf numFmtId="172" fontId="4" fillId="0" borderId="0" xfId="290" applyFont="1" applyFill="1" applyBorder="1" applyAlignment="1" applyProtection="1">
      <alignment horizontal="center"/>
    </xf>
    <xf numFmtId="173" fontId="4" fillId="0" borderId="6" xfId="86" applyNumberFormat="1" applyFont="1" applyBorder="1" applyAlignment="1" applyProtection="1"/>
    <xf numFmtId="3" fontId="4" fillId="0" borderId="0" xfId="290" applyNumberFormat="1" applyFont="1" applyFill="1" applyBorder="1" applyAlignment="1" applyProtection="1">
      <alignment horizontal="left"/>
    </xf>
    <xf numFmtId="0" fontId="4" fillId="0" borderId="0" xfId="290" applyNumberFormat="1" applyFont="1" applyFill="1" applyBorder="1" applyAlignment="1" applyProtection="1">
      <alignment horizontal="center"/>
    </xf>
    <xf numFmtId="49" fontId="4" fillId="0" borderId="0" xfId="290" applyNumberFormat="1" applyFont="1" applyFill="1" applyBorder="1" applyProtection="1"/>
    <xf numFmtId="49" fontId="4" fillId="0" borderId="0" xfId="290" applyNumberFormat="1" applyFont="1" applyFill="1" applyBorder="1" applyAlignment="1" applyProtection="1"/>
    <xf numFmtId="49" fontId="4" fillId="0" borderId="0" xfId="290" applyNumberFormat="1" applyFont="1" applyFill="1" applyBorder="1" applyAlignment="1" applyProtection="1">
      <alignment horizontal="center"/>
    </xf>
    <xf numFmtId="3" fontId="5" fillId="0" borderId="0" xfId="290" applyNumberFormat="1" applyFont="1" applyFill="1" applyBorder="1" applyAlignment="1" applyProtection="1"/>
    <xf numFmtId="165" fontId="5" fillId="0" borderId="0" xfId="290" applyNumberFormat="1" applyFont="1" applyFill="1" applyBorder="1" applyAlignment="1" applyProtection="1">
      <alignment horizontal="right"/>
    </xf>
    <xf numFmtId="0" fontId="5" fillId="0" borderId="0" xfId="290" applyNumberFormat="1" applyFont="1" applyFill="1" applyAlignment="1" applyProtection="1"/>
    <xf numFmtId="3" fontId="4" fillId="0" borderId="0" xfId="290" applyNumberFormat="1" applyFont="1" applyFill="1" applyProtection="1"/>
    <xf numFmtId="3" fontId="4" fillId="0" borderId="0" xfId="290" applyNumberFormat="1" applyFont="1" applyFill="1" applyAlignment="1" applyProtection="1">
      <alignment horizontal="center" wrapText="1"/>
    </xf>
    <xf numFmtId="4" fontId="4" fillId="0" borderId="0" xfId="290" applyNumberFormat="1" applyFont="1" applyAlignment="1" applyProtection="1"/>
    <xf numFmtId="173" fontId="4" fillId="0" borderId="6" xfId="86" applyNumberFormat="1" applyFont="1" applyFill="1" applyBorder="1" applyAlignment="1" applyProtection="1"/>
    <xf numFmtId="3" fontId="5" fillId="0" borderId="0" xfId="290" applyNumberFormat="1" applyFont="1" applyFill="1" applyAlignment="1" applyProtection="1">
      <alignment horizontal="center"/>
    </xf>
    <xf numFmtId="172" fontId="5" fillId="0" borderId="0" xfId="290" applyFont="1" applyAlignment="1" applyProtection="1">
      <alignment horizontal="right"/>
    </xf>
    <xf numFmtId="165" fontId="5" fillId="0" borderId="0" xfId="290" applyNumberFormat="1" applyFont="1" applyAlignment="1" applyProtection="1"/>
    <xf numFmtId="166" fontId="5" fillId="0" borderId="0" xfId="290" applyNumberFormat="1" applyFont="1" applyFill="1" applyProtection="1"/>
    <xf numFmtId="3" fontId="4" fillId="0" borderId="6" xfId="290" applyNumberFormat="1" applyFont="1" applyFill="1" applyBorder="1" applyAlignment="1" applyProtection="1">
      <alignment horizontal="center"/>
    </xf>
    <xf numFmtId="0" fontId="13" fillId="0" borderId="0" xfId="290" applyNumberFormat="1" applyFont="1" applyFill="1" applyBorder="1" applyAlignment="1" applyProtection="1">
      <alignment horizontal="left"/>
    </xf>
    <xf numFmtId="0" fontId="4" fillId="0" borderId="0" xfId="290" applyNumberFormat="1" applyFont="1" applyFill="1" applyAlignment="1" applyProtection="1">
      <alignment horizontal="left"/>
    </xf>
    <xf numFmtId="3" fontId="22" fillId="0" borderId="0" xfId="290" applyNumberFormat="1" applyFont="1" applyFill="1" applyAlignment="1" applyProtection="1"/>
    <xf numFmtId="182" fontId="4" fillId="0" borderId="0" xfId="86" applyNumberFormat="1" applyFont="1" applyFill="1" applyAlignment="1" applyProtection="1">
      <alignment horizontal="center"/>
    </xf>
    <xf numFmtId="0" fontId="4" fillId="0" borderId="6" xfId="290"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90" applyNumberFormat="1" applyFont="1" applyFill="1" applyAlignment="1" applyProtection="1"/>
    <xf numFmtId="186" fontId="4" fillId="0" borderId="0" xfId="86" applyNumberFormat="1" applyFont="1" applyFill="1" applyAlignment="1" applyProtection="1"/>
    <xf numFmtId="169" fontId="4" fillId="0" borderId="15" xfId="290" applyNumberFormat="1" applyFont="1" applyFill="1" applyBorder="1" applyAlignment="1" applyProtection="1"/>
    <xf numFmtId="3" fontId="4" fillId="0" borderId="0" xfId="290" quotePrefix="1" applyNumberFormat="1" applyFont="1" applyAlignment="1" applyProtection="1"/>
    <xf numFmtId="169" fontId="4" fillId="0" borderId="0" xfId="290" applyNumberFormat="1" applyFont="1" applyFill="1" applyBorder="1" applyAlignment="1" applyProtection="1"/>
    <xf numFmtId="169" fontId="4" fillId="0" borderId="6" xfId="290" applyNumberFormat="1" applyFont="1" applyFill="1" applyBorder="1" applyAlignment="1" applyProtection="1"/>
    <xf numFmtId="182" fontId="21" fillId="0" borderId="0" xfId="86" applyNumberFormat="1" applyFont="1" applyFill="1" applyProtection="1"/>
    <xf numFmtId="169" fontId="5" fillId="0" borderId="0" xfId="290" applyNumberFormat="1" applyFont="1" applyFill="1" applyAlignment="1" applyProtection="1"/>
    <xf numFmtId="3" fontId="5" fillId="0" borderId="0" xfId="290" quotePrefix="1" applyNumberFormat="1" applyFont="1" applyAlignment="1" applyProtection="1"/>
    <xf numFmtId="172" fontId="4" fillId="0" borderId="0" xfId="290" applyFont="1" applyAlignment="1" applyProtection="1">
      <alignment horizontal="right"/>
    </xf>
    <xf numFmtId="172" fontId="4" fillId="0" borderId="0" xfId="290" applyNumberFormat="1" applyFont="1" applyAlignment="1" applyProtection="1"/>
    <xf numFmtId="172" fontId="9" fillId="0" borderId="0" xfId="290" applyFont="1" applyAlignment="1" applyProtection="1">
      <alignment horizontal="center"/>
    </xf>
    <xf numFmtId="172" fontId="2" fillId="0" borderId="0" xfId="290" applyFont="1" applyFill="1" applyAlignment="1" applyProtection="1">
      <alignment horizontal="center"/>
    </xf>
    <xf numFmtId="172" fontId="2" fillId="0" borderId="0" xfId="290" applyFont="1" applyFill="1" applyAlignment="1" applyProtection="1"/>
    <xf numFmtId="10" fontId="4" fillId="0" borderId="0" xfId="290"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90" applyNumberFormat="1" applyFont="1" applyFill="1" applyAlignment="1" applyProtection="1"/>
    <xf numFmtId="0" fontId="118" fillId="0" borderId="0" xfId="290" applyNumberFormat="1" applyFont="1" applyFill="1" applyAlignment="1" applyProtection="1"/>
    <xf numFmtId="0" fontId="25" fillId="0" borderId="0" xfId="290" applyNumberFormat="1" applyFont="1" applyFill="1" applyProtection="1"/>
    <xf numFmtId="172" fontId="25" fillId="0" borderId="0" xfId="290" applyFont="1" applyFill="1" applyAlignment="1" applyProtection="1"/>
    <xf numFmtId="0" fontId="25" fillId="0" borderId="0" xfId="0" applyFont="1" applyAlignment="1" applyProtection="1">
      <alignment vertical="top" wrapText="1"/>
    </xf>
    <xf numFmtId="172" fontId="25" fillId="0" borderId="0" xfId="290" applyFont="1" applyFill="1" applyAlignment="1" applyProtection="1">
      <alignment wrapText="1"/>
    </xf>
    <xf numFmtId="172" fontId="118" fillId="0" borderId="0" xfId="290" applyFont="1" applyFill="1" applyAlignment="1" applyProtection="1"/>
    <xf numFmtId="0" fontId="2" fillId="0" borderId="0" xfId="290" applyNumberFormat="1" applyFont="1" applyFill="1" applyProtection="1"/>
    <xf numFmtId="0" fontId="87" fillId="0" borderId="0" xfId="290"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36" applyFont="1" applyBorder="1" applyAlignment="1" applyProtection="1">
      <alignment horizontal="center"/>
    </xf>
    <xf numFmtId="49" fontId="4" fillId="0" borderId="0" xfId="281"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86"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95" applyFont="1" applyProtection="1"/>
    <xf numFmtId="0" fontId="2" fillId="0" borderId="0" xfId="295" applyFont="1" applyAlignment="1" applyProtection="1">
      <alignment horizontal="right"/>
    </xf>
    <xf numFmtId="0" fontId="9" fillId="0" borderId="0" xfId="295" applyFont="1" applyAlignment="1" applyProtection="1">
      <alignment horizontal="center"/>
    </xf>
    <xf numFmtId="0" fontId="25" fillId="0" borderId="0" xfId="0" applyFont="1" applyProtection="1"/>
    <xf numFmtId="0" fontId="4" fillId="0" borderId="0" xfId="295" applyFont="1" applyProtection="1"/>
    <xf numFmtId="0" fontId="81" fillId="0" borderId="0" xfId="295" applyFont="1" applyProtection="1"/>
    <xf numFmtId="0" fontId="25" fillId="0" borderId="0" xfId="0" applyFont="1" applyAlignment="1" applyProtection="1">
      <alignment horizontal="center"/>
    </xf>
    <xf numFmtId="0" fontId="9" fillId="0" borderId="0" xfId="295"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95" applyFont="1" applyFill="1" applyProtection="1"/>
    <xf numFmtId="0" fontId="25" fillId="0" borderId="0" xfId="295" applyFont="1" applyAlignment="1" applyProtection="1">
      <alignment horizontal="center"/>
    </xf>
    <xf numFmtId="0" fontId="8" fillId="0" borderId="0" xfId="295" applyFont="1" applyFill="1" applyAlignment="1" applyProtection="1">
      <alignment horizontal="center"/>
    </xf>
    <xf numFmtId="0" fontId="8" fillId="0" borderId="0" xfId="295" applyFont="1" applyFill="1" applyProtection="1"/>
    <xf numFmtId="0" fontId="11" fillId="0" borderId="0" xfId="295" applyFont="1" applyProtection="1"/>
    <xf numFmtId="173" fontId="11" fillId="0" borderId="0" xfId="295"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95" applyFont="1" applyFill="1" applyAlignment="1" applyProtection="1">
      <alignment horizontal="center"/>
    </xf>
    <xf numFmtId="0" fontId="98" fillId="0" borderId="0" xfId="295" applyFont="1" applyFill="1" applyProtection="1"/>
    <xf numFmtId="0" fontId="106" fillId="0" borderId="0" xfId="0" applyFont="1" applyProtection="1"/>
    <xf numFmtId="0" fontId="106" fillId="0" borderId="0" xfId="295" applyFont="1" applyProtection="1"/>
    <xf numFmtId="172" fontId="11" fillId="0" borderId="0" xfId="295" applyNumberFormat="1" applyFont="1" applyFill="1" applyAlignment="1" applyProtection="1">
      <alignment horizontal="center"/>
    </xf>
    <xf numFmtId="0" fontId="11" fillId="0" borderId="0" xfId="295" applyFont="1" applyFill="1" applyProtection="1"/>
    <xf numFmtId="0" fontId="8" fillId="0" borderId="0" xfId="295" applyFont="1" applyProtection="1"/>
    <xf numFmtId="0" fontId="98" fillId="0" borderId="0" xfId="295" applyFont="1" applyProtection="1"/>
    <xf numFmtId="43" fontId="11" fillId="0" borderId="0" xfId="127" applyFont="1" applyFill="1" applyProtection="1"/>
    <xf numFmtId="43" fontId="106" fillId="0" borderId="0" xfId="127"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95" applyNumberFormat="1" applyFont="1" applyProtection="1"/>
    <xf numFmtId="173" fontId="11" fillId="0" borderId="0" xfId="295" applyNumberFormat="1" applyFont="1" applyBorder="1" applyProtection="1"/>
    <xf numFmtId="173" fontId="11" fillId="0" borderId="13" xfId="295" applyNumberFormat="1" applyFont="1" applyBorder="1" applyProtection="1"/>
    <xf numFmtId="0" fontId="4" fillId="0" borderId="0" xfId="295" applyFont="1" applyFill="1" applyProtection="1"/>
    <xf numFmtId="173" fontId="4" fillId="0" borderId="0" xfId="295"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90" applyNumberFormat="1" applyFont="1" applyFill="1" applyBorder="1" applyAlignment="1" applyProtection="1"/>
    <xf numFmtId="3" fontId="11" fillId="0" borderId="0" xfId="290" applyNumberFormat="1" applyFont="1" applyAlignment="1" applyProtection="1"/>
    <xf numFmtId="10" fontId="1" fillId="0" borderId="0" xfId="300" applyNumberFormat="1" applyAlignment="1" applyProtection="1">
      <alignment horizontal="right"/>
    </xf>
    <xf numFmtId="172" fontId="11" fillId="0" borderId="0" xfId="290" applyFont="1" applyAlignment="1" applyProtection="1"/>
    <xf numFmtId="172" fontId="11" fillId="0" borderId="0" xfId="290" applyFont="1" applyBorder="1" applyAlignment="1" applyProtection="1"/>
    <xf numFmtId="3" fontId="11" fillId="0" borderId="0" xfId="290" applyNumberFormat="1" applyFont="1" applyFill="1" applyAlignment="1" applyProtection="1"/>
    <xf numFmtId="10" fontId="11" fillId="0" borderId="0" xfId="300" applyNumberFormat="1" applyFont="1" applyFill="1" applyAlignment="1" applyProtection="1">
      <alignment horizontal="right"/>
    </xf>
    <xf numFmtId="3" fontId="8" fillId="0" borderId="0" xfId="290" applyNumberFormat="1" applyFont="1" applyAlignment="1" applyProtection="1"/>
    <xf numFmtId="10" fontId="11" fillId="0" borderId="0" xfId="290" applyNumberFormat="1" applyFont="1" applyFill="1" applyAlignment="1" applyProtection="1">
      <alignment horizontal="right"/>
    </xf>
    <xf numFmtId="3" fontId="12" fillId="0" borderId="0" xfId="290" applyNumberFormat="1" applyFont="1" applyAlignment="1" applyProtection="1">
      <alignment horizontal="center"/>
    </xf>
    <xf numFmtId="10" fontId="12" fillId="0" borderId="0" xfId="290" applyNumberFormat="1" applyFont="1" applyFill="1" applyAlignment="1" applyProtection="1">
      <alignment horizontal="center"/>
    </xf>
    <xf numFmtId="0" fontId="11" fillId="0" borderId="0" xfId="29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300" applyNumberFormat="1" applyFont="1" applyAlignment="1" applyProtection="1"/>
    <xf numFmtId="166" fontId="11" fillId="0" borderId="0" xfId="290" applyNumberFormat="1" applyFont="1" applyAlignment="1" applyProtection="1">
      <alignment horizontal="center"/>
    </xf>
    <xf numFmtId="166" fontId="11" fillId="0" borderId="0" xfId="290" applyNumberFormat="1" applyFont="1" applyBorder="1" applyAlignment="1" applyProtection="1">
      <alignment horizontal="center"/>
    </xf>
    <xf numFmtId="41" fontId="11" fillId="0" borderId="0" xfId="290" applyNumberFormat="1" applyFont="1" applyAlignment="1" applyProtection="1"/>
    <xf numFmtId="41" fontId="11" fillId="0" borderId="0" xfId="290" applyNumberFormat="1" applyFont="1" applyAlignment="1" applyProtection="1">
      <alignment horizontal="center"/>
    </xf>
    <xf numFmtId="41" fontId="11" fillId="0" borderId="0" xfId="290" applyNumberFormat="1" applyFont="1" applyBorder="1" applyAlignment="1" applyProtection="1">
      <alignment horizontal="center"/>
    </xf>
    <xf numFmtId="0" fontId="11" fillId="0" borderId="0" xfId="290" applyNumberFormat="1" applyFont="1" applyBorder="1" applyAlignment="1" applyProtection="1">
      <alignment horizontal="right"/>
    </xf>
    <xf numFmtId="164" fontId="12" fillId="0" borderId="0" xfId="300" applyNumberFormat="1" applyFont="1" applyAlignment="1" applyProtection="1"/>
    <xf numFmtId="0" fontId="11" fillId="0" borderId="0" xfId="290" applyNumberFormat="1" applyFont="1" applyBorder="1" applyAlignment="1" applyProtection="1"/>
    <xf numFmtId="3" fontId="11" fillId="0" borderId="0" xfId="290" applyNumberFormat="1" applyFont="1" applyAlignment="1" applyProtection="1">
      <alignment horizontal="right"/>
    </xf>
    <xf numFmtId="172" fontId="1" fillId="0" borderId="17" xfId="290" applyFont="1" applyBorder="1" applyAlignment="1" applyProtection="1"/>
    <xf numFmtId="0" fontId="1" fillId="0" borderId="0" xfId="290" applyNumberFormat="1" applyFont="1" applyBorder="1" applyAlignment="1" applyProtection="1">
      <alignment horizontal="center"/>
    </xf>
    <xf numFmtId="172" fontId="1" fillId="0" borderId="0" xfId="290" applyFont="1" applyBorder="1" applyAlignment="1" applyProtection="1"/>
    <xf numFmtId="3" fontId="1" fillId="0" borderId="18" xfId="290" applyNumberFormat="1" applyFont="1" applyBorder="1" applyAlignment="1" applyProtection="1"/>
    <xf numFmtId="10" fontId="11" fillId="0" borderId="0" xfId="290" applyNumberFormat="1" applyFont="1" applyFill="1" applyAlignment="1" applyProtection="1">
      <alignment horizontal="left"/>
    </xf>
    <xf numFmtId="41" fontId="11" fillId="0" borderId="0" xfId="290"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90" applyNumberFormat="1" applyFont="1" applyFill="1" applyAlignment="1" applyProtection="1"/>
    <xf numFmtId="166" fontId="1" fillId="0" borderId="19" xfId="290" applyNumberFormat="1" applyFont="1" applyBorder="1" applyAlignment="1" applyProtection="1">
      <alignment horizontal="center"/>
    </xf>
    <xf numFmtId="0" fontId="1" fillId="0" borderId="6" xfId="290" applyNumberFormat="1" applyFont="1" applyBorder="1" applyAlignment="1" applyProtection="1">
      <alignment horizontal="center"/>
    </xf>
    <xf numFmtId="174" fontId="1" fillId="0" borderId="20" xfId="0" applyNumberFormat="1" applyFont="1" applyBorder="1" applyProtection="1"/>
    <xf numFmtId="41" fontId="1" fillId="0" borderId="0" xfId="290" applyNumberFormat="1" applyFont="1" applyBorder="1" applyAlignment="1" applyProtection="1"/>
    <xf numFmtId="0" fontId="11" fillId="31" borderId="0" xfId="290" applyNumberFormat="1" applyFont="1" applyFill="1" applyBorder="1" applyAlignment="1" applyProtection="1"/>
    <xf numFmtId="41" fontId="11" fillId="0" borderId="0" xfId="290" applyNumberFormat="1" applyFont="1" applyFill="1" applyAlignment="1" applyProtection="1">
      <alignment horizontal="left"/>
    </xf>
    <xf numFmtId="41" fontId="1" fillId="0" borderId="0" xfId="290" applyNumberFormat="1" applyFont="1" applyFill="1" applyBorder="1" applyAlignment="1" applyProtection="1">
      <alignment horizontal="right"/>
    </xf>
    <xf numFmtId="167" fontId="11" fillId="0" borderId="0" xfId="290" applyNumberFormat="1" applyFont="1" applyAlignment="1" applyProtection="1"/>
    <xf numFmtId="164" fontId="11" fillId="0" borderId="0" xfId="290" applyNumberFormat="1" applyFont="1" applyFill="1" applyBorder="1" applyAlignment="1" applyProtection="1">
      <alignment horizontal="left"/>
    </xf>
    <xf numFmtId="164" fontId="11" fillId="0" borderId="0" xfId="290" applyNumberFormat="1" applyFont="1" applyBorder="1" applyAlignment="1" applyProtection="1">
      <alignment horizontal="left"/>
    </xf>
    <xf numFmtId="3" fontId="11" fillId="0" borderId="0" xfId="290" applyNumberFormat="1" applyFont="1" applyAlignment="1" applyProtection="1">
      <alignment vertical="center" wrapText="1"/>
    </xf>
    <xf numFmtId="41" fontId="11" fillId="0" borderId="0" xfId="290" applyNumberFormat="1" applyFont="1" applyBorder="1" applyAlignment="1" applyProtection="1">
      <alignment vertical="center"/>
    </xf>
    <xf numFmtId="41" fontId="11" fillId="0" borderId="0" xfId="290" applyNumberFormat="1" applyFont="1" applyBorder="1" applyAlignment="1" applyProtection="1">
      <alignment horizontal="center" vertical="center"/>
    </xf>
    <xf numFmtId="41" fontId="11" fillId="0" borderId="0" xfId="290"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90" applyNumberFormat="1" applyFont="1" applyFill="1" applyBorder="1" applyAlignment="1" applyProtection="1"/>
    <xf numFmtId="41" fontId="11" fillId="0" borderId="11" xfId="290" applyNumberFormat="1" applyFont="1" applyFill="1" applyBorder="1" applyAlignment="1" applyProtection="1"/>
    <xf numFmtId="3" fontId="11" fillId="0" borderId="0" xfId="290" applyNumberFormat="1" applyFont="1" applyFill="1" applyBorder="1" applyAlignment="1" applyProtection="1"/>
    <xf numFmtId="41" fontId="11" fillId="0" borderId="0" xfId="290" applyNumberFormat="1" applyFont="1" applyFill="1" applyBorder="1" applyAlignment="1" applyProtection="1">
      <alignment horizontal="center"/>
    </xf>
    <xf numFmtId="0" fontId="11" fillId="0" borderId="0" xfId="290" applyNumberFormat="1" applyFont="1" applyFill="1" applyBorder="1" applyProtection="1"/>
    <xf numFmtId="41" fontId="12" fillId="0" borderId="0" xfId="290" applyNumberFormat="1" applyFont="1" applyFill="1" applyBorder="1" applyAlignment="1" applyProtection="1"/>
    <xf numFmtId="3" fontId="11" fillId="0" borderId="0" xfId="290" applyNumberFormat="1" applyFont="1" applyFill="1" applyBorder="1" applyAlignment="1" applyProtection="1">
      <alignment horizontal="center"/>
    </xf>
    <xf numFmtId="0" fontId="11" fillId="0" borderId="0" xfId="0" applyFont="1" applyFill="1" applyBorder="1" applyProtection="1"/>
    <xf numFmtId="0" fontId="11" fillId="0" borderId="0" xfId="290" applyNumberFormat="1" applyFont="1" applyFill="1" applyBorder="1" applyAlignment="1" applyProtection="1">
      <alignment horizontal="center"/>
    </xf>
    <xf numFmtId="10" fontId="11" fillId="0" borderId="0" xfId="290" applyNumberFormat="1" applyFont="1" applyFill="1" applyBorder="1" applyAlignment="1" applyProtection="1"/>
    <xf numFmtId="169" fontId="11" fillId="0" borderId="0" xfId="290" applyNumberFormat="1" applyFont="1" applyFill="1" applyBorder="1" applyAlignment="1" applyProtection="1"/>
    <xf numFmtId="172" fontId="11" fillId="0" borderId="0" xfId="290" applyFont="1" applyFill="1" applyBorder="1" applyAlignment="1" applyProtection="1"/>
    <xf numFmtId="169" fontId="8" fillId="0" borderId="0" xfId="290"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300" applyNumberFormat="1" applyFont="1" applyAlignment="1" applyProtection="1">
      <alignment horizontal="right"/>
    </xf>
    <xf numFmtId="172" fontId="11" fillId="0" borderId="21" xfId="290" applyFont="1" applyBorder="1" applyAlignment="1" applyProtection="1"/>
    <xf numFmtId="172" fontId="11" fillId="0" borderId="15" xfId="290" applyFont="1" applyBorder="1" applyAlignment="1" applyProtection="1"/>
    <xf numFmtId="3" fontId="11" fillId="0" borderId="25" xfId="290" applyNumberFormat="1" applyFont="1" applyBorder="1" applyAlignment="1" applyProtection="1"/>
    <xf numFmtId="172" fontId="11" fillId="0" borderId="17" xfId="290" applyFont="1" applyBorder="1" applyAlignment="1" applyProtection="1"/>
    <xf numFmtId="3" fontId="11" fillId="0" borderId="18" xfId="290" applyNumberFormat="1" applyFont="1" applyBorder="1" applyAlignment="1" applyProtection="1"/>
    <xf numFmtId="0" fontId="11" fillId="0" borderId="0" xfId="290"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90" applyNumberFormat="1" applyFont="1" applyBorder="1" applyAlignment="1" applyProtection="1">
      <alignment horizontal="center"/>
    </xf>
    <xf numFmtId="0" fontId="11" fillId="0" borderId="6" xfId="290" applyNumberFormat="1" applyFont="1" applyBorder="1" applyAlignment="1" applyProtection="1">
      <alignment horizontal="center"/>
    </xf>
    <xf numFmtId="173" fontId="11" fillId="0" borderId="6" xfId="290" quotePrefix="1" applyNumberFormat="1" applyFont="1" applyBorder="1" applyAlignment="1" applyProtection="1">
      <alignment horizontal="center"/>
    </xf>
    <xf numFmtId="41" fontId="11" fillId="0" borderId="0" xfId="290" applyNumberFormat="1" applyFont="1" applyFill="1" applyBorder="1" applyAlignment="1" applyProtection="1">
      <alignment horizontal="right"/>
    </xf>
    <xf numFmtId="10" fontId="11" fillId="0" borderId="0" xfId="300"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90" applyNumberFormat="1" applyFont="1" applyFill="1" applyBorder="1" applyAlignment="1" applyProtection="1">
      <alignment vertical="center"/>
    </xf>
    <xf numFmtId="0" fontId="105" fillId="0" borderId="0" xfId="0" applyFont="1" applyProtection="1"/>
    <xf numFmtId="0" fontId="8" fillId="0" borderId="0" xfId="290" applyNumberFormat="1" applyFont="1" applyFill="1" applyBorder="1" applyAlignment="1" applyProtection="1">
      <alignment vertical="top"/>
    </xf>
    <xf numFmtId="0" fontId="21" fillId="0" borderId="0" xfId="0" applyFont="1" applyAlignment="1" applyProtection="1"/>
    <xf numFmtId="0" fontId="109" fillId="0" borderId="0" xfId="293" applyFont="1" applyAlignment="1" applyProtection="1"/>
    <xf numFmtId="0" fontId="2" fillId="0" borderId="0" xfId="293" applyProtection="1"/>
    <xf numFmtId="0" fontId="110" fillId="0" borderId="0" xfId="293" applyFont="1" applyProtection="1"/>
    <xf numFmtId="0" fontId="76" fillId="0" borderId="30" xfId="293" applyFont="1" applyBorder="1" applyAlignment="1" applyProtection="1">
      <alignment horizontal="center"/>
    </xf>
    <xf numFmtId="0" fontId="111" fillId="0" borderId="0" xfId="293" applyFont="1" applyAlignment="1" applyProtection="1">
      <alignment horizontal="center"/>
    </xf>
    <xf numFmtId="0" fontId="112" fillId="0" borderId="0" xfId="293" applyFont="1" applyProtection="1"/>
    <xf numFmtId="176" fontId="111" fillId="0" borderId="0" xfId="293" applyNumberFormat="1" applyFont="1" applyAlignment="1" applyProtection="1">
      <alignment horizontal="center"/>
    </xf>
    <xf numFmtId="0" fontId="111" fillId="0" borderId="0" xfId="293" applyFont="1" applyProtection="1"/>
    <xf numFmtId="176" fontId="111" fillId="0" borderId="0" xfId="293" quotePrefix="1" applyNumberFormat="1" applyFont="1" applyAlignment="1" applyProtection="1">
      <alignment horizontal="center"/>
    </xf>
    <xf numFmtId="195" fontId="111" fillId="0" borderId="0" xfId="293" quotePrefix="1" applyNumberFormat="1" applyFont="1" applyAlignment="1" applyProtection="1">
      <alignment horizontal="center"/>
    </xf>
    <xf numFmtId="0" fontId="113" fillId="0" borderId="0" xfId="293" applyFont="1" applyProtection="1"/>
    <xf numFmtId="0" fontId="114" fillId="0" borderId="16" xfId="293" applyFont="1" applyBorder="1" applyProtection="1"/>
    <xf numFmtId="0" fontId="110" fillId="0" borderId="16" xfId="293" applyFont="1" applyBorder="1" applyProtection="1"/>
    <xf numFmtId="0" fontId="2" fillId="0" borderId="0" xfId="293" applyFont="1" applyBorder="1" applyAlignment="1" applyProtection="1">
      <alignment horizontal="left"/>
    </xf>
    <xf numFmtId="0" fontId="2" fillId="0" borderId="0" xfId="293" applyFont="1" applyBorder="1" applyProtection="1"/>
    <xf numFmtId="0" fontId="115" fillId="0" borderId="0" xfId="293" applyFont="1" applyProtection="1"/>
    <xf numFmtId="176" fontId="2" fillId="0" borderId="0" xfId="293" quotePrefix="1" applyNumberFormat="1" applyAlignment="1" applyProtection="1">
      <alignment horizontal="right"/>
    </xf>
    <xf numFmtId="0" fontId="115" fillId="0" borderId="0" xfId="293" applyFont="1" applyAlignment="1" applyProtection="1">
      <alignment horizontal="right"/>
    </xf>
    <xf numFmtId="0" fontId="116" fillId="0" borderId="0" xfId="293" applyFont="1" applyProtection="1"/>
    <xf numFmtId="0" fontId="2" fillId="0" borderId="0" xfId="293" applyFont="1" applyAlignment="1" applyProtection="1">
      <alignment horizontal="left" wrapText="1"/>
    </xf>
    <xf numFmtId="0" fontId="117" fillId="0" borderId="0" xfId="293" applyFont="1" applyProtection="1"/>
    <xf numFmtId="0" fontId="41" fillId="0" borderId="0" xfId="293"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303"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4" fillId="0" borderId="0" xfId="0" applyNumberFormat="1" applyFont="1" applyFill="1" applyProtection="1"/>
    <xf numFmtId="173" fontId="4" fillId="0" borderId="0" xfId="90" applyNumberFormat="1" applyFont="1" applyFill="1" applyProtection="1"/>
    <xf numFmtId="173" fontId="4" fillId="0" borderId="0" xfId="131"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90" applyNumberFormat="1" applyFont="1" applyFill="1" applyAlignment="1" applyProtection="1">
      <protection locked="0"/>
    </xf>
    <xf numFmtId="41" fontId="18" fillId="33" borderId="6" xfId="290" applyNumberFormat="1" applyFont="1" applyFill="1" applyBorder="1" applyAlignment="1" applyProtection="1">
      <protection locked="0"/>
    </xf>
    <xf numFmtId="3" fontId="18" fillId="33" borderId="0" xfId="290" applyNumberFormat="1" applyFont="1" applyFill="1" applyAlignment="1" applyProtection="1">
      <protection locked="0"/>
    </xf>
    <xf numFmtId="3" fontId="18" fillId="33" borderId="6" xfId="290" applyNumberFormat="1" applyFont="1" applyFill="1" applyBorder="1" applyAlignment="1" applyProtection="1">
      <protection locked="0"/>
    </xf>
    <xf numFmtId="10" fontId="18" fillId="33" borderId="0" xfId="300" applyNumberFormat="1" applyFont="1" applyFill="1" applyAlignment="1" applyProtection="1">
      <protection locked="0"/>
    </xf>
    <xf numFmtId="173" fontId="7" fillId="33" borderId="0" xfId="91" applyNumberFormat="1" applyFont="1" applyFill="1" applyBorder="1" applyAlignment="1" applyProtection="1">
      <alignment horizontal="right"/>
      <protection locked="0"/>
    </xf>
    <xf numFmtId="0" fontId="31" fillId="33" borderId="0" xfId="236" applyFont="1" applyFill="1" applyBorder="1" applyProtection="1">
      <protection locked="0"/>
    </xf>
    <xf numFmtId="173" fontId="7" fillId="33" borderId="11" xfId="91" applyNumberFormat="1" applyFont="1" applyFill="1" applyBorder="1" applyAlignment="1" applyProtection="1">
      <alignment horizontal="right"/>
      <protection locked="0"/>
    </xf>
    <xf numFmtId="41" fontId="7" fillId="33" borderId="0" xfId="281"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27" applyNumberFormat="1" applyFont="1" applyFill="1" applyProtection="1">
      <protection locked="0"/>
    </xf>
    <xf numFmtId="0" fontId="18" fillId="33" borderId="0" xfId="281"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81" applyNumberFormat="1" applyFont="1" applyFill="1" applyBorder="1" applyProtection="1">
      <protection locked="0"/>
    </xf>
    <xf numFmtId="38" fontId="7" fillId="33" borderId="0" xfId="0" applyNumberFormat="1" applyFont="1" applyFill="1" applyBorder="1" applyProtection="1">
      <protection locked="0"/>
    </xf>
    <xf numFmtId="10" fontId="18" fillId="33" borderId="0" xfId="0" applyNumberFormat="1" applyFont="1" applyFill="1" applyBorder="1" applyAlignment="1" applyProtection="1">
      <protection locked="0"/>
    </xf>
    <xf numFmtId="10" fontId="18" fillId="33" borderId="11" xfId="0" applyNumberFormat="1" applyFont="1" applyFill="1" applyBorder="1" applyAlignment="1" applyProtection="1">
      <protection locked="0"/>
    </xf>
    <xf numFmtId="10" fontId="77" fillId="33" borderId="11" xfId="300" applyNumberFormat="1" applyFont="1" applyFill="1" applyBorder="1" applyProtection="1">
      <protection locked="0"/>
    </xf>
    <xf numFmtId="41" fontId="77" fillId="33" borderId="11" xfId="291" applyNumberFormat="1" applyFont="1" applyFill="1" applyBorder="1" applyProtection="1">
      <protection locked="0"/>
    </xf>
    <xf numFmtId="173" fontId="77" fillId="33" borderId="0" xfId="291" applyNumberFormat="1" applyFont="1" applyFill="1" applyBorder="1" applyProtection="1">
      <protection locked="0"/>
    </xf>
    <xf numFmtId="0" fontId="70" fillId="33" borderId="0" xfId="291"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90"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61" fillId="33" borderId="18" xfId="86" applyNumberFormat="1" applyFont="1" applyFill="1" applyBorder="1" applyAlignment="1" applyProtection="1">
      <alignment horizontal="right"/>
      <protection locked="0"/>
    </xf>
    <xf numFmtId="0" fontId="161" fillId="33" borderId="18" xfId="0"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81" applyFont="1" applyAlignment="1">
      <alignment wrapText="1"/>
    </xf>
    <xf numFmtId="173" fontId="7" fillId="33" borderId="0" xfId="90" applyNumberFormat="1" applyFont="1" applyFill="1" applyBorder="1" applyProtection="1">
      <protection locked="0"/>
    </xf>
    <xf numFmtId="173" fontId="19" fillId="33" borderId="0" xfId="86" applyNumberFormat="1" applyFont="1" applyFill="1" applyProtection="1">
      <protection locked="0"/>
    </xf>
    <xf numFmtId="190"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303" applyNumberFormat="1" applyFont="1" applyFill="1" applyProtection="1">
      <protection locked="0"/>
    </xf>
    <xf numFmtId="199" fontId="162" fillId="31" borderId="0" xfId="0" applyNumberFormat="1" applyFont="1" applyFill="1" applyAlignment="1">
      <alignment horizontal="right"/>
    </xf>
    <xf numFmtId="41" fontId="7" fillId="33" borderId="11" xfId="282" applyNumberFormat="1" applyFont="1" applyFill="1" applyBorder="1"/>
    <xf numFmtId="173" fontId="7" fillId="0" borderId="0" xfId="127" applyNumberFormat="1" applyFont="1" applyFill="1" applyProtection="1">
      <protection locked="0"/>
    </xf>
    <xf numFmtId="0" fontId="130" fillId="0" borderId="0" xfId="0" applyFont="1" applyAlignment="1">
      <alignment vertical="center"/>
    </xf>
    <xf numFmtId="0" fontId="80" fillId="0" borderId="0" xfId="236" applyNumberFormat="1" applyFont="1" applyFill="1" applyBorder="1" applyAlignment="1">
      <alignment horizontal="center"/>
    </xf>
    <xf numFmtId="173" fontId="77" fillId="0" borderId="0" xfId="291" applyNumberFormat="1" applyFont="1" applyFill="1" applyBorder="1" applyProtection="1">
      <protection locked="0"/>
    </xf>
    <xf numFmtId="0" fontId="70" fillId="0" borderId="0" xfId="291" applyFont="1" applyFill="1" applyAlignment="1" applyProtection="1">
      <alignment horizontal="center"/>
      <protection locked="0"/>
    </xf>
    <xf numFmtId="0" fontId="131" fillId="0" borderId="0" xfId="0" applyNumberFormat="1" applyFont="1" applyAlignment="1">
      <alignment horizontal="center"/>
    </xf>
    <xf numFmtId="172" fontId="11" fillId="0" borderId="0" xfId="287" applyFont="1" applyAlignment="1"/>
    <xf numFmtId="173" fontId="11" fillId="0" borderId="0" xfId="0" applyNumberFormat="1" applyFont="1" applyAlignment="1"/>
    <xf numFmtId="0" fontId="11" fillId="0" borderId="0" xfId="294" applyFont="1"/>
    <xf numFmtId="0" fontId="11" fillId="0" borderId="0" xfId="0" applyNumberFormat="1" applyFont="1" applyAlignment="1">
      <alignment horizontal="center"/>
    </xf>
    <xf numFmtId="173" fontId="11" fillId="0" borderId="14" xfId="90" applyNumberFormat="1" applyFont="1" applyBorder="1"/>
    <xf numFmtId="173" fontId="11" fillId="0" borderId="31" xfId="90" applyNumberFormat="1" applyFont="1" applyBorder="1"/>
    <xf numFmtId="0" fontId="11" fillId="0" borderId="14" xfId="0" applyNumberFormat="1" applyFont="1" applyBorder="1" applyAlignment="1">
      <alignment horizontal="center"/>
    </xf>
    <xf numFmtId="173" fontId="7" fillId="33" borderId="32" xfId="91" applyNumberFormat="1" applyFont="1" applyFill="1" applyBorder="1" applyAlignment="1">
      <alignment horizontal="right"/>
    </xf>
    <xf numFmtId="173" fontId="7" fillId="33" borderId="0" xfId="91" applyNumberFormat="1" applyFont="1" applyFill="1" applyBorder="1" applyAlignment="1">
      <alignment horizontal="right"/>
    </xf>
    <xf numFmtId="0" fontId="11" fillId="0" borderId="33" xfId="0" applyNumberFormat="1" applyFont="1" applyBorder="1" applyAlignment="1">
      <alignment horizontal="center"/>
    </xf>
    <xf numFmtId="0" fontId="11" fillId="0" borderId="34" xfId="0" applyNumberFormat="1" applyFont="1" applyBorder="1" applyAlignment="1">
      <alignment horizontal="center"/>
    </xf>
    <xf numFmtId="0" fontId="131" fillId="0" borderId="0" xfId="0" applyFont="1" applyAlignment="1"/>
    <xf numFmtId="3" fontId="11" fillId="0" borderId="35" xfId="236" applyNumberFormat="1" applyFont="1" applyFill="1" applyBorder="1" applyAlignment="1">
      <alignment horizontal="center" wrapText="1"/>
    </xf>
    <xf numFmtId="3" fontId="11" fillId="0" borderId="11" xfId="236" applyNumberFormat="1" applyFont="1" applyFill="1" applyBorder="1" applyAlignment="1">
      <alignment horizontal="center" wrapText="1"/>
    </xf>
    <xf numFmtId="3" fontId="11" fillId="0" borderId="33" xfId="236" applyNumberFormat="1" applyFont="1" applyFill="1" applyBorder="1" applyAlignment="1">
      <alignment horizontal="center" wrapText="1"/>
    </xf>
    <xf numFmtId="0" fontId="8" fillId="0" borderId="0" xfId="294" applyFont="1" applyBorder="1" applyAlignment="1">
      <alignment horizontal="center"/>
    </xf>
    <xf numFmtId="0" fontId="8" fillId="0" borderId="32" xfId="294" applyFont="1" applyBorder="1" applyAlignment="1">
      <alignment horizontal="center"/>
    </xf>
    <xf numFmtId="0" fontId="8" fillId="0" borderId="34" xfId="294" applyFont="1" applyBorder="1" applyAlignment="1">
      <alignment horizontal="center"/>
    </xf>
    <xf numFmtId="0" fontId="8" fillId="0" borderId="32" xfId="294" applyFont="1" applyBorder="1" applyAlignment="1">
      <alignment horizontal="center" wrapText="1"/>
    </xf>
    <xf numFmtId="0" fontId="8" fillId="0" borderId="0" xfId="294" applyFont="1" applyBorder="1" applyAlignment="1">
      <alignment horizontal="center" wrapText="1"/>
    </xf>
    <xf numFmtId="0" fontId="8" fillId="0" borderId="34" xfId="294" applyFont="1" applyBorder="1" applyAlignment="1">
      <alignment horizontal="center" wrapText="1"/>
    </xf>
    <xf numFmtId="0" fontId="11" fillId="0" borderId="34" xfId="0" applyNumberFormat="1" applyFont="1" applyBorder="1" applyAlignment="1">
      <alignment horizontal="center" wrapText="1"/>
    </xf>
    <xf numFmtId="0" fontId="11" fillId="0" borderId="36" xfId="0" applyFont="1" applyBorder="1" applyAlignment="1"/>
    <xf numFmtId="0" fontId="11" fillId="0" borderId="2" xfId="0" applyFont="1" applyBorder="1" applyAlignment="1"/>
    <xf numFmtId="0" fontId="11" fillId="0" borderId="37" xfId="0" applyFont="1" applyBorder="1" applyAlignment="1"/>
    <xf numFmtId="0" fontId="8" fillId="0" borderId="2" xfId="294" applyFont="1" applyBorder="1" applyAlignment="1">
      <alignment horizontal="centerContinuous" wrapText="1"/>
    </xf>
    <xf numFmtId="0" fontId="11" fillId="0" borderId="37" xfId="0" applyNumberFormat="1" applyFont="1" applyBorder="1" applyAlignment="1">
      <alignment horizontal="center"/>
    </xf>
    <xf numFmtId="37" fontId="11" fillId="0" borderId="0" xfId="294" applyNumberFormat="1" applyFont="1"/>
    <xf numFmtId="173" fontId="11" fillId="0" borderId="38" xfId="91" applyNumberFormat="1" applyFont="1" applyBorder="1"/>
    <xf numFmtId="173" fontId="11" fillId="0" borderId="14" xfId="91" applyNumberFormat="1" applyFont="1" applyBorder="1"/>
    <xf numFmtId="0" fontId="11" fillId="0" borderId="39" xfId="294" applyFont="1" applyBorder="1" applyAlignment="1">
      <alignment horizontal="right"/>
    </xf>
    <xf numFmtId="0" fontId="11" fillId="0" borderId="40" xfId="0" applyNumberFormat="1" applyFont="1" applyBorder="1" applyAlignment="1">
      <alignment horizontal="center"/>
    </xf>
    <xf numFmtId="173" fontId="7" fillId="33" borderId="35" xfId="91" applyNumberFormat="1" applyFont="1" applyFill="1" applyBorder="1" applyAlignment="1">
      <alignment horizontal="right"/>
    </xf>
    <xf numFmtId="0" fontId="11" fillId="0" borderId="35" xfId="294" applyFont="1" applyBorder="1"/>
    <xf numFmtId="0" fontId="11" fillId="0" borderId="32" xfId="294" applyFont="1" applyBorder="1"/>
    <xf numFmtId="0" fontId="11" fillId="0" borderId="32" xfId="294" quotePrefix="1" applyFont="1" applyBorder="1" applyAlignment="1">
      <alignment horizontal="left"/>
    </xf>
    <xf numFmtId="173" fontId="7" fillId="33" borderId="36" xfId="91" applyNumberFormat="1" applyFont="1" applyFill="1" applyBorder="1" applyAlignment="1">
      <alignment horizontal="right"/>
    </xf>
    <xf numFmtId="3" fontId="23" fillId="0" borderId="35" xfId="236" applyNumberFormat="1" applyFont="1" applyFill="1" applyBorder="1" applyAlignment="1">
      <alignment horizontal="center" wrapText="1"/>
    </xf>
    <xf numFmtId="3" fontId="23" fillId="0" borderId="11" xfId="236" applyNumberFormat="1" applyFont="1" applyFill="1" applyBorder="1" applyAlignment="1">
      <alignment horizontal="center" wrapText="1"/>
    </xf>
    <xf numFmtId="0" fontId="8" fillId="0" borderId="32" xfId="280" applyFont="1" applyFill="1" applyBorder="1" applyAlignment="1">
      <alignment horizontal="center" wrapText="1"/>
    </xf>
    <xf numFmtId="0" fontId="11" fillId="0" borderId="0" xfId="0" applyFont="1" applyAlignment="1">
      <alignment wrapText="1"/>
    </xf>
    <xf numFmtId="0" fontId="8" fillId="0" borderId="36" xfId="294" applyFont="1" applyBorder="1" applyAlignment="1">
      <alignment horizontal="center" wrapText="1"/>
    </xf>
    <xf numFmtId="0" fontId="11" fillId="0" borderId="37" xfId="0" applyNumberFormat="1" applyFont="1" applyBorder="1" applyAlignment="1">
      <alignment horizontal="center" wrapText="1"/>
    </xf>
    <xf numFmtId="0" fontId="8" fillId="0" borderId="0" xfId="294" applyFont="1" applyAlignment="1">
      <alignment horizontal="centerContinuous"/>
    </xf>
    <xf numFmtId="0" fontId="11" fillId="0" borderId="0" xfId="214" applyFont="1"/>
    <xf numFmtId="0" fontId="8" fillId="0" borderId="0" xfId="294" applyFont="1" applyAlignment="1">
      <alignment horizontal="center"/>
    </xf>
    <xf numFmtId="0" fontId="11" fillId="0" borderId="0" xfId="294" applyFont="1" applyFill="1" applyAlignment="1">
      <alignment horizontal="left"/>
    </xf>
    <xf numFmtId="0" fontId="11" fillId="0" borderId="0" xfId="0" applyFont="1" applyAlignment="1">
      <alignment horizontal="right"/>
    </xf>
    <xf numFmtId="0" fontId="11" fillId="0" borderId="0" xfId="236" applyFont="1" applyFill="1" applyBorder="1" applyAlignment="1">
      <alignment horizontal="left"/>
    </xf>
    <xf numFmtId="0" fontId="16" fillId="0" borderId="0" xfId="236" applyFont="1" applyBorder="1" applyAlignment="1">
      <alignment horizontal="center" vertical="center"/>
    </xf>
    <xf numFmtId="0" fontId="16" fillId="0" borderId="0" xfId="281" applyFont="1" applyAlignment="1">
      <alignment horizontal="center" vertical="center" wrapText="1"/>
    </xf>
    <xf numFmtId="0" fontId="16" fillId="0" borderId="0" xfId="236" quotePrefix="1" applyFont="1" applyBorder="1" applyAlignment="1">
      <alignment horizontal="center" vertical="center" wrapText="1"/>
    </xf>
    <xf numFmtId="0" fontId="16" fillId="0" borderId="0" xfId="236"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94" applyFont="1" applyAlignment="1">
      <alignment horizontal="centerContinuous"/>
    </xf>
    <xf numFmtId="0" fontId="14" fillId="0" borderId="0" xfId="294" applyFont="1" applyFill="1" applyAlignment="1">
      <alignment horizontal="left"/>
    </xf>
    <xf numFmtId="0" fontId="95" fillId="0" borderId="0" xfId="294" applyFont="1" applyAlignment="1">
      <alignment horizontal="center"/>
    </xf>
    <xf numFmtId="0" fontId="8" fillId="0" borderId="41" xfId="294" applyFont="1" applyBorder="1" applyAlignment="1">
      <alignment horizontal="center" wrapText="1"/>
    </xf>
    <xf numFmtId="0" fontId="14" fillId="0" borderId="0" xfId="0" applyFont="1" applyAlignment="1">
      <alignment wrapText="1"/>
    </xf>
    <xf numFmtId="0" fontId="8" fillId="0" borderId="10" xfId="294" applyFont="1" applyBorder="1" applyAlignment="1">
      <alignment horizontal="center"/>
    </xf>
    <xf numFmtId="0" fontId="132" fillId="0" borderId="0" xfId="0" applyFont="1" applyAlignment="1"/>
    <xf numFmtId="3" fontId="23" fillId="0" borderId="33" xfId="236" applyNumberFormat="1" applyFont="1" applyFill="1" applyBorder="1" applyAlignment="1">
      <alignment horizontal="center" wrapText="1"/>
    </xf>
    <xf numFmtId="3" fontId="23" fillId="0" borderId="42" xfId="236" applyNumberFormat="1" applyFont="1" applyFill="1" applyBorder="1" applyAlignment="1">
      <alignment wrapText="1"/>
    </xf>
    <xf numFmtId="173" fontId="7" fillId="30" borderId="0" xfId="117" applyNumberFormat="1" applyFont="1" applyFill="1" applyAlignment="1" applyProtection="1">
      <protection locked="0"/>
    </xf>
    <xf numFmtId="41" fontId="11" fillId="0" borderId="10" xfId="294" applyNumberFormat="1" applyFont="1" applyFill="1" applyBorder="1"/>
    <xf numFmtId="173" fontId="11" fillId="0" borderId="43" xfId="90" applyNumberFormat="1" applyFont="1" applyBorder="1"/>
    <xf numFmtId="3" fontId="23" fillId="0" borderId="42" xfId="236" applyNumberFormat="1" applyFont="1" applyFill="1" applyBorder="1" applyAlignment="1">
      <alignment horizontal="center" wrapText="1"/>
    </xf>
    <xf numFmtId="0" fontId="14" fillId="0" borderId="0" xfId="294" applyFont="1"/>
    <xf numFmtId="37" fontId="14" fillId="0" borderId="0" xfId="294" applyNumberFormat="1" applyFont="1"/>
    <xf numFmtId="172" fontId="14" fillId="0" borderId="0" xfId="287" applyFont="1" applyAlignment="1"/>
    <xf numFmtId="0" fontId="11" fillId="0" borderId="0" xfId="283" applyFont="1" applyFill="1" applyAlignment="1" applyProtection="1">
      <alignment vertical="top"/>
    </xf>
    <xf numFmtId="0" fontId="132" fillId="0" borderId="0" xfId="0" applyNumberFormat="1" applyFont="1" applyAlignment="1">
      <alignment horizontal="center"/>
    </xf>
    <xf numFmtId="0" fontId="94" fillId="0" borderId="0" xfId="284"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84" applyFont="1" applyFill="1" applyAlignment="1" applyProtection="1">
      <alignment horizontal="left"/>
    </xf>
    <xf numFmtId="173" fontId="11" fillId="0" borderId="0" xfId="90" applyNumberFormat="1" applyFont="1" applyFill="1" applyProtection="1"/>
    <xf numFmtId="0" fontId="11" fillId="0" borderId="0" xfId="284" applyFont="1" applyFill="1" applyProtection="1"/>
    <xf numFmtId="0" fontId="11" fillId="0" borderId="0" xfId="208"/>
    <xf numFmtId="0" fontId="11" fillId="0" borderId="0" xfId="284" applyFont="1" applyFill="1" applyAlignment="1" applyProtection="1">
      <alignment horizontal="left"/>
    </xf>
    <xf numFmtId="173" fontId="7" fillId="33" borderId="0" xfId="90" applyNumberFormat="1" applyFont="1" applyFill="1" applyProtection="1">
      <protection locked="0"/>
    </xf>
    <xf numFmtId="0" fontId="11" fillId="0" borderId="0" xfId="283" applyFont="1" applyFill="1" applyAlignment="1" applyProtection="1">
      <alignment horizontal="left"/>
    </xf>
    <xf numFmtId="173" fontId="7" fillId="0" borderId="0" xfId="90" applyNumberFormat="1" applyFont="1" applyFill="1" applyProtection="1">
      <protection locked="0"/>
    </xf>
    <xf numFmtId="0" fontId="11" fillId="0" borderId="0" xfId="208" applyProtection="1"/>
    <xf numFmtId="10" fontId="11" fillId="0" borderId="0" xfId="303" applyNumberFormat="1" applyFont="1" applyFill="1" applyBorder="1" applyProtection="1"/>
    <xf numFmtId="173" fontId="7" fillId="30" borderId="6" xfId="90" applyNumberFormat="1" applyFont="1" applyFill="1" applyBorder="1" applyAlignment="1" applyProtection="1">
      <protection locked="0"/>
    </xf>
    <xf numFmtId="10" fontId="8" fillId="0" borderId="0" xfId="303" applyNumberFormat="1" applyFont="1" applyFill="1" applyBorder="1" applyProtection="1"/>
    <xf numFmtId="0" fontId="8" fillId="0" borderId="0" xfId="284" applyFont="1" applyFill="1" applyProtection="1"/>
    <xf numFmtId="173" fontId="11" fillId="0" borderId="0" xfId="303" applyNumberFormat="1" applyFont="1" applyFill="1" applyBorder="1" applyProtection="1"/>
    <xf numFmtId="10" fontId="8" fillId="0" borderId="44" xfId="303" applyNumberFormat="1" applyFont="1" applyFill="1" applyBorder="1" applyProtection="1"/>
    <xf numFmtId="0" fontId="104" fillId="0" borderId="0" xfId="208" applyFont="1" applyAlignment="1" applyProtection="1">
      <alignment horizontal="center"/>
    </xf>
    <xf numFmtId="0" fontId="14" fillId="0" borderId="0" xfId="284" applyFont="1" applyFill="1" applyProtection="1"/>
    <xf numFmtId="0" fontId="14" fillId="0" borderId="0" xfId="284" applyFont="1" applyProtection="1"/>
    <xf numFmtId="41" fontId="8" fillId="0" borderId="0" xfId="284" applyNumberFormat="1" applyFont="1" applyFill="1" applyBorder="1" applyAlignment="1" applyProtection="1">
      <alignment horizontal="center" wrapText="1"/>
    </xf>
    <xf numFmtId="0" fontId="8" fillId="0" borderId="0" xfId="284" applyFont="1" applyFill="1" applyAlignment="1" applyProtection="1">
      <alignment horizontal="center" wrapText="1"/>
    </xf>
    <xf numFmtId="0" fontId="7" fillId="33" borderId="0" xfId="284" applyFont="1" applyFill="1" applyProtection="1">
      <protection locked="0"/>
    </xf>
    <xf numFmtId="173" fontId="14" fillId="0" borderId="0" xfId="284" applyNumberFormat="1" applyFont="1" applyFill="1" applyProtection="1"/>
    <xf numFmtId="198" fontId="7" fillId="33" borderId="0" xfId="284" applyNumberFormat="1" applyFont="1" applyFill="1" applyProtection="1">
      <protection locked="0"/>
    </xf>
    <xf numFmtId="173" fontId="7" fillId="33" borderId="0" xfId="284" applyNumberFormat="1" applyFont="1" applyFill="1" applyProtection="1">
      <protection locked="0"/>
    </xf>
    <xf numFmtId="0" fontId="84" fillId="33" borderId="0" xfId="284" applyFont="1" applyFill="1" applyProtection="1">
      <protection locked="0"/>
    </xf>
    <xf numFmtId="0" fontId="11" fillId="0" borderId="11" xfId="0" applyFont="1" applyBorder="1" applyProtection="1"/>
    <xf numFmtId="0" fontId="14" fillId="0" borderId="11" xfId="284" applyFont="1" applyFill="1" applyBorder="1" applyProtection="1"/>
    <xf numFmtId="0" fontId="11" fillId="31" borderId="0" xfId="284" applyFont="1" applyFill="1" applyAlignment="1" applyProtection="1">
      <alignment horizontal="left"/>
    </xf>
    <xf numFmtId="41" fontId="11" fillId="0" borderId="0" xfId="303" applyNumberFormat="1" applyFont="1" applyFill="1" applyBorder="1" applyProtection="1"/>
    <xf numFmtId="173" fontId="14" fillId="0" borderId="0" xfId="284" applyNumberFormat="1" applyFont="1" applyProtection="1"/>
    <xf numFmtId="186" fontId="11" fillId="0" borderId="0" xfId="90" applyNumberFormat="1" applyFont="1" applyFill="1" applyBorder="1" applyProtection="1"/>
    <xf numFmtId="10" fontId="14" fillId="0" borderId="0" xfId="303" applyNumberFormat="1" applyFont="1" applyFill="1" applyProtection="1"/>
    <xf numFmtId="173" fontId="11" fillId="0" borderId="0" xfId="90" applyNumberFormat="1" applyFont="1" applyFill="1" applyBorder="1" applyProtection="1"/>
    <xf numFmtId="173" fontId="8" fillId="0" borderId="44" xfId="90" applyNumberFormat="1" applyFont="1" applyFill="1" applyBorder="1" applyProtection="1"/>
    <xf numFmtId="0" fontId="94" fillId="0" borderId="0" xfId="284" applyFont="1" applyFill="1" applyAlignment="1" applyProtection="1">
      <alignment horizontal="left"/>
    </xf>
    <xf numFmtId="0" fontId="14" fillId="0" borderId="0" xfId="284" applyFont="1" applyFill="1" applyAlignment="1" applyProtection="1">
      <alignment horizontal="left"/>
    </xf>
    <xf numFmtId="0" fontId="16" fillId="0" borderId="0" xfId="284" applyFont="1" applyFill="1" applyAlignment="1" applyProtection="1">
      <alignment horizontal="left"/>
    </xf>
    <xf numFmtId="0" fontId="16" fillId="0" borderId="0" xfId="284" applyFont="1" applyFill="1" applyAlignment="1" applyProtection="1">
      <alignment horizontal="center" wrapText="1"/>
    </xf>
    <xf numFmtId="0" fontId="11" fillId="0" borderId="0" xfId="284" applyFill="1" applyProtection="1"/>
    <xf numFmtId="164" fontId="7" fillId="33" borderId="0" xfId="303" applyNumberFormat="1" applyFont="1" applyFill="1" applyAlignment="1" applyProtection="1">
      <alignment horizontal="right" wrapText="1"/>
      <protection locked="0"/>
    </xf>
    <xf numFmtId="44" fontId="7" fillId="33" borderId="0" xfId="131" applyFont="1" applyFill="1" applyAlignment="1" applyProtection="1">
      <alignment horizontal="right" wrapText="1"/>
      <protection locked="0"/>
    </xf>
    <xf numFmtId="41" fontId="7" fillId="0" borderId="0" xfId="284"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84" applyNumberFormat="1" applyFill="1" applyBorder="1" applyProtection="1"/>
    <xf numFmtId="41" fontId="95" fillId="0" borderId="0" xfId="284" applyNumberFormat="1" applyFont="1" applyFill="1" applyProtection="1"/>
    <xf numFmtId="41" fontId="11" fillId="0" borderId="12" xfId="284" applyNumberFormat="1" applyFont="1" applyFill="1" applyBorder="1" applyProtection="1"/>
    <xf numFmtId="41" fontId="8" fillId="0" borderId="41" xfId="284" applyNumberFormat="1" applyFont="1" applyFill="1" applyBorder="1" applyProtection="1"/>
    <xf numFmtId="0" fontId="8" fillId="0" borderId="0" xfId="284"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7" fontId="11" fillId="0" borderId="0" xfId="281"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4" fillId="0" borderId="0" xfId="290" applyNumberFormat="1" applyFont="1" applyFill="1" applyAlignment="1" applyProtection="1">
      <alignment horizontal="center"/>
    </xf>
    <xf numFmtId="172" fontId="165" fillId="0" borderId="0" xfId="290" applyFont="1" applyFill="1" applyAlignment="1" applyProtection="1"/>
    <xf numFmtId="200" fontId="7" fillId="33" borderId="0" xfId="281" applyNumberFormat="1" applyFont="1" applyFill="1" applyProtection="1">
      <protection locked="0"/>
    </xf>
    <xf numFmtId="0" fontId="166" fillId="0" borderId="0" xfId="0" applyFont="1" applyFill="1" applyAlignment="1">
      <alignment horizontal="left"/>
    </xf>
    <xf numFmtId="10" fontId="70" fillId="33" borderId="0" xfId="300" applyNumberFormat="1" applyFont="1" applyFill="1" applyAlignment="1" applyProtection="1">
      <alignment horizontal="center"/>
      <protection locked="0"/>
    </xf>
    <xf numFmtId="10" fontId="70" fillId="33" borderId="0" xfId="291" applyNumberFormat="1" applyFont="1" applyFill="1" applyAlignment="1" applyProtection="1">
      <alignment horizontal="center"/>
      <protection locked="0"/>
    </xf>
    <xf numFmtId="173" fontId="17" fillId="0" borderId="0" xfId="291" applyNumberFormat="1" applyFont="1"/>
    <xf numFmtId="0" fontId="17" fillId="0" borderId="0" xfId="291" applyNumberFormat="1" applyFont="1" applyAlignment="1">
      <alignment horizontal="center" vertical="center"/>
    </xf>
    <xf numFmtId="0" fontId="17" fillId="0" borderId="0" xfId="291" applyNumberFormat="1" applyFont="1" applyAlignment="1">
      <alignment vertical="center"/>
    </xf>
    <xf numFmtId="0" fontId="70" fillId="0" borderId="0" xfId="291" applyFont="1" applyFill="1" applyAlignment="1">
      <alignment horizontal="center"/>
    </xf>
    <xf numFmtId="0" fontId="167" fillId="0" borderId="0" xfId="291" applyFont="1" applyFill="1" applyAlignment="1">
      <alignment horizontal="right"/>
    </xf>
    <xf numFmtId="173" fontId="167" fillId="0" borderId="0" xfId="291" applyNumberFormat="1" applyFont="1" applyFill="1"/>
    <xf numFmtId="0" fontId="17" fillId="0" borderId="0" xfId="291" applyFont="1" applyAlignment="1">
      <alignment horizontal="left" indent="2"/>
    </xf>
    <xf numFmtId="173" fontId="168" fillId="0" borderId="0" xfId="291" applyNumberFormat="1" applyFont="1" applyBorder="1"/>
    <xf numFmtId="173" fontId="168" fillId="0" borderId="0" xfId="291" applyNumberFormat="1" applyFont="1"/>
    <xf numFmtId="0" fontId="137" fillId="0" borderId="0" xfId="291" applyNumberFormat="1" applyFont="1" applyAlignment="1">
      <alignment horizontal="center"/>
    </xf>
    <xf numFmtId="0" fontId="137" fillId="0" borderId="0" xfId="291" applyNumberFormat="1" applyFont="1"/>
    <xf numFmtId="0" fontId="138" fillId="0" borderId="0" xfId="291" applyFont="1"/>
    <xf numFmtId="0" fontId="137" fillId="0" borderId="0" xfId="291" applyFont="1" applyFill="1" applyBorder="1"/>
    <xf numFmtId="0" fontId="137" fillId="0" borderId="0" xfId="291" applyFont="1"/>
    <xf numFmtId="173" fontId="137" fillId="0" borderId="0" xfId="291" applyNumberFormat="1" applyFont="1" applyBorder="1"/>
    <xf numFmtId="173" fontId="137" fillId="0" borderId="0" xfId="291" applyNumberFormat="1" applyFont="1" applyFill="1" applyBorder="1"/>
    <xf numFmtId="0" fontId="4" fillId="0" borderId="0" xfId="290" applyNumberFormat="1" applyFont="1" applyFill="1" applyAlignment="1" applyProtection="1">
      <alignment horizontal="left" wrapText="1"/>
    </xf>
    <xf numFmtId="0" fontId="169" fillId="0" borderId="11" xfId="291" applyNumberFormat="1" applyFont="1" applyFill="1" applyBorder="1" applyAlignment="1">
      <alignment horizontal="center"/>
    </xf>
    <xf numFmtId="0" fontId="169" fillId="0" borderId="2" xfId="291" applyNumberFormat="1" applyFont="1" applyFill="1" applyBorder="1" applyAlignment="1">
      <alignment horizontal="center"/>
    </xf>
    <xf numFmtId="0" fontId="73" fillId="0" borderId="0" xfId="291" applyFont="1" applyFill="1" applyAlignment="1">
      <alignment horizontal="center" vertical="center"/>
    </xf>
    <xf numFmtId="0" fontId="17" fillId="0" borderId="11" xfId="291" applyNumberFormat="1" applyFont="1" applyBorder="1" applyAlignment="1">
      <alignment horizontal="center"/>
    </xf>
    <xf numFmtId="0" fontId="17" fillId="0" borderId="11" xfId="291" applyNumberFormat="1" applyFont="1" applyBorder="1"/>
    <xf numFmtId="0" fontId="17" fillId="0" borderId="11" xfId="291" applyFont="1" applyBorder="1"/>
    <xf numFmtId="173" fontId="77" fillId="0" borderId="11" xfId="291" applyNumberFormat="1" applyFont="1" applyFill="1" applyBorder="1" applyProtection="1">
      <protection locked="0"/>
    </xf>
    <xf numFmtId="173" fontId="70" fillId="0" borderId="11" xfId="291" applyNumberFormat="1" applyFont="1" applyFill="1" applyBorder="1"/>
    <xf numFmtId="0" fontId="70" fillId="0" borderId="11" xfId="291"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90" applyNumberFormat="1" applyFont="1" applyFill="1" applyAlignment="1" applyProtection="1">
      <alignment horizontal="center"/>
    </xf>
    <xf numFmtId="172" fontId="164" fillId="0" borderId="0" xfId="290" applyFont="1" applyFill="1" applyAlignment="1" applyProtection="1"/>
    <xf numFmtId="0" fontId="7" fillId="33" borderId="0" xfId="91" applyNumberFormat="1" applyFont="1" applyFill="1" applyBorder="1" applyAlignment="1" applyProtection="1">
      <alignment horizontal="center"/>
      <protection locked="0"/>
    </xf>
    <xf numFmtId="41" fontId="7" fillId="33" borderId="0" xfId="283" applyNumberFormat="1" applyFont="1" applyFill="1"/>
    <xf numFmtId="172" fontId="5" fillId="0" borderId="0" xfId="290" applyFont="1" applyFill="1" applyAlignment="1" applyProtection="1">
      <alignment horizontal="center"/>
    </xf>
    <xf numFmtId="3" fontId="5" fillId="0" borderId="0" xfId="290" applyNumberFormat="1" applyFont="1" applyFill="1" applyAlignment="1" applyProtection="1">
      <alignment horizontal="center" vertical="center"/>
    </xf>
    <xf numFmtId="0" fontId="2" fillId="0" borderId="0" xfId="290" applyNumberFormat="1" applyFont="1" applyFill="1" applyBorder="1" applyAlignment="1" applyProtection="1">
      <alignment horizontal="center"/>
    </xf>
    <xf numFmtId="3" fontId="13" fillId="0" borderId="0" xfId="290" applyNumberFormat="1" applyFont="1" applyFill="1" applyAlignment="1" applyProtection="1">
      <alignment horizontal="center"/>
    </xf>
    <xf numFmtId="0" fontId="2" fillId="0" borderId="6" xfId="290" applyNumberFormat="1" applyFont="1" applyFill="1" applyBorder="1" applyAlignment="1" applyProtection="1">
      <alignment horizontal="center"/>
    </xf>
    <xf numFmtId="0" fontId="4" fillId="0" borderId="0" xfId="290" applyNumberFormat="1" applyFont="1" applyFill="1" applyBorder="1" applyAlignment="1" applyProtection="1">
      <alignment vertical="center"/>
    </xf>
    <xf numFmtId="41" fontId="4" fillId="0" borderId="40" xfId="290"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95" applyFont="1" applyFill="1" applyAlignment="1" applyProtection="1">
      <alignment horizontal="center"/>
    </xf>
    <xf numFmtId="38" fontId="7" fillId="0" borderId="0" xfId="0" applyNumberFormat="1" applyFont="1" applyFill="1" applyBorder="1" applyProtection="1">
      <protection locked="0"/>
    </xf>
    <xf numFmtId="0" fontId="5" fillId="0" borderId="0" xfId="282" applyFont="1" applyFill="1" applyBorder="1"/>
    <xf numFmtId="0" fontId="72" fillId="0" borderId="0" xfId="291" applyFont="1" applyFill="1" applyAlignment="1">
      <alignment vertical="center" wrapText="1"/>
    </xf>
    <xf numFmtId="0" fontId="5" fillId="0" borderId="0" xfId="281" quotePrefix="1" applyFont="1" applyFill="1" applyBorder="1" applyAlignment="1">
      <alignment horizontal="center"/>
    </xf>
    <xf numFmtId="0" fontId="3" fillId="0" borderId="11" xfId="291" applyNumberFormat="1" applyFont="1" applyFill="1" applyBorder="1" applyAlignment="1">
      <alignment horizontal="center" wrapText="1"/>
    </xf>
    <xf numFmtId="0" fontId="3" fillId="0" borderId="11" xfId="291" applyNumberFormat="1" applyFont="1" applyFill="1" applyBorder="1" applyAlignment="1">
      <alignment horizontal="center" vertical="center"/>
    </xf>
    <xf numFmtId="185" fontId="3" fillId="0" borderId="11" xfId="291" applyNumberFormat="1" applyFont="1" applyFill="1" applyBorder="1" applyAlignment="1">
      <alignment horizontal="center" vertical="center" wrapText="1"/>
    </xf>
    <xf numFmtId="0" fontId="3" fillId="0" borderId="11" xfId="291" applyNumberFormat="1" applyFont="1" applyFill="1" applyBorder="1" applyAlignment="1">
      <alignment horizontal="center" vertical="center" wrapText="1"/>
    </xf>
    <xf numFmtId="185" fontId="3" fillId="0" borderId="11" xfId="291" applyNumberFormat="1" applyFont="1" applyFill="1" applyBorder="1" applyAlignment="1">
      <alignment horizontal="center" vertical="center"/>
    </xf>
    <xf numFmtId="0" fontId="11" fillId="0" borderId="0" xfId="0" applyFont="1" applyFill="1" applyAlignment="1">
      <alignment vertical="center"/>
    </xf>
    <xf numFmtId="173" fontId="3" fillId="0" borderId="11" xfId="291" applyNumberFormat="1" applyFont="1" applyFill="1" applyBorder="1" applyAlignment="1">
      <alignment vertical="center"/>
    </xf>
    <xf numFmtId="173" fontId="73" fillId="0" borderId="0" xfId="291" applyNumberFormat="1" applyFont="1" applyFill="1" applyBorder="1" applyAlignment="1">
      <alignment vertical="center"/>
    </xf>
    <xf numFmtId="0" fontId="3" fillId="0" borderId="0" xfId="291" applyFont="1" applyFill="1" applyAlignment="1">
      <alignment horizontal="right" vertical="center"/>
    </xf>
    <xf numFmtId="0" fontId="70" fillId="0" borderId="0" xfId="291" applyFont="1" applyFill="1" applyAlignment="1">
      <alignment wrapText="1"/>
    </xf>
    <xf numFmtId="0" fontId="11" fillId="0" borderId="0" xfId="285" applyFont="1" applyFill="1" applyAlignment="1" applyProtection="1">
      <alignment horizontal="left"/>
    </xf>
    <xf numFmtId="0" fontId="11" fillId="0" borderId="0" xfId="208" applyFont="1" applyFill="1" applyAlignment="1" applyProtection="1">
      <alignment wrapText="1"/>
    </xf>
    <xf numFmtId="0" fontId="11" fillId="0" borderId="0" xfId="208" applyFont="1" applyFill="1" applyProtection="1"/>
    <xf numFmtId="173" fontId="70" fillId="0" borderId="0" xfId="86" applyNumberFormat="1" applyFont="1" applyFill="1" applyAlignment="1" applyProtection="1">
      <alignment horizontal="center"/>
      <protection locked="0"/>
    </xf>
    <xf numFmtId="173" fontId="11" fillId="0" borderId="0" xfId="291" applyNumberFormat="1" applyFont="1" applyFill="1"/>
    <xf numFmtId="0" fontId="11" fillId="0" borderId="0" xfId="189"/>
    <xf numFmtId="0" fontId="110" fillId="0" borderId="0" xfId="293" applyFont="1" applyProtection="1">
      <protection locked="0"/>
    </xf>
    <xf numFmtId="0" fontId="76" fillId="0" borderId="30" xfId="293" applyFont="1" applyBorder="1" applyAlignment="1">
      <alignment horizontal="center"/>
    </xf>
    <xf numFmtId="0" fontId="76" fillId="0" borderId="0" xfId="293" applyFont="1"/>
    <xf numFmtId="0" fontId="111" fillId="0" borderId="0" xfId="293" applyFont="1" applyAlignment="1">
      <alignment horizontal="center"/>
    </xf>
    <xf numFmtId="0" fontId="112" fillId="0" borderId="0" xfId="293" applyFont="1" applyProtection="1">
      <protection locked="0"/>
    </xf>
    <xf numFmtId="176" fontId="111" fillId="0" borderId="0" xfId="293" applyNumberFormat="1" applyFont="1" applyAlignment="1">
      <alignment horizontal="center"/>
    </xf>
    <xf numFmtId="0" fontId="111" fillId="0" borderId="0" xfId="293" applyFont="1"/>
    <xf numFmtId="195" fontId="111" fillId="0" borderId="0" xfId="293" applyNumberFormat="1" applyFont="1" applyAlignment="1">
      <alignment horizontal="center"/>
    </xf>
    <xf numFmtId="0" fontId="2" fillId="0" borderId="0" xfId="293"/>
    <xf numFmtId="176" fontId="2" fillId="0" borderId="0" xfId="293" applyNumberFormat="1"/>
    <xf numFmtId="0" fontId="113" fillId="0" borderId="0" xfId="293" applyFont="1" applyProtection="1">
      <protection locked="0"/>
    </xf>
    <xf numFmtId="176" fontId="110" fillId="0" borderId="0" xfId="293" applyNumberFormat="1" applyFont="1" applyProtection="1">
      <protection locked="0"/>
    </xf>
    <xf numFmtId="0" fontId="114" fillId="0" borderId="16" xfId="293" applyFont="1" applyBorder="1"/>
    <xf numFmtId="0" fontId="110" fillId="0" borderId="16" xfId="293" applyFont="1" applyBorder="1" applyProtection="1">
      <protection locked="0"/>
    </xf>
    <xf numFmtId="0" fontId="110" fillId="0" borderId="0" xfId="293" applyFont="1" applyBorder="1" applyProtection="1">
      <protection locked="0"/>
    </xf>
    <xf numFmtId="0" fontId="2" fillId="0" borderId="0" xfId="293" applyFont="1" applyBorder="1"/>
    <xf numFmtId="0" fontId="115" fillId="0" borderId="0" xfId="293" applyFont="1" applyProtection="1">
      <protection locked="0"/>
    </xf>
    <xf numFmtId="0" fontId="116" fillId="0" borderId="0" xfId="293" applyFont="1"/>
    <xf numFmtId="0" fontId="117" fillId="0" borderId="0" xfId="293" applyFont="1"/>
    <xf numFmtId="0" fontId="4" fillId="0" borderId="0" xfId="289" applyFont="1"/>
    <xf numFmtId="0" fontId="11" fillId="0" borderId="0" xfId="289"/>
    <xf numFmtId="0" fontId="11" fillId="0" borderId="0" xfId="289" applyAlignment="1">
      <alignment horizontal="center"/>
    </xf>
    <xf numFmtId="0" fontId="141" fillId="0" borderId="0" xfId="293" applyFont="1" applyAlignment="1">
      <alignment horizontal="center"/>
    </xf>
    <xf numFmtId="0" fontId="11" fillId="0" borderId="0" xfId="189" applyAlignment="1">
      <alignment wrapText="1"/>
    </xf>
    <xf numFmtId="10" fontId="2" fillId="0" borderId="0" xfId="293" applyNumberFormat="1" applyAlignment="1" applyProtection="1">
      <alignment horizontal="center"/>
    </xf>
    <xf numFmtId="0" fontId="114" fillId="0" borderId="0" xfId="293" applyFont="1" applyBorder="1"/>
    <xf numFmtId="0" fontId="2" fillId="0" borderId="0" xfId="293" applyAlignment="1">
      <alignment horizontal="center"/>
    </xf>
    <xf numFmtId="10" fontId="2" fillId="0" borderId="0" xfId="293" applyNumberFormat="1" applyAlignment="1" applyProtection="1">
      <alignment horizontal="right"/>
    </xf>
    <xf numFmtId="196" fontId="76" fillId="0" borderId="0" xfId="293" applyNumberFormat="1" applyFont="1" applyProtection="1"/>
    <xf numFmtId="10" fontId="76" fillId="0" borderId="0" xfId="293" applyNumberFormat="1" applyFont="1" applyProtection="1"/>
    <xf numFmtId="0" fontId="2" fillId="0" borderId="0" xfId="293" applyAlignment="1"/>
    <xf numFmtId="0" fontId="2" fillId="0" borderId="0" xfId="293" applyFont="1" applyFill="1" applyBorder="1"/>
    <xf numFmtId="196" fontId="2" fillId="0" borderId="0" xfId="293" applyNumberFormat="1" applyBorder="1" applyProtection="1"/>
    <xf numFmtId="0" fontId="114" fillId="0" borderId="30" xfId="293" applyFont="1" applyBorder="1"/>
    <xf numFmtId="0" fontId="110" fillId="0" borderId="30" xfId="293" applyFont="1" applyBorder="1" applyProtection="1">
      <protection locked="0"/>
    </xf>
    <xf numFmtId="10" fontId="2" fillId="0" borderId="30" xfId="293" applyNumberFormat="1" applyBorder="1" applyProtection="1"/>
    <xf numFmtId="0" fontId="5" fillId="0" borderId="0" xfId="0" applyFont="1" applyAlignment="1"/>
    <xf numFmtId="0" fontId="4" fillId="0" borderId="0" xfId="0" applyFont="1" applyAlignment="1">
      <alignment horizontal="left" indent="1"/>
    </xf>
    <xf numFmtId="10" fontId="4" fillId="0" borderId="0" xfId="240" applyNumberFormat="1" applyFont="1" applyFill="1" applyAlignment="1">
      <alignment horizontal="center"/>
    </xf>
    <xf numFmtId="0" fontId="5" fillId="0" borderId="0" xfId="208" applyFont="1" applyAlignment="1">
      <alignment horizontal="right"/>
    </xf>
    <xf numFmtId="10" fontId="4" fillId="0" borderId="0" xfId="240" applyNumberFormat="1" applyFont="1" applyFill="1" applyAlignment="1">
      <alignment horizontal="right"/>
    </xf>
    <xf numFmtId="177" fontId="4" fillId="0" borderId="0" xfId="86" applyNumberFormat="1" applyFont="1" applyAlignment="1">
      <alignment horizontal="center"/>
    </xf>
    <xf numFmtId="0" fontId="11" fillId="0" borderId="31" xfId="0" applyNumberFormat="1" applyFont="1" applyBorder="1" applyAlignment="1">
      <alignment horizontal="center"/>
    </xf>
    <xf numFmtId="0" fontId="11" fillId="0" borderId="38" xfId="294"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36" applyFont="1" applyBorder="1" applyAlignment="1">
      <alignment horizontal="center"/>
    </xf>
    <xf numFmtId="0" fontId="144" fillId="0" borderId="0" xfId="0" applyFont="1" applyAlignment="1">
      <alignment horizontal="center"/>
    </xf>
    <xf numFmtId="0" fontId="145" fillId="0" borderId="0" xfId="236" applyFont="1" applyBorder="1" applyAlignment="1"/>
    <xf numFmtId="0" fontId="139" fillId="0" borderId="0" xfId="236" applyFont="1" applyBorder="1" applyAlignment="1">
      <alignment horizontal="left"/>
    </xf>
    <xf numFmtId="0" fontId="139" fillId="0" borderId="0" xfId="236"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2" fontId="147" fillId="0" borderId="0" xfId="119"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52" fillId="0" borderId="0" xfId="0" applyFont="1" applyAlignment="1">
      <alignment horizontal="center" wrapText="1"/>
    </xf>
    <xf numFmtId="173" fontId="144" fillId="0" borderId="0" xfId="0" applyNumberFormat="1" applyFont="1" applyAlignment="1">
      <alignment wrapText="1"/>
    </xf>
    <xf numFmtId="0" fontId="146" fillId="0" borderId="0" xfId="0" applyFont="1" applyAlignment="1">
      <alignment horizontal="center" wrapText="1"/>
    </xf>
    <xf numFmtId="43" fontId="146" fillId="0" borderId="0" xfId="119" applyFont="1" applyAlignment="1">
      <alignment horizontal="center" wrapText="1"/>
    </xf>
    <xf numFmtId="173" fontId="144" fillId="0" borderId="0" xfId="0" applyNumberFormat="1" applyFont="1" applyBorder="1"/>
    <xf numFmtId="173" fontId="144" fillId="0" borderId="0" xfId="119" applyNumberFormat="1" applyFont="1"/>
    <xf numFmtId="173" fontId="144" fillId="33" borderId="0" xfId="119" applyNumberFormat="1" applyFont="1" applyFill="1" applyProtection="1">
      <protection locked="0"/>
    </xf>
    <xf numFmtId="173" fontId="146" fillId="0" borderId="0" xfId="119" applyNumberFormat="1" applyFont="1" applyAlignment="1">
      <alignment horizontal="center" wrapText="1"/>
    </xf>
    <xf numFmtId="173" fontId="146" fillId="0" borderId="0" xfId="119" applyNumberFormat="1" applyFont="1"/>
    <xf numFmtId="173" fontId="146" fillId="0" borderId="0" xfId="119" applyNumberFormat="1" applyFont="1" applyAlignment="1">
      <alignment horizontal="center"/>
    </xf>
    <xf numFmtId="173" fontId="144" fillId="0" borderId="11" xfId="0" applyNumberFormat="1" applyFont="1" applyBorder="1"/>
    <xf numFmtId="0" fontId="4" fillId="0" borderId="0" xfId="290" applyNumberFormat="1" applyFont="1" applyFill="1" applyAlignment="1" applyProtection="1">
      <alignment horizontal="left" indent="4"/>
    </xf>
    <xf numFmtId="41" fontId="18" fillId="0" borderId="0" xfId="290" applyNumberFormat="1" applyFont="1" applyFill="1" applyAlignment="1" applyProtection="1">
      <protection locked="0"/>
    </xf>
    <xf numFmtId="173" fontId="7" fillId="33" borderId="0" xfId="117" applyNumberFormat="1" applyFont="1" applyFill="1" applyAlignment="1" applyProtection="1">
      <protection locked="0"/>
    </xf>
    <xf numFmtId="0" fontId="11" fillId="33" borderId="0" xfId="236" applyFont="1" applyFill="1" applyBorder="1" applyProtection="1">
      <protection locked="0"/>
    </xf>
    <xf numFmtId="1" fontId="62" fillId="33" borderId="0" xfId="0" quotePrefix="1" applyNumberFormat="1" applyFont="1" applyFill="1" applyAlignment="1" applyProtection="1">
      <alignment horizontal="left"/>
      <protection locked="0"/>
    </xf>
    <xf numFmtId="0" fontId="0" fillId="0" borderId="0" xfId="0" applyFont="1" applyFill="1"/>
    <xf numFmtId="0" fontId="18" fillId="33" borderId="0" xfId="283" applyFont="1" applyFill="1" applyAlignment="1" applyProtection="1">
      <alignment horizontal="center"/>
      <protection locked="0"/>
    </xf>
    <xf numFmtId="41" fontId="18" fillId="33" borderId="0" xfId="283" applyNumberFormat="1" applyFont="1" applyFill="1" applyBorder="1" applyProtection="1">
      <protection locked="0"/>
    </xf>
    <xf numFmtId="173" fontId="11" fillId="0" borderId="0" xfId="90" applyNumberFormat="1" applyFont="1" applyProtection="1"/>
    <xf numFmtId="173" fontId="11" fillId="0" borderId="0" xfId="90" applyNumberFormat="1" applyFont="1" applyBorder="1" applyProtection="1"/>
    <xf numFmtId="0" fontId="18" fillId="33" borderId="0" xfId="90" applyNumberFormat="1" applyFont="1" applyFill="1" applyAlignment="1" applyProtection="1">
      <alignment horizontal="left"/>
      <protection locked="0"/>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61" fillId="33" borderId="18" xfId="90" applyNumberFormat="1" applyFont="1" applyFill="1" applyBorder="1" applyAlignment="1" applyProtection="1">
      <alignment horizontal="right"/>
      <protection locked="0"/>
    </xf>
    <xf numFmtId="0" fontId="0" fillId="0" borderId="0" xfId="0" applyFill="1" applyAlignment="1" applyProtection="1">
      <alignment wrapText="1"/>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9"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9"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100" applyNumberFormat="1" applyFont="1" applyFill="1" applyBorder="1" applyProtection="1"/>
    <xf numFmtId="173" fontId="11" fillId="0" borderId="18" xfId="100" applyNumberFormat="1" applyFont="1" applyFill="1" applyBorder="1" applyProtection="1"/>
    <xf numFmtId="173" fontId="11" fillId="0" borderId="18" xfId="90" applyNumberFormat="1" applyFont="1" applyBorder="1" applyProtection="1"/>
    <xf numFmtId="174" fontId="161"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4" fontId="11" fillId="31" borderId="27" xfId="0" applyNumberFormat="1" applyFont="1" applyFill="1" applyBorder="1" applyProtection="1"/>
    <xf numFmtId="173" fontId="11" fillId="0" borderId="27" xfId="90" applyNumberFormat="1" applyFont="1" applyFill="1" applyBorder="1" applyProtection="1"/>
    <xf numFmtId="173" fontId="11" fillId="0" borderId="28" xfId="90" applyNumberFormat="1" applyFont="1" applyBorder="1" applyProtection="1"/>
    <xf numFmtId="0" fontId="21" fillId="0" borderId="0" xfId="0" applyFont="1" applyProtection="1"/>
    <xf numFmtId="173" fontId="11" fillId="0" borderId="26" xfId="90" applyNumberFormat="1" applyFont="1" applyBorder="1" applyProtection="1"/>
    <xf numFmtId="41" fontId="147" fillId="0" borderId="0" xfId="286" applyNumberFormat="1" applyFont="1" applyFill="1" applyBorder="1"/>
    <xf numFmtId="173" fontId="151" fillId="33" borderId="0" xfId="120" applyNumberFormat="1" applyFont="1" applyFill="1" applyProtection="1">
      <protection locked="0"/>
    </xf>
    <xf numFmtId="10" fontId="4" fillId="35" borderId="0" xfId="290" applyNumberFormat="1" applyFont="1" applyFill="1" applyAlignment="1" applyProtection="1"/>
    <xf numFmtId="0" fontId="11" fillId="31" borderId="27" xfId="0" applyNumberFormat="1" applyFont="1" applyFill="1" applyBorder="1" applyAlignment="1" applyProtection="1">
      <alignment horizontal="center"/>
    </xf>
    <xf numFmtId="0" fontId="0" fillId="0" borderId="34" xfId="0" applyBorder="1"/>
    <xf numFmtId="176" fontId="122" fillId="31" borderId="0" xfId="303" applyNumberFormat="1" applyFont="1" applyFill="1" applyProtection="1">
      <protection locked="0"/>
    </xf>
    <xf numFmtId="0" fontId="122" fillId="0" borderId="0" xfId="0" applyNumberFormat="1" applyFont="1" applyFill="1" applyAlignment="1" applyProtection="1">
      <alignment horizontal="center"/>
    </xf>
    <xf numFmtId="41" fontId="7" fillId="30" borderId="0" xfId="283" applyNumberFormat="1" applyFont="1" applyFill="1" applyProtection="1">
      <protection locked="0"/>
    </xf>
    <xf numFmtId="0" fontId="11" fillId="0" borderId="0" xfId="283" applyFont="1"/>
    <xf numFmtId="41" fontId="11" fillId="0" borderId="0" xfId="283" applyNumberFormat="1" applyFont="1" applyFill="1"/>
    <xf numFmtId="173" fontId="11" fillId="0" borderId="0" xfId="90" applyNumberFormat="1" applyFill="1"/>
    <xf numFmtId="173" fontId="11" fillId="0" borderId="0" xfId="90" applyNumberFormat="1" applyFont="1" applyFill="1"/>
    <xf numFmtId="0" fontId="0" fillId="31" borderId="0" xfId="0" applyFill="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303" applyNumberFormat="1" applyFont="1" applyFill="1" applyProtection="1">
      <protection locked="0"/>
    </xf>
    <xf numFmtId="191" fontId="170" fillId="33" borderId="0" xfId="292" applyNumberFormat="1" applyFont="1" applyFill="1" applyAlignment="1">
      <alignment horizontal="center"/>
    </xf>
    <xf numFmtId="9" fontId="4" fillId="0" borderId="0" xfId="0" applyNumberFormat="1" applyFont="1" applyFill="1" applyProtection="1"/>
    <xf numFmtId="173" fontId="77" fillId="33" borderId="0" xfId="291" quotePrefix="1" applyNumberFormat="1" applyFont="1" applyFill="1" applyBorder="1" applyProtection="1">
      <protection locked="0"/>
    </xf>
    <xf numFmtId="44" fontId="109" fillId="0" borderId="0" xfId="131" applyFont="1" applyAlignment="1" applyProtection="1"/>
    <xf numFmtId="0" fontId="114" fillId="0" borderId="16" xfId="0" applyFont="1" applyBorder="1"/>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4" fillId="0" borderId="0" xfId="289" applyFont="1" applyProtection="1"/>
    <xf numFmtId="0" fontId="11" fillId="0" borderId="0" xfId="289" applyProtection="1"/>
    <xf numFmtId="0" fontId="11" fillId="0" borderId="0" xfId="289" applyAlignment="1" applyProtection="1">
      <alignment horizontal="center"/>
    </xf>
    <xf numFmtId="194" fontId="2" fillId="0" borderId="0" xfId="293" applyNumberFormat="1" applyBorder="1" applyProtection="1"/>
    <xf numFmtId="193" fontId="2" fillId="0" borderId="0" xfId="293" applyNumberFormat="1" applyBorder="1" applyProtection="1"/>
    <xf numFmtId="176" fontId="2" fillId="0" borderId="0" xfId="293" applyNumberFormat="1" applyBorder="1" applyProtection="1"/>
    <xf numFmtId="0" fontId="110" fillId="0" borderId="0" xfId="293" applyFont="1" applyBorder="1" applyProtection="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3" fillId="0" borderId="0" xfId="239" applyFont="1"/>
    <xf numFmtId="0" fontId="23" fillId="0" borderId="0" xfId="239" applyFont="1" applyAlignment="1">
      <alignment horizontal="center"/>
    </xf>
    <xf numFmtId="0" fontId="11" fillId="0" borderId="0" xfId="239" applyFont="1" applyAlignment="1">
      <alignment horizontal="right"/>
    </xf>
    <xf numFmtId="14" fontId="23" fillId="0" borderId="0" xfId="239" applyNumberFormat="1" applyFont="1"/>
    <xf numFmtId="0" fontId="23" fillId="0" borderId="0" xfId="190" applyFont="1"/>
    <xf numFmtId="9" fontId="23" fillId="0" borderId="0" xfId="301" applyFont="1"/>
    <xf numFmtId="41" fontId="23" fillId="0" borderId="0" xfId="239" applyNumberFormat="1" applyFont="1"/>
    <xf numFmtId="10" fontId="23" fillId="0" borderId="0" xfId="305" applyNumberFormat="1" applyFont="1"/>
    <xf numFmtId="0" fontId="23" fillId="0" borderId="0" xfId="0" applyFont="1" applyAlignment="1"/>
    <xf numFmtId="0" fontId="23" fillId="0" borderId="11" xfId="239" applyFont="1" applyBorder="1"/>
    <xf numFmtId="0" fontId="24" fillId="0" borderId="11" xfId="239" applyFont="1" applyBorder="1" applyAlignment="1">
      <alignment horizontal="center"/>
    </xf>
    <xf numFmtId="0" fontId="24" fillId="0" borderId="11" xfId="239" applyFont="1" applyBorder="1" applyAlignment="1">
      <alignment horizontal="center" wrapText="1"/>
    </xf>
    <xf numFmtId="0" fontId="24" fillId="0" borderId="13" xfId="239" applyFont="1" applyBorder="1" applyAlignment="1">
      <alignment horizontal="center" wrapText="1"/>
    </xf>
    <xf numFmtId="0" fontId="24" fillId="0" borderId="11" xfId="239" applyFont="1" applyFill="1" applyBorder="1" applyAlignment="1">
      <alignment horizontal="center" wrapText="1"/>
    </xf>
    <xf numFmtId="0" fontId="24" fillId="0" borderId="0" xfId="239" applyFont="1" applyAlignment="1">
      <alignment horizontal="center"/>
    </xf>
    <xf numFmtId="0" fontId="23" fillId="0" borderId="0" xfId="239" applyFont="1" applyFill="1"/>
    <xf numFmtId="0" fontId="24" fillId="0" borderId="0" xfId="239" applyFont="1" applyBorder="1" applyAlignment="1">
      <alignment horizontal="center" wrapText="1"/>
    </xf>
    <xf numFmtId="0" fontId="24" fillId="0" borderId="0" xfId="239" applyFont="1" applyFill="1" applyBorder="1" applyAlignment="1">
      <alignment horizontal="center" wrapText="1"/>
    </xf>
    <xf numFmtId="173" fontId="24" fillId="0" borderId="0" xfId="239" applyNumberFormat="1" applyFont="1" applyAlignment="1">
      <alignment horizontal="center"/>
    </xf>
    <xf numFmtId="0" fontId="24" fillId="0" borderId="0" xfId="239" applyFont="1" applyAlignment="1">
      <alignment horizontal="left"/>
    </xf>
    <xf numFmtId="0" fontId="23" fillId="36" borderId="0" xfId="239" applyFont="1" applyFill="1"/>
    <xf numFmtId="0" fontId="23" fillId="0" borderId="0" xfId="190" applyFont="1" applyFill="1"/>
    <xf numFmtId="49" fontId="23" fillId="0" borderId="0" xfId="239" applyNumberFormat="1" applyFont="1" applyFill="1" applyAlignment="1">
      <alignment horizontal="center"/>
    </xf>
    <xf numFmtId="0" fontId="23" fillId="0" borderId="0" xfId="239" applyFont="1" applyBorder="1"/>
    <xf numFmtId="0" fontId="23" fillId="0" borderId="0" xfId="239" applyFont="1" applyFill="1" applyBorder="1" applyAlignment="1">
      <alignment horizontal="center"/>
    </xf>
    <xf numFmtId="41" fontId="23" fillId="33" borderId="41" xfId="283" applyNumberFormat="1" applyFont="1" applyFill="1" applyBorder="1" applyProtection="1">
      <protection locked="0"/>
    </xf>
    <xf numFmtId="173" fontId="23" fillId="37" borderId="41" xfId="125" applyNumberFormat="1" applyFont="1" applyFill="1" applyBorder="1"/>
    <xf numFmtId="173" fontId="23" fillId="0" borderId="37" xfId="125" applyNumberFormat="1" applyFont="1" applyFill="1" applyBorder="1"/>
    <xf numFmtId="173" fontId="23" fillId="37" borderId="0" xfId="125" applyNumberFormat="1" applyFont="1" applyFill="1" applyBorder="1"/>
    <xf numFmtId="41" fontId="23" fillId="33" borderId="0" xfId="283" applyNumberFormat="1" applyFont="1" applyFill="1" applyBorder="1" applyProtection="1">
      <protection locked="0"/>
    </xf>
    <xf numFmtId="0" fontId="23" fillId="0" borderId="0" xfId="0" applyFont="1" applyBorder="1"/>
    <xf numFmtId="41" fontId="23" fillId="0" borderId="0" xfId="239" applyNumberFormat="1" applyFont="1" applyFill="1" applyBorder="1" applyAlignment="1">
      <alignment horizontal="center"/>
    </xf>
    <xf numFmtId="0" fontId="24" fillId="0" borderId="0" xfId="239" applyFont="1" applyBorder="1"/>
    <xf numFmtId="41" fontId="23" fillId="33" borderId="12" xfId="283" applyNumberFormat="1" applyFont="1" applyFill="1" applyBorder="1" applyProtection="1">
      <protection locked="0"/>
    </xf>
    <xf numFmtId="0" fontId="23" fillId="0" borderId="0" xfId="190" applyFont="1" applyBorder="1"/>
    <xf numFmtId="173" fontId="23" fillId="0" borderId="12" xfId="125" applyNumberFormat="1" applyFont="1" applyFill="1" applyBorder="1"/>
    <xf numFmtId="41" fontId="23" fillId="0" borderId="0" xfId="239" applyNumberFormat="1" applyFont="1" applyBorder="1" applyAlignment="1">
      <alignment horizontal="center"/>
    </xf>
    <xf numFmtId="41" fontId="23" fillId="33" borderId="42" xfId="283" applyNumberFormat="1" applyFont="1" applyFill="1" applyBorder="1" applyProtection="1">
      <protection locked="0"/>
    </xf>
    <xf numFmtId="41" fontId="23" fillId="0" borderId="42" xfId="190" applyNumberFormat="1" applyFont="1" applyFill="1" applyBorder="1"/>
    <xf numFmtId="173" fontId="23" fillId="0" borderId="0" xfId="87" applyNumberFormat="1" applyFont="1" applyBorder="1" applyAlignment="1">
      <alignment horizontal="center"/>
    </xf>
    <xf numFmtId="41" fontId="23" fillId="0" borderId="12" xfId="190" applyNumberFormat="1" applyFont="1" applyFill="1" applyBorder="1"/>
    <xf numFmtId="173" fontId="23" fillId="0" borderId="48" xfId="125" applyNumberFormat="1" applyFont="1" applyFill="1" applyBorder="1"/>
    <xf numFmtId="173" fontId="23" fillId="37" borderId="48" xfId="125" applyNumberFormat="1" applyFont="1" applyFill="1" applyBorder="1"/>
    <xf numFmtId="49" fontId="23" fillId="0" borderId="0" xfId="239" applyNumberFormat="1" applyFont="1" applyAlignment="1">
      <alignment horizontal="center"/>
    </xf>
    <xf numFmtId="173" fontId="23" fillId="37" borderId="12" xfId="125" applyNumberFormat="1" applyFont="1" applyFill="1" applyBorder="1"/>
    <xf numFmtId="41" fontId="23" fillId="33" borderId="34" xfId="283" applyNumberFormat="1" applyFont="1" applyFill="1" applyBorder="1" applyAlignment="1" applyProtection="1">
      <alignment vertical="top"/>
      <protection locked="0"/>
    </xf>
    <xf numFmtId="0" fontId="24" fillId="0" borderId="0" xfId="239" applyFont="1"/>
    <xf numFmtId="0" fontId="0" fillId="0" borderId="0" xfId="0" applyFont="1"/>
    <xf numFmtId="0" fontId="157" fillId="0" borderId="0" xfId="0" applyFont="1"/>
    <xf numFmtId="172" fontId="23" fillId="0" borderId="0" xfId="190" applyNumberFormat="1" applyFont="1" applyFill="1" applyBorder="1"/>
    <xf numFmtId="0" fontId="23" fillId="0" borderId="0" xfId="239" applyFont="1" applyFill="1" applyAlignment="1">
      <alignment horizontal="center"/>
    </xf>
    <xf numFmtId="0" fontId="23" fillId="0" borderId="0" xfId="239" applyFont="1" applyAlignment="1">
      <alignment wrapText="1"/>
    </xf>
    <xf numFmtId="41" fontId="23" fillId="33" borderId="49" xfId="283" applyNumberFormat="1" applyFont="1" applyFill="1" applyBorder="1" applyProtection="1">
      <protection locked="0"/>
    </xf>
    <xf numFmtId="173" fontId="23" fillId="0" borderId="0" xfId="125" applyNumberFormat="1" applyFont="1" applyFill="1" applyBorder="1"/>
    <xf numFmtId="173" fontId="23" fillId="0" borderId="0" xfId="125" applyNumberFormat="1" applyFont="1" applyBorder="1" applyAlignment="1">
      <alignment wrapText="1"/>
    </xf>
    <xf numFmtId="0" fontId="23" fillId="0" borderId="0" xfId="239" applyFont="1" applyAlignment="1">
      <alignment horizontal="left"/>
    </xf>
    <xf numFmtId="1" fontId="23" fillId="0" borderId="14" xfId="87" applyNumberFormat="1" applyFont="1" applyBorder="1" applyAlignment="1"/>
    <xf numFmtId="173" fontId="23" fillId="0" borderId="14" xfId="87" applyNumberFormat="1" applyFont="1" applyBorder="1" applyAlignment="1"/>
    <xf numFmtId="177" fontId="23" fillId="0" borderId="14" xfId="87" applyNumberFormat="1" applyFont="1" applyBorder="1" applyAlignment="1"/>
    <xf numFmtId="173" fontId="23" fillId="0" borderId="14" xfId="87" applyNumberFormat="1" applyFont="1" applyFill="1" applyBorder="1" applyAlignment="1"/>
    <xf numFmtId="173" fontId="23" fillId="0" borderId="0" xfId="125" applyNumberFormat="1" applyFont="1" applyAlignment="1">
      <alignment wrapText="1"/>
    </xf>
    <xf numFmtId="1" fontId="23" fillId="0" borderId="0" xfId="87" applyNumberFormat="1" applyFont="1" applyBorder="1" applyAlignment="1"/>
    <xf numFmtId="177" fontId="23" fillId="0" borderId="0" xfId="87" applyNumberFormat="1" applyFont="1" applyBorder="1" applyAlignment="1"/>
    <xf numFmtId="173" fontId="23" fillId="0" borderId="1" xfId="87" applyNumberFormat="1" applyFont="1" applyBorder="1" applyAlignment="1">
      <alignment horizontal="center"/>
    </xf>
    <xf numFmtId="173" fontId="23" fillId="0" borderId="0" xfId="87" applyNumberFormat="1" applyFont="1" applyBorder="1" applyAlignment="1"/>
    <xf numFmtId="0" fontId="23" fillId="0" borderId="0" xfId="190" applyFont="1" applyFill="1" applyBorder="1"/>
    <xf numFmtId="0" fontId="23" fillId="0" borderId="0" xfId="0" applyFont="1" applyFill="1" applyAlignment="1"/>
    <xf numFmtId="0" fontId="23" fillId="0" borderId="0" xfId="239" applyFont="1" applyAlignment="1">
      <alignment horizontal="left" vertical="center"/>
    </xf>
    <xf numFmtId="0" fontId="23" fillId="0" borderId="0" xfId="239" applyFont="1" applyAlignment="1">
      <alignment vertical="top" wrapText="1"/>
    </xf>
    <xf numFmtId="173" fontId="23" fillId="0" borderId="0" xfId="239" applyNumberFormat="1" applyFont="1"/>
    <xf numFmtId="0" fontId="23" fillId="0" borderId="0" xfId="239" applyFont="1" applyAlignment="1"/>
    <xf numFmtId="0" fontId="23" fillId="0" borderId="0" xfId="239" applyFont="1" applyAlignment="1">
      <alignment vertical="top"/>
    </xf>
    <xf numFmtId="0" fontId="23" fillId="0" borderId="0" xfId="239" applyFont="1" applyFill="1" applyAlignment="1">
      <alignment vertical="top" wrapText="1"/>
    </xf>
    <xf numFmtId="0" fontId="23" fillId="0" borderId="0" xfId="239" applyFont="1" applyFill="1" applyAlignment="1">
      <alignment horizontal="left"/>
    </xf>
    <xf numFmtId="0" fontId="24" fillId="0" borderId="0" xfId="239" applyFont="1" applyAlignment="1">
      <alignment horizontal="left" vertical="center"/>
    </xf>
    <xf numFmtId="173" fontId="23" fillId="0" borderId="0" xfId="239" applyNumberFormat="1" applyFont="1" applyAlignment="1">
      <alignment horizontal="left" vertical="center"/>
    </xf>
    <xf numFmtId="173" fontId="126" fillId="33" borderId="0" xfId="90" applyNumberFormat="1" applyFont="1" applyFill="1" applyProtection="1">
      <protection locked="0"/>
    </xf>
    <xf numFmtId="173" fontId="11" fillId="0" borderId="0" xfId="87" applyNumberFormat="1"/>
    <xf numFmtId="173" fontId="11" fillId="0" borderId="0" xfId="87" applyNumberFormat="1" applyFill="1"/>
    <xf numFmtId="173" fontId="11" fillId="0" borderId="0" xfId="87" applyNumberFormat="1" applyFont="1" applyFill="1"/>
    <xf numFmtId="10" fontId="144" fillId="0" borderId="0" xfId="331" applyNumberFormat="1" applyFont="1"/>
    <xf numFmtId="173" fontId="144" fillId="0" borderId="0" xfId="120" applyNumberFormat="1" applyFont="1"/>
    <xf numFmtId="164" fontId="144" fillId="27" borderId="11" xfId="303" applyNumberFormat="1" applyFont="1" applyFill="1" applyBorder="1" applyProtection="1">
      <protection locked="0"/>
    </xf>
    <xf numFmtId="173" fontId="144" fillId="0" borderId="11" xfId="120" applyNumberFormat="1" applyFont="1" applyBorder="1"/>
    <xf numFmtId="3" fontId="154" fillId="0" borderId="0" xfId="290"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39" fillId="0" borderId="0" xfId="290" applyFont="1" applyFill="1" applyAlignment="1" applyProtection="1">
      <alignment vertical="top" wrapText="1"/>
    </xf>
    <xf numFmtId="0" fontId="134" fillId="0" borderId="0" xfId="0" applyFont="1" applyFill="1" applyAlignment="1" applyProtection="1">
      <alignment vertical="top" wrapText="1"/>
    </xf>
    <xf numFmtId="172" fontId="25" fillId="0" borderId="0" xfId="290" applyFont="1" applyFill="1" applyAlignment="1" applyProtection="1">
      <alignment wrapText="1"/>
    </xf>
    <xf numFmtId="172" fontId="4" fillId="0" borderId="0" xfId="290"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90" applyFont="1" applyFill="1" applyAlignment="1" applyProtection="1">
      <alignment wrapText="1"/>
    </xf>
    <xf numFmtId="0" fontId="31" fillId="0" borderId="0" xfId="0" applyFont="1" applyAlignment="1" applyProtection="1">
      <alignment wrapText="1"/>
    </xf>
    <xf numFmtId="0" fontId="25" fillId="0" borderId="0" xfId="290" applyNumberFormat="1" applyFont="1" applyFill="1" applyAlignment="1" applyProtection="1">
      <alignment horizontal="left" wrapText="1"/>
    </xf>
    <xf numFmtId="3" fontId="4" fillId="0" borderId="0" xfId="290" applyNumberFormat="1" applyFont="1" applyAlignment="1" applyProtection="1">
      <alignment horizontal="left" wrapText="1"/>
    </xf>
    <xf numFmtId="0" fontId="11" fillId="0" borderId="0" xfId="0" applyFont="1" applyAlignment="1" applyProtection="1">
      <alignment horizontal="left" wrapText="1"/>
    </xf>
    <xf numFmtId="172" fontId="76" fillId="0" borderId="0" xfId="290" applyFont="1" applyAlignment="1" applyProtection="1">
      <alignment horizontal="left" wrapText="1"/>
    </xf>
    <xf numFmtId="49" fontId="4" fillId="0" borderId="0" xfId="290" applyNumberFormat="1" applyFont="1" applyAlignment="1" applyProtection="1">
      <alignment horizontal="center"/>
    </xf>
    <xf numFmtId="0" fontId="31" fillId="0" borderId="0" xfId="0" applyFont="1" applyAlignment="1" applyProtection="1">
      <alignment horizontal="center"/>
    </xf>
    <xf numFmtId="0" fontId="9" fillId="0" borderId="0" xfId="290"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90"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90" applyFont="1" applyAlignment="1" applyProtection="1">
      <alignment horizontal="left" wrapText="1"/>
    </xf>
    <xf numFmtId="0" fontId="4" fillId="0" borderId="0" xfId="290" applyNumberFormat="1" applyFont="1" applyFill="1" applyAlignment="1" applyProtection="1">
      <alignment horizontal="left" wrapText="1"/>
    </xf>
    <xf numFmtId="0" fontId="4" fillId="0" borderId="0" xfId="290" applyNumberFormat="1" applyFont="1" applyFill="1" applyAlignment="1" applyProtection="1">
      <alignment horizontal="left" vertical="top" wrapText="1"/>
    </xf>
    <xf numFmtId="172" fontId="4" fillId="0" borderId="0" xfId="290" applyFont="1" applyFill="1" applyAlignment="1" applyProtection="1">
      <alignment horizontal="left" wrapText="1"/>
    </xf>
    <xf numFmtId="172" fontId="25" fillId="0" borderId="0" xfId="290" applyFont="1" applyFill="1" applyAlignment="1" applyProtection="1">
      <alignment vertical="top" wrapText="1"/>
    </xf>
    <xf numFmtId="0" fontId="25" fillId="0" borderId="0" xfId="0" applyFont="1" applyAlignment="1" applyProtection="1">
      <alignment vertical="top" wrapText="1"/>
    </xf>
    <xf numFmtId="172" fontId="4" fillId="0" borderId="0" xfId="290" applyFont="1" applyAlignment="1" applyProtection="1">
      <alignment horizontal="left"/>
    </xf>
    <xf numFmtId="0" fontId="4" fillId="0" borderId="0" xfId="0" applyFont="1" applyAlignment="1">
      <alignment horizontal="center"/>
    </xf>
    <xf numFmtId="0" fontId="4" fillId="0" borderId="0" xfId="236" applyFont="1" applyBorder="1" applyAlignment="1">
      <alignment horizontal="center"/>
    </xf>
    <xf numFmtId="0" fontId="8" fillId="0" borderId="48" xfId="294" applyFont="1" applyBorder="1" applyAlignment="1">
      <alignment horizontal="center" wrapText="1"/>
    </xf>
    <xf numFmtId="0" fontId="8" fillId="0" borderId="13" xfId="294" applyFont="1" applyBorder="1" applyAlignment="1">
      <alignment horizontal="center" wrapText="1"/>
    </xf>
    <xf numFmtId="0" fontId="8" fillId="0" borderId="49" xfId="294" applyFont="1" applyBorder="1" applyAlignment="1">
      <alignment horizontal="center" wrapText="1"/>
    </xf>
    <xf numFmtId="0" fontId="8" fillId="0" borderId="48" xfId="214" applyFont="1" applyBorder="1" applyAlignment="1">
      <alignment horizontal="center"/>
    </xf>
    <xf numFmtId="0" fontId="8" fillId="0" borderId="13" xfId="214" applyFont="1" applyBorder="1" applyAlignment="1">
      <alignment horizontal="center"/>
    </xf>
    <xf numFmtId="0" fontId="8" fillId="0" borderId="49" xfId="214" applyFont="1" applyBorder="1" applyAlignment="1">
      <alignment horizontal="center"/>
    </xf>
    <xf numFmtId="3" fontId="4" fillId="0" borderId="0" xfId="236" applyNumberFormat="1" applyFont="1" applyBorder="1" applyAlignment="1">
      <alignment horizontal="center"/>
    </xf>
    <xf numFmtId="0" fontId="11" fillId="0" borderId="0" xfId="236" applyFont="1" applyFill="1" applyBorder="1" applyAlignment="1">
      <alignment horizontal="left" wrapText="1"/>
    </xf>
    <xf numFmtId="0" fontId="16" fillId="0" borderId="0" xfId="281"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36" quotePrefix="1" applyFont="1" applyBorder="1" applyAlignment="1">
      <alignment horizontal="center" wrapText="1"/>
    </xf>
    <xf numFmtId="41" fontId="23" fillId="33" borderId="34" xfId="283" applyNumberFormat="1" applyFont="1" applyFill="1" applyBorder="1" applyAlignment="1" applyProtection="1">
      <alignment vertical="center"/>
      <protection locked="0"/>
    </xf>
    <xf numFmtId="0" fontId="23" fillId="0" borderId="0" xfId="239" applyFont="1" applyAlignment="1">
      <alignment horizontal="center" wrapText="1"/>
    </xf>
    <xf numFmtId="0" fontId="23" fillId="0" borderId="11" xfId="239" applyFont="1" applyBorder="1" applyAlignment="1">
      <alignment horizontal="center"/>
    </xf>
    <xf numFmtId="0" fontId="23" fillId="0" borderId="11" xfId="0" applyFont="1" applyBorder="1" applyAlignment="1">
      <alignment horizontal="center"/>
    </xf>
    <xf numFmtId="0" fontId="23" fillId="0" borderId="11" xfId="239" applyFont="1" applyBorder="1" applyAlignment="1">
      <alignment horizontal="center" wrapText="1"/>
    </xf>
    <xf numFmtId="0" fontId="24" fillId="0" borderId="0" xfId="239" applyFont="1" applyBorder="1" applyAlignment="1">
      <alignment horizontal="center" wrapText="1"/>
    </xf>
    <xf numFmtId="41" fontId="23" fillId="33" borderId="34" xfId="283" applyNumberFormat="1" applyFont="1" applyFill="1" applyBorder="1" applyAlignment="1" applyProtection="1">
      <alignment horizontal="left" vertical="center" wrapText="1"/>
      <protection locked="0"/>
    </xf>
    <xf numFmtId="0" fontId="23" fillId="0" borderId="0" xfId="239" applyFont="1" applyAlignment="1">
      <alignment horizontal="left" wrapText="1"/>
    </xf>
    <xf numFmtId="0" fontId="23" fillId="0" borderId="0" xfId="239" applyFont="1" applyAlignment="1">
      <alignment horizontal="left" vertical="top" wrapText="1"/>
    </xf>
    <xf numFmtId="0" fontId="23" fillId="0" borderId="0" xfId="239" applyFont="1" applyFill="1" applyAlignment="1">
      <alignment horizontal="left" vertical="top" wrapText="1"/>
    </xf>
    <xf numFmtId="0" fontId="23" fillId="0" borderId="0" xfId="239" applyFont="1" applyFill="1" applyAlignment="1">
      <alignment horizontal="left" wrapText="1"/>
    </xf>
    <xf numFmtId="0" fontId="80" fillId="0" borderId="0" xfId="281" applyFont="1" applyFill="1" applyAlignment="1">
      <alignment horizontal="center"/>
    </xf>
    <xf numFmtId="0" fontId="80" fillId="0" borderId="0" xfId="236" applyNumberFormat="1" applyFont="1" applyFill="1" applyBorder="1" applyAlignment="1">
      <alignment horizontal="center"/>
    </xf>
    <xf numFmtId="0" fontId="16" fillId="0" borderId="0" xfId="281"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11" fillId="0" borderId="0" xfId="236" applyNumberFormat="1" applyFont="1" applyFill="1" applyBorder="1" applyAlignment="1">
      <alignment horizontal="left" wrapText="1"/>
    </xf>
    <xf numFmtId="0" fontId="4" fillId="0" borderId="0" xfId="0" applyFont="1" applyAlignment="1" applyProtection="1">
      <alignment horizontal="center"/>
    </xf>
    <xf numFmtId="0" fontId="4" fillId="0" borderId="0" xfId="236" applyFont="1" applyBorder="1" applyAlignment="1" applyProtection="1">
      <alignment horizontal="center"/>
    </xf>
    <xf numFmtId="3" fontId="4" fillId="0" borderId="0" xfId="0" applyNumberFormat="1" applyFont="1" applyAlignment="1" applyProtection="1">
      <alignment horizontal="center"/>
    </xf>
    <xf numFmtId="172" fontId="11" fillId="0" borderId="0" xfId="290" applyFont="1" applyFill="1" applyAlignment="1" applyProtection="1">
      <alignment horizontal="left" vertical="top" wrapText="1"/>
    </xf>
    <xf numFmtId="0" fontId="8" fillId="0" borderId="0" xfId="295" applyFont="1" applyFill="1" applyAlignment="1" applyProtection="1">
      <alignment wrapText="1"/>
    </xf>
    <xf numFmtId="3" fontId="3" fillId="0" borderId="0" xfId="0" applyNumberFormat="1" applyFont="1" applyAlignment="1" applyProtection="1">
      <alignment horizontal="center"/>
    </xf>
    <xf numFmtId="0" fontId="9" fillId="0" borderId="0" xfId="295"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91" applyFont="1" applyBorder="1" applyAlignment="1">
      <alignment horizontal="center"/>
    </xf>
    <xf numFmtId="0" fontId="70" fillId="0" borderId="0" xfId="291" applyFont="1" applyFill="1" applyAlignment="1">
      <alignment horizontal="left" wrapText="1"/>
    </xf>
    <xf numFmtId="0" fontId="70" fillId="0" borderId="0" xfId="291" applyFont="1" applyFill="1" applyAlignment="1">
      <alignment wrapText="1"/>
    </xf>
    <xf numFmtId="0" fontId="3" fillId="0" borderId="0" xfId="236" applyFont="1" applyBorder="1" applyAlignment="1">
      <alignment horizontal="center"/>
    </xf>
    <xf numFmtId="0" fontId="3" fillId="0" borderId="0" xfId="0" applyFont="1" applyAlignment="1">
      <alignment horizontal="center"/>
    </xf>
    <xf numFmtId="173" fontId="99" fillId="0" borderId="0" xfId="90" applyNumberFormat="1" applyFont="1" applyBorder="1" applyAlignment="1" applyProtection="1">
      <alignment horizontal="center"/>
    </xf>
    <xf numFmtId="0" fontId="0" fillId="0" borderId="0" xfId="0" applyNumberFormat="1" applyAlignment="1" applyProtection="1">
      <alignment horizontal="left" wrapText="1"/>
    </xf>
    <xf numFmtId="0" fontId="68" fillId="33" borderId="0" xfId="0" applyFont="1" applyFill="1" applyAlignment="1" applyProtection="1">
      <alignment horizontal="left" vertical="top" wrapText="1"/>
      <protection locked="0"/>
    </xf>
    <xf numFmtId="0" fontId="0" fillId="33" borderId="0" xfId="0" applyFill="1" applyAlignment="1" applyProtection="1">
      <alignment vertical="top" wrapText="1"/>
      <protection locked="0"/>
    </xf>
    <xf numFmtId="0" fontId="68"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172" fontId="1" fillId="0" borderId="21" xfId="290"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84" applyFont="1" applyFill="1" applyAlignment="1" applyProtection="1">
      <alignment horizontal="left" wrapText="1"/>
    </xf>
    <xf numFmtId="0" fontId="11" fillId="0" borderId="0" xfId="208" applyFont="1" applyFill="1" applyAlignment="1" applyProtection="1">
      <alignment wrapText="1"/>
    </xf>
    <xf numFmtId="0" fontId="92" fillId="0" borderId="0" xfId="284"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84"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19" fillId="33" borderId="0" xfId="0" applyFont="1" applyFill="1" applyAlignment="1" applyProtection="1">
      <alignment wrapText="1"/>
      <protection locked="0"/>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9" applyNumberFormat="1" applyFont="1" applyAlignment="1">
      <alignment horizontal="center" wrapText="1"/>
    </xf>
    <xf numFmtId="0" fontId="139" fillId="0" borderId="0" xfId="0" applyFont="1" applyAlignment="1">
      <alignment horizontal="center"/>
    </xf>
    <xf numFmtId="0" fontId="139" fillId="0" borderId="0" xfId="236" applyFont="1" applyBorder="1" applyAlignment="1">
      <alignment horizontal="center"/>
    </xf>
    <xf numFmtId="0" fontId="144" fillId="0" borderId="0" xfId="0" applyFont="1" applyAlignment="1">
      <alignment horizontal="center"/>
    </xf>
    <xf numFmtId="0" fontId="139" fillId="0" borderId="0" xfId="236" applyFont="1" applyFill="1" applyBorder="1" applyAlignment="1">
      <alignment horizontal="center"/>
    </xf>
    <xf numFmtId="3" fontId="139" fillId="0" borderId="0" xfId="0" applyNumberFormat="1" applyFont="1" applyAlignment="1">
      <alignment horizontal="center"/>
    </xf>
    <xf numFmtId="0" fontId="109" fillId="0" borderId="0" xfId="293" applyFont="1" applyAlignment="1" applyProtection="1">
      <alignment horizontal="center"/>
    </xf>
    <xf numFmtId="3" fontId="109" fillId="0" borderId="0" xfId="293" applyNumberFormat="1" applyFont="1" applyAlignment="1" applyProtection="1">
      <alignment horizontal="center"/>
    </xf>
    <xf numFmtId="44" fontId="109" fillId="0" borderId="0" xfId="131" applyFont="1" applyAlignment="1" applyProtection="1">
      <alignment horizontal="center"/>
    </xf>
    <xf numFmtId="0" fontId="76" fillId="0" borderId="30" xfId="293" applyFont="1" applyBorder="1" applyAlignment="1" applyProtection="1">
      <alignment horizontal="center"/>
    </xf>
    <xf numFmtId="0" fontId="2" fillId="0" borderId="0" xfId="293" applyFont="1" applyAlignment="1" applyProtection="1">
      <alignment horizontal="left" wrapText="1"/>
    </xf>
    <xf numFmtId="0" fontId="4" fillId="0" borderId="0" xfId="289" applyFont="1" applyAlignment="1" applyProtection="1">
      <alignment vertical="top" wrapText="1"/>
    </xf>
    <xf numFmtId="0" fontId="2" fillId="0" borderId="0" xfId="0" applyFont="1" applyAlignment="1" applyProtection="1">
      <alignment vertical="top" wrapText="1"/>
    </xf>
    <xf numFmtId="0" fontId="109" fillId="0" borderId="0" xfId="293" applyFont="1" applyAlignment="1">
      <alignment horizontal="center"/>
    </xf>
    <xf numFmtId="0" fontId="4" fillId="0" borderId="0" xfId="289" applyFont="1" applyAlignment="1">
      <alignment vertical="top" wrapText="1"/>
    </xf>
    <xf numFmtId="0" fontId="4" fillId="0" borderId="0" xfId="189" applyFont="1" applyAlignment="1">
      <alignment wrapText="1"/>
    </xf>
    <xf numFmtId="44" fontId="109" fillId="0" borderId="0" xfId="131" applyFont="1" applyAlignment="1">
      <alignment horizontal="center"/>
    </xf>
    <xf numFmtId="0" fontId="76" fillId="0" borderId="30" xfId="293" applyFont="1" applyBorder="1" applyAlignment="1">
      <alignment horizontal="center"/>
    </xf>
    <xf numFmtId="0" fontId="76" fillId="0" borderId="0" xfId="189" applyFont="1" applyAlignment="1">
      <alignment vertical="top" wrapText="1"/>
    </xf>
    <xf numFmtId="0" fontId="11" fillId="0" borderId="0" xfId="189" applyAlignment="1">
      <alignment vertical="top" wrapText="1"/>
    </xf>
    <xf numFmtId="0" fontId="4" fillId="0" borderId="0" xfId="189" applyFont="1" applyAlignment="1">
      <alignment vertical="top" wrapText="1"/>
    </xf>
    <xf numFmtId="0" fontId="140" fillId="0" borderId="0" xfId="293" applyFont="1" applyAlignment="1">
      <alignment horizontal="center"/>
    </xf>
    <xf numFmtId="0" fontId="2" fillId="0" borderId="0" xfId="293" applyAlignment="1">
      <alignment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8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2" xfId="89"/>
    <cellStyle name="Comma 2" xfId="90"/>
    <cellStyle name="Comma 2 2" xfId="91"/>
    <cellStyle name="Comma 3" xfId="92"/>
    <cellStyle name="Comma 3 10" xfId="93"/>
    <cellStyle name="Comma 3 11" xfId="94"/>
    <cellStyle name="Comma 3 2" xfId="95"/>
    <cellStyle name="Comma 3 3" xfId="96"/>
    <cellStyle name="Comma 3 3 2" xfId="97"/>
    <cellStyle name="Comma 3 3 3" xfId="98"/>
    <cellStyle name="Comma 3 4" xfId="99"/>
    <cellStyle name="Comma 3 4 2" xfId="100"/>
    <cellStyle name="Comma 3 4 3" xfId="101"/>
    <cellStyle name="Comma 3 5" xfId="102"/>
    <cellStyle name="Comma 3 6" xfId="103"/>
    <cellStyle name="Comma 3 6 2" xfId="104"/>
    <cellStyle name="Comma 3 7" xfId="105"/>
    <cellStyle name="Comma 3 7 2" xfId="106"/>
    <cellStyle name="Comma 3 8" xfId="107"/>
    <cellStyle name="Comma 3 8 2" xfId="108"/>
    <cellStyle name="Comma 3 9" xfId="109"/>
    <cellStyle name="Comma 3 9 2" xfId="110"/>
    <cellStyle name="Comma 3 9 3" xfId="111"/>
    <cellStyle name="Comma 4" xfId="112"/>
    <cellStyle name="Comma 4 2" xfId="113"/>
    <cellStyle name="Comma 5" xfId="114"/>
    <cellStyle name="Comma 5 2" xfId="115"/>
    <cellStyle name="Comma 6" xfId="116"/>
    <cellStyle name="Comma 6 2" xfId="117"/>
    <cellStyle name="Comma 6 3" xfId="118"/>
    <cellStyle name="Comma 7" xfId="119"/>
    <cellStyle name="Comma 7 2" xfId="120"/>
    <cellStyle name="Comma 7 3" xfId="121"/>
    <cellStyle name="Comma 8" xfId="122"/>
    <cellStyle name="Comma 8 2" xfId="123"/>
    <cellStyle name="Comma 9" xfId="124"/>
    <cellStyle name="Comma 9 2" xfId="125"/>
    <cellStyle name="Comma 9 3" xfId="126"/>
    <cellStyle name="Comma_spp calc - revsd rev crd" xfId="127"/>
    <cellStyle name="Comma0" xfId="128"/>
    <cellStyle name="Currency" xfId="129" builtinId="4"/>
    <cellStyle name="Currency 10" xfId="130"/>
    <cellStyle name="Currency 2" xfId="131"/>
    <cellStyle name="Currency 2 2" xfId="132"/>
    <cellStyle name="Currency 3" xfId="133"/>
    <cellStyle name="Currency 3 10"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6 2" xfId="144"/>
    <cellStyle name="Currency 3 7" xfId="145"/>
    <cellStyle name="Currency 3 7 2" xfId="146"/>
    <cellStyle name="Currency 3 8" xfId="147"/>
    <cellStyle name="Currency 3 8 2" xfId="148"/>
    <cellStyle name="Currency 3 8 3" xfId="149"/>
    <cellStyle name="Currency 3 9" xfId="150"/>
    <cellStyle name="Currency 4" xfId="151"/>
    <cellStyle name="Currency 4 2" xfId="152"/>
    <cellStyle name="Currency 5" xfId="153"/>
    <cellStyle name="Currency 5 2" xfId="154"/>
    <cellStyle name="Currency 6" xfId="155"/>
    <cellStyle name="Currency 7" xfId="156"/>
    <cellStyle name="Currency 7 2" xfId="157"/>
    <cellStyle name="Currency 8" xfId="158"/>
    <cellStyle name="Currency 8 2" xfId="159"/>
    <cellStyle name="Currency 8 3" xfId="160"/>
    <cellStyle name="Currency 9" xfId="161"/>
    <cellStyle name="Currency0" xfId="162"/>
    <cellStyle name="Date" xfId="163"/>
    <cellStyle name="Explanatory Text" xfId="164" builtinId="53" customBuiltin="1"/>
    <cellStyle name="Explanatory Text 2" xfId="165"/>
    <cellStyle name="Fixed" xfId="166"/>
    <cellStyle name="Good" xfId="167" builtinId="26" customBuiltin="1"/>
    <cellStyle name="Good 2" xfId="168"/>
    <cellStyle name="Heading 1" xfId="169" builtinId="16" customBuiltin="1"/>
    <cellStyle name="Heading 1 2" xfId="170"/>
    <cellStyle name="Heading 2" xfId="171" builtinId="17" customBuiltin="1"/>
    <cellStyle name="Heading 2 2" xfId="172"/>
    <cellStyle name="Heading 3" xfId="173" builtinId="18" customBuiltin="1"/>
    <cellStyle name="Heading 3 2" xfId="174"/>
    <cellStyle name="Heading 4" xfId="175" builtinId="19" customBuiltin="1"/>
    <cellStyle name="Heading 4 2" xfId="176"/>
    <cellStyle name="Heading1" xfId="177"/>
    <cellStyle name="Heading2" xfId="178"/>
    <cellStyle name="Input" xfId="179" builtinId="20" customBuiltin="1"/>
    <cellStyle name="Input 2" xfId="180"/>
    <cellStyle name="Linked Cell" xfId="181" builtinId="24" customBuiltin="1"/>
    <cellStyle name="Linked Cell 2" xfId="182"/>
    <cellStyle name="Neutral" xfId="183" builtinId="28" customBuiltin="1"/>
    <cellStyle name="Neutral 2" xfId="184"/>
    <cellStyle name="Normal" xfId="0" builtinId="0"/>
    <cellStyle name="Normal 10" xfId="185"/>
    <cellStyle name="Normal 10 2" xfId="186"/>
    <cellStyle name="Normal 10 3" xfId="187"/>
    <cellStyle name="Normal 11" xfId="188"/>
    <cellStyle name="Normal 11 2" xfId="189"/>
    <cellStyle name="Normal 11 2 2" xfId="190"/>
    <cellStyle name="Normal 11 3" xfId="191"/>
    <cellStyle name="Normal 12" xfId="192"/>
    <cellStyle name="Normal 12 2" xfId="193"/>
    <cellStyle name="Normal 12 4" xfId="194"/>
    <cellStyle name="Normal 13" xfId="195"/>
    <cellStyle name="Normal 13 2" xfId="196"/>
    <cellStyle name="Normal 14" xfId="197"/>
    <cellStyle name="Normal 14 2" xfId="198"/>
    <cellStyle name="Normal 15" xfId="199"/>
    <cellStyle name="Normal 16" xfId="200"/>
    <cellStyle name="Normal 16 2" xfId="201"/>
    <cellStyle name="Normal 17" xfId="202"/>
    <cellStyle name="Normal 17 2" xfId="203"/>
    <cellStyle name="Normal 18" xfId="204"/>
    <cellStyle name="Normal 18 2" xfId="205"/>
    <cellStyle name="Normal 19" xfId="206"/>
    <cellStyle name="Normal 19 2" xfId="207"/>
    <cellStyle name="Normal 2" xfId="208"/>
    <cellStyle name="Normal 2 2" xfId="209"/>
    <cellStyle name="Normal 2 2 2" xfId="210"/>
    <cellStyle name="Normal 2 2 3" xfId="211"/>
    <cellStyle name="Normal 2 2 4" xfId="212"/>
    <cellStyle name="Normal 2 3" xfId="213"/>
    <cellStyle name="Normal 2 5" xfId="214"/>
    <cellStyle name="Normal 2 5 2" xfId="215"/>
    <cellStyle name="Normal 20" xfId="216"/>
    <cellStyle name="Normal 20 2" xfId="217"/>
    <cellStyle name="Normal 21" xfId="218"/>
    <cellStyle name="Normal 21 2" xfId="219"/>
    <cellStyle name="Normal 22" xfId="220"/>
    <cellStyle name="Normal 22 2" xfId="221"/>
    <cellStyle name="Normal 23" xfId="222"/>
    <cellStyle name="Normal 23 2" xfId="223"/>
    <cellStyle name="Normal 24" xfId="224"/>
    <cellStyle name="Normal 24 2" xfId="225"/>
    <cellStyle name="Normal 25" xfId="226"/>
    <cellStyle name="Normal 25 2" xfId="227"/>
    <cellStyle name="Normal 26" xfId="228"/>
    <cellStyle name="Normal 26 2" xfId="229"/>
    <cellStyle name="Normal 27" xfId="230"/>
    <cellStyle name="Normal 28" xfId="231"/>
    <cellStyle name="Normal 28 2" xfId="232"/>
    <cellStyle name="Normal 29" xfId="233"/>
    <cellStyle name="Normal 29 2" xfId="234"/>
    <cellStyle name="Normal 3" xfId="235"/>
    <cellStyle name="Normal 3 2" xfId="236"/>
    <cellStyle name="Normal 3 3" xfId="237"/>
    <cellStyle name="Normal 3_Attach O, GG, Support -New Method 2-14-11" xfId="238"/>
    <cellStyle name="Normal 31" xfId="239"/>
    <cellStyle name="Normal 4" xfId="240"/>
    <cellStyle name="Normal 4 10" xfId="241"/>
    <cellStyle name="Normal 4 11" xfId="242"/>
    <cellStyle name="Normal 4 2" xfId="243"/>
    <cellStyle name="Normal 4 3" xfId="244"/>
    <cellStyle name="Normal 4 3 2" xfId="245"/>
    <cellStyle name="Normal 4 3 3" xfId="246"/>
    <cellStyle name="Normal 4 4" xfId="247"/>
    <cellStyle name="Normal 4 4 2" xfId="248"/>
    <cellStyle name="Normal 4 4 3" xfId="249"/>
    <cellStyle name="Normal 4 5" xfId="250"/>
    <cellStyle name="Normal 4 6" xfId="251"/>
    <cellStyle name="Normal 4 6 2" xfId="252"/>
    <cellStyle name="Normal 4 7" xfId="253"/>
    <cellStyle name="Normal 4 7 2" xfId="254"/>
    <cellStyle name="Normal 4 8" xfId="255"/>
    <cellStyle name="Normal 4 8 2" xfId="256"/>
    <cellStyle name="Normal 4 9" xfId="257"/>
    <cellStyle name="Normal 4 9 2" xfId="258"/>
    <cellStyle name="Normal 4 9 3" xfId="259"/>
    <cellStyle name="Normal 4_PBOP Exhibit 1" xfId="260"/>
    <cellStyle name="Normal 5" xfId="261"/>
    <cellStyle name="Normal 5 2" xfId="262"/>
    <cellStyle name="Normal 5 2 2" xfId="263"/>
    <cellStyle name="Normal 5 3" xfId="264"/>
    <cellStyle name="Normal 5 4" xfId="265"/>
    <cellStyle name="Normal 6" xfId="266"/>
    <cellStyle name="Normal 6 2" xfId="267"/>
    <cellStyle name="Normal 6 2 2" xfId="268"/>
    <cellStyle name="Normal 6 2 3" xfId="269"/>
    <cellStyle name="Normal 6 3" xfId="270"/>
    <cellStyle name="Normal 6 3 2" xfId="271"/>
    <cellStyle name="Normal 6 4" xfId="272"/>
    <cellStyle name="Normal 6 4 2" xfId="273"/>
    <cellStyle name="Normal 7" xfId="274"/>
    <cellStyle name="Normal 7 2" xfId="275"/>
    <cellStyle name="Normal 8" xfId="276"/>
    <cellStyle name="Normal 8 2" xfId="277"/>
    <cellStyle name="Normal 9" xfId="278"/>
    <cellStyle name="Normal 9 2" xfId="279"/>
    <cellStyle name="Normal_21 Exh B" xfId="280"/>
    <cellStyle name="Normal_ADITAnalysisID090805" xfId="281"/>
    <cellStyle name="Normal_ADITAnalysisID090805 2" xfId="282"/>
    <cellStyle name="Normal_ADITAnalysisID090805 2 2" xfId="283"/>
    <cellStyle name="Normal_ADITAnalysisID090805 2 2 2" xfId="284"/>
    <cellStyle name="Normal_ADITAnalysisID090805 3" xfId="285"/>
    <cellStyle name="Normal_ADITAnalysisID090805 4 2" xfId="286"/>
    <cellStyle name="Normal_ATC Projected 2008 Monthly Plant Balances for Attachment O 2 (2)" xfId="287"/>
    <cellStyle name="Normal_AU Period 2 Rev 4-27-00" xfId="288"/>
    <cellStyle name="Normal_DeprRateAuth East Dave Davis 2" xfId="289"/>
    <cellStyle name="Normal_FN1 Ratebase Draft SPP template (6-11-04) v2" xfId="290"/>
    <cellStyle name="Normal_I&amp;M-AK-1" xfId="291"/>
    <cellStyle name="Normal_IM LTD Hedge Entries" xfId="292"/>
    <cellStyle name="Normal_Revised 1-21-10  Deprec Summary" xfId="293"/>
    <cellStyle name="Normal_Schedule O Info for Mike" xfId="294"/>
    <cellStyle name="Normal_spp calc - revsd rev crd" xfId="295"/>
    <cellStyle name="Note" xfId="296" builtinId="10" customBuiltin="1"/>
    <cellStyle name="Note 2" xfId="297"/>
    <cellStyle name="Output" xfId="298" builtinId="21" customBuiltin="1"/>
    <cellStyle name="Output 2" xfId="299"/>
    <cellStyle name="Percent" xfId="300" builtinId="5"/>
    <cellStyle name="Percent 10" xfId="301"/>
    <cellStyle name="Percent 11" xfId="302"/>
    <cellStyle name="Percent 2" xfId="303"/>
    <cellStyle name="Percent 2 2" xfId="304"/>
    <cellStyle name="Percent 2 2 2" xfId="305"/>
    <cellStyle name="Percent 3" xfId="306"/>
    <cellStyle name="Percent 3 10" xfId="307"/>
    <cellStyle name="Percent 3 2" xfId="308"/>
    <cellStyle name="Percent 3 3" xfId="309"/>
    <cellStyle name="Percent 3 3 2" xfId="310"/>
    <cellStyle name="Percent 3 3 3" xfId="311"/>
    <cellStyle name="Percent 3 4" xfId="312"/>
    <cellStyle name="Percent 3 4 2" xfId="313"/>
    <cellStyle name="Percent 3 4 3" xfId="314"/>
    <cellStyle name="Percent 3 5" xfId="315"/>
    <cellStyle name="Percent 3 6" xfId="316"/>
    <cellStyle name="Percent 3 6 2" xfId="317"/>
    <cellStyle name="Percent 3 7" xfId="318"/>
    <cellStyle name="Percent 3 7 2" xfId="319"/>
    <cellStyle name="Percent 3 8" xfId="320"/>
    <cellStyle name="Percent 3 8 2" xfId="321"/>
    <cellStyle name="Percent 3 8 3" xfId="322"/>
    <cellStyle name="Percent 3 9" xfId="323"/>
    <cellStyle name="Percent 4" xfId="324"/>
    <cellStyle name="Percent 4 2" xfId="325"/>
    <cellStyle name="Percent 4 3" xfId="326"/>
    <cellStyle name="Percent 5" xfId="327"/>
    <cellStyle name="Percent 5 2" xfId="328"/>
    <cellStyle name="Percent 6" xfId="329"/>
    <cellStyle name="Percent 7" xfId="330"/>
    <cellStyle name="Percent 7 2" xfId="331"/>
    <cellStyle name="Percent 7 3" xfId="332"/>
    <cellStyle name="Percent 8" xfId="333"/>
    <cellStyle name="Percent 8 2" xfId="334"/>
    <cellStyle name="Percent 9" xfId="335"/>
    <cellStyle name="Percent 9 2" xfId="336"/>
    <cellStyle name="Percent 9 3" xfId="337"/>
    <cellStyle name="PSChar" xfId="338"/>
    <cellStyle name="PSDate" xfId="339"/>
    <cellStyle name="PSDec" xfId="340"/>
    <cellStyle name="PSdesc" xfId="341"/>
    <cellStyle name="PSHeading" xfId="342"/>
    <cellStyle name="PSInt" xfId="343"/>
    <cellStyle name="PSSpacer" xfId="344"/>
    <cellStyle name="PStest" xfId="345"/>
    <cellStyle name="R00A" xfId="346"/>
    <cellStyle name="R00B" xfId="347"/>
    <cellStyle name="R00L" xfId="348"/>
    <cellStyle name="R01A" xfId="349"/>
    <cellStyle name="R01B" xfId="350"/>
    <cellStyle name="R01H" xfId="351"/>
    <cellStyle name="R01L" xfId="352"/>
    <cellStyle name="R02A" xfId="353"/>
    <cellStyle name="R02B" xfId="354"/>
    <cellStyle name="R02H" xfId="355"/>
    <cellStyle name="R02L" xfId="356"/>
    <cellStyle name="R03A" xfId="357"/>
    <cellStyle name="R03B" xfId="358"/>
    <cellStyle name="R03H" xfId="359"/>
    <cellStyle name="R03L" xfId="360"/>
    <cellStyle name="R04A" xfId="361"/>
    <cellStyle name="R04B" xfId="362"/>
    <cellStyle name="R04H" xfId="363"/>
    <cellStyle name="R04L" xfId="364"/>
    <cellStyle name="R05A" xfId="365"/>
    <cellStyle name="R05B" xfId="366"/>
    <cellStyle name="R05H" xfId="367"/>
    <cellStyle name="R05L" xfId="368"/>
    <cellStyle name="R06A" xfId="369"/>
    <cellStyle name="R06B" xfId="370"/>
    <cellStyle name="R06H" xfId="371"/>
    <cellStyle name="R06L" xfId="372"/>
    <cellStyle name="R07A" xfId="373"/>
    <cellStyle name="R07B" xfId="374"/>
    <cellStyle name="R07H" xfId="375"/>
    <cellStyle name="R07L" xfId="376"/>
    <cellStyle name="Title" xfId="377" builtinId="15" customBuiltin="1"/>
    <cellStyle name="Title 2" xfId="378"/>
    <cellStyle name="Total" xfId="379" builtinId="25" customBuiltin="1"/>
    <cellStyle name="Total 2" xfId="380"/>
    <cellStyle name="Warning Text" xfId="381" builtinId="11" customBuiltin="1"/>
    <cellStyle name="Warning Text 2" xfId="382"/>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3"/>
  <sheetViews>
    <sheetView tabSelected="1" view="pageBreakPreview" zoomScale="85" zoomScaleNormal="85" zoomScaleSheetLayoutView="85" zoomScalePageLayoutView="50" workbookViewId="0">
      <selection activeCell="D13" sqref="D13"/>
    </sheetView>
  </sheetViews>
  <sheetFormatPr defaultColWidth="11.42578125" defaultRowHeight="15"/>
  <cols>
    <col min="1" max="1" width="4.7109375" style="340" customWidth="1"/>
    <col min="2" max="2" width="7.85546875" style="339" customWidth="1"/>
    <col min="3" max="3" width="1.85546875" style="340" customWidth="1"/>
    <col min="4" max="4" width="70.140625" style="340" customWidth="1"/>
    <col min="5" max="5" width="25.7109375" style="340" customWidth="1"/>
    <col min="6" max="6" width="22.28515625" style="340" customWidth="1"/>
    <col min="7" max="7" width="20.7109375" style="340" customWidth="1"/>
    <col min="8" max="8" width="16.140625" style="340" customWidth="1"/>
    <col min="9" max="9" width="11.28515625" style="340" customWidth="1"/>
    <col min="10" max="10" width="21.5703125" style="340" bestFit="1" customWidth="1"/>
    <col min="11" max="11" width="4.7109375" style="340" customWidth="1"/>
    <col min="12" max="12" width="23" style="340" customWidth="1"/>
    <col min="13" max="13" width="5" style="340" customWidth="1"/>
    <col min="14" max="14" width="31.140625" style="340" customWidth="1"/>
    <col min="15" max="15" width="8.140625" style="340" customWidth="1"/>
    <col min="16" max="16" width="21.85546875" style="340" customWidth="1"/>
    <col min="17" max="17" width="11.42578125" style="340" customWidth="1"/>
    <col min="18" max="18" width="20.5703125" style="340" bestFit="1" customWidth="1"/>
    <col min="19" max="16384" width="11.42578125" style="340"/>
  </cols>
  <sheetData>
    <row r="1" spans="1:15" ht="15.75">
      <c r="A1" s="920" t="s">
        <v>115</v>
      </c>
    </row>
    <row r="2" spans="1:15" ht="15.75">
      <c r="A2" s="920" t="s">
        <v>115</v>
      </c>
    </row>
    <row r="3" spans="1:15" ht="15.75">
      <c r="D3" s="341"/>
      <c r="E3" s="342"/>
      <c r="F3" s="342"/>
      <c r="G3" s="343"/>
      <c r="I3" s="344"/>
      <c r="J3" s="344"/>
      <c r="K3" s="344"/>
      <c r="L3" s="345"/>
    </row>
    <row r="4" spans="1:15">
      <c r="J4" s="340" t="s">
        <v>987</v>
      </c>
      <c r="L4" s="863">
        <v>2021</v>
      </c>
    </row>
    <row r="5" spans="1:15">
      <c r="D5" s="346"/>
      <c r="E5" s="346"/>
      <c r="F5" s="347" t="s">
        <v>386</v>
      </c>
      <c r="G5" s="348"/>
      <c r="H5" s="348"/>
      <c r="J5" s="346"/>
      <c r="K5" s="349"/>
      <c r="L5" s="349"/>
      <c r="M5" s="350"/>
      <c r="O5" s="351"/>
    </row>
    <row r="6" spans="1:15">
      <c r="D6" s="346"/>
      <c r="E6" s="352"/>
      <c r="F6" s="347" t="s">
        <v>387</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ht="15.75">
      <c r="B9" s="354"/>
      <c r="C9" s="355"/>
      <c r="D9" s="357"/>
      <c r="E9" s="349"/>
      <c r="F9" s="358" t="s">
        <v>996</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170</v>
      </c>
      <c r="C11" s="355"/>
      <c r="D11" s="349"/>
      <c r="E11" s="349"/>
      <c r="F11" s="349"/>
      <c r="G11" s="359"/>
      <c r="H11" s="349"/>
      <c r="I11" s="349"/>
      <c r="J11" s="349"/>
      <c r="K11" s="349"/>
      <c r="L11" s="355" t="s">
        <v>116</v>
      </c>
      <c r="M11" s="349"/>
    </row>
    <row r="12" spans="1:15" ht="15.75" thickBot="1">
      <c r="B12" s="361" t="s">
        <v>118</v>
      </c>
      <c r="C12" s="362"/>
      <c r="D12" s="349"/>
      <c r="E12" s="362"/>
      <c r="F12" s="349"/>
      <c r="G12" s="349"/>
      <c r="H12" s="349"/>
      <c r="I12" s="349"/>
      <c r="J12" s="349"/>
      <c r="K12" s="349"/>
      <c r="L12" s="363" t="s">
        <v>171</v>
      </c>
      <c r="M12" s="349"/>
    </row>
    <row r="13" spans="1:15">
      <c r="B13" s="354">
        <f>1</f>
        <v>1</v>
      </c>
      <c r="C13" s="355"/>
      <c r="D13" s="364" t="s">
        <v>988</v>
      </c>
      <c r="E13" s="365" t="str">
        <f>"(ln "&amp;B213&amp;")"</f>
        <v>(ln 130)</v>
      </c>
      <c r="F13" s="365"/>
      <c r="G13" s="366"/>
      <c r="H13" s="367"/>
      <c r="I13" s="349"/>
      <c r="J13" s="349"/>
      <c r="K13" s="349"/>
      <c r="L13" s="368">
        <f>+L213</f>
        <v>162340700.98301724</v>
      </c>
      <c r="M13" s="349"/>
    </row>
    <row r="14" spans="1:15" ht="15.75" thickBot="1">
      <c r="B14" s="354"/>
      <c r="C14" s="355"/>
      <c r="E14" s="369"/>
      <c r="F14" s="370"/>
      <c r="G14" s="363" t="s">
        <v>119</v>
      </c>
      <c r="H14" s="352"/>
      <c r="I14" s="371" t="s">
        <v>120</v>
      </c>
      <c r="J14" s="371"/>
      <c r="K14" s="349"/>
      <c r="L14" s="366"/>
      <c r="M14" s="349"/>
    </row>
    <row r="15" spans="1:15">
      <c r="B15" s="354">
        <f>+B13+1</f>
        <v>2</v>
      </c>
      <c r="C15" s="355"/>
      <c r="D15" s="372" t="s">
        <v>169</v>
      </c>
      <c r="E15" s="369" t="s">
        <v>989</v>
      </c>
      <c r="F15" s="370"/>
      <c r="G15" s="373">
        <f>+'WS E Rev Credits'!K31</f>
        <v>3146000</v>
      </c>
      <c r="H15" s="370"/>
      <c r="I15" s="374" t="s">
        <v>130</v>
      </c>
      <c r="J15" s="375">
        <v>1</v>
      </c>
      <c r="K15" s="352"/>
      <c r="L15" s="376">
        <f>+J15*G15</f>
        <v>3146000</v>
      </c>
      <c r="M15" s="349"/>
    </row>
    <row r="16" spans="1:15">
      <c r="B16" s="354"/>
      <c r="C16" s="355"/>
      <c r="D16" s="372"/>
      <c r="F16" s="352"/>
      <c r="L16" s="377"/>
      <c r="M16" s="349"/>
    </row>
    <row r="17" spans="2:13">
      <c r="B17" s="354"/>
      <c r="C17" s="355"/>
      <c r="D17" s="372"/>
      <c r="F17" s="352"/>
      <c r="L17" s="378"/>
      <c r="M17" s="349"/>
    </row>
    <row r="18" spans="2:13">
      <c r="B18" s="354">
        <f>+B15+1</f>
        <v>3</v>
      </c>
      <c r="C18" s="355"/>
      <c r="D18" s="372" t="s">
        <v>536</v>
      </c>
      <c r="E18" s="340" t="s">
        <v>990</v>
      </c>
      <c r="F18" s="352"/>
      <c r="L18" s="376">
        <f>'WS E Rev Credits'!K39</f>
        <v>0</v>
      </c>
      <c r="M18" s="349"/>
    </row>
    <row r="19" spans="2:13">
      <c r="B19" s="354"/>
      <c r="C19" s="355"/>
      <c r="D19" s="372"/>
      <c r="F19" s="352"/>
      <c r="L19" s="378"/>
      <c r="M19" s="349"/>
    </row>
    <row r="20" spans="2:13" ht="15.75" thickBot="1">
      <c r="B20" s="379">
        <f>+B18+1</f>
        <v>4</v>
      </c>
      <c r="C20" s="380"/>
      <c r="D20" s="381" t="s">
        <v>465</v>
      </c>
      <c r="E20" s="382" t="str">
        <f>"(ln "&amp;B13&amp;" less  ln " &amp;B15&amp;" plus ln "&amp;B18&amp;")"</f>
        <v>(ln 1 less  ln 2 plus ln 3)</v>
      </c>
      <c r="F20" s="349"/>
      <c r="H20" s="352"/>
      <c r="I20" s="383"/>
      <c r="J20" s="352"/>
      <c r="K20" s="352"/>
      <c r="L20" s="384">
        <f>+L13-L15+L18</f>
        <v>159194700.98301724</v>
      </c>
      <c r="M20" s="349"/>
    </row>
    <row r="21" spans="2:13" ht="15.75"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44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46"/>
      <c r="D24" s="1446"/>
      <c r="E24" s="1446"/>
      <c r="F24" s="1446"/>
      <c r="G24" s="1446"/>
      <c r="H24" s="1446"/>
      <c r="I24" s="1446"/>
    </row>
    <row r="25" spans="2:13" ht="35.25" customHeight="1">
      <c r="B25" s="1446"/>
      <c r="C25" s="1446"/>
      <c r="D25" s="1446"/>
      <c r="E25" s="1446"/>
      <c r="F25" s="1446"/>
      <c r="G25" s="1446"/>
      <c r="H25" s="1446"/>
      <c r="I25" s="1446"/>
    </row>
    <row r="26" spans="2:13" ht="15" customHeight="1">
      <c r="B26" s="386"/>
      <c r="C26" s="386"/>
      <c r="D26" s="386"/>
      <c r="E26" s="386"/>
      <c r="F26" s="386"/>
      <c r="G26" s="386"/>
      <c r="H26" s="386"/>
      <c r="I26" s="386"/>
    </row>
    <row r="27" spans="2:13">
      <c r="B27" s="354">
        <f>+B20+1</f>
        <v>5</v>
      </c>
      <c r="C27" s="380"/>
      <c r="D27" s="387" t="s">
        <v>537</v>
      </c>
      <c r="E27" s="369"/>
      <c r="F27" s="370"/>
      <c r="G27" s="388">
        <f>+'WS J PROJECTED RTEP RR'!M26</f>
        <v>5251215.154440023</v>
      </c>
      <c r="H27" s="370"/>
      <c r="I27" s="374" t="s">
        <v>130</v>
      </c>
      <c r="J27" s="375">
        <v>1</v>
      </c>
      <c r="K27" s="365"/>
      <c r="L27" s="389">
        <f>+J27*G27</f>
        <v>5251215.154440023</v>
      </c>
      <c r="M27" s="349"/>
    </row>
    <row r="28" spans="2:13">
      <c r="B28" s="354"/>
      <c r="C28" s="380"/>
      <c r="D28" s="387"/>
      <c r="E28" s="382"/>
      <c r="F28" s="370"/>
      <c r="G28" s="388"/>
      <c r="H28" s="370"/>
      <c r="I28" s="370"/>
      <c r="J28" s="375"/>
      <c r="K28" s="365"/>
      <c r="L28" s="389"/>
      <c r="M28" s="349"/>
    </row>
    <row r="29" spans="2:13">
      <c r="B29" s="379">
        <f>+B27+1</f>
        <v>6</v>
      </c>
      <c r="C29" s="380"/>
      <c r="D29" s="387" t="s">
        <v>374</v>
      </c>
      <c r="E29" s="369"/>
      <c r="F29" s="349"/>
      <c r="G29" s="390"/>
      <c r="H29" s="349"/>
      <c r="J29" s="349"/>
      <c r="K29" s="349"/>
      <c r="M29" s="349"/>
    </row>
    <row r="30" spans="2:13">
      <c r="B30" s="354">
        <f>B29+1</f>
        <v>7</v>
      </c>
      <c r="C30" s="380"/>
      <c r="D30" s="391" t="s">
        <v>251</v>
      </c>
      <c r="E30" s="365" t="str">
        <f>"( (ln "&amp;B13&amp;" - ln "&amp;B168&amp;")/((ln "&amp;$B$91&amp;") x 100) )"</f>
        <v>( (ln 1 - ln 95)/((ln 42) x 100) )</v>
      </c>
      <c r="F30" s="355"/>
      <c r="G30" s="355"/>
      <c r="H30" s="355"/>
      <c r="I30" s="392"/>
      <c r="J30" s="392"/>
      <c r="K30" s="392"/>
      <c r="L30" s="393">
        <f>(L13-L168)/L$91</f>
        <v>0.13329263657264945</v>
      </c>
      <c r="M30" s="349"/>
    </row>
    <row r="31" spans="2:13">
      <c r="B31" s="354">
        <f>B30+1</f>
        <v>8</v>
      </c>
      <c r="C31" s="380"/>
      <c r="D31" s="391" t="s">
        <v>252</v>
      </c>
      <c r="E31" s="365" t="str">
        <f>"(ln "&amp;B30&amp;" / 12)"</f>
        <v>(ln 7 / 12)</v>
      </c>
      <c r="F31" s="355"/>
      <c r="G31" s="355"/>
      <c r="H31" s="355"/>
      <c r="I31" s="392"/>
      <c r="J31" s="392"/>
      <c r="K31" s="392"/>
      <c r="L31" s="394">
        <f>L30/12</f>
        <v>1.1107719714387454E-2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251</v>
      </c>
      <c r="E34" s="365" t="str">
        <f>"( (ln "&amp;B13&amp;" - ln "&amp;B168&amp;" - ln "&amp;B174&amp;" ) /((ln "&amp;$B$91&amp;") x 100) )"</f>
        <v>( (ln 1 - ln 95 - ln 100 ) /((ln 42) x 100) )</v>
      </c>
      <c r="F34" s="355"/>
      <c r="G34" s="355"/>
      <c r="H34" s="355"/>
      <c r="I34" s="392"/>
      <c r="J34" s="392"/>
      <c r="K34" s="392"/>
      <c r="L34" s="393">
        <f>(L13-L168-L174)/L91</f>
        <v>9.9118816841934854E-2</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251</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3.4095906551446058E-2</v>
      </c>
      <c r="M37" s="357"/>
    </row>
    <row r="38" spans="2:14">
      <c r="B38" s="354"/>
      <c r="C38" s="380"/>
      <c r="D38" s="346"/>
      <c r="E38" s="365"/>
      <c r="F38" s="355"/>
      <c r="G38" s="355"/>
      <c r="H38" s="355"/>
      <c r="I38" s="392"/>
      <c r="J38" s="392"/>
      <c r="K38" s="392"/>
      <c r="L38" s="393"/>
      <c r="M38" s="397"/>
    </row>
    <row r="39" spans="2:14">
      <c r="B39" s="354">
        <f>B37+1</f>
        <v>13</v>
      </c>
      <c r="C39" s="355"/>
      <c r="D39" s="398" t="s">
        <v>593</v>
      </c>
      <c r="E39" s="365"/>
      <c r="F39" s="355"/>
      <c r="G39" s="355"/>
      <c r="H39" s="355"/>
      <c r="I39" s="392"/>
      <c r="J39" s="392"/>
      <c r="K39" s="392"/>
      <c r="L39" s="399"/>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ht="15.75">
      <c r="B42" s="354">
        <f>+B39+1</f>
        <v>14</v>
      </c>
      <c r="C42" s="355"/>
      <c r="D42" s="1452" t="s">
        <v>433</v>
      </c>
      <c r="E42" s="1452"/>
      <c r="F42" s="1452"/>
      <c r="G42" s="1452"/>
      <c r="H42" s="1452"/>
      <c r="I42" s="1452"/>
      <c r="J42" s="1452"/>
      <c r="K42" s="1452"/>
      <c r="L42" s="1452"/>
      <c r="M42" s="349"/>
    </row>
    <row r="43" spans="2:14">
      <c r="B43" s="354"/>
      <c r="C43" s="355"/>
      <c r="E43" s="365"/>
      <c r="F43" s="355"/>
      <c r="G43" s="355"/>
      <c r="H43" s="355"/>
      <c r="I43" s="392"/>
      <c r="J43" s="392"/>
      <c r="K43" s="392"/>
      <c r="L43" s="393"/>
      <c r="M43" s="349"/>
    </row>
    <row r="44" spans="2:14">
      <c r="B44" s="354">
        <f>+B42+1</f>
        <v>15</v>
      </c>
      <c r="C44" s="355"/>
      <c r="D44" s="364" t="s">
        <v>435</v>
      </c>
      <c r="E44" s="365" t="str">
        <f>"Line "&amp;B146&amp;" Below"</f>
        <v>Line 75 Below</v>
      </c>
      <c r="F44" s="355"/>
      <c r="H44" s="355"/>
      <c r="I44" s="392"/>
      <c r="J44" s="392"/>
      <c r="K44" s="392"/>
      <c r="L44" s="400">
        <f>+G146</f>
        <v>7335000</v>
      </c>
      <c r="M44" s="365"/>
      <c r="N44" s="345"/>
    </row>
    <row r="45" spans="2:14">
      <c r="B45" s="354">
        <f>+B44+1</f>
        <v>16</v>
      </c>
      <c r="C45" s="355"/>
      <c r="D45" s="364" t="s">
        <v>473</v>
      </c>
      <c r="E45" s="349"/>
      <c r="F45" s="355"/>
      <c r="H45" s="355"/>
      <c r="I45" s="392"/>
      <c r="J45" s="392"/>
      <c r="K45" s="392"/>
      <c r="L45" s="864">
        <f>'WS F Misc Exp'!D28</f>
        <v>5371000</v>
      </c>
      <c r="M45" s="365"/>
      <c r="N45" s="345"/>
    </row>
    <row r="46" spans="2:14">
      <c r="B46" s="354">
        <f>+B45+1</f>
        <v>17</v>
      </c>
      <c r="C46" s="355"/>
      <c r="D46" s="364" t="s">
        <v>474</v>
      </c>
      <c r="E46" s="349"/>
      <c r="F46" s="355"/>
      <c r="H46" s="355"/>
      <c r="I46" s="392"/>
      <c r="J46" s="392"/>
      <c r="K46" s="392"/>
      <c r="L46" s="864">
        <f>'WS F Misc Exp'!D32</f>
        <v>1365000</v>
      </c>
      <c r="M46" s="365"/>
      <c r="N46" s="345"/>
    </row>
    <row r="47" spans="2:14">
      <c r="B47" s="354"/>
      <c r="C47" s="355"/>
      <c r="E47" s="349"/>
      <c r="F47" s="355"/>
      <c r="H47" s="355"/>
      <c r="I47" s="392"/>
      <c r="J47" s="392"/>
      <c r="K47" s="392"/>
      <c r="L47" s="355"/>
      <c r="M47" s="365"/>
      <c r="N47" s="345"/>
    </row>
    <row r="48" spans="2:14" ht="15.75" thickBot="1">
      <c r="B48" s="354">
        <f>+B46+1</f>
        <v>18</v>
      </c>
      <c r="C48" s="355"/>
      <c r="D48" s="364" t="s">
        <v>434</v>
      </c>
      <c r="E48" s="367" t="str">
        <f>"(Line "&amp;B44&amp;" - Line "&amp;B45&amp;" - Line "&amp;B46&amp;")"</f>
        <v>(Line 15 - Line 16 - Line 17)</v>
      </c>
      <c r="F48" s="355"/>
      <c r="H48" s="355"/>
      <c r="I48" s="392"/>
      <c r="J48" s="392"/>
      <c r="K48" s="392"/>
      <c r="L48" s="401">
        <f>+L44-L45-L46</f>
        <v>599000</v>
      </c>
      <c r="M48" s="365"/>
      <c r="N48" s="345"/>
    </row>
    <row r="49" spans="2:16" ht="15.75"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 xml:space="preserve">Indiana Michigan Power Company </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122</v>
      </c>
      <c r="E60" s="355" t="s">
        <v>123</v>
      </c>
      <c r="F60" s="355"/>
      <c r="G60" s="355" t="s">
        <v>124</v>
      </c>
      <c r="H60" s="352" t="s">
        <v>115</v>
      </c>
      <c r="I60" s="1447" t="s">
        <v>125</v>
      </c>
      <c r="J60" s="1448"/>
      <c r="K60" s="352"/>
      <c r="L60" s="356" t="s">
        <v>126</v>
      </c>
      <c r="M60" s="370"/>
      <c r="N60" s="345"/>
    </row>
    <row r="61" spans="2:16">
      <c r="B61" s="340"/>
      <c r="D61" s="395"/>
      <c r="E61" s="395"/>
      <c r="F61" s="395"/>
      <c r="G61" s="400"/>
      <c r="H61" s="352"/>
      <c r="I61" s="352"/>
      <c r="J61" s="407"/>
      <c r="K61" s="352"/>
      <c r="M61" s="370"/>
      <c r="N61" s="345"/>
    </row>
    <row r="62" spans="2:16" ht="15.75">
      <c r="B62" s="408"/>
      <c r="C62" s="355"/>
      <c r="D62" s="395"/>
      <c r="E62" s="409" t="s">
        <v>96</v>
      </c>
      <c r="F62" s="410"/>
      <c r="G62" s="352"/>
      <c r="H62" s="352"/>
      <c r="I62" s="352"/>
      <c r="J62" s="355"/>
      <c r="K62" s="352"/>
      <c r="L62" s="411" t="s">
        <v>119</v>
      </c>
      <c r="M62" s="370"/>
      <c r="N62" s="345"/>
      <c r="P62" s="403"/>
    </row>
    <row r="63" spans="2:16" ht="15.75">
      <c r="B63" s="340"/>
      <c r="C63" s="362"/>
      <c r="D63" s="412" t="s">
        <v>95</v>
      </c>
      <c r="E63" s="413" t="s">
        <v>113</v>
      </c>
      <c r="F63" s="352"/>
      <c r="G63" s="412" t="s">
        <v>82</v>
      </c>
      <c r="H63" s="414"/>
      <c r="I63" s="1449" t="s">
        <v>120</v>
      </c>
      <c r="J63" s="1450"/>
      <c r="K63" s="414"/>
      <c r="L63" s="412" t="s">
        <v>116</v>
      </c>
      <c r="M63" s="370"/>
      <c r="N63" s="345"/>
    </row>
    <row r="64" spans="2:16">
      <c r="B64" s="1137" t="str">
        <f>B11</f>
        <v>Line</v>
      </c>
      <c r="C64" s="380"/>
      <c r="D64" s="391"/>
      <c r="E64" s="370"/>
      <c r="F64" s="370"/>
      <c r="G64" s="1138" t="s">
        <v>355</v>
      </c>
      <c r="H64" s="370"/>
      <c r="I64" s="370"/>
      <c r="J64" s="370"/>
      <c r="K64" s="370"/>
      <c r="L64" s="370"/>
      <c r="M64" s="370"/>
      <c r="N64" s="345"/>
    </row>
    <row r="65" spans="2:15" ht="15.75" thickBot="1">
      <c r="B65" s="1139" t="str">
        <f>B12</f>
        <v>No.</v>
      </c>
      <c r="C65" s="380"/>
      <c r="D65" s="391" t="s">
        <v>83</v>
      </c>
      <c r="E65" s="415"/>
      <c r="F65" s="415"/>
      <c r="G65" s="370"/>
      <c r="H65" s="370"/>
      <c r="I65" s="374"/>
      <c r="J65" s="370"/>
      <c r="K65" s="370"/>
      <c r="L65" s="370"/>
      <c r="M65" s="370"/>
      <c r="N65" s="345"/>
    </row>
    <row r="66" spans="2:15">
      <c r="B66" s="379">
        <f>+B48+1</f>
        <v>19</v>
      </c>
      <c r="C66" s="380"/>
      <c r="D66" s="423" t="s">
        <v>127</v>
      </c>
      <c r="E66" s="370" t="str">
        <f>"(Worksheet A ln "&amp;'WS A - RB Support'!A23&amp;"."&amp;'WS A - RB Support'!C8&amp;")"</f>
        <v>(Worksheet A ln 14.(b))</v>
      </c>
      <c r="F66" s="370"/>
      <c r="G66" s="388">
        <f>'WS A - RB Support'!C23</f>
        <v>5346552000</v>
      </c>
      <c r="H66" s="388"/>
      <c r="I66" s="374" t="s">
        <v>128</v>
      </c>
      <c r="J66" s="375">
        <v>0</v>
      </c>
      <c r="K66" s="370"/>
      <c r="L66" s="417">
        <f>+J66*G66</f>
        <v>0</v>
      </c>
      <c r="M66" s="370"/>
      <c r="N66" s="345"/>
    </row>
    <row r="67" spans="2:15">
      <c r="B67" s="379">
        <f>+B66+1</f>
        <v>20</v>
      </c>
      <c r="C67" s="380"/>
      <c r="D67" s="423" t="s">
        <v>378</v>
      </c>
      <c r="E67" s="370" t="str">
        <f>"(Worksheet A ln "&amp;'WS A - RB Support'!A23&amp;"."&amp;'WS A - RB Support'!D8&amp;")"</f>
        <v>(Worksheet A ln 14.(c))</v>
      </c>
      <c r="F67" s="370"/>
      <c r="G67" s="417">
        <f>-'WS A - RB Support'!D23</f>
        <v>-454806000</v>
      </c>
      <c r="H67" s="388"/>
      <c r="I67" s="374" t="s">
        <v>128</v>
      </c>
      <c r="J67" s="375">
        <v>0</v>
      </c>
      <c r="K67" s="370"/>
      <c r="L67" s="417">
        <f>+J67*G67</f>
        <v>0</v>
      </c>
      <c r="M67" s="370"/>
      <c r="N67" s="345"/>
    </row>
    <row r="68" spans="2:15">
      <c r="B68" s="379">
        <f t="shared" ref="B68:B74" si="0">+B67+1</f>
        <v>21</v>
      </c>
      <c r="C68" s="432"/>
      <c r="D68" s="1140" t="s">
        <v>129</v>
      </c>
      <c r="E68" s="370" t="str">
        <f>"(Worksheet A ln "&amp;'WS A - RB Support'!A23&amp;"."&amp;'WS A - RB Support'!E8&amp;" &amp; TCOS Ln "&amp;B229&amp;")"</f>
        <v>(Worksheet A ln 14.(d) &amp; TCOS Ln 134)</v>
      </c>
      <c r="F68" s="419"/>
      <c r="G68" s="388">
        <f>'WS A - RB Support'!E23</f>
        <v>1748260000</v>
      </c>
      <c r="H68" s="388"/>
      <c r="I68" s="420" t="s">
        <v>130</v>
      </c>
      <c r="J68" s="375" t="s">
        <v>115</v>
      </c>
      <c r="K68" s="421"/>
      <c r="L68" s="417">
        <f>+L229</f>
        <v>1689211000</v>
      </c>
      <c r="M68" s="421"/>
      <c r="N68" s="345"/>
    </row>
    <row r="69" spans="2:15">
      <c r="B69" s="379">
        <f t="shared" si="0"/>
        <v>22</v>
      </c>
      <c r="C69" s="432"/>
      <c r="D69" s="423" t="s">
        <v>379</v>
      </c>
      <c r="E69" s="370" t="str">
        <f>"(Worksheet A ln "&amp;'WS A - RB Support'!A23&amp;"."&amp;'WS A - RB Support'!F8&amp;")"</f>
        <v>(Worksheet A ln 14.(e))</v>
      </c>
      <c r="F69" s="419"/>
      <c r="G69" s="388">
        <f>-'WS A - RB Support'!F23</f>
        <v>0</v>
      </c>
      <c r="H69" s="388"/>
      <c r="I69" s="420" t="s">
        <v>121</v>
      </c>
      <c r="J69" s="375">
        <f>L231</f>
        <v>0.96622413142209973</v>
      </c>
      <c r="K69" s="421"/>
      <c r="L69" s="417">
        <f>+G69*J69</f>
        <v>0</v>
      </c>
      <c r="M69" s="421"/>
      <c r="N69" s="345"/>
    </row>
    <row r="70" spans="2:15">
      <c r="B70" s="379">
        <f>+B69+1</f>
        <v>23</v>
      </c>
      <c r="C70" s="432"/>
      <c r="D70" s="391" t="s">
        <v>131</v>
      </c>
      <c r="E70" s="370" t="str">
        <f>"(Worksheet A ln "&amp;'WS A - RB Support'!A23&amp;"."&amp;'WS A - RB Support'!G8&amp;")"</f>
        <v>(Worksheet A ln 14.(f))</v>
      </c>
      <c r="F70" s="370"/>
      <c r="G70" s="388">
        <f>'WS A - RB Support'!G23</f>
        <v>2826911000</v>
      </c>
      <c r="H70" s="388"/>
      <c r="I70" s="374" t="s">
        <v>128</v>
      </c>
      <c r="J70" s="375">
        <v>0</v>
      </c>
      <c r="K70" s="370"/>
      <c r="L70" s="417">
        <f>+J70*G70</f>
        <v>0</v>
      </c>
      <c r="M70" s="370"/>
      <c r="N70" s="345"/>
    </row>
    <row r="71" spans="2:15">
      <c r="B71" s="379">
        <f t="shared" si="0"/>
        <v>24</v>
      </c>
      <c r="C71" s="432"/>
      <c r="D71" s="423" t="s">
        <v>376</v>
      </c>
      <c r="E71" s="370" t="str">
        <f>"(Worksheet A ln "&amp;'WS A - RB Support'!A23&amp;"."&amp;'WS A - RB Support'!H8&amp;")"</f>
        <v>(Worksheet A ln 14.(g))</v>
      </c>
      <c r="F71" s="370"/>
      <c r="G71" s="417">
        <f>-'WS A - RB Support'!H23</f>
        <v>0</v>
      </c>
      <c r="H71" s="388"/>
      <c r="I71" s="374" t="s">
        <v>128</v>
      </c>
      <c r="J71" s="375">
        <v>0</v>
      </c>
      <c r="K71" s="370"/>
      <c r="L71" s="417">
        <f>+G71*J71</f>
        <v>0</v>
      </c>
      <c r="M71" s="370"/>
      <c r="N71" s="345"/>
    </row>
    <row r="72" spans="2:15">
      <c r="B72" s="379">
        <f t="shared" si="0"/>
        <v>25</v>
      </c>
      <c r="C72" s="432"/>
      <c r="D72" s="391" t="s">
        <v>132</v>
      </c>
      <c r="E72" s="370" t="str">
        <f>"(Worksheet A ln "&amp;'WS A - RB Support'!A23&amp;"."&amp;'WS A - RB Support'!I8&amp;")"</f>
        <v>(Worksheet A ln 14.(h))</v>
      </c>
      <c r="F72" s="370"/>
      <c r="G72" s="388">
        <f>'WS A - RB Support'!I23</f>
        <v>176092000</v>
      </c>
      <c r="H72" s="388"/>
      <c r="I72" s="374" t="s">
        <v>133</v>
      </c>
      <c r="J72" s="375">
        <f>L241</f>
        <v>4.4874590169592873E-2</v>
      </c>
      <c r="K72" s="370"/>
      <c r="L72" s="417">
        <f>+J72*G72</f>
        <v>7902056.3321439484</v>
      </c>
      <c r="M72" s="370"/>
      <c r="N72" s="345"/>
    </row>
    <row r="73" spans="2:15">
      <c r="B73" s="379">
        <f t="shared" si="0"/>
        <v>26</v>
      </c>
      <c r="C73" s="432"/>
      <c r="D73" s="423" t="s">
        <v>377</v>
      </c>
      <c r="E73" s="370" t="str">
        <f>"(Worksheet A ln "&amp;'WS A - RB Support'!A23&amp;"."&amp;'WS A - RB Support'!J8&amp;")"</f>
        <v>(Worksheet A ln 14.(i))</v>
      </c>
      <c r="F73" s="370"/>
      <c r="G73" s="417">
        <f>-'WS A - RB Support'!J23</f>
        <v>0</v>
      </c>
      <c r="H73" s="388"/>
      <c r="I73" s="374" t="s">
        <v>133</v>
      </c>
      <c r="J73" s="375">
        <f>L241</f>
        <v>4.4874590169592873E-2</v>
      </c>
      <c r="K73" s="370"/>
      <c r="L73" s="417">
        <f>+G73*J73</f>
        <v>0</v>
      </c>
      <c r="M73" s="370"/>
      <c r="N73" s="345"/>
    </row>
    <row r="74" spans="2:15" ht="15.75" thickBot="1">
      <c r="B74" s="379">
        <f t="shared" si="0"/>
        <v>27</v>
      </c>
      <c r="C74" s="432"/>
      <c r="D74" s="391" t="s">
        <v>134</v>
      </c>
      <c r="E74" s="370" t="str">
        <f>"(Worksheet A ln "&amp;'WS A - RB Support'!A23&amp;"."&amp;'WS A - RB Support'!K8&amp;")"</f>
        <v>(Worksheet A ln 14.(j))</v>
      </c>
      <c r="F74" s="370"/>
      <c r="G74" s="424">
        <f>'WS A - RB Support'!K23</f>
        <v>328736000</v>
      </c>
      <c r="H74" s="388"/>
      <c r="I74" s="374" t="s">
        <v>133</v>
      </c>
      <c r="J74" s="375">
        <f>L241</f>
        <v>4.4874590169592873E-2</v>
      </c>
      <c r="K74" s="370"/>
      <c r="L74" s="518">
        <f>+J74*G74</f>
        <v>14751893.273991283</v>
      </c>
      <c r="M74" s="370"/>
      <c r="N74" s="391"/>
      <c r="O74" s="346"/>
    </row>
    <row r="75" spans="2:15" ht="15.75">
      <c r="B75" s="379">
        <f>+B74+1</f>
        <v>28</v>
      </c>
      <c r="C75" s="432"/>
      <c r="D75" s="391" t="s">
        <v>48</v>
      </c>
      <c r="E75" s="380" t="str">
        <f>"(sum lns "&amp;B66&amp;" to "&amp;B74&amp;")"</f>
        <v>(sum lns 19 to 27)</v>
      </c>
      <c r="F75" s="720"/>
      <c r="G75" s="388">
        <f>SUM(G66:G74)</f>
        <v>9971745000</v>
      </c>
      <c r="H75" s="388"/>
      <c r="I75" s="519" t="s">
        <v>761</v>
      </c>
      <c r="J75" s="426">
        <f>+L75/G75</f>
        <v>0.17167155293342692</v>
      </c>
      <c r="K75" s="370"/>
      <c r="L75" s="388">
        <f>SUM(L66:L74)</f>
        <v>1711864949.6061354</v>
      </c>
      <c r="M75" s="370"/>
      <c r="N75" s="391"/>
      <c r="O75" s="346"/>
    </row>
    <row r="76" spans="2:15" ht="15.75">
      <c r="B76" s="379"/>
      <c r="C76" s="380"/>
      <c r="D76" s="391"/>
      <c r="E76" s="1142"/>
      <c r="F76" s="720"/>
      <c r="G76" s="388"/>
      <c r="H76" s="388"/>
      <c r="I76" s="1135" t="s">
        <v>217</v>
      </c>
      <c r="J76" s="427">
        <f>+L68/(G70+G68+G71)</f>
        <v>0.36921264800812909</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2415925000</v>
      </c>
      <c r="H78" s="388"/>
      <c r="I78" s="374" t="s">
        <v>128</v>
      </c>
      <c r="J78" s="375">
        <v>0</v>
      </c>
      <c r="K78" s="370"/>
      <c r="L78" s="417">
        <f>+J78*G78</f>
        <v>0</v>
      </c>
      <c r="M78" s="370"/>
      <c r="N78" s="370"/>
      <c r="O78" s="352"/>
    </row>
    <row r="79" spans="2:15">
      <c r="B79" s="379">
        <f t="shared" ref="B79:B87" si="1">+B78+1</f>
        <v>31</v>
      </c>
      <c r="C79" s="380"/>
      <c r="D79" s="423" t="s">
        <v>378</v>
      </c>
      <c r="E79" s="370" t="str">
        <f>"(Worksheet A ln "&amp;'WS A - RB Support'!A42&amp;"."&amp;'WS A - RB Support'!D27&amp;")"</f>
        <v>(Worksheet A ln 28.(c))</v>
      </c>
      <c r="F79" s="370"/>
      <c r="G79" s="417">
        <f>-'WS A - RB Support'!D42</f>
        <v>-172170000</v>
      </c>
      <c r="H79" s="388"/>
      <c r="I79" s="374" t="s">
        <v>128</v>
      </c>
      <c r="J79" s="375">
        <v>0</v>
      </c>
      <c r="K79" s="370"/>
      <c r="L79" s="417">
        <f>+J79*G79</f>
        <v>0</v>
      </c>
      <c r="M79" s="370"/>
      <c r="N79" s="370"/>
      <c r="O79" s="352"/>
    </row>
    <row r="80" spans="2:15" ht="15.75">
      <c r="B80" s="379">
        <f t="shared" si="1"/>
        <v>32</v>
      </c>
      <c r="C80" s="432"/>
      <c r="D80" s="1140" t="str">
        <f>D68</f>
        <v xml:space="preserve">  Transmission</v>
      </c>
      <c r="E80" s="370" t="str">
        <f>"(Worksheet A ln "&amp;'WS A - RB Support'!A42&amp;"."&amp;'WS A - RB Support'!E27&amp;" &amp; "&amp;"ln "&amp;'WS A - RB Support'!A64&amp;"."&amp;'WS A - RB Support'!D47&amp;")"</f>
        <v>(Worksheet A ln 28.(d) &amp; ln 43.(c))</v>
      </c>
      <c r="F80" s="419"/>
      <c r="G80" s="422">
        <f>'WS A - RB Support'!E42</f>
        <v>483386000</v>
      </c>
      <c r="H80" s="388"/>
      <c r="I80" s="1136" t="s">
        <v>27</v>
      </c>
      <c r="J80" s="431">
        <f>L80/G80</f>
        <v>0.97496410735933603</v>
      </c>
      <c r="K80" s="421"/>
      <c r="L80" s="417">
        <f>'WS A - RB Support'!D64</f>
        <v>471284000</v>
      </c>
      <c r="M80" s="421"/>
      <c r="N80" s="370"/>
      <c r="O80" s="352"/>
    </row>
    <row r="81" spans="2:15" ht="15.75">
      <c r="B81" s="379">
        <f t="shared" si="1"/>
        <v>33</v>
      </c>
      <c r="C81" s="432"/>
      <c r="D81" s="423" t="s">
        <v>379</v>
      </c>
      <c r="E81" s="370" t="str">
        <f>"(Worksheet A ln "&amp;'WS A - RB Support'!A42&amp;"."&amp;'WS A - RB Support'!F27&amp;")"</f>
        <v>(Worksheet A ln 28.(e))</v>
      </c>
      <c r="F81" s="419"/>
      <c r="G81" s="417">
        <f>-'WS A - RB Support'!F42</f>
        <v>0</v>
      </c>
      <c r="H81" s="388"/>
      <c r="I81" s="1136" t="s">
        <v>27</v>
      </c>
      <c r="J81" s="375">
        <f>+J80</f>
        <v>0.97496410735933603</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754480000</v>
      </c>
      <c r="H82" s="388"/>
      <c r="I82" s="374" t="s">
        <v>128</v>
      </c>
      <c r="J82" s="375">
        <v>0</v>
      </c>
      <c r="K82" s="370"/>
      <c r="L82" s="417">
        <f t="shared" si="2"/>
        <v>0</v>
      </c>
      <c r="M82" s="370"/>
      <c r="N82" s="370"/>
      <c r="O82" s="352"/>
    </row>
    <row r="83" spans="2:15">
      <c r="B83" s="379">
        <f t="shared" si="1"/>
        <v>35</v>
      </c>
      <c r="C83" s="432"/>
      <c r="D83" s="423" t="s">
        <v>376</v>
      </c>
      <c r="E83" s="370" t="str">
        <f>"(Worksheet A ln "&amp;'WS A - RB Support'!A42&amp;"."&amp;'WS A - RB Support'!H27&amp;")"</f>
        <v>(Worksheet A ln 28.(g))</v>
      </c>
      <c r="F83" s="370"/>
      <c r="G83" s="417">
        <f>-'WS A - RB Support'!H42</f>
        <v>0</v>
      </c>
      <c r="H83" s="388"/>
      <c r="I83" s="374" t="s">
        <v>128</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33669000</v>
      </c>
      <c r="H84" s="388"/>
      <c r="I84" s="374" t="s">
        <v>133</v>
      </c>
      <c r="J84" s="375">
        <f>L241</f>
        <v>4.4874590169592873E-2</v>
      </c>
      <c r="K84" s="370"/>
      <c r="L84" s="417">
        <f t="shared" si="2"/>
        <v>1510882.5764200224</v>
      </c>
      <c r="M84" s="370"/>
      <c r="N84" s="370"/>
      <c r="O84" s="352"/>
    </row>
    <row r="85" spans="2:15">
      <c r="B85" s="379">
        <f t="shared" si="1"/>
        <v>37</v>
      </c>
      <c r="C85" s="432"/>
      <c r="D85" s="423" t="s">
        <v>377</v>
      </c>
      <c r="E85" s="370" t="str">
        <f>"(Worksheet A ln "&amp;'WS A - RB Support'!A42&amp;"."&amp;'WS A - RB Support'!J27&amp;")"</f>
        <v>(Worksheet A ln 28.(i))</v>
      </c>
      <c r="F85" s="370"/>
      <c r="G85" s="417">
        <f>-'WS A - RB Support'!J42</f>
        <v>0</v>
      </c>
      <c r="H85" s="388"/>
      <c r="I85" s="374" t="s">
        <v>133</v>
      </c>
      <c r="J85" s="375">
        <f>L241</f>
        <v>4.4874590169592873E-2</v>
      </c>
      <c r="K85" s="370"/>
      <c r="L85" s="417">
        <f t="shared" si="2"/>
        <v>0</v>
      </c>
      <c r="M85" s="370"/>
      <c r="N85" s="370"/>
      <c r="O85" s="352"/>
    </row>
    <row r="86" spans="2:15" ht="15.75" thickBot="1">
      <c r="B86" s="379">
        <f t="shared" si="1"/>
        <v>38</v>
      </c>
      <c r="C86" s="432"/>
      <c r="D86" s="391" t="str">
        <f>+D74</f>
        <v xml:space="preserve">  Intangible Plant</v>
      </c>
      <c r="E86" s="370" t="str">
        <f>"(Worksheet A ln "&amp;'WS A - RB Support'!A42&amp;"."&amp;'WS A - RB Support'!K27&amp;")"</f>
        <v>(Worksheet A ln 28.(j))</v>
      </c>
      <c r="F86" s="370"/>
      <c r="G86" s="424">
        <f>'WS A - RB Support'!K42</f>
        <v>123072000</v>
      </c>
      <c r="H86" s="388"/>
      <c r="I86" s="374" t="s">
        <v>133</v>
      </c>
      <c r="J86" s="375">
        <f>L241</f>
        <v>4.4874590169592873E-2</v>
      </c>
      <c r="K86" s="370"/>
      <c r="L86" s="518">
        <f t="shared" si="2"/>
        <v>5522805.5613521338</v>
      </c>
      <c r="M86" s="370"/>
      <c r="N86" s="370"/>
      <c r="O86" s="352"/>
    </row>
    <row r="87" spans="2:15">
      <c r="B87" s="379">
        <f t="shared" si="1"/>
        <v>39</v>
      </c>
      <c r="C87" s="432"/>
      <c r="D87" s="391" t="s">
        <v>47</v>
      </c>
      <c r="E87" s="1120" t="str">
        <f>"(sum lns "&amp;B78&amp;" to "&amp;B86&amp;")"</f>
        <v>(sum lns 30 to 38)</v>
      </c>
      <c r="F87" s="718"/>
      <c r="G87" s="388">
        <f>SUM(G78:G86)</f>
        <v>3638362000</v>
      </c>
      <c r="H87" s="388"/>
      <c r="I87" s="374"/>
      <c r="J87" s="370"/>
      <c r="K87" s="388"/>
      <c r="L87" s="388">
        <f>SUM(L78:L86)</f>
        <v>478317688.13777214</v>
      </c>
      <c r="M87" s="370"/>
      <c r="N87" s="370"/>
      <c r="O87" s="352"/>
    </row>
    <row r="88" spans="2:15">
      <c r="B88" s="379"/>
      <c r="C88" s="380"/>
      <c r="D88" s="345"/>
      <c r="E88" s="1143"/>
      <c r="F88" s="718"/>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2647991000</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1264874000</v>
      </c>
      <c r="H91" s="388"/>
      <c r="I91" s="374"/>
      <c r="J91" s="431"/>
      <c r="K91" s="370"/>
      <c r="L91" s="388">
        <f>+L68+L69-L80-L81</f>
        <v>1217927000</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2072431000</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142423000</v>
      </c>
      <c r="H93" s="388"/>
      <c r="I93" s="374"/>
      <c r="J93" s="433"/>
      <c r="K93" s="370"/>
      <c r="L93" s="388">
        <f>+L72+L73-L84-L85</f>
        <v>6391173.7557239262</v>
      </c>
      <c r="M93" s="370"/>
      <c r="N93" s="370"/>
      <c r="O93" s="352"/>
    </row>
    <row r="94" spans="2:15" ht="15.75" thickBot="1">
      <c r="B94" s="379">
        <f t="shared" si="3"/>
        <v>45</v>
      </c>
      <c r="C94" s="432"/>
      <c r="D94" s="423" t="str">
        <f>+D86</f>
        <v xml:space="preserve">  Intangible Plant</v>
      </c>
      <c r="E94" s="370" t="str">
        <f>" (ln "&amp;B74&amp;" - ln "&amp;B86&amp;")"</f>
        <v xml:space="preserve"> (ln 27 - ln 38)</v>
      </c>
      <c r="F94" s="370"/>
      <c r="G94" s="424">
        <f>+G74-G86</f>
        <v>205664000</v>
      </c>
      <c r="H94" s="388"/>
      <c r="I94" s="374"/>
      <c r="J94" s="433"/>
      <c r="K94" s="370"/>
      <c r="L94" s="424">
        <f>+L74-L86</f>
        <v>9229087.7126391493</v>
      </c>
      <c r="M94" s="370"/>
      <c r="N94" s="370"/>
      <c r="O94" s="352"/>
    </row>
    <row r="95" spans="2:15" ht="15.75">
      <c r="B95" s="379">
        <f t="shared" si="3"/>
        <v>46</v>
      </c>
      <c r="C95" s="432"/>
      <c r="D95" s="423" t="s">
        <v>46</v>
      </c>
      <c r="E95" s="423" t="str">
        <f>"(sum lns "&amp;B90&amp;" to "&amp;B94&amp;")"</f>
        <v>(sum lns 41 to 45)</v>
      </c>
      <c r="F95" s="370"/>
      <c r="G95" s="388">
        <f>SUM(G90:G94)</f>
        <v>6333383000</v>
      </c>
      <c r="H95" s="388"/>
      <c r="I95" s="519" t="s">
        <v>762</v>
      </c>
      <c r="J95" s="426">
        <f>+L95/G95</f>
        <v>0.1947690928321188</v>
      </c>
      <c r="K95" s="370"/>
      <c r="L95" s="388">
        <f>SUM(L90:L94)</f>
        <v>1233547261.468363</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6"/>
      <c r="H97" s="606"/>
      <c r="I97" s="1142"/>
      <c r="J97" s="606"/>
      <c r="K97" s="606"/>
      <c r="L97" s="606"/>
      <c r="M97" s="439"/>
      <c r="N97" s="370"/>
      <c r="O97" s="352"/>
    </row>
    <row r="98" spans="2:15">
      <c r="B98" s="379">
        <f>+B95+1</f>
        <v>47</v>
      </c>
      <c r="C98" s="380"/>
      <c r="D98" s="391" t="s">
        <v>327</v>
      </c>
      <c r="E98" s="370" t="s">
        <v>304</v>
      </c>
      <c r="F98" s="374"/>
      <c r="G98" s="606"/>
      <c r="H98" s="606"/>
      <c r="I98" s="1142"/>
      <c r="J98" s="606"/>
      <c r="K98" s="606"/>
      <c r="L98" s="606"/>
      <c r="M98" s="439"/>
      <c r="N98" s="370"/>
      <c r="O98" s="352"/>
    </row>
    <row r="99" spans="2:15">
      <c r="B99" s="379">
        <f t="shared" ref="B99:B104" si="4">+B98+1</f>
        <v>48</v>
      </c>
      <c r="C99" s="432"/>
      <c r="D99" s="423" t="s">
        <v>194</v>
      </c>
      <c r="E99" s="370" t="s">
        <v>538</v>
      </c>
      <c r="F99" s="370"/>
      <c r="G99" s="388">
        <f>-'WS B ADIT &amp; ITC'!I17</f>
        <v>-27236500</v>
      </c>
      <c r="H99" s="388"/>
      <c r="I99" s="374" t="s">
        <v>128</v>
      </c>
      <c r="J99" s="375"/>
      <c r="K99" s="370"/>
      <c r="L99" s="388">
        <f>'WS B ADIT &amp; ITC'!I20</f>
        <v>0</v>
      </c>
      <c r="M99" s="370"/>
      <c r="N99" s="370"/>
      <c r="O99" s="352"/>
    </row>
    <row r="100" spans="2:15">
      <c r="B100" s="379">
        <f t="shared" si="4"/>
        <v>49</v>
      </c>
      <c r="C100" s="432"/>
      <c r="D100" s="423" t="s">
        <v>195</v>
      </c>
      <c r="E100" s="370" t="s">
        <v>539</v>
      </c>
      <c r="F100" s="370"/>
      <c r="G100" s="388">
        <f>-'WS B ADIT &amp; ITC'!I25</f>
        <v>-1425828000</v>
      </c>
      <c r="H100" s="388"/>
      <c r="I100" s="374" t="s">
        <v>130</v>
      </c>
      <c r="J100" s="375"/>
      <c r="K100" s="370"/>
      <c r="L100" s="388">
        <f>-'WS B ADIT &amp; ITC'!I28</f>
        <v>-251977000</v>
      </c>
      <c r="M100" s="370"/>
      <c r="N100" s="370"/>
      <c r="O100" s="352"/>
    </row>
    <row r="101" spans="2:15">
      <c r="B101" s="379">
        <f t="shared" si="4"/>
        <v>50</v>
      </c>
      <c r="C101" s="432"/>
      <c r="D101" s="423" t="s">
        <v>196</v>
      </c>
      <c r="E101" s="370" t="s">
        <v>540</v>
      </c>
      <c r="F101" s="370"/>
      <c r="G101" s="388">
        <f>-'WS B ADIT &amp; ITC'!I33</f>
        <v>-569457000</v>
      </c>
      <c r="H101" s="388"/>
      <c r="I101" s="374" t="s">
        <v>130</v>
      </c>
      <c r="J101" s="375"/>
      <c r="K101" s="370"/>
      <c r="L101" s="388">
        <f>-'WS B ADIT &amp; ITC'!I36</f>
        <v>-2160000</v>
      </c>
      <c r="M101" s="370"/>
      <c r="N101" s="370"/>
      <c r="O101" s="352"/>
    </row>
    <row r="102" spans="2:15">
      <c r="B102" s="379">
        <f t="shared" si="4"/>
        <v>51</v>
      </c>
      <c r="C102" s="432"/>
      <c r="D102" s="423" t="s">
        <v>197</v>
      </c>
      <c r="E102" s="370" t="s">
        <v>541</v>
      </c>
      <c r="F102" s="370"/>
      <c r="G102" s="388">
        <f>'WS B ADIT &amp; ITC'!I41</f>
        <v>718488500</v>
      </c>
      <c r="H102" s="388"/>
      <c r="I102" s="374" t="s">
        <v>130</v>
      </c>
      <c r="J102" s="375"/>
      <c r="K102" s="370"/>
      <c r="L102" s="388">
        <f>'WS B ADIT &amp; ITC'!I44</f>
        <v>10192500</v>
      </c>
      <c r="M102" s="370"/>
      <c r="N102" s="370"/>
      <c r="O102" s="352"/>
    </row>
    <row r="103" spans="2:15" ht="15.75" thickBot="1">
      <c r="B103" s="379">
        <f t="shared" si="4"/>
        <v>52</v>
      </c>
      <c r="C103" s="432"/>
      <c r="D103" s="504" t="s">
        <v>135</v>
      </c>
      <c r="E103" s="370" t="s">
        <v>542</v>
      </c>
      <c r="F103" s="345"/>
      <c r="G103" s="424">
        <f>-'WS B ADIT &amp; ITC'!I51</f>
        <v>0</v>
      </c>
      <c r="H103" s="388"/>
      <c r="I103" s="374" t="s">
        <v>130</v>
      </c>
      <c r="J103" s="375"/>
      <c r="K103" s="370"/>
      <c r="L103" s="424">
        <f>-'WS B ADIT &amp; ITC'!I52</f>
        <v>0</v>
      </c>
      <c r="M103" s="440"/>
      <c r="N103" s="370"/>
      <c r="O103" s="352"/>
    </row>
    <row r="104" spans="2:15">
      <c r="B104" s="379">
        <f t="shared" si="4"/>
        <v>53</v>
      </c>
      <c r="C104" s="432"/>
      <c r="D104" s="423" t="s">
        <v>93</v>
      </c>
      <c r="E104" s="423" t="str">
        <f>"(sum lns "&amp;B99&amp;" to "&amp;B103&amp;")"</f>
        <v>(sum lns 48 to 52)</v>
      </c>
      <c r="F104" s="370"/>
      <c r="G104" s="388">
        <f>SUM(G99:G103)</f>
        <v>-1304033000</v>
      </c>
      <c r="H104" s="606"/>
      <c r="I104" s="374"/>
      <c r="J104" s="442"/>
      <c r="K104" s="370"/>
      <c r="L104" s="388">
        <f>SUM(L99:L103)</f>
        <v>-243944500</v>
      </c>
      <c r="M104" s="370"/>
      <c r="N104" s="443"/>
    </row>
    <row r="105" spans="2:15">
      <c r="B105" s="379"/>
      <c r="C105" s="380"/>
      <c r="D105" s="423"/>
      <c r="E105" s="370"/>
      <c r="F105" s="370"/>
      <c r="G105" s="388"/>
      <c r="H105" s="606"/>
      <c r="I105" s="374"/>
      <c r="J105" s="433"/>
      <c r="K105" s="370"/>
      <c r="L105" s="388"/>
      <c r="M105" s="370"/>
      <c r="N105" s="345"/>
    </row>
    <row r="106" spans="2:15">
      <c r="B106" s="379">
        <f>+B104+1</f>
        <v>54</v>
      </c>
      <c r="C106" s="380"/>
      <c r="D106" s="423" t="s">
        <v>206</v>
      </c>
      <c r="E106" s="370" t="str">
        <f>"(Worksheet A ln "&amp;'WS A - RB Support'!A69&amp;"."&amp;'WS A - RB Support'!F68&amp;" &amp; "&amp;"ln "&amp;'WS A - RB Support'!A71&amp;"."&amp;'WS A - RB Support'!F68&amp;")"</f>
        <v>(Worksheet A ln 44.(e) &amp; ln 45.(e))</v>
      </c>
      <c r="F106" s="370"/>
      <c r="G106" s="388">
        <f>'WS A - RB Support'!F69</f>
        <v>1445000</v>
      </c>
      <c r="H106" s="606"/>
      <c r="I106" s="374" t="s">
        <v>130</v>
      </c>
      <c r="J106" s="375"/>
      <c r="K106" s="370"/>
      <c r="L106" s="388">
        <f>'WS A - RB Support'!F71</f>
        <v>208000</v>
      </c>
      <c r="M106" s="370"/>
      <c r="N106" s="345"/>
    </row>
    <row r="107" spans="2:15">
      <c r="B107" s="379"/>
      <c r="C107" s="380"/>
      <c r="D107" s="423"/>
      <c r="E107" s="370"/>
      <c r="F107" s="370"/>
      <c r="G107" s="388"/>
      <c r="H107" s="606"/>
      <c r="I107" s="374"/>
      <c r="J107" s="375"/>
      <c r="K107" s="370"/>
      <c r="L107" s="388"/>
      <c r="M107" s="370"/>
      <c r="N107" s="345"/>
    </row>
    <row r="108" spans="2:15">
      <c r="B108" s="379">
        <f>+B106+1</f>
        <v>55</v>
      </c>
      <c r="C108" s="380"/>
      <c r="D108" s="423" t="s">
        <v>328</v>
      </c>
      <c r="E108" s="370" t="str">
        <f>"(Worksheet A ln "&amp;'WS A - RB Support'!A80&amp;"."&amp;'WS A - RB Support'!F68&amp;")"</f>
        <v>(Worksheet A ln 51.(e))</v>
      </c>
      <c r="F108" s="370"/>
      <c r="G108" s="388">
        <f>'WS A - RB Support'!F80</f>
        <v>0</v>
      </c>
      <c r="H108" s="606"/>
      <c r="I108" s="374" t="s">
        <v>130</v>
      </c>
      <c r="J108" s="370"/>
      <c r="K108" s="370"/>
      <c r="L108" s="388">
        <f>+G108</f>
        <v>0</v>
      </c>
      <c r="M108" s="370"/>
      <c r="N108" s="345"/>
    </row>
    <row r="109" spans="2:15">
      <c r="B109" s="379"/>
      <c r="C109" s="380"/>
      <c r="D109" s="423"/>
      <c r="E109" s="370"/>
      <c r="F109" s="370"/>
      <c r="G109" s="388"/>
      <c r="H109" s="606"/>
      <c r="I109" s="374"/>
      <c r="J109" s="370"/>
      <c r="K109" s="370"/>
      <c r="L109" s="388"/>
      <c r="M109" s="370"/>
      <c r="N109" s="345"/>
    </row>
    <row r="110" spans="2:15" ht="14.25" customHeight="1">
      <c r="B110" s="379">
        <f>+B108+1</f>
        <v>56</v>
      </c>
      <c r="C110" s="432"/>
      <c r="D110" s="499" t="s">
        <v>750</v>
      </c>
      <c r="E110" s="370" t="str">
        <f>"(Worksheet A ln "&amp;'WS A - RB Support'!A87&amp;"."&amp;'WS A - RB Support'!F68&amp;")"</f>
        <v>(Worksheet A ln 54.(e))</v>
      </c>
      <c r="F110" s="370"/>
      <c r="G110" s="373">
        <f>-'WS A - RB Support'!F87</f>
        <v>-156000</v>
      </c>
      <c r="H110" s="388"/>
      <c r="I110" s="374" t="s">
        <v>133</v>
      </c>
      <c r="J110" s="375">
        <f>L241</f>
        <v>4.4874590169592873E-2</v>
      </c>
      <c r="K110" s="370"/>
      <c r="L110" s="373">
        <f>G110*J110</f>
        <v>-7000.4360664564883</v>
      </c>
      <c r="M110" s="370"/>
      <c r="N110" s="345"/>
    </row>
    <row r="111" spans="2:15">
      <c r="B111" s="379"/>
      <c r="C111" s="380"/>
      <c r="D111" s="423"/>
      <c r="E111" s="370"/>
      <c r="F111" s="370"/>
      <c r="G111" s="388"/>
      <c r="H111" s="606"/>
      <c r="I111" s="374"/>
      <c r="J111" s="370"/>
      <c r="K111" s="370"/>
      <c r="L111" s="388"/>
      <c r="M111" s="370"/>
      <c r="N111" s="345"/>
    </row>
    <row r="112" spans="2:15">
      <c r="B112" s="379">
        <f>+B110+1</f>
        <v>57</v>
      </c>
      <c r="C112" s="380"/>
      <c r="D112" s="423" t="s">
        <v>94</v>
      </c>
      <c r="E112" s="370" t="s">
        <v>499</v>
      </c>
      <c r="F112" s="370"/>
      <c r="G112" s="388"/>
      <c r="H112" s="606"/>
      <c r="I112" s="374"/>
      <c r="J112" s="370"/>
      <c r="K112" s="370"/>
      <c r="L112" s="388"/>
      <c r="M112" s="370"/>
      <c r="N112" s="345"/>
    </row>
    <row r="113" spans="2:14">
      <c r="B113" s="379">
        <f t="shared" ref="B113:B120" si="5">+B112+1</f>
        <v>58</v>
      </c>
      <c r="C113" s="432"/>
      <c r="D113" s="423" t="s">
        <v>205</v>
      </c>
      <c r="E113" s="345" t="str">
        <f>"(1/8 * ln "&amp;B149&amp;")"</f>
        <v>(1/8 * ln 78)</v>
      </c>
      <c r="F113" s="345"/>
      <c r="G113" s="388">
        <f>+G149/8</f>
        <v>2621000</v>
      </c>
      <c r="H113" s="370"/>
      <c r="I113" s="374"/>
      <c r="J113" s="433"/>
      <c r="K113" s="370"/>
      <c r="L113" s="388">
        <f>+L149/8</f>
        <v>2532473.4484573235</v>
      </c>
      <c r="M113" s="365"/>
      <c r="N113" s="345"/>
    </row>
    <row r="114" spans="2:14">
      <c r="B114" s="379">
        <f t="shared" si="5"/>
        <v>59</v>
      </c>
      <c r="C114" s="432"/>
      <c r="D114" s="423" t="s">
        <v>336</v>
      </c>
      <c r="E114" s="370" t="s">
        <v>543</v>
      </c>
      <c r="F114" s="370"/>
      <c r="G114" s="388">
        <f>'WS C  - Working Capital'!I17</f>
        <v>1489000</v>
      </c>
      <c r="H114" s="606"/>
      <c r="I114" s="374" t="s">
        <v>121</v>
      </c>
      <c r="J114" s="375">
        <f>L231</f>
        <v>0.96622413142209973</v>
      </c>
      <c r="K114" s="370"/>
      <c r="L114" s="388">
        <f>+J114*G114</f>
        <v>1438707.7316875064</v>
      </c>
      <c r="M114" s="370"/>
      <c r="N114" s="345"/>
    </row>
    <row r="115" spans="2:14">
      <c r="B115" s="379">
        <f t="shared" si="5"/>
        <v>60</v>
      </c>
      <c r="C115" s="432"/>
      <c r="D115" s="423" t="s">
        <v>337</v>
      </c>
      <c r="E115" s="370" t="s">
        <v>544</v>
      </c>
      <c r="F115" s="370"/>
      <c r="G115" s="388">
        <f>'WS C  - Working Capital'!I19</f>
        <v>534000</v>
      </c>
      <c r="H115" s="606"/>
      <c r="I115" s="374" t="s">
        <v>133</v>
      </c>
      <c r="J115" s="375">
        <f>L241</f>
        <v>4.4874590169592873E-2</v>
      </c>
      <c r="K115" s="370"/>
      <c r="L115" s="388">
        <f>+J115*G115</f>
        <v>23963.031150562594</v>
      </c>
      <c r="M115" s="370"/>
      <c r="N115" s="345"/>
    </row>
    <row r="116" spans="2:14">
      <c r="B116" s="379">
        <f t="shared" si="5"/>
        <v>61</v>
      </c>
      <c r="C116" s="432"/>
      <c r="D116" s="423" t="s">
        <v>531</v>
      </c>
      <c r="E116" s="370" t="s">
        <v>545</v>
      </c>
      <c r="F116" s="370"/>
      <c r="G116" s="388">
        <f>'WS C  - Working Capital'!I21</f>
        <v>0</v>
      </c>
      <c r="H116" s="606"/>
      <c r="I116" s="374" t="s">
        <v>761</v>
      </c>
      <c r="J116" s="375">
        <f>J75</f>
        <v>0.17167155293342692</v>
      </c>
      <c r="K116" s="370"/>
      <c r="L116" s="388">
        <f>+J116*G116</f>
        <v>0</v>
      </c>
      <c r="M116" s="370"/>
      <c r="N116" s="345"/>
    </row>
    <row r="117" spans="2:14">
      <c r="B117" s="379">
        <f t="shared" si="5"/>
        <v>62</v>
      </c>
      <c r="C117" s="432"/>
      <c r="D117" s="423" t="s">
        <v>209</v>
      </c>
      <c r="E117" s="370" t="s">
        <v>574</v>
      </c>
      <c r="F117" s="370"/>
      <c r="G117" s="388">
        <f>'WS C  - Working Capital'!J31</f>
        <v>179248500</v>
      </c>
      <c r="H117" s="606"/>
      <c r="I117" s="374" t="s">
        <v>133</v>
      </c>
      <c r="J117" s="375">
        <f>L241</f>
        <v>4.4874590169592873E-2</v>
      </c>
      <c r="K117" s="370"/>
      <c r="L117" s="388">
        <f>+J117*G117</f>
        <v>8043702.9760142686</v>
      </c>
      <c r="M117" s="370"/>
      <c r="N117" s="345"/>
    </row>
    <row r="118" spans="2:14">
      <c r="B118" s="379">
        <f t="shared" si="5"/>
        <v>63</v>
      </c>
      <c r="C118" s="432"/>
      <c r="D118" s="423" t="s">
        <v>210</v>
      </c>
      <c r="E118" s="370" t="s">
        <v>573</v>
      </c>
      <c r="F118" s="370"/>
      <c r="G118" s="388">
        <f>'WS C  - Working Capital'!I31</f>
        <v>8784000</v>
      </c>
      <c r="H118" s="606"/>
      <c r="I118" s="374" t="s">
        <v>761</v>
      </c>
      <c r="J118" s="375">
        <f>J75</f>
        <v>0.17167155293342692</v>
      </c>
      <c r="K118" s="370"/>
      <c r="L118" s="388">
        <f>+G118*J118</f>
        <v>1507962.9209672222</v>
      </c>
      <c r="M118" s="370"/>
      <c r="N118" s="345"/>
    </row>
    <row r="119" spans="2:14">
      <c r="B119" s="379">
        <f t="shared" si="5"/>
        <v>64</v>
      </c>
      <c r="C119" s="432"/>
      <c r="D119" s="423" t="s">
        <v>306</v>
      </c>
      <c r="E119" s="370" t="s">
        <v>575</v>
      </c>
      <c r="F119" s="370"/>
      <c r="G119" s="388">
        <f>'WS C  - Working Capital'!G31</f>
        <v>0</v>
      </c>
      <c r="H119" s="606"/>
      <c r="I119" s="374" t="s">
        <v>130</v>
      </c>
      <c r="J119" s="375">
        <v>1</v>
      </c>
      <c r="K119" s="370"/>
      <c r="L119" s="388">
        <f>+G119*J119</f>
        <v>0</v>
      </c>
      <c r="M119" s="370"/>
      <c r="N119" s="345"/>
    </row>
    <row r="120" spans="2:14" ht="15.75" thickBot="1">
      <c r="B120" s="379">
        <f t="shared" si="5"/>
        <v>65</v>
      </c>
      <c r="C120" s="432"/>
      <c r="D120" s="423" t="s">
        <v>106</v>
      </c>
      <c r="E120" s="370" t="s">
        <v>576</v>
      </c>
      <c r="F120" s="370"/>
      <c r="G120" s="424">
        <f>'WS C  - Working Capital'!E31</f>
        <v>-175932500</v>
      </c>
      <c r="H120" s="388"/>
      <c r="I120" s="374" t="s">
        <v>128</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16744000</v>
      </c>
      <c r="H121" s="365"/>
      <c r="I121" s="380"/>
      <c r="J121" s="365"/>
      <c r="K121" s="365"/>
      <c r="L121" s="388">
        <f>SUM(L113:L120)</f>
        <v>13546810.108276881</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546</v>
      </c>
      <c r="F123" s="365"/>
      <c r="G123" s="388">
        <f>+'WS D IPP Credits'!C23</f>
        <v>-3581000</v>
      </c>
      <c r="H123" s="365"/>
      <c r="I123" s="496" t="s">
        <v>130</v>
      </c>
      <c r="J123" s="375">
        <v>1</v>
      </c>
      <c r="K123" s="370"/>
      <c r="L123" s="388">
        <f>+J123*G123</f>
        <v>-3581000</v>
      </c>
      <c r="M123" s="365"/>
      <c r="N123" s="345"/>
    </row>
    <row r="124" spans="2:14" ht="15.75" thickBot="1">
      <c r="B124" s="379"/>
      <c r="C124" s="345"/>
      <c r="D124" s="504"/>
      <c r="E124" s="370"/>
      <c r="F124" s="370"/>
      <c r="G124" s="424"/>
      <c r="H124" s="370"/>
      <c r="I124" s="374"/>
      <c r="J124" s="370"/>
      <c r="K124" s="370"/>
      <c r="L124" s="424"/>
      <c r="M124" s="370"/>
      <c r="N124" s="345"/>
    </row>
    <row r="125" spans="2:14" ht="15.75" thickBot="1">
      <c r="B125" s="379">
        <f>+B123+1</f>
        <v>68</v>
      </c>
      <c r="C125" s="380"/>
      <c r="D125" s="391" t="str">
        <f>"RATE BASE  (sum lns "&amp;B95&amp;", "&amp;B104&amp;", "&amp;B106&amp;", "&amp;B108&amp;", "&amp;B110&amp;", "&amp;B121&amp;", "&amp;B123&amp;")"</f>
        <v>RATE BASE  (sum lns 46, 53, 54, 55, 56, 66, 67)</v>
      </c>
      <c r="E125" s="370"/>
      <c r="F125" s="370"/>
      <c r="G125" s="1141">
        <f>+G121+G106+G104+G95+G123+G108+G110</f>
        <v>5043802000</v>
      </c>
      <c r="H125" s="370"/>
      <c r="I125" s="370"/>
      <c r="J125" s="433"/>
      <c r="K125" s="370"/>
      <c r="L125" s="1141">
        <f>+L121+L106+L104+L95+L123+L108+L110</f>
        <v>999769571.14057338</v>
      </c>
      <c r="M125" s="370"/>
      <c r="N125" s="345"/>
    </row>
    <row r="126" spans="2:14" ht="16.5" thickTop="1">
      <c r="B126" s="354"/>
      <c r="C126" s="395"/>
      <c r="D126" s="395"/>
      <c r="E126" s="395"/>
      <c r="F126" s="395"/>
      <c r="G126" s="395"/>
      <c r="H126" s="395"/>
      <c r="I126" s="344"/>
      <c r="J126" s="344"/>
      <c r="K126" s="344"/>
      <c r="L126" s="1099"/>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 xml:space="preserve">Indiana Michigan Power Company </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122</v>
      </c>
      <c r="E134" s="355" t="s">
        <v>123</v>
      </c>
      <c r="F134" s="355"/>
      <c r="G134" s="355" t="s">
        <v>124</v>
      </c>
      <c r="H134" s="370"/>
      <c r="I134" s="1447" t="s">
        <v>125</v>
      </c>
      <c r="J134" s="1451"/>
      <c r="K134" s="352"/>
      <c r="L134" s="356" t="s">
        <v>126</v>
      </c>
      <c r="M134" s="370"/>
      <c r="N134" s="452"/>
    </row>
    <row r="135" spans="2:15" ht="15.75">
      <c r="B135" s="447"/>
      <c r="D135" s="355"/>
      <c r="E135" s="355"/>
      <c r="F135" s="355"/>
      <c r="G135" s="355"/>
      <c r="H135" s="370"/>
      <c r="I135" s="352"/>
      <c r="J135" s="407"/>
      <c r="K135" s="352"/>
      <c r="M135" s="370"/>
      <c r="N135" s="453"/>
      <c r="O135" s="454"/>
    </row>
    <row r="136" spans="2:15" ht="15.75">
      <c r="B136" s="447"/>
      <c r="C136" s="355"/>
      <c r="D136" s="455" t="s">
        <v>102</v>
      </c>
      <c r="E136" s="409" t="str">
        <f>E62</f>
        <v>Data Sources</v>
      </c>
      <c r="F136" s="410"/>
      <c r="G136" s="352"/>
      <c r="H136" s="370"/>
      <c r="I136" s="352"/>
      <c r="J136" s="355"/>
      <c r="K136" s="352"/>
      <c r="L136" s="409" t="str">
        <f>L62</f>
        <v>Total</v>
      </c>
      <c r="M136" s="345"/>
      <c r="N136" s="453"/>
      <c r="O136" s="454"/>
    </row>
    <row r="137" spans="2:15" ht="15.75">
      <c r="B137" s="447"/>
      <c r="C137" s="362"/>
      <c r="D137" s="412" t="s">
        <v>103</v>
      </c>
      <c r="E137" s="456" t="str">
        <f>E63</f>
        <v>(See "General Notes")</v>
      </c>
      <c r="F137" s="352"/>
      <c r="G137" s="456" t="str">
        <f>G63</f>
        <v>TO Total</v>
      </c>
      <c r="H137" s="457"/>
      <c r="I137" s="1449" t="str">
        <f>I63</f>
        <v>Allocator</v>
      </c>
      <c r="J137" s="1450"/>
      <c r="K137" s="414"/>
      <c r="L137" s="456" t="str">
        <f>L63</f>
        <v>Transmission</v>
      </c>
      <c r="M137" s="370"/>
      <c r="N137" s="453"/>
      <c r="O137" s="454"/>
    </row>
    <row r="138" spans="2:15" ht="15.7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127</v>
      </c>
      <c r="E140" s="352" t="s">
        <v>10</v>
      </c>
      <c r="F140" s="352"/>
      <c r="G140" s="865">
        <v>964376000</v>
      </c>
      <c r="H140" s="370"/>
      <c r="I140" s="383"/>
      <c r="J140" s="375"/>
      <c r="K140" s="352"/>
      <c r="L140" s="388"/>
      <c r="M140" s="370"/>
      <c r="N140" s="345"/>
    </row>
    <row r="141" spans="2:15">
      <c r="B141" s="354">
        <f>+B140+1</f>
        <v>70</v>
      </c>
      <c r="C141" s="355"/>
      <c r="D141" s="391" t="s">
        <v>131</v>
      </c>
      <c r="E141" s="352" t="s">
        <v>11</v>
      </c>
      <c r="F141" s="370"/>
      <c r="G141" s="865">
        <v>74149000</v>
      </c>
      <c r="H141" s="370"/>
      <c r="I141" s="383"/>
      <c r="J141" s="375"/>
      <c r="K141" s="352"/>
      <c r="L141" s="388"/>
      <c r="M141" s="370"/>
      <c r="N141" s="345"/>
    </row>
    <row r="142" spans="2:15">
      <c r="B142" s="354">
        <f t="shared" ref="B142:B147" si="6">+B141+1</f>
        <v>71</v>
      </c>
      <c r="C142" s="355"/>
      <c r="D142" s="391" t="s">
        <v>247</v>
      </c>
      <c r="E142" s="352" t="s">
        <v>203</v>
      </c>
      <c r="F142" s="370"/>
      <c r="G142" s="865">
        <v>39013000</v>
      </c>
      <c r="H142" s="370"/>
      <c r="I142" s="374"/>
      <c r="J142" s="375"/>
      <c r="K142" s="370"/>
      <c r="L142" s="388"/>
      <c r="M142" s="370"/>
      <c r="N142" s="345"/>
    </row>
    <row r="143" spans="2:15">
      <c r="B143" s="354">
        <f t="shared" si="6"/>
        <v>72</v>
      </c>
      <c r="C143" s="355"/>
      <c r="D143" s="391" t="s">
        <v>248</v>
      </c>
      <c r="E143" s="352" t="s">
        <v>418</v>
      </c>
      <c r="F143" s="370"/>
      <c r="G143" s="865">
        <v>4690000</v>
      </c>
      <c r="H143" s="370"/>
      <c r="I143" s="374"/>
      <c r="J143" s="375"/>
      <c r="K143" s="370"/>
      <c r="L143" s="388"/>
      <c r="M143" s="370"/>
      <c r="N143" s="345"/>
    </row>
    <row r="144" spans="2:15" ht="15.75" thickBot="1">
      <c r="B144" s="354">
        <f t="shared" si="6"/>
        <v>73</v>
      </c>
      <c r="C144" s="355"/>
      <c r="D144" s="391" t="s">
        <v>136</v>
      </c>
      <c r="E144" s="352" t="s">
        <v>417</v>
      </c>
      <c r="F144" s="370"/>
      <c r="G144" s="866">
        <v>219349000</v>
      </c>
      <c r="H144" s="388"/>
      <c r="I144" s="395"/>
      <c r="J144" s="395"/>
      <c r="K144" s="357"/>
      <c r="L144" s="357"/>
      <c r="M144" s="365"/>
      <c r="N144" s="370"/>
      <c r="O144" s="352"/>
    </row>
    <row r="145" spans="2:15">
      <c r="B145" s="354">
        <f t="shared" si="6"/>
        <v>74</v>
      </c>
      <c r="C145" s="355"/>
      <c r="D145" s="391" t="s">
        <v>249</v>
      </c>
      <c r="E145" s="370" t="str">
        <f>"(sum lns "&amp;B140&amp;"  to "&amp;B144&amp;")"</f>
        <v>(sum lns 69  to 73)</v>
      </c>
      <c r="F145" s="370"/>
      <c r="G145" s="388">
        <f>SUM(G140:G144)</f>
        <v>1301577000</v>
      </c>
      <c r="H145" s="388"/>
      <c r="I145" s="395"/>
      <c r="J145" s="395"/>
      <c r="K145" s="357"/>
      <c r="L145" s="357"/>
      <c r="M145" s="365"/>
      <c r="N145" s="370"/>
      <c r="O145" s="352"/>
    </row>
    <row r="146" spans="2:15">
      <c r="B146" s="354">
        <f t="shared" si="6"/>
        <v>75</v>
      </c>
      <c r="C146" s="355"/>
      <c r="D146" s="391" t="s">
        <v>329</v>
      </c>
      <c r="E146" s="370" t="str">
        <f>"(Note G) (Worksheet F, ln "&amp;'WS F Misc Exp'!A33&amp;".C)"</f>
        <v>(Note G) (Worksheet F, ln 14.C)</v>
      </c>
      <c r="F146" s="370"/>
      <c r="G146" s="388">
        <f>'WS F Misc Exp'!D33</f>
        <v>7335000</v>
      </c>
      <c r="H146" s="388"/>
      <c r="I146" s="395"/>
      <c r="J146" s="395"/>
      <c r="K146" s="357"/>
      <c r="L146" s="357"/>
      <c r="M146" s="365"/>
      <c r="N146" s="370"/>
      <c r="O146" s="352"/>
    </row>
    <row r="147" spans="2:15">
      <c r="B147" s="354">
        <f t="shared" si="6"/>
        <v>76</v>
      </c>
      <c r="C147" s="355"/>
      <c r="D147" s="391" t="s">
        <v>23</v>
      </c>
      <c r="E147" s="370" t="s">
        <v>101</v>
      </c>
      <c r="F147" s="370"/>
      <c r="G147" s="865">
        <v>191046000</v>
      </c>
      <c r="H147" s="388"/>
      <c r="I147" s="395"/>
      <c r="J147" s="395"/>
      <c r="K147" s="357"/>
      <c r="L147" s="357"/>
      <c r="M147" s="365"/>
      <c r="N147" s="370"/>
      <c r="O147" s="352"/>
    </row>
    <row r="148" spans="2:15" ht="15.75" thickBot="1">
      <c r="B148" s="354">
        <f>+B147+1</f>
        <v>77</v>
      </c>
      <c r="C148" s="380"/>
      <c r="D148" s="391" t="s">
        <v>333</v>
      </c>
      <c r="E148" s="370" t="s">
        <v>481</v>
      </c>
      <c r="F148" s="370"/>
      <c r="G148" s="424">
        <f>+'WS F Misc Exp'!D21</f>
        <v>0</v>
      </c>
      <c r="H148" s="388"/>
      <c r="I148" s="441"/>
      <c r="J148" s="441"/>
      <c r="K148" s="357"/>
      <c r="L148" s="357"/>
      <c r="M148" s="365"/>
      <c r="N148" s="370"/>
      <c r="O148" s="352"/>
    </row>
    <row r="149" spans="2:15">
      <c r="B149" s="354">
        <f>+B148+1</f>
        <v>78</v>
      </c>
      <c r="C149" s="355"/>
      <c r="D149" s="391" t="s">
        <v>385</v>
      </c>
      <c r="E149" s="352" t="str">
        <f>"(lns "&amp;B144&amp;" - "&amp;B146&amp;" - "&amp;B147&amp;" - "&amp;B148&amp;")"</f>
        <v>(lns 73 - 75 - 76 - 77)</v>
      </c>
      <c r="F149" s="391"/>
      <c r="G149" s="388">
        <f>G144-G146-G147-G148</f>
        <v>20968000</v>
      </c>
      <c r="H149" s="370"/>
      <c r="I149" s="383" t="s">
        <v>121</v>
      </c>
      <c r="J149" s="375">
        <f>L231</f>
        <v>0.96622413142209973</v>
      </c>
      <c r="K149" s="370"/>
      <c r="L149" s="388">
        <f>+J149*G149</f>
        <v>20259787.587658588</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752</v>
      </c>
      <c r="F151" s="370"/>
      <c r="G151" s="865">
        <v>122809000</v>
      </c>
      <c r="H151" s="388"/>
      <c r="I151" s="436"/>
      <c r="J151" s="436"/>
      <c r="K151" s="352"/>
      <c r="L151" s="435"/>
      <c r="M151" s="370"/>
      <c r="N151" s="370"/>
      <c r="O151" s="352"/>
    </row>
    <row r="152" spans="2:15">
      <c r="B152" s="354">
        <f t="shared" ref="B152:B165" si="7">+B151+1</f>
        <v>80</v>
      </c>
      <c r="C152" s="355"/>
      <c r="D152" s="391" t="s">
        <v>331</v>
      </c>
      <c r="E152" s="352" t="s">
        <v>419</v>
      </c>
      <c r="F152" s="352"/>
      <c r="G152" s="865">
        <v>4334000</v>
      </c>
      <c r="H152" s="388"/>
      <c r="I152" s="436"/>
      <c r="J152" s="346"/>
      <c r="K152" s="352"/>
      <c r="L152" s="435"/>
      <c r="M152" s="439"/>
      <c r="N152" s="370"/>
      <c r="O152" s="352"/>
    </row>
    <row r="153" spans="2:15">
      <c r="B153" s="354">
        <f t="shared" si="7"/>
        <v>81</v>
      </c>
      <c r="C153" s="355"/>
      <c r="D153" s="1268" t="s">
        <v>863</v>
      </c>
      <c r="E153" s="370" t="str">
        <f>"PBOP Worksheet O Line "&amp;'WS O - PBOP'!A37&amp;" &amp; "&amp;'WS O - PBOP'!A39&amp;", (Note K)"</f>
        <v>PBOP Worksheet O Line 9 &amp; 10, (Note K)</v>
      </c>
      <c r="F153" s="352"/>
      <c r="G153" s="1269">
        <f>'WS O - PBOP'!F37+'WS O - PBOP'!F39</f>
        <v>-9580000</v>
      </c>
      <c r="H153" s="388"/>
      <c r="I153" s="436"/>
      <c r="J153" s="346"/>
      <c r="K153" s="352"/>
      <c r="L153" s="435"/>
      <c r="M153" s="439"/>
      <c r="N153" s="370"/>
      <c r="O153" s="352"/>
    </row>
    <row r="154" spans="2:15">
      <c r="B154" s="354">
        <f t="shared" si="7"/>
        <v>82</v>
      </c>
      <c r="C154" s="355"/>
      <c r="D154" s="391" t="s">
        <v>864</v>
      </c>
      <c r="E154" s="370" t="str">
        <f>"PBOP Worksheet O  Line "&amp;'WS O - PBOP'!A41&amp;", (Note K)"</f>
        <v>PBOP Worksheet O  Line 11, (Note K)</v>
      </c>
      <c r="F154" s="352"/>
      <c r="G154" s="1269">
        <f>'WS O - PBOP'!F41</f>
        <v>0</v>
      </c>
      <c r="H154" s="388"/>
      <c r="I154" s="436"/>
      <c r="J154" s="346"/>
      <c r="K154" s="352"/>
      <c r="L154" s="435"/>
      <c r="M154" s="439"/>
      <c r="N154" s="370"/>
      <c r="O154" s="352"/>
    </row>
    <row r="155" spans="2:15">
      <c r="B155" s="354">
        <f t="shared" si="7"/>
        <v>83</v>
      </c>
      <c r="C155" s="355"/>
      <c r="D155" s="391" t="s">
        <v>865</v>
      </c>
      <c r="E155" s="370" t="str">
        <f>"PBOP Worksheet O Line "&amp;'WS O - PBOP'!A45&amp;", (Note K)"</f>
        <v>PBOP Worksheet O Line 13, (Note K)</v>
      </c>
      <c r="F155" s="352"/>
      <c r="G155" s="1269">
        <f>'WS O - PBOP'!F45</f>
        <v>-2429000</v>
      </c>
      <c r="H155" s="388"/>
      <c r="I155" s="436"/>
      <c r="J155" s="346"/>
      <c r="K155" s="352"/>
      <c r="L155" s="435"/>
      <c r="M155" s="439"/>
      <c r="N155" s="370"/>
      <c r="O155" s="352"/>
    </row>
    <row r="156" spans="2:15">
      <c r="B156" s="354">
        <f t="shared" si="7"/>
        <v>84</v>
      </c>
      <c r="C156" s="355"/>
      <c r="D156" s="346" t="s">
        <v>330</v>
      </c>
      <c r="E156" s="352" t="s">
        <v>97</v>
      </c>
      <c r="F156" s="370"/>
      <c r="G156" s="865">
        <v>11576000</v>
      </c>
      <c r="H156" s="388"/>
      <c r="I156" s="436"/>
      <c r="J156" s="461"/>
      <c r="K156" s="352"/>
      <c r="L156" s="435"/>
      <c r="M156" s="370"/>
      <c r="N156" s="370"/>
      <c r="O156" s="352"/>
    </row>
    <row r="157" spans="2:15">
      <c r="B157" s="354">
        <f t="shared" si="7"/>
        <v>85</v>
      </c>
      <c r="C157" s="355"/>
      <c r="D157" s="391" t="s">
        <v>109</v>
      </c>
      <c r="E157" s="352" t="s">
        <v>98</v>
      </c>
      <c r="F157" s="370"/>
      <c r="G157" s="865">
        <v>79000</v>
      </c>
      <c r="H157" s="388"/>
      <c r="I157" s="436"/>
      <c r="J157" s="436"/>
      <c r="K157" s="352"/>
      <c r="L157" s="435"/>
      <c r="M157" s="370"/>
      <c r="N157" s="370"/>
      <c r="O157" s="352"/>
    </row>
    <row r="158" spans="2:15" ht="15.75" thickBot="1">
      <c r="B158" s="354">
        <f t="shared" si="7"/>
        <v>86</v>
      </c>
      <c r="C158" s="355"/>
      <c r="D158" s="391" t="s">
        <v>332</v>
      </c>
      <c r="E158" s="352" t="s">
        <v>99</v>
      </c>
      <c r="F158" s="370"/>
      <c r="G158" s="866">
        <v>6376000</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112453000</v>
      </c>
      <c r="H159" s="388"/>
      <c r="I159" s="383" t="s">
        <v>133</v>
      </c>
      <c r="J159" s="375">
        <f>L241</f>
        <v>4.4874590169592873E-2</v>
      </c>
      <c r="K159" s="352"/>
      <c r="L159" s="435">
        <f>+J159*G159</f>
        <v>5046282.288341227</v>
      </c>
      <c r="M159" s="370"/>
      <c r="N159" s="370"/>
      <c r="O159" s="352"/>
    </row>
    <row r="160" spans="2:15">
      <c r="B160" s="354">
        <f t="shared" si="7"/>
        <v>88</v>
      </c>
      <c r="C160" s="380"/>
      <c r="D160" s="391" t="s">
        <v>198</v>
      </c>
      <c r="E160" s="370" t="str">
        <f>"(ln "&amp;B152&amp;")"</f>
        <v>(ln 80)</v>
      </c>
      <c r="F160" s="370"/>
      <c r="G160" s="388">
        <f>+G152</f>
        <v>4334000</v>
      </c>
      <c r="H160" s="388"/>
      <c r="I160" s="383" t="s">
        <v>761</v>
      </c>
      <c r="J160" s="375">
        <f>J75</f>
        <v>0.17167155293342692</v>
      </c>
      <c r="K160" s="370"/>
      <c r="L160" s="388">
        <f>+J160*G160</f>
        <v>744024.51041347231</v>
      </c>
      <c r="M160" s="370"/>
      <c r="N160" s="370"/>
      <c r="O160" s="352"/>
    </row>
    <row r="161" spans="2:15">
      <c r="B161" s="354">
        <f t="shared" si="7"/>
        <v>89</v>
      </c>
      <c r="C161" s="355"/>
      <c r="D161" s="391" t="s">
        <v>231</v>
      </c>
      <c r="E161" s="370" t="str">
        <f>"Worksheet F ln "&amp;'WS F Misc Exp'!A41&amp;".(E) (Note L)"</f>
        <v>Worksheet F ln 20.(E) (Note L)</v>
      </c>
      <c r="F161" s="370"/>
      <c r="G161" s="388">
        <f>+'WS F Misc Exp'!F41</f>
        <v>29000</v>
      </c>
      <c r="H161" s="388"/>
      <c r="I161" s="383" t="s">
        <v>121</v>
      </c>
      <c r="J161" s="375">
        <f>L231</f>
        <v>0.96622413142209973</v>
      </c>
      <c r="K161" s="352"/>
      <c r="L161" s="435">
        <f>J161*G161</f>
        <v>28020.499811240894</v>
      </c>
      <c r="M161" s="370"/>
      <c r="N161" s="370"/>
      <c r="O161" s="352"/>
    </row>
    <row r="162" spans="2:15">
      <c r="B162" s="354">
        <f t="shared" si="7"/>
        <v>90</v>
      </c>
      <c r="C162" s="355"/>
      <c r="D162" s="391" t="s">
        <v>241</v>
      </c>
      <c r="E162" s="370" t="str">
        <f>"Worksheet F ln "&amp;'WS F Misc Exp'!A61&amp;".(E) (Note L)"</f>
        <v>Worksheet F ln 37.(E) (Note L)</v>
      </c>
      <c r="F162" s="370"/>
      <c r="G162" s="373">
        <f>+'WS F Misc Exp'!F61</f>
        <v>0</v>
      </c>
      <c r="H162" s="370"/>
      <c r="I162" s="374" t="s">
        <v>121</v>
      </c>
      <c r="J162" s="375">
        <f>L231</f>
        <v>0.96622413142209973</v>
      </c>
      <c r="K162" s="352"/>
      <c r="L162" s="435">
        <f>+J162*G162</f>
        <v>0</v>
      </c>
      <c r="M162" s="370"/>
      <c r="N162" s="370"/>
      <c r="O162" s="352"/>
    </row>
    <row r="163" spans="2:15">
      <c r="B163" s="354">
        <f t="shared" si="7"/>
        <v>91</v>
      </c>
      <c r="C163" s="355"/>
      <c r="D163" s="391" t="s">
        <v>242</v>
      </c>
      <c r="E163" s="370" t="str">
        <f>"Worksheet F ln "&amp;'WS F Misc Exp'!A71&amp;".(E) (Note L)"</f>
        <v>Worksheet F ln 43.(E) (Note L)</v>
      </c>
      <c r="F163" s="370"/>
      <c r="G163" s="373">
        <f>+'WS F Misc Exp'!F71</f>
        <v>1168000</v>
      </c>
      <c r="H163" s="462"/>
      <c r="I163" s="374" t="s">
        <v>130</v>
      </c>
      <c r="J163" s="375">
        <v>1</v>
      </c>
      <c r="K163" s="352"/>
      <c r="L163" s="463">
        <f>+J163*G163</f>
        <v>1168000</v>
      </c>
      <c r="M163" s="370"/>
      <c r="N163" s="370"/>
      <c r="O163" s="352"/>
    </row>
    <row r="164" spans="2:15" ht="15.75" thickBot="1">
      <c r="B164" s="354">
        <f t="shared" si="7"/>
        <v>92</v>
      </c>
      <c r="C164" s="355"/>
      <c r="D164" s="391" t="s">
        <v>866</v>
      </c>
      <c r="E164" s="370" t="s">
        <v>868</v>
      </c>
      <c r="F164" s="370"/>
      <c r="G164" s="424">
        <f>'WS O - PBOP'!E23</f>
        <v>-33621601</v>
      </c>
      <c r="H164" s="462"/>
      <c r="I164" s="383" t="s">
        <v>133</v>
      </c>
      <c r="J164" s="375">
        <f>L241</f>
        <v>4.4874590169592873E-2</v>
      </c>
      <c r="K164" s="352"/>
      <c r="L164" s="445">
        <f>+J164*G164</f>
        <v>-1508755.565720574</v>
      </c>
      <c r="M164" s="370"/>
      <c r="N164" s="370"/>
      <c r="O164" s="352"/>
    </row>
    <row r="165" spans="2:15">
      <c r="B165" s="354">
        <f t="shared" si="7"/>
        <v>93</v>
      </c>
      <c r="C165" s="355"/>
      <c r="D165" s="346" t="s">
        <v>111</v>
      </c>
      <c r="E165" s="370" t="str">
        <f>"(sum lns "&amp;B159&amp;"  to "&amp;B164&amp;")"</f>
        <v>(sum lns 87  to 92)</v>
      </c>
      <c r="F165" s="370"/>
      <c r="G165" s="435">
        <f>SUM(G159:G164)</f>
        <v>84362399</v>
      </c>
      <c r="H165" s="388"/>
      <c r="I165" s="383"/>
      <c r="J165" s="436"/>
      <c r="K165" s="352"/>
      <c r="L165" s="435">
        <f>SUM(L159:L164)</f>
        <v>5477571.732845366</v>
      </c>
      <c r="M165" s="370"/>
      <c r="N165" s="388"/>
      <c r="O165" s="352"/>
    </row>
    <row r="166" spans="2:15" ht="15.75" thickBot="1">
      <c r="B166" s="354"/>
      <c r="C166" s="355"/>
      <c r="D166" s="391"/>
      <c r="E166" s="370"/>
      <c r="F166" s="370"/>
      <c r="G166" s="424"/>
      <c r="H166" s="370"/>
      <c r="I166" s="383"/>
      <c r="J166" s="436"/>
      <c r="K166" s="352"/>
      <c r="L166" s="445"/>
      <c r="M166" s="370"/>
      <c r="N166" s="370"/>
      <c r="O166" s="352"/>
    </row>
    <row r="167" spans="2:15">
      <c r="B167" s="354">
        <f>+B165+1</f>
        <v>94</v>
      </c>
      <c r="C167" s="380"/>
      <c r="D167" s="391" t="s">
        <v>415</v>
      </c>
      <c r="E167" s="370" t="str">
        <f>"(ln "&amp;B149&amp;" + ln "&amp;B165&amp;")"</f>
        <v>(ln 78 + ln 93)</v>
      </c>
      <c r="F167" s="370"/>
      <c r="G167" s="388">
        <f>+G149+G165</f>
        <v>105330399</v>
      </c>
      <c r="H167" s="388"/>
      <c r="I167" s="374"/>
      <c r="J167" s="370"/>
      <c r="K167" s="370"/>
      <c r="L167" s="388">
        <f>L149+L165</f>
        <v>25737359.320503954</v>
      </c>
      <c r="M167" s="370"/>
      <c r="N167" s="370"/>
      <c r="O167" s="352"/>
    </row>
    <row r="168" spans="2:15" ht="15.75" thickBot="1">
      <c r="B168" s="354">
        <f>+B167+1</f>
        <v>95</v>
      </c>
      <c r="C168" s="380"/>
      <c r="D168" s="391" t="s">
        <v>487</v>
      </c>
      <c r="E168" s="391"/>
      <c r="F168" s="370"/>
      <c r="G168" s="866">
        <v>0</v>
      </c>
      <c r="H168" s="388"/>
      <c r="I168" s="383" t="s">
        <v>130</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105330399</v>
      </c>
      <c r="H169" s="388"/>
      <c r="I169" s="374"/>
      <c r="J169" s="370"/>
      <c r="K169" s="370"/>
      <c r="L169" s="388">
        <f>+L167+L168</f>
        <v>25737359.320503954</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114</v>
      </c>
      <c r="E171" s="374"/>
      <c r="F171" s="374"/>
      <c r="G171" s="435"/>
      <c r="H171" s="370"/>
      <c r="I171" s="383"/>
      <c r="J171" s="352"/>
      <c r="K171" s="352"/>
      <c r="L171" s="435"/>
      <c r="M171" s="370"/>
      <c r="N171" s="370"/>
      <c r="O171" s="352"/>
    </row>
    <row r="172" spans="2:15">
      <c r="B172" s="354">
        <f t="shared" ref="B172:B177" si="8">+B171+1</f>
        <v>98</v>
      </c>
      <c r="C172" s="355"/>
      <c r="D172" s="346" t="s">
        <v>127</v>
      </c>
      <c r="E172" s="369" t="s">
        <v>425</v>
      </c>
      <c r="F172" s="374"/>
      <c r="G172" s="865">
        <v>341885000</v>
      </c>
      <c r="H172" s="370"/>
      <c r="I172" s="383" t="s">
        <v>128</v>
      </c>
      <c r="J172" s="375">
        <v>0</v>
      </c>
      <c r="K172" s="352"/>
      <c r="L172" s="388">
        <f>+G172*J172</f>
        <v>0</v>
      </c>
      <c r="M172" s="370"/>
      <c r="N172" s="352"/>
      <c r="O172" s="352"/>
    </row>
    <row r="173" spans="2:15">
      <c r="B173" s="354">
        <f t="shared" si="8"/>
        <v>99</v>
      </c>
      <c r="C173" s="355"/>
      <c r="D173" s="391" t="s">
        <v>131</v>
      </c>
      <c r="E173" s="369" t="s">
        <v>424</v>
      </c>
      <c r="F173" s="374"/>
      <c r="G173" s="865">
        <v>100959000</v>
      </c>
      <c r="H173" s="370"/>
      <c r="I173" s="383" t="s">
        <v>128</v>
      </c>
      <c r="J173" s="375">
        <v>0</v>
      </c>
      <c r="K173" s="352"/>
      <c r="L173" s="388">
        <f>+G173*J173</f>
        <v>0</v>
      </c>
      <c r="M173" s="370"/>
      <c r="N173" s="370"/>
      <c r="O173" s="352"/>
    </row>
    <row r="174" spans="2:15">
      <c r="B174" s="354">
        <f t="shared" si="8"/>
        <v>100</v>
      </c>
      <c r="C174" s="355"/>
      <c r="D174" s="418" t="str">
        <f>+D144</f>
        <v xml:space="preserve">  Transmission </v>
      </c>
      <c r="E174" s="369" t="s">
        <v>420</v>
      </c>
      <c r="F174" s="464"/>
      <c r="G174" s="865">
        <v>42690000</v>
      </c>
      <c r="H174" s="465"/>
      <c r="I174" s="466" t="s">
        <v>26</v>
      </c>
      <c r="J174" s="375">
        <f>J80</f>
        <v>0.97496410735933603</v>
      </c>
      <c r="K174" s="467"/>
      <c r="L174" s="468">
        <f>J174*G174</f>
        <v>41621217.743170053</v>
      </c>
      <c r="M174" s="421"/>
      <c r="N174" s="370"/>
      <c r="O174" s="352"/>
    </row>
    <row r="175" spans="2:15">
      <c r="B175" s="354">
        <f>+B174+1</f>
        <v>101</v>
      </c>
      <c r="C175" s="355"/>
      <c r="D175" s="416" t="s">
        <v>137</v>
      </c>
      <c r="E175" s="464" t="s">
        <v>421</v>
      </c>
      <c r="F175" s="352"/>
      <c r="G175" s="865">
        <v>6770000</v>
      </c>
      <c r="H175" s="388"/>
      <c r="I175" s="383" t="s">
        <v>133</v>
      </c>
      <c r="J175" s="375">
        <f>L241</f>
        <v>4.4874590169592873E-2</v>
      </c>
      <c r="K175" s="352"/>
      <c r="L175" s="435">
        <f>+J175*G175</f>
        <v>303800.97544814373</v>
      </c>
      <c r="M175" s="370"/>
      <c r="N175" s="370"/>
      <c r="O175" s="352"/>
    </row>
    <row r="176" spans="2:15" ht="15.75" thickBot="1">
      <c r="B176" s="354">
        <f t="shared" si="8"/>
        <v>102</v>
      </c>
      <c r="C176" s="355"/>
      <c r="D176" s="416" t="s">
        <v>138</v>
      </c>
      <c r="E176" s="419" t="s">
        <v>422</v>
      </c>
      <c r="F176" s="370"/>
      <c r="G176" s="866">
        <v>48536000</v>
      </c>
      <c r="H176" s="388"/>
      <c r="I176" s="383" t="s">
        <v>133</v>
      </c>
      <c r="J176" s="375">
        <f>L241</f>
        <v>4.4874590169592873E-2</v>
      </c>
      <c r="K176" s="352"/>
      <c r="L176" s="445">
        <f>+J176*G176</f>
        <v>2178033.1084713596</v>
      </c>
      <c r="M176" s="370"/>
      <c r="N176" s="370"/>
      <c r="O176" s="352"/>
    </row>
    <row r="177" spans="2:15">
      <c r="B177" s="354">
        <f t="shared" si="8"/>
        <v>103</v>
      </c>
      <c r="C177" s="355"/>
      <c r="D177" s="416" t="s">
        <v>302</v>
      </c>
      <c r="E177" s="1444" t="str">
        <f>"(Ln "&amp;B172&amp;"+"&amp;B173&amp;"+
"&amp;B174&amp;"+"&amp;B175&amp;"+"&amp;B176&amp;")"</f>
        <v>(Ln 98+99+
100+101+102)</v>
      </c>
      <c r="F177" s="352"/>
      <c r="G177" s="388">
        <f>+G172+G173+G174+G175+G176</f>
        <v>540840000</v>
      </c>
      <c r="H177" s="370"/>
      <c r="I177" s="383"/>
      <c r="J177" s="352"/>
      <c r="K177" s="352"/>
      <c r="L177" s="388">
        <f>+L172+L173+L174+L175+L176</f>
        <v>44103051.827089556</v>
      </c>
      <c r="M177" s="370"/>
      <c r="N177" s="370"/>
      <c r="O177" s="352"/>
    </row>
    <row r="178" spans="2:15">
      <c r="B178" s="354"/>
      <c r="C178" s="355"/>
      <c r="D178" s="416"/>
      <c r="E178" s="1445"/>
      <c r="F178" s="352"/>
      <c r="G178" s="435"/>
      <c r="H178" s="370"/>
      <c r="I178" s="383"/>
      <c r="J178" s="352"/>
      <c r="K178" s="352"/>
      <c r="L178" s="435"/>
      <c r="M178" s="370"/>
      <c r="N178" s="370"/>
      <c r="O178" s="352"/>
    </row>
    <row r="179" spans="2:15">
      <c r="B179" s="354">
        <f>+B177+1</f>
        <v>104</v>
      </c>
      <c r="C179" s="355"/>
      <c r="D179" s="416" t="s">
        <v>33</v>
      </c>
      <c r="E179" s="345" t="s">
        <v>423</v>
      </c>
      <c r="G179" s="435"/>
      <c r="H179" s="370"/>
      <c r="I179" s="383"/>
      <c r="J179" s="352"/>
      <c r="K179" s="352"/>
      <c r="L179" s="435"/>
      <c r="M179" s="370"/>
      <c r="N179" s="448"/>
      <c r="O179" s="352"/>
    </row>
    <row r="180" spans="2:15">
      <c r="B180" s="354">
        <f t="shared" ref="B180:B185" si="9">+B179+1</f>
        <v>105</v>
      </c>
      <c r="C180" s="355"/>
      <c r="D180" s="416" t="s">
        <v>139</v>
      </c>
      <c r="G180" s="435"/>
      <c r="H180" s="370"/>
      <c r="I180" s="383"/>
      <c r="K180" s="352"/>
      <c r="L180" s="435"/>
      <c r="M180" s="370"/>
      <c r="N180" s="370"/>
      <c r="O180" s="352"/>
    </row>
    <row r="181" spans="2:15">
      <c r="B181" s="354">
        <f t="shared" si="9"/>
        <v>106</v>
      </c>
      <c r="C181" s="355"/>
      <c r="D181" s="416" t="s">
        <v>140</v>
      </c>
      <c r="E181" s="370" t="str">
        <f>"Worksheet H ln "&amp;'WS H Other Taxes'!A42&amp;"."&amp;'WS H Other Taxes'!I10&amp;""</f>
        <v>Worksheet H ln 23.(D)</v>
      </c>
      <c r="F181" s="352"/>
      <c r="G181" s="388">
        <f>+'WS H Other Taxes'!I42</f>
        <v>14133000</v>
      </c>
      <c r="H181" s="388"/>
      <c r="I181" s="383" t="s">
        <v>133</v>
      </c>
      <c r="J181" s="375">
        <f>L241</f>
        <v>4.4874590169592873E-2</v>
      </c>
      <c r="K181" s="352"/>
      <c r="L181" s="435">
        <f>+J181*G181</f>
        <v>634212.58286685613</v>
      </c>
      <c r="M181" s="440"/>
      <c r="N181" s="370"/>
      <c r="O181" s="352"/>
    </row>
    <row r="182" spans="2:15">
      <c r="B182" s="354">
        <f t="shared" si="9"/>
        <v>107</v>
      </c>
      <c r="C182" s="355"/>
      <c r="D182" s="416" t="s">
        <v>141</v>
      </c>
      <c r="E182" s="370" t="s">
        <v>115</v>
      </c>
      <c r="F182" s="352"/>
      <c r="G182" s="388"/>
      <c r="H182" s="388"/>
      <c r="I182" s="383"/>
      <c r="K182" s="352"/>
      <c r="L182" s="435"/>
      <c r="M182" s="370"/>
      <c r="N182" s="370"/>
      <c r="O182" s="352"/>
    </row>
    <row r="183" spans="2:15">
      <c r="B183" s="354">
        <f t="shared" si="9"/>
        <v>108</v>
      </c>
      <c r="C183" s="380"/>
      <c r="D183" s="423" t="s">
        <v>142</v>
      </c>
      <c r="E183" s="370" t="str">
        <f>"Worksheet H ln "&amp;'WS H Other Taxes'!A42&amp;"."&amp;'WS H Other Taxes'!G10&amp;""</f>
        <v>Worksheet H ln 23.(C)</v>
      </c>
      <c r="F183" s="370"/>
      <c r="G183" s="388">
        <f>+'WS H Other Taxes'!G42</f>
        <v>73633000</v>
      </c>
      <c r="H183" s="388"/>
      <c r="I183" s="374" t="s">
        <v>130</v>
      </c>
      <c r="J183" s="375"/>
      <c r="K183" s="370"/>
      <c r="L183" s="448">
        <f>'WS H-1-Detail of Tax Amts'!I25</f>
        <v>12011912.508578595</v>
      </c>
      <c r="M183" s="469"/>
      <c r="N183" s="448"/>
      <c r="O183" s="370"/>
    </row>
    <row r="184" spans="2:15">
      <c r="B184" s="354">
        <f t="shared" si="9"/>
        <v>109</v>
      </c>
      <c r="C184" s="355"/>
      <c r="D184" s="416" t="s">
        <v>201</v>
      </c>
      <c r="E184" s="370" t="str">
        <f>"Worksheet H ln "&amp;'WS H Other Taxes'!A42&amp;"."&amp;'WS H Other Taxes'!M10&amp;""</f>
        <v>Worksheet H ln 23.(F)</v>
      </c>
      <c r="F184" s="352"/>
      <c r="G184" s="388">
        <f>+'WS H Other Taxes'!M42</f>
        <v>22419000</v>
      </c>
      <c r="H184" s="441"/>
      <c r="I184" s="383" t="s">
        <v>128</v>
      </c>
      <c r="J184" s="375">
        <v>0</v>
      </c>
      <c r="K184" s="352"/>
      <c r="L184" s="435">
        <f>+J184*G184</f>
        <v>0</v>
      </c>
      <c r="M184" s="370"/>
      <c r="N184" s="370"/>
      <c r="O184" s="352"/>
    </row>
    <row r="185" spans="2:15" ht="15.75" thickBot="1">
      <c r="B185" s="354">
        <f t="shared" si="9"/>
        <v>110</v>
      </c>
      <c r="C185" s="355"/>
      <c r="D185" s="416" t="s">
        <v>143</v>
      </c>
      <c r="E185" s="370" t="str">
        <f>"Worksheet H ln "&amp;'WS H Other Taxes'!A42&amp;"."&amp;'WS H Other Taxes'!K10&amp;""</f>
        <v>Worksheet H ln 23.(E)</v>
      </c>
      <c r="F185" s="352"/>
      <c r="G185" s="424">
        <f>+'WS H Other Taxes'!K42</f>
        <v>2732000</v>
      </c>
      <c r="H185" s="441"/>
      <c r="I185" s="383" t="s">
        <v>761</v>
      </c>
      <c r="J185" s="375">
        <f>J75</f>
        <v>0.17167155293342692</v>
      </c>
      <c r="K185" s="352"/>
      <c r="L185" s="445">
        <f>+J185*G185</f>
        <v>469006.68261412234</v>
      </c>
      <c r="M185" s="370"/>
      <c r="N185" s="370"/>
      <c r="O185" s="352"/>
    </row>
    <row r="186" spans="2:15">
      <c r="B186" s="354">
        <f>+B185+1</f>
        <v>111</v>
      </c>
      <c r="C186" s="355"/>
      <c r="D186" s="416" t="s">
        <v>34</v>
      </c>
      <c r="E186" s="382" t="str">
        <f>"(sum lns "&amp;B181&amp;" to "&amp;B185&amp;")"</f>
        <v>(sum lns 106 to 110)</v>
      </c>
      <c r="F186" s="352"/>
      <c r="G186" s="388">
        <f>SUM(G181:G185)</f>
        <v>112917000</v>
      </c>
      <c r="H186" s="370"/>
      <c r="I186" s="383"/>
      <c r="J186" s="470"/>
      <c r="K186" s="352"/>
      <c r="L186" s="435">
        <f>SUM(L181:L185)</f>
        <v>13115131.774059573</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338</v>
      </c>
      <c r="E188" s="370" t="s">
        <v>426</v>
      </c>
      <c r="F188" s="471"/>
      <c r="G188" s="352"/>
      <c r="H188" s="395"/>
      <c r="I188" s="449"/>
      <c r="K188" s="352"/>
      <c r="L188" s="472"/>
      <c r="M188" s="370"/>
      <c r="N188" s="370"/>
      <c r="O188" s="352"/>
    </row>
    <row r="189" spans="2:15">
      <c r="B189" s="354">
        <f t="shared" ref="B189:B196" si="10">+B188+1</f>
        <v>113</v>
      </c>
      <c r="C189" s="355"/>
      <c r="D189" s="473" t="s">
        <v>339</v>
      </c>
      <c r="E189" s="352"/>
      <c r="F189" s="474"/>
      <c r="G189" s="475">
        <f>IF(F339&gt;0,1-(((1-F340)*(1-F339))/(1-F340*F339*F341)),0)</f>
        <v>0.24950000000000006</v>
      </c>
      <c r="H189" s="476"/>
      <c r="I189" s="476"/>
      <c r="K189" s="477"/>
      <c r="L189" s="472"/>
      <c r="M189" s="370"/>
      <c r="N189" s="370"/>
      <c r="O189" s="352"/>
    </row>
    <row r="190" spans="2:15">
      <c r="B190" s="354">
        <f t="shared" si="10"/>
        <v>114</v>
      </c>
      <c r="C190" s="355"/>
      <c r="D190" s="378" t="s">
        <v>340</v>
      </c>
      <c r="E190" s="352"/>
      <c r="F190" s="474"/>
      <c r="G190" s="475">
        <f>IF(L255&gt;0,($G189/(1-$G189))*(1-$L255/$L258),0)</f>
        <v>0.22659733133352886</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429</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1.3324450366422387</v>
      </c>
      <c r="H193" s="395"/>
      <c r="I193" s="400"/>
      <c r="J193" s="484"/>
      <c r="K193" s="485"/>
      <c r="L193" s="486"/>
      <c r="M193" s="370"/>
      <c r="N193" s="370"/>
      <c r="O193" s="352"/>
    </row>
    <row r="194" spans="2:15">
      <c r="B194" s="354">
        <f t="shared" si="10"/>
        <v>118</v>
      </c>
      <c r="C194" s="355"/>
      <c r="D194" s="416" t="s">
        <v>341</v>
      </c>
      <c r="E194" s="436" t="s">
        <v>505</v>
      </c>
      <c r="F194" s="471"/>
      <c r="G194" s="865">
        <v>-4257000</v>
      </c>
      <c r="H194" s="395"/>
      <c r="I194" s="400"/>
      <c r="J194" s="487"/>
      <c r="K194" s="485"/>
      <c r="L194" s="472"/>
      <c r="M194" s="374"/>
      <c r="N194" s="370"/>
      <c r="O194" s="352"/>
    </row>
    <row r="195" spans="2:15">
      <c r="B195" s="354">
        <f t="shared" si="10"/>
        <v>119</v>
      </c>
      <c r="C195" s="355"/>
      <c r="D195" s="378" t="s">
        <v>534</v>
      </c>
      <c r="E195" s="370" t="s">
        <v>547</v>
      </c>
      <c r="F195" s="488"/>
      <c r="G195" s="865">
        <v>-46279000</v>
      </c>
      <c r="H195" s="395"/>
      <c r="I195" s="374" t="s">
        <v>130</v>
      </c>
      <c r="J195" s="487"/>
      <c r="K195" s="485"/>
      <c r="L195" s="865">
        <v>-3430000</v>
      </c>
      <c r="M195" s="374"/>
      <c r="N195" s="370"/>
      <c r="O195" s="352"/>
    </row>
    <row r="196" spans="2:15">
      <c r="B196" s="354">
        <f t="shared" si="10"/>
        <v>120</v>
      </c>
      <c r="C196" s="355"/>
      <c r="D196" s="504" t="s">
        <v>751</v>
      </c>
      <c r="E196" s="370" t="s">
        <v>547</v>
      </c>
      <c r="F196" s="488"/>
      <c r="G196" s="865">
        <v>3513000</v>
      </c>
      <c r="H196" s="395"/>
      <c r="I196" s="374" t="s">
        <v>130</v>
      </c>
      <c r="J196" s="487"/>
      <c r="K196" s="485"/>
      <c r="L196" s="865">
        <v>1273000</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342</v>
      </c>
      <c r="E198" s="488" t="str">
        <f>"(ln "&amp;B190&amp;" * ln "&amp;B205&amp;")"</f>
        <v>(ln 114 * ln 126)</v>
      </c>
      <c r="F198" s="490"/>
      <c r="G198" s="435">
        <f>+G190*G205</f>
        <v>77393317.584950969</v>
      </c>
      <c r="H198" s="395"/>
      <c r="I198" s="400"/>
      <c r="J198" s="489"/>
      <c r="K198" s="435"/>
      <c r="L198" s="435">
        <f>+L205*G190</f>
        <v>15340706.064800449</v>
      </c>
      <c r="M198" s="370"/>
      <c r="N198" s="370"/>
      <c r="O198" s="352"/>
    </row>
    <row r="199" spans="2:15">
      <c r="B199" s="354">
        <f>+B198+1</f>
        <v>122</v>
      </c>
      <c r="C199" s="355"/>
      <c r="D199" s="504" t="s">
        <v>343</v>
      </c>
      <c r="E199" s="488" t="str">
        <f>"(ln "&amp;B193&amp;" * ln "&amp;B194&amp;")"</f>
        <v>(ln 117 * ln 118)</v>
      </c>
      <c r="F199" s="488"/>
      <c r="G199" s="463">
        <f>G193*G194</f>
        <v>-5672218.5209860103</v>
      </c>
      <c r="H199" s="395"/>
      <c r="I199" s="374" t="s">
        <v>761</v>
      </c>
      <c r="J199" s="375">
        <f>J75</f>
        <v>0.17167155293342692</v>
      </c>
      <c r="K199" s="435"/>
      <c r="L199" s="463">
        <f>+G199*J199</f>
        <v>-973758.56207541446</v>
      </c>
      <c r="M199" s="370"/>
      <c r="N199" s="370"/>
      <c r="O199" s="352"/>
    </row>
    <row r="200" spans="2:15">
      <c r="B200" s="354">
        <f>B199+1</f>
        <v>123</v>
      </c>
      <c r="C200" s="355"/>
      <c r="D200" s="504" t="s">
        <v>534</v>
      </c>
      <c r="E200" s="488" t="str">
        <f>"(ln "&amp;B193&amp;" * ln "&amp;B195&amp;")"</f>
        <v>(ln 117 * ln 119)</v>
      </c>
      <c r="F200" s="488"/>
      <c r="G200" s="463">
        <f>G195*G193</f>
        <v>-61664223.850766167</v>
      </c>
      <c r="H200" s="395"/>
      <c r="I200" s="491"/>
      <c r="J200" s="375"/>
      <c r="K200" s="435"/>
      <c r="L200" s="463">
        <f>L195*G193</f>
        <v>-4570286.4756828789</v>
      </c>
      <c r="M200" s="370"/>
      <c r="N200" s="370"/>
      <c r="O200" s="352"/>
    </row>
    <row r="201" spans="2:15">
      <c r="B201" s="354">
        <f>B200+1</f>
        <v>124</v>
      </c>
      <c r="C201" s="355"/>
      <c r="D201" s="504" t="s">
        <v>751</v>
      </c>
      <c r="E201" s="488" t="str">
        <f>"(ln "&amp;B193&amp;" * ln "&amp;B196&amp;")"</f>
        <v>(ln 117 * ln 120)</v>
      </c>
      <c r="F201" s="488"/>
      <c r="G201" s="492">
        <f>G196*G193</f>
        <v>4680879.413724184</v>
      </c>
      <c r="H201" s="395"/>
      <c r="I201" s="491"/>
      <c r="J201" s="375"/>
      <c r="K201" s="435"/>
      <c r="L201" s="492">
        <f>L196*G193</f>
        <v>1696202.53164557</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14737754.62692298</v>
      </c>
      <c r="H203" s="395"/>
      <c r="I203" s="400" t="s">
        <v>115</v>
      </c>
      <c r="J203" s="493"/>
      <c r="K203" s="435"/>
      <c r="L203" s="402">
        <f>SUM(L198:L201)</f>
        <v>11492863.558687726</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200</v>
      </c>
      <c r="E205" s="482" t="str">
        <f>"(ln "&amp;B125&amp;" * ln "&amp;B258&amp;")"</f>
        <v>(ln 68 * ln 157)</v>
      </c>
      <c r="F205" s="446"/>
      <c r="G205" s="435">
        <f>+$L258*G125</f>
        <v>341545582.77226865</v>
      </c>
      <c r="H205" s="370"/>
      <c r="I205" s="400"/>
      <c r="J205" s="435"/>
      <c r="K205" s="435"/>
      <c r="L205" s="435">
        <f>+L258*L125</f>
        <v>67700294.502676412</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192000</v>
      </c>
      <c r="H207" s="388"/>
      <c r="I207" s="444" t="s">
        <v>130</v>
      </c>
      <c r="J207" s="375">
        <v>1</v>
      </c>
      <c r="K207" s="468"/>
      <c r="L207" s="435">
        <f>+J207*G207</f>
        <v>192000</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5.75" thickBot="1">
      <c r="B212" s="354"/>
      <c r="C212" s="355"/>
      <c r="D212" s="416"/>
      <c r="G212" s="445"/>
      <c r="H212" s="497"/>
      <c r="I212" s="400"/>
      <c r="J212" s="400"/>
      <c r="K212" s="435"/>
      <c r="L212" s="445"/>
      <c r="M212" s="370"/>
      <c r="N212" s="345"/>
    </row>
    <row r="213" spans="2:15" ht="15.75" thickBot="1">
      <c r="B213" s="354">
        <f>+B211+1</f>
        <v>130</v>
      </c>
      <c r="C213" s="355"/>
      <c r="D213" s="340" t="s">
        <v>250</v>
      </c>
      <c r="G213" s="498">
        <f>+G207+G205+G203+G186+G177+G169+G209+G211</f>
        <v>1115562736.3991916</v>
      </c>
      <c r="L213" s="498">
        <f>+L207+L205+L203+L186+L177+L169+L209+L211</f>
        <v>162340700.98301724</v>
      </c>
      <c r="M213" s="370"/>
      <c r="N213" s="345"/>
    </row>
    <row r="214" spans="2:15" ht="15.75"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 xml:space="preserve">Indiana Michigan Power Company </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ht="15.75">
      <c r="B222" s="354"/>
      <c r="C222" s="355"/>
      <c r="F222" s="455" t="s">
        <v>41</v>
      </c>
      <c r="H222" s="349"/>
      <c r="I222" s="349"/>
      <c r="J222" s="349"/>
      <c r="K222" s="349"/>
      <c r="L222" s="349"/>
      <c r="M222" s="370"/>
      <c r="N222" s="345"/>
    </row>
    <row r="223" spans="2:15" ht="15.75">
      <c r="B223" s="354"/>
      <c r="C223" s="355"/>
      <c r="D223" s="500"/>
      <c r="E223" s="349"/>
      <c r="F223" s="349"/>
      <c r="G223" s="349"/>
      <c r="H223" s="349"/>
      <c r="I223" s="349"/>
      <c r="J223" s="349"/>
      <c r="K223" s="349"/>
      <c r="L223" s="349"/>
      <c r="M223" s="370"/>
      <c r="N223" s="345"/>
    </row>
    <row r="224" spans="2:15" ht="15.75">
      <c r="B224" s="354" t="s">
        <v>117</v>
      </c>
      <c r="C224" s="355"/>
      <c r="D224" s="500"/>
      <c r="E224" s="349"/>
      <c r="F224" s="349"/>
      <c r="G224" s="349"/>
      <c r="H224" s="349"/>
      <c r="I224" s="349"/>
      <c r="J224" s="349"/>
      <c r="K224" s="349"/>
      <c r="L224" s="349"/>
      <c r="M224" s="370"/>
      <c r="N224" s="345"/>
      <c r="O224" s="345"/>
    </row>
    <row r="225" spans="2:16" ht="15.75" thickBot="1">
      <c r="B225" s="361" t="s">
        <v>118</v>
      </c>
      <c r="C225" s="362"/>
      <c r="D225" s="391" t="s">
        <v>222</v>
      </c>
      <c r="E225" s="365"/>
      <c r="F225" s="365"/>
      <c r="G225" s="365"/>
      <c r="H225" s="365"/>
      <c r="I225" s="365"/>
      <c r="J225" s="365"/>
      <c r="K225" s="345"/>
      <c r="M225" s="370"/>
      <c r="N225" s="345"/>
      <c r="O225" s="345"/>
      <c r="P225" s="357"/>
    </row>
    <row r="226" spans="2:16">
      <c r="B226" s="354">
        <f>+B213+1</f>
        <v>131</v>
      </c>
      <c r="C226" s="355"/>
      <c r="D226" s="365" t="s">
        <v>167</v>
      </c>
      <c r="E226" s="501" t="str">
        <f>"(ln "&amp;B68&amp;")"</f>
        <v>(ln 21)</v>
      </c>
      <c r="F226" s="502"/>
      <c r="H226" s="503"/>
      <c r="I226" s="503"/>
      <c r="J226" s="503"/>
      <c r="K226" s="503"/>
      <c r="L226" s="373">
        <f>+G68</f>
        <v>1748260000</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865">
        <f>'WS A - RB Support'!E62</f>
        <v>0</v>
      </c>
      <c r="M227" s="370"/>
      <c r="N227" s="345"/>
      <c r="P227" s="357"/>
    </row>
    <row r="228" spans="2:16" ht="15.75"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59049000</v>
      </c>
      <c r="M228" s="370"/>
      <c r="N228" s="345"/>
      <c r="P228" s="357"/>
    </row>
    <row r="229" spans="2:16">
      <c r="B229" s="354">
        <f>+B228+1</f>
        <v>134</v>
      </c>
      <c r="C229" s="355"/>
      <c r="D229" s="365" t="s">
        <v>223</v>
      </c>
      <c r="E229" s="507" t="str">
        <f>"(ln "&amp;B226&amp;" - ln "&amp;B227&amp;" - ln "&amp;B228&amp;")"</f>
        <v>(ln 131 - ln 132 - ln 133)</v>
      </c>
      <c r="F229" s="502"/>
      <c r="H229" s="503"/>
      <c r="I229" s="503"/>
      <c r="J229" s="415"/>
      <c r="K229" s="503"/>
      <c r="L229" s="373">
        <f>L226-L227-L228</f>
        <v>1689211000</v>
      </c>
      <c r="M229" s="370"/>
      <c r="N229" s="345"/>
      <c r="P229" s="357"/>
    </row>
    <row r="230" spans="2:16">
      <c r="B230" s="354"/>
      <c r="C230" s="355"/>
      <c r="D230" s="345"/>
      <c r="E230" s="502"/>
      <c r="F230" s="502"/>
      <c r="G230" s="415"/>
      <c r="H230" s="503"/>
      <c r="I230" s="503"/>
      <c r="J230" s="415"/>
      <c r="K230" s="503"/>
      <c r="L230" s="504"/>
      <c r="M230" s="370"/>
      <c r="N230" s="345"/>
      <c r="P230" s="357"/>
    </row>
    <row r="231" spans="2:16" ht="15.75">
      <c r="B231" s="354">
        <f>+B229+1</f>
        <v>135</v>
      </c>
      <c r="C231" s="355"/>
      <c r="D231" s="365" t="s">
        <v>224</v>
      </c>
      <c r="E231" s="508" t="str">
        <f>"(ln "&amp;B229&amp;" / ln "&amp;B226&amp;")"</f>
        <v>(ln 134 / ln 131)</v>
      </c>
      <c r="F231" s="509"/>
      <c r="H231" s="510"/>
      <c r="I231" s="511"/>
      <c r="J231" s="511"/>
      <c r="K231" s="512" t="s">
        <v>144</v>
      </c>
      <c r="L231" s="513">
        <f>IF(L226&gt;0,L229/L226,0)</f>
        <v>0.96622413142209973</v>
      </c>
      <c r="M231" s="370"/>
      <c r="N231" s="345"/>
      <c r="P231" s="357"/>
    </row>
    <row r="232" spans="2:16" ht="15.75">
      <c r="B232" s="354"/>
      <c r="C232" s="355"/>
      <c r="D232" s="514"/>
      <c r="E232" s="365"/>
      <c r="F232" s="365"/>
      <c r="G232" s="515"/>
      <c r="H232" s="365"/>
      <c r="I232" s="380"/>
      <c r="J232" s="365"/>
      <c r="K232" s="365"/>
      <c r="L232" s="349"/>
      <c r="M232" s="370"/>
      <c r="N232" s="345"/>
    </row>
    <row r="233" spans="2:16" ht="30">
      <c r="B233" s="354">
        <f>B231+1</f>
        <v>136</v>
      </c>
      <c r="C233" s="380"/>
      <c r="D233" s="391" t="s">
        <v>42</v>
      </c>
      <c r="E233" s="374" t="s">
        <v>344</v>
      </c>
      <c r="F233" s="374" t="s">
        <v>185</v>
      </c>
      <c r="G233" s="516" t="s">
        <v>215</v>
      </c>
      <c r="H233" s="450" t="s">
        <v>119</v>
      </c>
      <c r="I233" s="383"/>
      <c r="J233" s="352"/>
      <c r="K233" s="352"/>
      <c r="L233" s="352"/>
      <c r="M233" s="370"/>
      <c r="N233" s="345"/>
    </row>
    <row r="234" spans="2:16">
      <c r="B234" s="354">
        <f t="shared" ref="B234:B239" si="11">+B233+1</f>
        <v>137</v>
      </c>
      <c r="C234" s="380"/>
      <c r="D234" s="391" t="s">
        <v>127</v>
      </c>
      <c r="E234" s="352" t="s">
        <v>432</v>
      </c>
      <c r="F234" s="867">
        <v>145739000</v>
      </c>
      <c r="G234" s="867">
        <v>13180000</v>
      </c>
      <c r="H234" s="417">
        <f>+F234+G234</f>
        <v>158919000</v>
      </c>
      <c r="I234" s="383" t="s">
        <v>128</v>
      </c>
      <c r="J234" s="375">
        <v>0</v>
      </c>
      <c r="K234" s="517"/>
      <c r="L234" s="435">
        <f>(F234+G234)*J234</f>
        <v>0</v>
      </c>
      <c r="M234" s="370"/>
      <c r="N234" s="345"/>
    </row>
    <row r="235" spans="2:16">
      <c r="B235" s="354">
        <f t="shared" si="11"/>
        <v>138</v>
      </c>
      <c r="C235" s="380"/>
      <c r="D235" s="423" t="s">
        <v>129</v>
      </c>
      <c r="E235" s="370" t="s">
        <v>12</v>
      </c>
      <c r="F235" s="867">
        <v>4744000</v>
      </c>
      <c r="G235" s="867">
        <v>4702000</v>
      </c>
      <c r="H235" s="417">
        <f>+F235+G235</f>
        <v>9446000</v>
      </c>
      <c r="I235" s="380" t="s">
        <v>121</v>
      </c>
      <c r="J235" s="375">
        <f>L231</f>
        <v>0.96622413142209973</v>
      </c>
      <c r="K235" s="517"/>
      <c r="L235" s="435">
        <f>(F235+G235)*J235</f>
        <v>9126953.1454131547</v>
      </c>
      <c r="M235" s="370"/>
      <c r="N235" s="345"/>
    </row>
    <row r="236" spans="2:16">
      <c r="B236" s="354">
        <f t="shared" si="11"/>
        <v>139</v>
      </c>
      <c r="C236" s="380"/>
      <c r="D236" s="423" t="s">
        <v>227</v>
      </c>
      <c r="E236" s="352" t="s">
        <v>467</v>
      </c>
      <c r="F236" s="867">
        <v>0</v>
      </c>
      <c r="G236" s="867">
        <v>0</v>
      </c>
      <c r="H236" s="417">
        <v>0</v>
      </c>
      <c r="I236" s="383" t="s">
        <v>128</v>
      </c>
      <c r="J236" s="375">
        <v>0</v>
      </c>
      <c r="K236" s="517"/>
      <c r="L236" s="435">
        <f>(F236+G236)*J236</f>
        <v>0</v>
      </c>
      <c r="M236" s="370"/>
      <c r="N236" s="345"/>
    </row>
    <row r="237" spans="2:16">
      <c r="B237" s="354">
        <f t="shared" si="11"/>
        <v>140</v>
      </c>
      <c r="C237" s="380"/>
      <c r="D237" s="423" t="s">
        <v>131</v>
      </c>
      <c r="E237" s="352" t="s">
        <v>430</v>
      </c>
      <c r="F237" s="867">
        <v>19534000</v>
      </c>
      <c r="G237" s="867">
        <v>2237000</v>
      </c>
      <c r="H237" s="417">
        <f>+F237+G237</f>
        <v>21771000</v>
      </c>
      <c r="I237" s="383" t="s">
        <v>128</v>
      </c>
      <c r="J237" s="375">
        <v>0</v>
      </c>
      <c r="K237" s="517"/>
      <c r="L237" s="435">
        <f>(F237+G237)*J237</f>
        <v>0</v>
      </c>
      <c r="M237" s="370"/>
      <c r="N237" s="345"/>
    </row>
    <row r="238" spans="2:16" ht="15.75" thickBot="1">
      <c r="B238" s="354">
        <f t="shared" si="11"/>
        <v>141</v>
      </c>
      <c r="C238" s="380"/>
      <c r="D238" s="423" t="s">
        <v>202</v>
      </c>
      <c r="E238" s="352" t="s">
        <v>431</v>
      </c>
      <c r="F238" s="868">
        <v>7882000</v>
      </c>
      <c r="G238" s="868">
        <v>5370000</v>
      </c>
      <c r="H238" s="518">
        <f>+F238+G238</f>
        <v>13252000</v>
      </c>
      <c r="I238" s="383" t="s">
        <v>128</v>
      </c>
      <c r="J238" s="375">
        <v>0</v>
      </c>
      <c r="K238" s="517"/>
      <c r="L238" s="445">
        <f>(F238+G238)*J238</f>
        <v>0</v>
      </c>
      <c r="M238" s="370"/>
      <c r="N238" s="345"/>
    </row>
    <row r="239" spans="2:16" ht="15.75">
      <c r="B239" s="354">
        <f t="shared" si="11"/>
        <v>142</v>
      </c>
      <c r="C239" s="380"/>
      <c r="D239" s="423" t="s">
        <v>119</v>
      </c>
      <c r="E239" s="423" t="str">
        <f>"(sum lns "&amp;B234&amp;" to "&amp;B238&amp;")"</f>
        <v>(sum lns 137 to 141)</v>
      </c>
      <c r="F239" s="370">
        <f>SUM(F234:F238)</f>
        <v>177899000</v>
      </c>
      <c r="G239" s="370">
        <f>SUM(G234:G238)</f>
        <v>25489000</v>
      </c>
      <c r="H239" s="370">
        <f>SUM(H234:H238)</f>
        <v>203388000</v>
      </c>
      <c r="I239" s="383"/>
      <c r="J239" s="352"/>
      <c r="K239" s="352"/>
      <c r="L239" s="435">
        <f>SUM(L234:L238)</f>
        <v>9126953.1454131547</v>
      </c>
      <c r="M239" s="519"/>
      <c r="N239" s="345"/>
    </row>
    <row r="240" spans="2:16">
      <c r="B240" s="354"/>
      <c r="C240" s="380"/>
      <c r="D240" s="423" t="s">
        <v>115</v>
      </c>
      <c r="E240" s="370" t="s">
        <v>115</v>
      </c>
      <c r="F240" s="370"/>
      <c r="G240" s="345"/>
      <c r="H240" s="370"/>
      <c r="I240" s="449"/>
      <c r="M240" s="345"/>
      <c r="N240" s="345"/>
    </row>
    <row r="241" spans="2:21" ht="15.75">
      <c r="B241" s="354">
        <f>B239+1</f>
        <v>143</v>
      </c>
      <c r="C241" s="355"/>
      <c r="D241" s="416" t="s">
        <v>43</v>
      </c>
      <c r="E241" s="370"/>
      <c r="F241" s="370"/>
      <c r="G241" s="370"/>
      <c r="H241" s="370"/>
      <c r="I241" s="449"/>
      <c r="K241" s="520" t="s">
        <v>44</v>
      </c>
      <c r="L241" s="521">
        <f>L239/(F239+G239)</f>
        <v>4.4874590169592873E-2</v>
      </c>
      <c r="M241" s="345"/>
      <c r="N241" s="345"/>
    </row>
    <row r="242" spans="2:21">
      <c r="B242" s="354"/>
      <c r="C242" s="355"/>
      <c r="D242" s="416"/>
      <c r="E242" s="370"/>
      <c r="F242" s="370"/>
      <c r="G242" s="370"/>
      <c r="H242" s="370"/>
      <c r="I242" s="383"/>
      <c r="J242" s="352"/>
      <c r="K242" s="352"/>
      <c r="L242" s="352"/>
      <c r="M242" s="370"/>
      <c r="N242" s="345"/>
    </row>
    <row r="243" spans="2:21" ht="15.75">
      <c r="B243" s="354"/>
      <c r="C243" s="355"/>
      <c r="D243" s="416"/>
      <c r="E243" s="499"/>
      <c r="F243" s="352"/>
      <c r="H243" s="352"/>
      <c r="I243" s="352"/>
      <c r="J243" s="352"/>
      <c r="K243" s="414"/>
      <c r="L243" s="522"/>
      <c r="M243" s="370"/>
      <c r="N243" s="345"/>
    </row>
    <row r="244" spans="2:21" ht="15.75" thickBot="1">
      <c r="B244" s="354">
        <f>+B241+1</f>
        <v>144</v>
      </c>
      <c r="C244" s="380"/>
      <c r="D244" s="423" t="s">
        <v>199</v>
      </c>
      <c r="E244" s="370"/>
      <c r="F244" s="370"/>
      <c r="G244" s="370"/>
      <c r="H244" s="370"/>
      <c r="I244" s="370"/>
      <c r="J244" s="370"/>
      <c r="K244" s="370"/>
      <c r="L244" s="523" t="s">
        <v>145</v>
      </c>
      <c r="M244" s="370"/>
      <c r="N244" s="345"/>
    </row>
    <row r="245" spans="2:21">
      <c r="B245" s="354">
        <f t="shared" ref="B245:B252" si="12">+B244+1</f>
        <v>145</v>
      </c>
      <c r="C245" s="380"/>
      <c r="D245" s="370" t="s">
        <v>220</v>
      </c>
      <c r="E245" s="345" t="str">
        <f>"(Worksheet M, ln. "&amp;'WS M - Cost of Capital'!A56&amp;", col. "&amp;'WS M - Cost of Capital'!E47&amp;")"</f>
        <v>(Worksheet M, ln. 37, col. (d))</v>
      </c>
      <c r="F245" s="370"/>
      <c r="G245" s="370"/>
      <c r="H245" s="370"/>
      <c r="I245" s="370"/>
      <c r="J245" s="370"/>
      <c r="K245" s="370"/>
      <c r="L245" s="388">
        <f>'WS M - Cost of Capital'!E56</f>
        <v>131555000</v>
      </c>
      <c r="M245" s="370"/>
      <c r="N245" s="345"/>
    </row>
    <row r="246" spans="2:21">
      <c r="B246" s="354">
        <f t="shared" si="12"/>
        <v>146</v>
      </c>
      <c r="C246" s="380"/>
      <c r="D246" s="370" t="s">
        <v>221</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243</v>
      </c>
      <c r="E247" s="370"/>
      <c r="F247" s="370"/>
      <c r="G247" s="370"/>
      <c r="H247" s="439"/>
      <c r="I247" s="370"/>
      <c r="J247" s="370"/>
      <c r="K247" s="370"/>
      <c r="L247" s="388"/>
      <c r="M247" s="370"/>
      <c r="N247" s="345"/>
    </row>
    <row r="248" spans="2:21">
      <c r="B248" s="354">
        <f t="shared" si="12"/>
        <v>148</v>
      </c>
      <c r="C248" s="380"/>
      <c r="D248" s="370" t="s">
        <v>244</v>
      </c>
      <c r="E248" s="551" t="str">
        <f>"(Worksheet M, ln. "&amp;'WS M - Cost of Capital'!A23&amp;", col. "&amp;'WS M - Cost of Capital'!C8&amp;")"</f>
        <v>(Worksheet M, ln. 14, col. (b))</v>
      </c>
      <c r="F248" s="370"/>
      <c r="G248" s="365"/>
      <c r="H248" s="441"/>
      <c r="I248" s="370"/>
      <c r="J248" s="370"/>
      <c r="K248" s="370"/>
      <c r="L248" s="388">
        <f>'WS M - Cost of Capital'!C23</f>
        <v>2706873000</v>
      </c>
      <c r="M248" s="370"/>
      <c r="N248" s="345"/>
    </row>
    <row r="249" spans="2:21">
      <c r="B249" s="354">
        <f t="shared" si="12"/>
        <v>149</v>
      </c>
      <c r="C249" s="380"/>
      <c r="D249" s="370" t="s">
        <v>369</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362</v>
      </c>
      <c r="E250" s="551" t="str">
        <f>"(Worksheet M, ln. "&amp;'WS M - Cost of Capital'!A23&amp;", col. "&amp;'WS M - Cost of Capital'!E8&amp;")"</f>
        <v>(Worksheet M, ln. 14, col. (d))</v>
      </c>
      <c r="F250" s="370"/>
      <c r="G250" s="370"/>
      <c r="H250" s="441"/>
      <c r="I250" s="370"/>
      <c r="J250" s="370"/>
      <c r="K250" s="370"/>
      <c r="L250" s="417">
        <f>'WS M - Cost of Capital'!E23</f>
        <v>-5778000</v>
      </c>
      <c r="M250" s="370"/>
      <c r="N250" s="345"/>
    </row>
    <row r="251" spans="2:21" ht="15.75" thickBot="1">
      <c r="B251" s="354">
        <f t="shared" si="12"/>
        <v>151</v>
      </c>
      <c r="C251" s="380"/>
      <c r="D251" s="370" t="s">
        <v>368</v>
      </c>
      <c r="E251" s="551" t="str">
        <f>"(Worksheet M, ln. "&amp;'WS M - Cost of Capital'!A23&amp;", col. "&amp;'WS M - Cost of Capital'!F8&amp;")"</f>
        <v>(Worksheet M, ln. 14, col. (e))</v>
      </c>
      <c r="F251" s="370"/>
      <c r="G251" s="370"/>
      <c r="H251" s="441"/>
      <c r="I251" s="370"/>
      <c r="J251" s="442"/>
      <c r="K251" s="370"/>
      <c r="L251" s="518">
        <f>'WS M - Cost of Capital'!F23</f>
        <v>-8423000</v>
      </c>
      <c r="M251" s="370"/>
      <c r="N251" s="345"/>
    </row>
    <row r="252" spans="2:21">
      <c r="B252" s="354">
        <f t="shared" si="12"/>
        <v>152</v>
      </c>
      <c r="C252" s="380"/>
      <c r="D252" s="340" t="s">
        <v>245</v>
      </c>
      <c r="E252" s="370" t="str">
        <f>"(ln "&amp;B248&amp;" - ln "&amp;B249&amp;" - ln "&amp;B250&amp;" - ln "&amp;B251&amp;")"</f>
        <v>(ln 148 - ln 149 - ln 150 - ln 151)</v>
      </c>
      <c r="F252" s="525"/>
      <c r="G252" s="345"/>
      <c r="H252" s="365"/>
      <c r="I252" s="365"/>
      <c r="J252" s="365"/>
      <c r="K252" s="365"/>
      <c r="L252" s="388">
        <f>+L248-L249-L250-L251</f>
        <v>2721074000</v>
      </c>
      <c r="M252" s="352"/>
    </row>
    <row r="253" spans="2:21" ht="15.75">
      <c r="B253" s="354"/>
      <c r="C253" s="380"/>
      <c r="D253" s="423"/>
      <c r="E253" s="370"/>
      <c r="F253" s="370"/>
      <c r="G253" s="458"/>
      <c r="H253" s="1432" t="s">
        <v>999</v>
      </c>
      <c r="I253" s="1432"/>
      <c r="J253" s="527" t="s">
        <v>146</v>
      </c>
      <c r="K253" s="370"/>
      <c r="L253" s="370"/>
      <c r="M253" s="352"/>
    </row>
    <row r="254" spans="2:21" ht="15.75" thickBot="1">
      <c r="B254" s="354">
        <f>+B252+1</f>
        <v>153</v>
      </c>
      <c r="C254" s="380"/>
      <c r="D254" s="423"/>
      <c r="F254" s="370"/>
      <c r="G254" s="528" t="s">
        <v>145</v>
      </c>
      <c r="H254" s="528" t="s">
        <v>147</v>
      </c>
      <c r="I254" s="523" t="s">
        <v>998</v>
      </c>
      <c r="J254" s="529" t="s">
        <v>428</v>
      </c>
      <c r="K254" s="370"/>
      <c r="L254" s="528" t="s">
        <v>148</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3380686000</v>
      </c>
      <c r="H255" s="1312">
        <f>IF($G$258&gt;0,G255/$G$258,0)</f>
        <v>0.5540509623452905</v>
      </c>
      <c r="I255" s="530">
        <f>IF(H257&gt;E260,1-I256-I257,H255)</f>
        <v>0.5540509623452905</v>
      </c>
      <c r="J255" s="442">
        <f>'WS M - Cost of Capital'!E58</f>
        <v>3.8913699763894076E-2</v>
      </c>
      <c r="K255" s="345"/>
      <c r="L255" s="532">
        <f>H255*J255</f>
        <v>2.1560172802601217E-2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H256*J256</f>
        <v>0</v>
      </c>
      <c r="M256" s="352"/>
    </row>
    <row r="257" spans="2:21" ht="15.75" thickBot="1">
      <c r="B257" s="354">
        <f>+B256+1</f>
        <v>156</v>
      </c>
      <c r="C257" s="380"/>
      <c r="D257" s="423" t="str">
        <f>"  Common Stock (ln "&amp;B252&amp;")"</f>
        <v xml:space="preserve">  Common Stock (ln 152)</v>
      </c>
      <c r="F257" s="345"/>
      <c r="G257" s="424">
        <f>+L252</f>
        <v>2721074000</v>
      </c>
      <c r="H257" s="530">
        <f>IF($G$258&gt;0,G257/$G$258,0)</f>
        <v>0.44594903765470945</v>
      </c>
      <c r="I257" s="530">
        <f>IF(H257&gt;E260,E260,H257)</f>
        <v>0.44594903765470945</v>
      </c>
      <c r="J257" s="869">
        <v>0.10349999999999999</v>
      </c>
      <c r="K257" s="345"/>
      <c r="L257" s="535">
        <f>H257*J257</f>
        <v>4.6155725397262426E-2</v>
      </c>
      <c r="M257" s="352"/>
    </row>
    <row r="258" spans="2:21" ht="15.75">
      <c r="B258" s="354">
        <f>+B257+1</f>
        <v>157</v>
      </c>
      <c r="C258" s="380"/>
      <c r="D258" s="423" t="str">
        <f>" Total (Sum lns "&amp;B255&amp;" to "&amp;B257&amp;")"</f>
        <v xml:space="preserve"> Total (Sum lns 154 to 156)</v>
      </c>
      <c r="F258" s="345"/>
      <c r="G258" s="388">
        <f>G257+G256+G255</f>
        <v>6101760000</v>
      </c>
      <c r="I258" s="526"/>
      <c r="J258" s="536"/>
      <c r="K258" s="437" t="s">
        <v>25</v>
      </c>
      <c r="L258" s="537">
        <f>SUM(L255:L257)</f>
        <v>6.771589819986365E-2</v>
      </c>
      <c r="M258" s="538"/>
    </row>
    <row r="259" spans="2:21" ht="15.75">
      <c r="B259" s="354"/>
      <c r="C259" s="380"/>
      <c r="D259" s="423"/>
      <c r="F259" s="345"/>
      <c r="G259" s="388"/>
      <c r="I259" s="526"/>
      <c r="J259" s="536"/>
      <c r="K259" s="437"/>
      <c r="L259" s="537"/>
      <c r="M259" s="538"/>
    </row>
    <row r="260" spans="2:21" ht="15.75">
      <c r="B260" s="379">
        <f>B258+1</f>
        <v>158</v>
      </c>
      <c r="C260" s="545"/>
      <c r="D260" s="545" t="s">
        <v>997</v>
      </c>
      <c r="E260" s="1327">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ht="15.75">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ht="15.75">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ht="15.75">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ht="15.75">
      <c r="B266" s="354"/>
      <c r="C266" s="355"/>
      <c r="D266" s="540"/>
      <c r="E266" s="455"/>
      <c r="F266" s="449" t="str">
        <f>F220</f>
        <v xml:space="preserve">Indiana Michigan Power Company </v>
      </c>
      <c r="G266" s="352"/>
      <c r="H266" s="352"/>
      <c r="I266" s="352"/>
      <c r="J266" s="352"/>
      <c r="K266" s="349"/>
      <c r="L266" s="368"/>
      <c r="M266" s="345"/>
      <c r="N266" s="365"/>
      <c r="O266" s="365" t="s">
        <v>115</v>
      </c>
      <c r="P266" s="365"/>
      <c r="Q266" s="365"/>
      <c r="R266" s="365"/>
      <c r="S266" s="365"/>
      <c r="T266" s="365"/>
      <c r="U266" s="365"/>
    </row>
    <row r="267" spans="2:21" ht="15.75">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ht="15.75">
      <c r="B268" s="541" t="s">
        <v>177</v>
      </c>
      <c r="C268" s="362"/>
      <c r="D268" s="391"/>
      <c r="E268" s="365"/>
      <c r="F268" s="541" t="s">
        <v>176</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149</v>
      </c>
      <c r="C273" s="362"/>
      <c r="D273" s="391" t="s">
        <v>478</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370</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371</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479</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480</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372</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373</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455" t="s">
        <v>577</v>
      </c>
      <c r="E280" s="1455"/>
      <c r="F280" s="1455"/>
      <c r="G280" s="1455"/>
      <c r="H280" s="1455"/>
      <c r="I280" s="1455"/>
      <c r="J280" s="1455"/>
      <c r="K280" s="1455"/>
      <c r="L280" s="1455"/>
      <c r="M280" s="365"/>
      <c r="N280" s="365"/>
      <c r="O280" s="365"/>
      <c r="P280" s="365"/>
      <c r="Q280" s="365"/>
      <c r="R280" s="365"/>
      <c r="S280" s="365"/>
      <c r="T280" s="365"/>
      <c r="U280" s="365"/>
    </row>
    <row r="281" spans="2:21">
      <c r="B281" s="379"/>
      <c r="C281" s="380"/>
      <c r="D281" s="391" t="s">
        <v>488</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150</v>
      </c>
      <c r="C283" s="380"/>
      <c r="D283" s="1433" t="s">
        <v>596</v>
      </c>
      <c r="E283" s="1434"/>
      <c r="F283" s="1434"/>
      <c r="G283" s="1434"/>
      <c r="H283" s="1434"/>
      <c r="I283" s="1434"/>
      <c r="J283" s="1434"/>
      <c r="K283" s="1434"/>
      <c r="L283" s="391"/>
      <c r="M283" s="365"/>
      <c r="N283" s="365"/>
      <c r="O283" s="365"/>
      <c r="P283" s="365"/>
      <c r="Q283" s="365"/>
      <c r="R283" s="365"/>
      <c r="S283" s="365"/>
      <c r="T283" s="365"/>
      <c r="U283" s="365"/>
    </row>
    <row r="284" spans="2:21">
      <c r="B284" s="379"/>
      <c r="C284" s="380"/>
      <c r="D284" s="1434"/>
      <c r="E284" s="1434"/>
      <c r="F284" s="1434"/>
      <c r="G284" s="1434"/>
      <c r="H284" s="1434"/>
      <c r="I284" s="1434"/>
      <c r="J284" s="1434"/>
      <c r="K284" s="1434"/>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151</v>
      </c>
      <c r="C286" s="380"/>
      <c r="D286" s="546" t="s">
        <v>874</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152</v>
      </c>
      <c r="C288" s="380"/>
      <c r="D288" s="1455" t="s">
        <v>579</v>
      </c>
      <c r="E288" s="1455"/>
      <c r="F288" s="1455"/>
      <c r="G288" s="1455"/>
      <c r="H288" s="1455"/>
      <c r="I288" s="1455"/>
      <c r="J288" s="1455"/>
      <c r="K288" s="1455"/>
      <c r="L288" s="1455"/>
      <c r="M288" s="365"/>
      <c r="N288" s="365"/>
      <c r="O288" s="365"/>
      <c r="P288" s="391"/>
      <c r="Q288" s="391"/>
      <c r="R288" s="365"/>
      <c r="S288" s="365"/>
      <c r="T288" s="365"/>
      <c r="U288" s="365"/>
    </row>
    <row r="289" spans="2:21">
      <c r="B289" s="379"/>
      <c r="C289" s="380"/>
      <c r="D289" s="1455"/>
      <c r="E289" s="1455"/>
      <c r="F289" s="1455"/>
      <c r="G289" s="1455"/>
      <c r="H289" s="1455"/>
      <c r="I289" s="1455"/>
      <c r="J289" s="1455"/>
      <c r="K289" s="1455"/>
      <c r="L289" s="1455"/>
      <c r="M289" s="365"/>
      <c r="N289" s="365"/>
      <c r="O289" s="365"/>
      <c r="P289" s="391"/>
      <c r="Q289" s="391"/>
      <c r="R289" s="365"/>
      <c r="S289" s="365"/>
      <c r="T289" s="365"/>
      <c r="U289" s="365"/>
    </row>
    <row r="290" spans="2:21">
      <c r="B290" s="379"/>
      <c r="C290" s="380"/>
      <c r="D290" s="391" t="s">
        <v>580</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581</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455" t="s">
        <v>578</v>
      </c>
      <c r="E292" s="1455"/>
      <c r="F292" s="1455"/>
      <c r="G292" s="1455"/>
      <c r="H292" s="1455"/>
      <c r="I292" s="1455"/>
      <c r="J292" s="1455"/>
      <c r="K292" s="1455"/>
      <c r="L292" s="1455"/>
      <c r="M292" s="365"/>
      <c r="N292" s="365"/>
      <c r="O292" s="365"/>
      <c r="P292" s="391"/>
      <c r="Q292" s="365"/>
      <c r="R292" s="365"/>
      <c r="S292" s="365"/>
      <c r="T292" s="365"/>
      <c r="U292" s="365"/>
    </row>
    <row r="293" spans="2:21" ht="21.75" customHeight="1">
      <c r="B293" s="379" t="s">
        <v>153</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154</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219</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155</v>
      </c>
      <c r="C303" s="345"/>
      <c r="D303" s="144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43"/>
      <c r="F303" s="1443"/>
      <c r="G303" s="1443"/>
      <c r="H303" s="1443"/>
      <c r="I303" s="1443"/>
      <c r="J303" s="1443"/>
      <c r="K303" s="1443"/>
      <c r="L303" s="551"/>
      <c r="M303" s="345"/>
      <c r="N303" s="365"/>
      <c r="O303" s="365"/>
      <c r="P303" s="365"/>
      <c r="Q303" s="365"/>
      <c r="R303" s="365"/>
      <c r="S303" s="365"/>
      <c r="T303" s="365"/>
      <c r="U303" s="365"/>
    </row>
    <row r="304" spans="2:21">
      <c r="B304" s="542"/>
      <c r="C304" s="345"/>
      <c r="D304" s="1443"/>
      <c r="E304" s="1443"/>
      <c r="F304" s="1443"/>
      <c r="G304" s="1443"/>
      <c r="H304" s="1443"/>
      <c r="I304" s="1443"/>
      <c r="J304" s="1443"/>
      <c r="K304" s="1443"/>
      <c r="L304" s="551"/>
      <c r="M304" s="345"/>
      <c r="N304" s="365"/>
      <c r="O304" s="365"/>
      <c r="P304" s="365"/>
      <c r="Q304" s="365"/>
      <c r="R304" s="365"/>
      <c r="S304" s="365"/>
      <c r="T304" s="365"/>
      <c r="U304" s="365"/>
    </row>
    <row r="305" spans="2:21">
      <c r="B305" s="542"/>
      <c r="C305" s="345"/>
      <c r="D305" s="1443"/>
      <c r="E305" s="1443"/>
      <c r="F305" s="1443"/>
      <c r="G305" s="1443"/>
      <c r="H305" s="1443"/>
      <c r="I305" s="1443"/>
      <c r="J305" s="1443"/>
      <c r="K305" s="1443"/>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156</v>
      </c>
      <c r="C307" s="345"/>
      <c r="D307" s="145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58"/>
      <c r="F307" s="1458"/>
      <c r="G307" s="1458"/>
      <c r="H307" s="1458"/>
      <c r="I307" s="1458"/>
      <c r="J307" s="1458"/>
      <c r="K307" s="1458"/>
      <c r="L307" s="551"/>
      <c r="M307" s="345"/>
      <c r="N307" s="365"/>
      <c r="O307" s="365"/>
      <c r="P307" s="365"/>
      <c r="Q307" s="365"/>
      <c r="R307" s="365"/>
      <c r="S307" s="365"/>
      <c r="T307" s="365"/>
      <c r="U307" s="365"/>
    </row>
    <row r="308" spans="2:21">
      <c r="B308" s="542"/>
      <c r="C308" s="345"/>
      <c r="D308" s="1458"/>
      <c r="E308" s="1458"/>
      <c r="F308" s="1458"/>
      <c r="G308" s="1458"/>
      <c r="H308" s="1458"/>
      <c r="I308" s="1458"/>
      <c r="J308" s="1458"/>
      <c r="K308" s="1458"/>
      <c r="L308" s="551"/>
      <c r="M308" s="345"/>
      <c r="N308" s="365"/>
      <c r="O308" s="365"/>
      <c r="P308" s="365"/>
      <c r="Q308" s="365"/>
      <c r="R308" s="365"/>
      <c r="S308" s="365"/>
      <c r="T308" s="365"/>
      <c r="U308" s="365"/>
    </row>
    <row r="309" spans="2:21">
      <c r="B309" s="542"/>
      <c r="C309" s="345"/>
      <c r="D309" s="1459"/>
      <c r="E309" s="1459"/>
      <c r="F309" s="1459"/>
      <c r="G309" s="1459"/>
      <c r="H309" s="1459"/>
      <c r="I309" s="1459"/>
      <c r="J309" s="1459"/>
      <c r="K309" s="1459"/>
      <c r="L309" s="551"/>
      <c r="M309" s="345"/>
      <c r="N309" s="365"/>
      <c r="O309" s="365"/>
      <c r="P309" s="365"/>
      <c r="Q309" s="365"/>
      <c r="R309" s="365"/>
      <c r="S309" s="365"/>
      <c r="T309" s="365"/>
      <c r="U309" s="365"/>
    </row>
    <row r="310" spans="2:21">
      <c r="B310" s="542"/>
      <c r="C310" s="345"/>
      <c r="D310" s="143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37"/>
      <c r="F310" s="1437"/>
      <c r="G310" s="1437"/>
      <c r="H310" s="1437"/>
      <c r="I310" s="1437"/>
      <c r="J310" s="1437"/>
      <c r="K310" s="552"/>
      <c r="L310" s="551"/>
      <c r="M310" s="345"/>
      <c r="N310" s="365"/>
      <c r="O310" s="365"/>
      <c r="P310" s="365"/>
      <c r="Q310" s="365"/>
      <c r="R310" s="365"/>
      <c r="S310" s="365"/>
      <c r="T310" s="365"/>
      <c r="U310" s="365"/>
    </row>
    <row r="311" spans="2:21">
      <c r="B311" s="542"/>
      <c r="C311" s="345"/>
      <c r="D311" s="1437"/>
      <c r="E311" s="1437"/>
      <c r="F311" s="1437"/>
      <c r="G311" s="1437"/>
      <c r="H311" s="1437"/>
      <c r="I311" s="1437"/>
      <c r="J311" s="1437"/>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Indiana Michigan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157</v>
      </c>
      <c r="C314" s="345"/>
      <c r="D314" s="345" t="s">
        <v>582</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158</v>
      </c>
      <c r="C316" s="345"/>
      <c r="D316" s="1441" t="s">
        <v>49</v>
      </c>
      <c r="E316" s="1434"/>
      <c r="F316" s="1434"/>
      <c r="G316" s="1434"/>
      <c r="H316" s="1434"/>
      <c r="I316" s="1434"/>
      <c r="J316" s="1434"/>
      <c r="K316" s="551"/>
      <c r="L316" s="551"/>
      <c r="M316" s="345"/>
      <c r="N316" s="365"/>
      <c r="O316" s="365"/>
      <c r="P316" s="365"/>
      <c r="Q316" s="365"/>
      <c r="R316" s="365"/>
      <c r="S316" s="365"/>
      <c r="T316" s="365"/>
      <c r="U316" s="365"/>
    </row>
    <row r="317" spans="2:21">
      <c r="B317" s="542"/>
      <c r="C317" s="345"/>
      <c r="D317" s="1442"/>
      <c r="E317" s="1442"/>
      <c r="F317" s="1442"/>
      <c r="G317" s="1442"/>
      <c r="H317" s="1442"/>
      <c r="I317" s="1442"/>
      <c r="J317" s="1442"/>
      <c r="K317" s="554"/>
      <c r="L317" s="554"/>
      <c r="M317" s="345"/>
      <c r="N317" s="365"/>
      <c r="O317" s="365"/>
      <c r="P317" s="365"/>
      <c r="Q317" s="365"/>
      <c r="R317" s="365"/>
      <c r="S317" s="365"/>
      <c r="T317" s="365"/>
      <c r="U317" s="365"/>
    </row>
    <row r="318" spans="2:21">
      <c r="B318" s="542"/>
      <c r="C318" s="345"/>
      <c r="D318" s="1434"/>
      <c r="E318" s="1434"/>
      <c r="F318" s="1434"/>
      <c r="G318" s="1434"/>
      <c r="H318" s="1434"/>
      <c r="I318" s="1434"/>
      <c r="J318" s="1434"/>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ht="15.75">
      <c r="B320" s="1131" t="s">
        <v>159</v>
      </c>
      <c r="C320" s="1132"/>
      <c r="D320" s="1435" t="s">
        <v>869</v>
      </c>
      <c r="E320" s="1436"/>
      <c r="F320" s="1436"/>
      <c r="G320" s="1436"/>
      <c r="H320" s="1436"/>
      <c r="I320" s="1436"/>
      <c r="J320" s="1436"/>
      <c r="K320" s="1436"/>
      <c r="L320" s="554"/>
      <c r="M320" s="345"/>
      <c r="N320" s="365"/>
      <c r="O320" s="365"/>
      <c r="P320" s="365"/>
      <c r="Q320" s="365"/>
      <c r="R320" s="365"/>
      <c r="S320" s="365"/>
      <c r="T320" s="365"/>
      <c r="U320" s="365"/>
    </row>
    <row r="321" spans="2:21" ht="15.75">
      <c r="B321" s="1098"/>
      <c r="C321" s="1132"/>
      <c r="D321" s="1436"/>
      <c r="E321" s="1436"/>
      <c r="F321" s="1436"/>
      <c r="G321" s="1436"/>
      <c r="H321" s="1436"/>
      <c r="I321" s="1436"/>
      <c r="J321" s="1436"/>
      <c r="K321" s="1436"/>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160</v>
      </c>
      <c r="C323" s="380"/>
      <c r="D323" s="1455" t="s">
        <v>583</v>
      </c>
      <c r="E323" s="1455"/>
      <c r="F323" s="1455"/>
      <c r="G323" s="1455"/>
      <c r="H323" s="1455"/>
      <c r="I323" s="1455"/>
      <c r="J323" s="1455"/>
      <c r="K323" s="1455"/>
      <c r="L323" s="1455"/>
      <c r="M323" s="345"/>
      <c r="N323" s="365"/>
      <c r="O323" s="365"/>
      <c r="P323" s="365"/>
      <c r="Q323" s="365"/>
      <c r="R323" s="365"/>
      <c r="S323" s="365"/>
      <c r="T323" s="365"/>
      <c r="U323" s="365"/>
    </row>
    <row r="324" spans="2:21">
      <c r="B324" s="379"/>
      <c r="C324" s="380"/>
      <c r="D324" s="1455"/>
      <c r="E324" s="1455"/>
      <c r="F324" s="1455"/>
      <c r="G324" s="1455"/>
      <c r="H324" s="1455"/>
      <c r="I324" s="1455"/>
      <c r="J324" s="1455"/>
      <c r="K324" s="1455"/>
      <c r="L324" s="1455"/>
      <c r="M324" s="345"/>
      <c r="N324" s="365"/>
      <c r="O324" s="365"/>
      <c r="P324" s="365"/>
      <c r="Q324" s="365"/>
      <c r="R324" s="365"/>
      <c r="S324" s="365"/>
      <c r="T324" s="365"/>
      <c r="U324" s="365"/>
    </row>
    <row r="325" spans="2:21">
      <c r="B325" s="379"/>
      <c r="C325" s="380"/>
      <c r="D325" s="1455"/>
      <c r="E325" s="1455"/>
      <c r="F325" s="1455"/>
      <c r="G325" s="1455"/>
      <c r="H325" s="1455"/>
      <c r="I325" s="1455"/>
      <c r="J325" s="1455"/>
      <c r="K325" s="1455"/>
      <c r="L325" s="1455"/>
      <c r="M325" s="345"/>
      <c r="N325" s="365"/>
      <c r="O325" s="365"/>
      <c r="P325" s="365"/>
      <c r="Q325" s="365"/>
      <c r="R325" s="365"/>
      <c r="S325" s="365"/>
      <c r="T325" s="365"/>
      <c r="U325" s="365"/>
    </row>
    <row r="326" spans="2:21">
      <c r="B326" s="379"/>
      <c r="C326" s="380"/>
      <c r="D326" s="1455"/>
      <c r="E326" s="1455"/>
      <c r="F326" s="1455"/>
      <c r="G326" s="1455"/>
      <c r="H326" s="1455"/>
      <c r="I326" s="1455"/>
      <c r="J326" s="1455"/>
      <c r="K326" s="1455"/>
      <c r="L326" s="1455"/>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161</v>
      </c>
      <c r="C328" s="380"/>
      <c r="D328" s="1438" t="s">
        <v>867</v>
      </c>
      <c r="E328" s="1439"/>
      <c r="F328" s="1439"/>
      <c r="G328" s="1439"/>
      <c r="H328" s="1439"/>
      <c r="I328" s="1439"/>
      <c r="J328" s="1439"/>
      <c r="K328" s="1439"/>
      <c r="L328" s="1440"/>
      <c r="M328" s="345"/>
      <c r="N328" s="365"/>
      <c r="O328" s="365"/>
      <c r="P328" s="365"/>
      <c r="Q328" s="365"/>
      <c r="R328" s="365"/>
      <c r="S328" s="365"/>
      <c r="T328" s="365"/>
      <c r="U328" s="365"/>
    </row>
    <row r="329" spans="2:21">
      <c r="B329" s="379"/>
      <c r="C329" s="380"/>
      <c r="D329" s="1439"/>
      <c r="E329" s="1439"/>
      <c r="F329" s="1439"/>
      <c r="G329" s="1439"/>
      <c r="H329" s="1439"/>
      <c r="I329" s="1439"/>
      <c r="J329" s="1439"/>
      <c r="K329" s="1439"/>
      <c r="L329" s="1440"/>
      <c r="M329" s="345"/>
      <c r="N329" s="365"/>
      <c r="O329" s="365"/>
      <c r="P329" s="365"/>
      <c r="Q329" s="365"/>
      <c r="R329" s="365"/>
      <c r="S329" s="365"/>
      <c r="T329" s="365"/>
      <c r="U329" s="365"/>
    </row>
    <row r="330" spans="2:21">
      <c r="B330" s="379"/>
      <c r="C330" s="380"/>
      <c r="D330" s="1440"/>
      <c r="E330" s="1440"/>
      <c r="F330" s="1440"/>
      <c r="G330" s="1440"/>
      <c r="H330" s="1440"/>
      <c r="I330" s="1440"/>
      <c r="J330" s="1440"/>
      <c r="K330" s="1440"/>
      <c r="L330" s="1440"/>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246</v>
      </c>
      <c r="C332" s="380"/>
      <c r="D332" s="391" t="s">
        <v>356</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305</v>
      </c>
      <c r="C334" s="380"/>
      <c r="D334" s="391" t="s">
        <v>345</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234</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235</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236</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346</v>
      </c>
      <c r="E339" s="365" t="s">
        <v>347</v>
      </c>
      <c r="F339" s="869">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348</v>
      </c>
      <c r="F340" s="544">
        <f>'WS G  State Tax Rate'!F38</f>
        <v>0.05</v>
      </c>
      <c r="G340" s="365" t="s">
        <v>506</v>
      </c>
      <c r="H340" s="345"/>
      <c r="I340" s="345"/>
      <c r="J340" s="345"/>
      <c r="K340" s="345"/>
      <c r="L340" s="345"/>
      <c r="M340" s="345"/>
      <c r="N340" s="365"/>
      <c r="O340" s="365"/>
      <c r="P340" s="365"/>
      <c r="Q340" s="365"/>
      <c r="R340" s="365"/>
      <c r="S340" s="365"/>
      <c r="T340" s="365"/>
      <c r="U340" s="365"/>
    </row>
    <row r="341" spans="2:21">
      <c r="B341" s="555"/>
      <c r="C341" s="365"/>
      <c r="D341" s="391"/>
      <c r="E341" s="365" t="s">
        <v>349</v>
      </c>
      <c r="F341" s="869">
        <v>0</v>
      </c>
      <c r="G341" s="365" t="s">
        <v>350</v>
      </c>
      <c r="H341" s="345"/>
      <c r="I341" s="345"/>
      <c r="J341" s="345"/>
      <c r="K341" s="345"/>
      <c r="L341" s="345"/>
      <c r="M341" s="345"/>
      <c r="N341" s="365"/>
      <c r="O341" s="365"/>
      <c r="P341" s="365"/>
      <c r="Q341" s="365"/>
      <c r="R341" s="365"/>
      <c r="S341" s="365"/>
      <c r="T341" s="365"/>
      <c r="U341" s="365"/>
    </row>
    <row r="342" spans="2:21">
      <c r="B342" s="449"/>
      <c r="C342" s="380"/>
      <c r="D342" s="391" t="s">
        <v>594</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595</v>
      </c>
      <c r="E343" s="345"/>
      <c r="F343" s="345"/>
      <c r="G343" s="345"/>
      <c r="H343" s="345"/>
      <c r="I343" s="345"/>
      <c r="J343" s="345"/>
      <c r="K343" s="345"/>
      <c r="L343" s="345"/>
      <c r="M343" s="365"/>
      <c r="N343" s="365"/>
      <c r="O343" s="365"/>
      <c r="P343" s="365"/>
      <c r="Q343" s="365"/>
      <c r="R343" s="365"/>
      <c r="S343" s="365"/>
      <c r="T343" s="365"/>
      <c r="U343" s="365"/>
    </row>
    <row r="344" spans="2:21">
      <c r="B344" s="379" t="s">
        <v>351</v>
      </c>
      <c r="C344" s="380"/>
      <c r="D344" s="391" t="s">
        <v>225</v>
      </c>
      <c r="E344" s="345"/>
      <c r="F344" s="345"/>
      <c r="G344" s="345"/>
      <c r="H344" s="345"/>
      <c r="I344" s="345"/>
      <c r="J344" s="345"/>
      <c r="K344" s="345"/>
      <c r="L344" s="345"/>
      <c r="M344" s="345"/>
      <c r="N344" s="365"/>
      <c r="O344" s="365"/>
      <c r="P344" s="365"/>
      <c r="Q344" s="365"/>
      <c r="R344" s="365"/>
      <c r="S344" s="365"/>
      <c r="T344" s="365"/>
      <c r="U344" s="365"/>
    </row>
    <row r="345" spans="2:2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352</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353</v>
      </c>
      <c r="C348" s="380"/>
      <c r="D348" s="391" t="s">
        <v>416</v>
      </c>
      <c r="E348" s="365"/>
      <c r="F348" s="365"/>
      <c r="G348" s="365"/>
      <c r="H348" s="365"/>
      <c r="I348" s="365"/>
      <c r="J348" s="365"/>
      <c r="K348" s="365"/>
      <c r="L348" s="365"/>
      <c r="M348" s="365"/>
      <c r="N348" s="365"/>
      <c r="O348" s="365"/>
      <c r="P348" s="365"/>
      <c r="Q348" s="365"/>
      <c r="R348" s="365"/>
      <c r="S348" s="365"/>
      <c r="T348" s="365"/>
      <c r="U348" s="365"/>
    </row>
    <row r="349" spans="2:2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354</v>
      </c>
      <c r="C350" s="450"/>
      <c r="D350" s="39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5"/>
      <c r="N350" s="365"/>
      <c r="O350" s="365"/>
      <c r="P350" s="365"/>
      <c r="Q350" s="365"/>
      <c r="R350" s="365"/>
      <c r="S350" s="365"/>
      <c r="T350" s="365"/>
      <c r="U350" s="365"/>
    </row>
    <row r="351" spans="2:21">
      <c r="B351" s="543"/>
      <c r="C351" s="345"/>
      <c r="D351" s="39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5"/>
      <c r="N351" s="365"/>
      <c r="O351" s="365"/>
      <c r="P351" s="365"/>
      <c r="Q351" s="365"/>
      <c r="R351" s="365"/>
      <c r="S351" s="365"/>
      <c r="T351" s="365"/>
      <c r="U351" s="365"/>
    </row>
    <row r="352" spans="2:21" ht="15" customHeight="1">
      <c r="B352" s="543"/>
      <c r="C352" s="345"/>
      <c r="D352" s="1456" t="s">
        <v>584</v>
      </c>
      <c r="E352" s="1456"/>
      <c r="F352" s="1456"/>
      <c r="G352" s="1456"/>
      <c r="H352" s="1456"/>
      <c r="I352" s="1456"/>
      <c r="J352" s="1456"/>
      <c r="K352" s="1456"/>
      <c r="L352" s="1456"/>
      <c r="M352" s="365"/>
      <c r="N352" s="365"/>
      <c r="O352" s="365"/>
      <c r="P352" s="365"/>
      <c r="Q352" s="365"/>
      <c r="R352" s="365"/>
      <c r="S352" s="365"/>
      <c r="T352" s="365"/>
      <c r="U352" s="365"/>
    </row>
    <row r="353" spans="2:21">
      <c r="B353" s="543"/>
      <c r="C353" s="345"/>
      <c r="D353" s="1456"/>
      <c r="E353" s="1456"/>
      <c r="F353" s="1456"/>
      <c r="G353" s="1456"/>
      <c r="H353" s="1456"/>
      <c r="I353" s="1456"/>
      <c r="J353" s="1456"/>
      <c r="K353" s="1456"/>
      <c r="L353" s="1456"/>
      <c r="M353" s="365"/>
      <c r="N353" s="365"/>
      <c r="O353" s="365"/>
      <c r="P353" s="365"/>
      <c r="Q353" s="365"/>
      <c r="R353" s="365"/>
      <c r="S353" s="365"/>
      <c r="T353" s="365"/>
      <c r="U353" s="365"/>
    </row>
    <row r="354" spans="2:21" ht="14.25" customHeight="1">
      <c r="B354" s="543"/>
      <c r="C354" s="345"/>
      <c r="D354" s="1456"/>
      <c r="E354" s="1456"/>
      <c r="F354" s="1456"/>
      <c r="G354" s="1456"/>
      <c r="H354" s="1456"/>
      <c r="I354" s="1456"/>
      <c r="J354" s="1456"/>
      <c r="K354" s="1456"/>
      <c r="L354" s="1456"/>
      <c r="M354" s="365"/>
      <c r="N354" s="365"/>
      <c r="O354" s="365"/>
      <c r="P354" s="365"/>
      <c r="Q354" s="365"/>
      <c r="R354" s="365"/>
      <c r="S354" s="365"/>
      <c r="T354" s="365"/>
      <c r="U354" s="365"/>
    </row>
    <row r="355" spans="2:21" ht="15" hidden="1" customHeight="1">
      <c r="B355" s="543"/>
      <c r="C355" s="345"/>
      <c r="D355" s="1456"/>
      <c r="E355" s="1456"/>
      <c r="F355" s="1456"/>
      <c r="G355" s="1456"/>
      <c r="H355" s="1456"/>
      <c r="I355" s="1456"/>
      <c r="J355" s="1456"/>
      <c r="K355" s="1456"/>
      <c r="L355" s="1456"/>
      <c r="M355" s="365"/>
      <c r="N355" s="365"/>
      <c r="O355" s="365"/>
      <c r="P355" s="365"/>
      <c r="Q355" s="365"/>
      <c r="R355" s="365"/>
      <c r="S355" s="365"/>
      <c r="T355" s="365"/>
      <c r="U355" s="365"/>
    </row>
    <row r="356" spans="2:21" ht="15" hidden="1" customHeight="1">
      <c r="B356" s="543"/>
      <c r="C356" s="345"/>
      <c r="D356" s="1456"/>
      <c r="E356" s="1456"/>
      <c r="F356" s="1456"/>
      <c r="G356" s="1456"/>
      <c r="H356" s="1456"/>
      <c r="I356" s="1456"/>
      <c r="J356" s="1456"/>
      <c r="K356" s="1456"/>
      <c r="L356" s="1456"/>
      <c r="M356" s="365"/>
      <c r="N356" s="365"/>
      <c r="O356" s="365"/>
      <c r="P356" s="365"/>
      <c r="Q356" s="365"/>
      <c r="R356" s="365"/>
      <c r="S356" s="365"/>
      <c r="T356" s="365"/>
      <c r="U356" s="365"/>
    </row>
    <row r="357" spans="2:21" ht="15" hidden="1" customHeight="1">
      <c r="B357" s="543"/>
      <c r="C357" s="345"/>
      <c r="D357" s="1456"/>
      <c r="E357" s="1456"/>
      <c r="F357" s="1456"/>
      <c r="G357" s="1456"/>
      <c r="H357" s="1456"/>
      <c r="I357" s="1456"/>
      <c r="J357" s="1456"/>
      <c r="K357" s="1456"/>
      <c r="L357" s="1456"/>
      <c r="M357" s="365"/>
      <c r="N357" s="365"/>
      <c r="O357" s="365"/>
      <c r="P357" s="365"/>
      <c r="Q357" s="365"/>
      <c r="R357" s="365"/>
      <c r="S357" s="365"/>
      <c r="T357" s="365"/>
      <c r="U357" s="365"/>
    </row>
    <row r="358" spans="2:21" s="345" customFormat="1">
      <c r="B358" s="379" t="s">
        <v>427</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457" t="s">
        <v>585</v>
      </c>
      <c r="E360" s="1457"/>
      <c r="F360" s="1457"/>
      <c r="G360" s="1457"/>
      <c r="H360" s="1457"/>
      <c r="I360" s="1457"/>
      <c r="J360" s="1457"/>
      <c r="K360" s="1457"/>
      <c r="L360" s="1457"/>
      <c r="M360" s="365"/>
      <c r="N360" s="365"/>
      <c r="O360" s="365"/>
      <c r="P360" s="365"/>
      <c r="Q360" s="365"/>
      <c r="R360" s="365"/>
      <c r="S360" s="365"/>
      <c r="T360" s="365"/>
      <c r="U360" s="365"/>
    </row>
    <row r="361" spans="2:21" s="345" customFormat="1">
      <c r="B361" s="379"/>
      <c r="C361" s="380"/>
      <c r="D361" s="1457"/>
      <c r="E361" s="1457"/>
      <c r="F361" s="1457"/>
      <c r="G361" s="1457"/>
      <c r="H361" s="1457"/>
      <c r="I361" s="1457"/>
      <c r="J361" s="1457"/>
      <c r="K361" s="1457"/>
      <c r="L361" s="1457"/>
      <c r="M361" s="365"/>
      <c r="N361" s="365"/>
      <c r="O361" s="365"/>
      <c r="P361" s="365"/>
      <c r="Q361" s="365"/>
      <c r="R361" s="365"/>
      <c r="S361" s="365"/>
      <c r="T361" s="365"/>
      <c r="U361" s="365"/>
    </row>
    <row r="362" spans="2:21" s="345" customFormat="1">
      <c r="B362" s="379"/>
      <c r="C362" s="380"/>
      <c r="D362" s="1457"/>
      <c r="E362" s="1457"/>
      <c r="F362" s="1457"/>
      <c r="G362" s="1457"/>
      <c r="H362" s="1457"/>
      <c r="I362" s="1457"/>
      <c r="J362" s="1457"/>
      <c r="K362" s="1457"/>
      <c r="L362" s="1457"/>
      <c r="M362" s="365"/>
      <c r="N362" s="365"/>
      <c r="O362" s="365"/>
      <c r="P362" s="365"/>
      <c r="Q362" s="365"/>
      <c r="R362" s="365"/>
      <c r="S362" s="365"/>
      <c r="T362" s="365"/>
      <c r="U362" s="365"/>
    </row>
    <row r="363" spans="2:21">
      <c r="B363" s="379" t="s">
        <v>495</v>
      </c>
      <c r="C363" s="556"/>
      <c r="D363" s="1457" t="s">
        <v>763</v>
      </c>
      <c r="E363" s="1457"/>
      <c r="F363" s="1457"/>
      <c r="G363" s="1457"/>
      <c r="H363" s="1457"/>
      <c r="I363" s="1457"/>
      <c r="J363" s="1457"/>
      <c r="K363" s="1457"/>
      <c r="L363" s="1457"/>
      <c r="M363" s="365"/>
      <c r="N363" s="365"/>
      <c r="O363" s="365"/>
      <c r="P363" s="365"/>
      <c r="Q363" s="365"/>
      <c r="R363" s="365"/>
      <c r="S363" s="365"/>
      <c r="T363" s="365"/>
      <c r="U363" s="365"/>
    </row>
    <row r="364" spans="2:21" ht="64.5" customHeight="1">
      <c r="B364" s="379"/>
      <c r="C364" s="380"/>
      <c r="D364" s="1457"/>
      <c r="E364" s="1457"/>
      <c r="F364" s="1457"/>
      <c r="G364" s="1457"/>
      <c r="H364" s="1457"/>
      <c r="I364" s="1457"/>
      <c r="J364" s="1457"/>
      <c r="K364" s="1457"/>
      <c r="L364" s="1457"/>
      <c r="M364" s="365"/>
      <c r="N364" s="365"/>
      <c r="O364" s="365"/>
      <c r="P364" s="365"/>
      <c r="Q364" s="365"/>
      <c r="R364" s="365"/>
      <c r="S364" s="365"/>
      <c r="T364" s="365"/>
      <c r="U364" s="365"/>
    </row>
    <row r="365" spans="2:21">
      <c r="B365" s="379" t="s">
        <v>587</v>
      </c>
      <c r="C365" s="380"/>
      <c r="D365" s="1454" t="s">
        <v>586</v>
      </c>
      <c r="E365" s="1454"/>
      <c r="F365" s="1454"/>
      <c r="G365" s="1454"/>
      <c r="H365" s="1454"/>
      <c r="I365" s="1454"/>
      <c r="J365" s="1454"/>
      <c r="K365" s="1454"/>
      <c r="L365" s="1454"/>
      <c r="M365" s="365"/>
      <c r="N365" s="365"/>
      <c r="O365" s="365"/>
      <c r="P365" s="365"/>
      <c r="Q365" s="365"/>
      <c r="R365" s="365"/>
      <c r="S365" s="365"/>
      <c r="T365" s="365"/>
      <c r="U365" s="365"/>
    </row>
    <row r="366" spans="2:21">
      <c r="B366" s="379"/>
      <c r="C366" s="380"/>
      <c r="D366" s="1454"/>
      <c r="E366" s="1454"/>
      <c r="F366" s="1454"/>
      <c r="G366" s="1454"/>
      <c r="H366" s="1454"/>
      <c r="I366" s="1454"/>
      <c r="J366" s="1454"/>
      <c r="K366" s="1454"/>
      <c r="L366" s="1454"/>
      <c r="M366" s="365"/>
      <c r="N366" s="365"/>
      <c r="O366" s="365"/>
      <c r="P366" s="365"/>
      <c r="Q366" s="365"/>
      <c r="R366" s="365"/>
      <c r="S366" s="365"/>
      <c r="T366" s="365"/>
      <c r="U366" s="365"/>
    </row>
    <row r="367" spans="2:21">
      <c r="B367" s="379" t="s">
        <v>589</v>
      </c>
      <c r="C367" s="380"/>
      <c r="D367" s="1460" t="s">
        <v>590</v>
      </c>
      <c r="E367" s="1460"/>
      <c r="F367" s="1460"/>
      <c r="G367" s="1460"/>
      <c r="H367" s="1460"/>
      <c r="I367" s="1460"/>
      <c r="J367" s="1460"/>
      <c r="K367" s="1460"/>
      <c r="L367" s="1460"/>
      <c r="M367" s="365"/>
      <c r="N367" s="365"/>
      <c r="O367" s="365"/>
      <c r="P367" s="365"/>
      <c r="Q367" s="365"/>
      <c r="R367" s="365"/>
      <c r="S367" s="365"/>
      <c r="T367" s="365"/>
      <c r="U367" s="365"/>
    </row>
    <row r="368" spans="2:21">
      <c r="B368" s="379" t="s">
        <v>588</v>
      </c>
      <c r="C368" s="380"/>
      <c r="D368" s="1454" t="s">
        <v>591</v>
      </c>
      <c r="E368" s="1454"/>
      <c r="F368" s="1454"/>
      <c r="G368" s="1454"/>
      <c r="H368" s="1454"/>
      <c r="I368" s="1454"/>
      <c r="J368" s="1454"/>
      <c r="K368" s="1454"/>
      <c r="L368" s="1454"/>
      <c r="M368" s="365"/>
      <c r="N368" s="365"/>
      <c r="O368" s="365"/>
      <c r="P368" s="365"/>
      <c r="Q368" s="365"/>
      <c r="R368" s="365"/>
      <c r="S368" s="365"/>
      <c r="T368" s="365"/>
      <c r="U368" s="365"/>
    </row>
    <row r="369" spans="2:21">
      <c r="B369" s="379"/>
      <c r="C369" s="380"/>
      <c r="D369" s="1454"/>
      <c r="E369" s="1454"/>
      <c r="F369" s="1454"/>
      <c r="G369" s="1454"/>
      <c r="H369" s="1454"/>
      <c r="I369" s="1454"/>
      <c r="J369" s="1454"/>
      <c r="K369" s="1454"/>
      <c r="L369" s="1454"/>
      <c r="M369" s="365"/>
      <c r="N369" s="365"/>
      <c r="O369" s="365"/>
      <c r="P369" s="365"/>
      <c r="Q369" s="365"/>
      <c r="R369" s="365"/>
      <c r="S369" s="365"/>
      <c r="T369" s="365"/>
      <c r="U369" s="365"/>
    </row>
    <row r="370" spans="2:21">
      <c r="B370" s="357"/>
      <c r="C370" s="357"/>
      <c r="D370" s="1454"/>
      <c r="E370" s="1454"/>
      <c r="F370" s="1454"/>
      <c r="G370" s="1454"/>
      <c r="H370" s="1454"/>
      <c r="I370" s="1454"/>
      <c r="J370" s="1454"/>
      <c r="K370" s="1454"/>
      <c r="L370" s="1454"/>
      <c r="M370" s="365"/>
      <c r="N370" s="365"/>
      <c r="O370" s="365"/>
      <c r="P370" s="365"/>
      <c r="Q370" s="365"/>
      <c r="R370" s="365"/>
      <c r="S370" s="365"/>
      <c r="T370" s="365"/>
      <c r="U370" s="365"/>
    </row>
    <row r="371" spans="2:21" ht="18" customHeight="1">
      <c r="B371" s="1144" t="s">
        <v>635</v>
      </c>
      <c r="C371" s="1145"/>
      <c r="D371" s="545" t="s">
        <v>873</v>
      </c>
      <c r="E371" s="606"/>
      <c r="F371" s="606"/>
      <c r="G371" s="606"/>
      <c r="H371" s="357"/>
      <c r="M371" s="365"/>
      <c r="N371" s="365"/>
      <c r="O371" s="365"/>
      <c r="P371" s="365"/>
      <c r="Q371" s="365"/>
      <c r="R371" s="365"/>
      <c r="S371" s="365"/>
      <c r="T371" s="365"/>
      <c r="U371" s="365"/>
    </row>
    <row r="372" spans="2:21">
      <c r="B372" s="357"/>
      <c r="C372" s="357"/>
      <c r="D372" s="357"/>
      <c r="E372" s="357"/>
      <c r="F372" s="357"/>
      <c r="G372" s="357"/>
      <c r="H372" s="357"/>
      <c r="M372" s="365"/>
      <c r="N372" s="365"/>
      <c r="O372" s="365"/>
      <c r="P372" s="365"/>
      <c r="Q372" s="365"/>
      <c r="R372" s="365"/>
      <c r="S372" s="365"/>
      <c r="T372" s="365"/>
      <c r="U372" s="365"/>
    </row>
    <row r="373" spans="2:21">
      <c r="B373" s="1144" t="s">
        <v>1000</v>
      </c>
      <c r="C373" s="439"/>
      <c r="D373" s="1453" t="s">
        <v>1001</v>
      </c>
      <c r="E373" s="1453"/>
      <c r="F373" s="1453"/>
      <c r="G373" s="1453"/>
      <c r="H373" s="1453"/>
      <c r="I373" s="1453"/>
      <c r="J373" s="1453"/>
      <c r="K373" s="1453"/>
      <c r="L373" s="1453"/>
      <c r="M373" s="365"/>
      <c r="N373" s="365"/>
      <c r="O373" s="365"/>
      <c r="P373" s="365"/>
      <c r="Q373" s="365"/>
      <c r="R373" s="365"/>
      <c r="S373" s="365"/>
      <c r="T373" s="365"/>
      <c r="U373" s="365"/>
    </row>
    <row r="374" spans="2:21">
      <c r="B374" s="439"/>
      <c r="C374" s="439"/>
      <c r="D374" s="1453"/>
      <c r="E374" s="1453"/>
      <c r="F374" s="1453"/>
      <c r="G374" s="1453"/>
      <c r="H374" s="1453"/>
      <c r="I374" s="1453"/>
      <c r="J374" s="1453"/>
      <c r="K374" s="1453"/>
      <c r="L374" s="1453"/>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357"/>
      <c r="C376" s="357"/>
      <c r="D376" s="357"/>
      <c r="E376" s="357"/>
      <c r="F376" s="357"/>
      <c r="G376" s="357"/>
      <c r="H376" s="357"/>
      <c r="M376" s="365"/>
      <c r="N376" s="365"/>
      <c r="O376" s="365"/>
      <c r="P376" s="365"/>
      <c r="Q376" s="365"/>
      <c r="R376" s="365"/>
      <c r="S376" s="365"/>
      <c r="T376" s="365"/>
      <c r="U376" s="36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B1232" s="543"/>
      <c r="C1232" s="345"/>
      <c r="D1232" s="345"/>
      <c r="E1232" s="345"/>
      <c r="F1232" s="345"/>
      <c r="G1232" s="345"/>
      <c r="H1232" s="345"/>
      <c r="I1232" s="345"/>
      <c r="J1232" s="345"/>
      <c r="K1232" s="345"/>
      <c r="L1232" s="345"/>
      <c r="M1232" s="345"/>
    </row>
    <row r="1233" spans="9:10">
      <c r="I1233" s="345"/>
      <c r="J1233" s="345"/>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5" manualBreakCount="5">
    <brk id="51" max="12" man="1"/>
    <brk id="126" max="12" man="1"/>
    <brk id="214" max="12" man="1"/>
    <brk id="260" max="12" man="1"/>
    <brk id="37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4"/>
  <sheetViews>
    <sheetView topLeftCell="A34" zoomScale="70" zoomScaleNormal="70" zoomScaleSheetLayoutView="85" workbookViewId="0">
      <selection activeCell="F70" sqref="F70"/>
    </sheetView>
  </sheetViews>
  <sheetFormatPr defaultRowHeight="15"/>
  <cols>
    <col min="1" max="1" width="10.42578125" style="59"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20" t="s">
        <v>115</v>
      </c>
    </row>
    <row r="2" spans="1:11" ht="15.75">
      <c r="A2" s="920" t="s">
        <v>115</v>
      </c>
    </row>
    <row r="3" spans="1:11">
      <c r="A3" s="1461" t="s">
        <v>388</v>
      </c>
      <c r="B3" s="1461"/>
      <c r="C3" s="1461"/>
      <c r="D3" s="1461"/>
      <c r="E3" s="1461"/>
      <c r="F3" s="1461"/>
      <c r="G3" s="1461"/>
      <c r="H3" s="40"/>
    </row>
    <row r="4" spans="1:11" ht="17.25" customHeight="1">
      <c r="A4" s="1462" t="str">
        <f>"Cost of Service Formula Rate Using Actual/Projected FF1 Balances"</f>
        <v>Cost of Service Formula Rate Using Actual/Projected FF1 Balances</v>
      </c>
      <c r="B4" s="1462"/>
      <c r="C4" s="1462"/>
      <c r="D4" s="1462"/>
      <c r="E4" s="1462"/>
      <c r="F4" s="1462"/>
      <c r="G4" s="1462"/>
      <c r="H4" s="98"/>
      <c r="I4" s="98"/>
      <c r="J4" s="98"/>
      <c r="K4" s="98"/>
    </row>
    <row r="5" spans="1:11" ht="18" customHeight="1">
      <c r="A5" s="1462" t="s">
        <v>489</v>
      </c>
      <c r="B5" s="1462"/>
      <c r="C5" s="1462"/>
      <c r="D5" s="1462"/>
      <c r="E5" s="1462"/>
      <c r="F5" s="1462"/>
      <c r="G5" s="1462"/>
    </row>
    <row r="6" spans="1:11" ht="19.5" customHeight="1">
      <c r="A6" s="1473" t="str">
        <f>TCOS!F9</f>
        <v xml:space="preserve">Indiana Michigan Power Company </v>
      </c>
      <c r="B6" s="1473"/>
      <c r="C6" s="1473"/>
      <c r="D6" s="1473"/>
      <c r="E6" s="1473"/>
      <c r="F6" s="1473"/>
      <c r="G6" s="1473"/>
    </row>
    <row r="7" spans="1:11" ht="12.75" customHeight="1">
      <c r="A7" s="1461"/>
      <c r="B7" s="1461"/>
      <c r="C7" s="1461"/>
      <c r="D7" s="1461"/>
      <c r="E7" s="1461"/>
      <c r="F7" s="1461"/>
      <c r="G7" s="47"/>
    </row>
    <row r="8" spans="1:11" ht="18">
      <c r="A8" s="1499"/>
      <c r="B8" s="1499"/>
      <c r="C8" s="1499"/>
      <c r="D8" s="1499"/>
      <c r="E8" s="1499"/>
      <c r="F8" s="1499"/>
      <c r="G8" s="1499"/>
    </row>
    <row r="9" spans="1:11" ht="18">
      <c r="A9" s="171"/>
      <c r="B9" s="171"/>
      <c r="C9" s="171"/>
      <c r="D9" s="171"/>
      <c r="E9" s="171"/>
      <c r="F9" s="171"/>
      <c r="G9" s="171"/>
    </row>
    <row r="10" spans="1:11" ht="15.75">
      <c r="B10" s="37" t="s">
        <v>163</v>
      </c>
      <c r="C10" s="37" t="s">
        <v>164</v>
      </c>
      <c r="D10" s="37" t="s">
        <v>165</v>
      </c>
      <c r="E10" s="37" t="s">
        <v>166</v>
      </c>
      <c r="F10" s="37" t="s">
        <v>85</v>
      </c>
      <c r="G10" s="37" t="s">
        <v>86</v>
      </c>
    </row>
    <row r="11" spans="1:11" ht="15.75">
      <c r="B11" s="51"/>
      <c r="C11" s="47"/>
      <c r="D11" s="210"/>
      <c r="E11" s="211"/>
      <c r="F11" s="212" t="s">
        <v>88</v>
      </c>
      <c r="G11" s="37"/>
    </row>
    <row r="12" spans="1:11" ht="15.75">
      <c r="A12" s="54" t="s">
        <v>170</v>
      </c>
      <c r="B12" s="51"/>
      <c r="C12" s="60"/>
      <c r="D12" s="54">
        <f>+TCOS!L4</f>
        <v>2021</v>
      </c>
      <c r="E12" s="212" t="s">
        <v>88</v>
      </c>
      <c r="F12" s="54" t="s">
        <v>116</v>
      </c>
      <c r="G12" s="37"/>
    </row>
    <row r="13" spans="1:11" ht="15.75">
      <c r="A13" s="54" t="s">
        <v>107</v>
      </c>
      <c r="B13" s="54" t="s">
        <v>37</v>
      </c>
      <c r="C13" s="54" t="s">
        <v>168</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497</v>
      </c>
      <c r="D17" s="45"/>
      <c r="E17" s="45"/>
      <c r="F17" s="45"/>
      <c r="G17" s="91"/>
    </row>
    <row r="18" spans="1:7">
      <c r="A18" s="59">
        <v>1</v>
      </c>
      <c r="B18" s="884"/>
      <c r="C18" s="885"/>
      <c r="D18" s="886"/>
      <c r="E18" s="68"/>
      <c r="F18" s="68"/>
      <c r="G18" s="917"/>
    </row>
    <row r="19" spans="1:7">
      <c r="A19" s="59">
        <v>2</v>
      </c>
      <c r="B19" s="884"/>
      <c r="C19" s="885"/>
      <c r="D19" s="886"/>
      <c r="E19" s="68"/>
      <c r="F19" s="68"/>
      <c r="G19" s="44"/>
    </row>
    <row r="20" spans="1:7">
      <c r="A20" s="59">
        <v>3</v>
      </c>
      <c r="B20" s="884"/>
      <c r="C20" s="885"/>
      <c r="D20" s="886"/>
      <c r="E20" s="68"/>
      <c r="F20" s="68"/>
      <c r="G20" s="44"/>
    </row>
    <row r="21" spans="1:7" ht="15.75">
      <c r="A21" s="59">
        <v>4</v>
      </c>
      <c r="B21" s="54"/>
      <c r="C21" s="245" t="s">
        <v>119</v>
      </c>
      <c r="D21" s="318">
        <f>SUM(D18:D19)</f>
        <v>0</v>
      </c>
      <c r="E21" s="68"/>
      <c r="F21" s="68"/>
      <c r="G21" s="54"/>
    </row>
    <row r="22" spans="1:7" ht="15.75">
      <c r="B22" s="54"/>
      <c r="C22" s="245"/>
      <c r="D22" s="260"/>
      <c r="E22" s="45"/>
      <c r="F22" s="45"/>
      <c r="G22" s="54"/>
    </row>
    <row r="23" spans="1:7" ht="15.75">
      <c r="A23" s="9"/>
      <c r="B23" s="54"/>
      <c r="C23" s="54" t="s">
        <v>50</v>
      </c>
      <c r="D23" s="312"/>
      <c r="E23" s="45"/>
      <c r="F23" s="45"/>
      <c r="G23" s="54"/>
    </row>
    <row r="24" spans="1:7" ht="15.75">
      <c r="A24" s="53">
        <f>+A21+1</f>
        <v>5</v>
      </c>
      <c r="B24" s="315"/>
      <c r="C24" s="313"/>
      <c r="D24" s="1155"/>
      <c r="E24" s="45"/>
      <c r="F24" s="45"/>
      <c r="G24" s="54"/>
    </row>
    <row r="25" spans="1:7" ht="15.75">
      <c r="A25" s="314">
        <f>+A24+1</f>
        <v>6</v>
      </c>
      <c r="B25" s="315" t="s">
        <v>51</v>
      </c>
      <c r="C25" s="315" t="s">
        <v>52</v>
      </c>
      <c r="D25" s="887">
        <v>0</v>
      </c>
      <c r="E25" s="45"/>
      <c r="F25" s="45"/>
      <c r="G25" s="54"/>
    </row>
    <row r="26" spans="1:7" ht="15.75">
      <c r="A26" s="53">
        <f>+A25+1</f>
        <v>7</v>
      </c>
      <c r="B26" s="313" t="s">
        <v>53</v>
      </c>
      <c r="C26" s="313" t="s">
        <v>54</v>
      </c>
      <c r="D26" s="887">
        <v>373000</v>
      </c>
      <c r="E26" s="45"/>
      <c r="F26" s="45"/>
      <c r="G26" s="54"/>
    </row>
    <row r="27" spans="1:7" ht="15.75">
      <c r="A27" s="314">
        <f t="shared" ref="A27:A32" si="0">+A26+1</f>
        <v>8</v>
      </c>
      <c r="B27" s="315" t="s">
        <v>55</v>
      </c>
      <c r="C27" s="315" t="s">
        <v>56</v>
      </c>
      <c r="D27" s="887">
        <v>0</v>
      </c>
      <c r="E27" s="45"/>
      <c r="F27" s="45"/>
      <c r="G27" s="54"/>
    </row>
    <row r="28" spans="1:7" ht="15.75">
      <c r="A28" s="53">
        <f t="shared" si="0"/>
        <v>9</v>
      </c>
      <c r="B28" s="313" t="s">
        <v>57</v>
      </c>
      <c r="C28" s="313" t="s">
        <v>58</v>
      </c>
      <c r="D28" s="887">
        <v>5371000</v>
      </c>
      <c r="E28" s="45"/>
      <c r="F28" s="45"/>
      <c r="G28" s="54"/>
    </row>
    <row r="29" spans="1:7" ht="15.75">
      <c r="A29" s="314">
        <f t="shared" si="0"/>
        <v>10</v>
      </c>
      <c r="B29" s="315" t="s">
        <v>59</v>
      </c>
      <c r="C29" s="315" t="s">
        <v>60</v>
      </c>
      <c r="D29" s="887">
        <v>226000</v>
      </c>
      <c r="E29" s="45"/>
      <c r="F29" s="45"/>
      <c r="G29" s="54"/>
    </row>
    <row r="30" spans="1:7" ht="15.75">
      <c r="A30" s="53">
        <f t="shared" si="0"/>
        <v>11</v>
      </c>
      <c r="B30" s="313" t="s">
        <v>61</v>
      </c>
      <c r="C30" s="313" t="s">
        <v>62</v>
      </c>
      <c r="D30" s="887">
        <v>0</v>
      </c>
      <c r="E30" s="45"/>
      <c r="F30" s="45"/>
      <c r="G30" s="54"/>
    </row>
    <row r="31" spans="1:7" ht="15.75">
      <c r="A31" s="314">
        <f t="shared" si="0"/>
        <v>12</v>
      </c>
      <c r="B31" s="315" t="s">
        <v>63</v>
      </c>
      <c r="C31" s="315" t="s">
        <v>64</v>
      </c>
      <c r="D31" s="887">
        <v>0</v>
      </c>
      <c r="E31" s="45"/>
      <c r="F31" s="45"/>
      <c r="G31" s="54"/>
    </row>
    <row r="32" spans="1:7" ht="15.75">
      <c r="A32" s="53">
        <f t="shared" si="0"/>
        <v>13</v>
      </c>
      <c r="B32" s="313" t="s">
        <v>65</v>
      </c>
      <c r="C32" s="313" t="s">
        <v>66</v>
      </c>
      <c r="D32" s="887">
        <v>1365000</v>
      </c>
      <c r="E32" s="45"/>
      <c r="F32" s="45"/>
      <c r="G32" s="54"/>
    </row>
    <row r="33" spans="1:19" ht="15.75">
      <c r="A33" s="59">
        <f>+A32+1</f>
        <v>14</v>
      </c>
      <c r="B33" s="288"/>
      <c r="C33" s="37" t="s">
        <v>67</v>
      </c>
      <c r="D33" s="289">
        <f>SUM(D24:D32)</f>
        <v>7335000</v>
      </c>
      <c r="E33" s="45"/>
      <c r="F33" s="45"/>
      <c r="G33" s="54"/>
    </row>
    <row r="34" spans="1:19" ht="15.75">
      <c r="A34" s="241"/>
      <c r="B34" s="67"/>
      <c r="C34" s="54"/>
      <c r="D34" s="54"/>
      <c r="E34" s="54"/>
      <c r="F34" s="54"/>
      <c r="G34" s="54"/>
    </row>
    <row r="35" spans="1:19" ht="15.75">
      <c r="A35" s="241"/>
      <c r="B35" s="53"/>
      <c r="C35" s="102" t="s">
        <v>213</v>
      </c>
      <c r="D35" s="47"/>
      <c r="E35" s="47"/>
      <c r="F35" s="47"/>
      <c r="G35" s="47"/>
    </row>
    <row r="36" spans="1:19">
      <c r="A36" s="59">
        <f>+A33+1</f>
        <v>15</v>
      </c>
      <c r="B36" s="1274" t="s">
        <v>907</v>
      </c>
      <c r="C36" s="885" t="s">
        <v>908</v>
      </c>
      <c r="D36" s="1275">
        <v>1000</v>
      </c>
      <c r="E36" s="45">
        <f>D36</f>
        <v>1000</v>
      </c>
      <c r="F36" s="45">
        <v>0</v>
      </c>
      <c r="G36" s="44" t="s">
        <v>115</v>
      </c>
    </row>
    <row r="37" spans="1:19">
      <c r="A37" s="59">
        <f>+A36+1</f>
        <v>16</v>
      </c>
      <c r="B37" s="1274" t="s">
        <v>909</v>
      </c>
      <c r="C37" s="885" t="s">
        <v>910</v>
      </c>
      <c r="D37" s="1275">
        <v>8050000</v>
      </c>
      <c r="E37" s="45">
        <f>D37</f>
        <v>8050000</v>
      </c>
      <c r="F37" s="45">
        <v>0</v>
      </c>
      <c r="G37" s="44" t="s">
        <v>115</v>
      </c>
    </row>
    <row r="38" spans="1:19">
      <c r="A38" s="59">
        <f>+A37+1</f>
        <v>17</v>
      </c>
      <c r="B38" s="1274" t="s">
        <v>911</v>
      </c>
      <c r="C38" s="885" t="s">
        <v>912</v>
      </c>
      <c r="D38" s="1275">
        <v>3497000</v>
      </c>
      <c r="E38" s="45">
        <f>D38</f>
        <v>3497000</v>
      </c>
      <c r="F38" s="45">
        <v>0</v>
      </c>
      <c r="G38" s="44" t="s">
        <v>115</v>
      </c>
    </row>
    <row r="39" spans="1:19">
      <c r="A39" s="59">
        <f>+A38+1</f>
        <v>18</v>
      </c>
      <c r="B39" s="1274" t="s">
        <v>994</v>
      </c>
      <c r="C39" s="885" t="s">
        <v>995</v>
      </c>
      <c r="D39" s="1275">
        <v>29000</v>
      </c>
      <c r="E39" s="45">
        <v>0</v>
      </c>
      <c r="F39" s="45">
        <f>D39</f>
        <v>29000</v>
      </c>
      <c r="G39" s="44" t="s">
        <v>115</v>
      </c>
    </row>
    <row r="40" spans="1:19" ht="12.75" customHeight="1">
      <c r="A40" s="59">
        <f>+A39+1</f>
        <v>19</v>
      </c>
      <c r="B40" s="884"/>
      <c r="C40" s="885"/>
      <c r="D40" s="885"/>
      <c r="E40" s="48"/>
      <c r="F40" s="49"/>
      <c r="G40" s="47"/>
    </row>
    <row r="41" spans="1:19" ht="15.75" customHeight="1">
      <c r="A41" s="59">
        <f>+A40+1</f>
        <v>20</v>
      </c>
      <c r="B41" s="51"/>
      <c r="C41" s="1156" t="s">
        <v>629</v>
      </c>
      <c r="D41" s="62">
        <f>SUM(D36:D39)</f>
        <v>11577000</v>
      </c>
      <c r="E41" s="62">
        <f>SUM(E36:E39)</f>
        <v>11548000</v>
      </c>
      <c r="F41" s="62">
        <f>SUM(F36:F39)</f>
        <v>29000</v>
      </c>
      <c r="G41" s="30"/>
    </row>
    <row r="42" spans="1:19" ht="12.75" customHeight="1">
      <c r="B42" s="51"/>
      <c r="C42" s="52"/>
      <c r="D42" s="66"/>
      <c r="E42" s="33"/>
      <c r="F42" s="33"/>
      <c r="G42" s="47"/>
    </row>
    <row r="43" spans="1:19" ht="15.75">
      <c r="B43" s="53"/>
      <c r="C43" s="102" t="s">
        <v>212</v>
      </c>
      <c r="D43" s="33"/>
      <c r="E43" s="33"/>
      <c r="F43" s="33"/>
      <c r="G43" s="47"/>
    </row>
    <row r="44" spans="1:19">
      <c r="A44" s="59">
        <f>+A41+1</f>
        <v>21</v>
      </c>
      <c r="B44" s="1274" t="s">
        <v>913</v>
      </c>
      <c r="C44" s="885" t="s">
        <v>914</v>
      </c>
      <c r="D44" s="1275">
        <v>1000</v>
      </c>
      <c r="E44" s="45">
        <f>+D44</f>
        <v>1000</v>
      </c>
      <c r="F44" s="45">
        <v>0</v>
      </c>
      <c r="G44"/>
      <c r="M44" s="29"/>
      <c r="N44" s="64"/>
      <c r="O44" s="65"/>
      <c r="P44" s="65"/>
      <c r="Q44" s="65"/>
      <c r="R44" s="65"/>
      <c r="S44" s="31"/>
    </row>
    <row r="45" spans="1:19">
      <c r="A45" s="59">
        <f>+A44+1</f>
        <v>22</v>
      </c>
      <c r="B45" s="1274" t="s">
        <v>915</v>
      </c>
      <c r="C45" s="885" t="s">
        <v>916</v>
      </c>
      <c r="D45" s="1275">
        <v>12000</v>
      </c>
      <c r="E45" s="45">
        <f t="shared" ref="E45:E57" si="1">+D45</f>
        <v>12000</v>
      </c>
      <c r="F45" s="45">
        <v>0</v>
      </c>
      <c r="G45"/>
      <c r="M45" s="29"/>
      <c r="N45" s="64"/>
      <c r="O45" s="65"/>
      <c r="P45" s="65"/>
      <c r="Q45" s="65"/>
      <c r="R45" s="65"/>
      <c r="S45" s="31"/>
    </row>
    <row r="46" spans="1:19">
      <c r="A46" s="59">
        <f t="shared" ref="A46:A59" si="2">+A45+1</f>
        <v>23</v>
      </c>
      <c r="B46" s="1274" t="s">
        <v>917</v>
      </c>
      <c r="C46" s="885" t="s">
        <v>918</v>
      </c>
      <c r="D46" s="1275">
        <v>1000</v>
      </c>
      <c r="E46" s="45">
        <f t="shared" si="1"/>
        <v>1000</v>
      </c>
      <c r="F46" s="45">
        <v>0</v>
      </c>
      <c r="G46"/>
      <c r="M46" s="29"/>
      <c r="N46" s="64"/>
      <c r="O46" s="65"/>
      <c r="P46" s="65"/>
      <c r="Q46" s="65"/>
      <c r="R46" s="65"/>
      <c r="S46" s="31"/>
    </row>
    <row r="47" spans="1:19">
      <c r="A47" s="59">
        <f t="shared" si="2"/>
        <v>24</v>
      </c>
      <c r="B47" s="1274" t="s">
        <v>919</v>
      </c>
      <c r="C47" s="885" t="s">
        <v>920</v>
      </c>
      <c r="D47" s="1275">
        <v>0</v>
      </c>
      <c r="E47" s="45">
        <f t="shared" si="1"/>
        <v>0</v>
      </c>
      <c r="F47" s="45">
        <v>0</v>
      </c>
      <c r="G47"/>
      <c r="M47" s="29"/>
      <c r="N47" s="64"/>
      <c r="O47" s="65"/>
      <c r="P47" s="65"/>
      <c r="Q47" s="65"/>
      <c r="R47" s="65"/>
      <c r="S47" s="31"/>
    </row>
    <row r="48" spans="1:19">
      <c r="A48" s="59">
        <f>+A47+1</f>
        <v>25</v>
      </c>
      <c r="B48" s="1274" t="s">
        <v>921</v>
      </c>
      <c r="C48" s="885" t="s">
        <v>922</v>
      </c>
      <c r="D48" s="1275">
        <v>0</v>
      </c>
      <c r="E48" s="45">
        <f t="shared" si="1"/>
        <v>0</v>
      </c>
      <c r="F48" s="45">
        <v>0</v>
      </c>
      <c r="G48"/>
      <c r="M48" s="29"/>
      <c r="N48" s="64"/>
      <c r="O48" s="65"/>
      <c r="P48" s="65"/>
      <c r="Q48" s="65"/>
      <c r="R48" s="65"/>
      <c r="S48" s="31"/>
    </row>
    <row r="49" spans="1:19">
      <c r="A49" s="59">
        <f t="shared" si="2"/>
        <v>26</v>
      </c>
      <c r="B49" s="1274" t="s">
        <v>923</v>
      </c>
      <c r="C49" s="885" t="s">
        <v>924</v>
      </c>
      <c r="D49" s="1275">
        <v>0</v>
      </c>
      <c r="E49" s="45">
        <f t="shared" si="1"/>
        <v>0</v>
      </c>
      <c r="F49" s="45">
        <v>0</v>
      </c>
      <c r="G49"/>
      <c r="M49" s="29"/>
      <c r="N49" s="64"/>
      <c r="O49" s="65"/>
      <c r="P49" s="65"/>
      <c r="Q49" s="65"/>
      <c r="R49" s="65"/>
      <c r="S49" s="31"/>
    </row>
    <row r="50" spans="1:19">
      <c r="A50" s="59">
        <f t="shared" si="2"/>
        <v>27</v>
      </c>
      <c r="B50" s="1274" t="s">
        <v>925</v>
      </c>
      <c r="C50" s="885" t="s">
        <v>926</v>
      </c>
      <c r="D50" s="1275">
        <v>0</v>
      </c>
      <c r="E50" s="45">
        <f t="shared" si="1"/>
        <v>0</v>
      </c>
      <c r="F50" s="45">
        <v>0</v>
      </c>
      <c r="G50"/>
      <c r="M50" s="29"/>
      <c r="N50" s="64"/>
      <c r="O50" s="65"/>
      <c r="P50" s="65"/>
      <c r="Q50" s="65"/>
      <c r="R50" s="65"/>
      <c r="S50" s="31"/>
    </row>
    <row r="51" spans="1:19">
      <c r="A51" s="59">
        <f t="shared" si="2"/>
        <v>28</v>
      </c>
      <c r="B51" s="1274" t="s">
        <v>927</v>
      </c>
      <c r="C51" s="885" t="s">
        <v>928</v>
      </c>
      <c r="D51" s="1275">
        <v>0</v>
      </c>
      <c r="E51" s="45">
        <f t="shared" si="1"/>
        <v>0</v>
      </c>
      <c r="F51" s="45">
        <v>0</v>
      </c>
      <c r="G51"/>
      <c r="M51" s="29"/>
      <c r="N51" s="64"/>
      <c r="O51" s="65"/>
      <c r="P51" s="65"/>
      <c r="Q51" s="65"/>
      <c r="R51" s="65"/>
      <c r="S51" s="31"/>
    </row>
    <row r="52" spans="1:19">
      <c r="A52" s="59">
        <f>A51+1</f>
        <v>29</v>
      </c>
      <c r="B52" s="1274" t="s">
        <v>929</v>
      </c>
      <c r="C52" s="885" t="s">
        <v>930</v>
      </c>
      <c r="D52" s="1275">
        <v>1000</v>
      </c>
      <c r="E52" s="45">
        <f t="shared" si="1"/>
        <v>1000</v>
      </c>
      <c r="F52" s="45">
        <v>0</v>
      </c>
      <c r="G52"/>
      <c r="M52" s="29"/>
      <c r="N52" s="64"/>
      <c r="O52" s="65"/>
      <c r="P52" s="65"/>
      <c r="Q52" s="65"/>
      <c r="R52" s="65"/>
      <c r="S52" s="31"/>
    </row>
    <row r="53" spans="1:19">
      <c r="A53" s="59">
        <f>A52+1</f>
        <v>30</v>
      </c>
      <c r="B53" s="1274" t="s">
        <v>931</v>
      </c>
      <c r="C53" s="885" t="s">
        <v>932</v>
      </c>
      <c r="D53" s="1275">
        <v>0</v>
      </c>
      <c r="E53" s="45">
        <f t="shared" si="1"/>
        <v>0</v>
      </c>
      <c r="F53" s="45">
        <v>0</v>
      </c>
      <c r="G53"/>
      <c r="M53" s="29"/>
      <c r="N53" s="64"/>
      <c r="O53" s="65"/>
      <c r="P53" s="65"/>
      <c r="Q53" s="65"/>
      <c r="R53" s="65"/>
      <c r="S53" s="31"/>
    </row>
    <row r="54" spans="1:19">
      <c r="A54" s="59">
        <f>A53+1</f>
        <v>31</v>
      </c>
      <c r="B54" s="1274" t="s">
        <v>933</v>
      </c>
      <c r="C54" s="885" t="s">
        <v>934</v>
      </c>
      <c r="D54" s="1275">
        <v>46000</v>
      </c>
      <c r="E54" s="45">
        <f t="shared" si="1"/>
        <v>46000</v>
      </c>
      <c r="F54" s="45">
        <v>0</v>
      </c>
      <c r="G54"/>
      <c r="M54" s="29"/>
      <c r="N54" s="64"/>
      <c r="O54" s="65"/>
      <c r="P54" s="65"/>
      <c r="Q54" s="65"/>
      <c r="R54" s="65"/>
      <c r="S54" s="31"/>
    </row>
    <row r="55" spans="1:19">
      <c r="A55" s="59">
        <f>A54+1</f>
        <v>32</v>
      </c>
      <c r="B55" s="1274" t="s">
        <v>935</v>
      </c>
      <c r="C55" s="885" t="s">
        <v>936</v>
      </c>
      <c r="D55" s="1275">
        <v>0</v>
      </c>
      <c r="E55" s="45">
        <f t="shared" si="1"/>
        <v>0</v>
      </c>
      <c r="F55" s="45">
        <v>0</v>
      </c>
      <c r="G55"/>
      <c r="M55" s="29"/>
      <c r="N55" s="64"/>
      <c r="O55" s="65"/>
      <c r="P55" s="65"/>
      <c r="Q55" s="65"/>
      <c r="R55" s="65"/>
      <c r="S55" s="31"/>
    </row>
    <row r="56" spans="1:19">
      <c r="A56" s="59">
        <f t="shared" si="2"/>
        <v>33</v>
      </c>
      <c r="B56" s="1274" t="s">
        <v>937</v>
      </c>
      <c r="C56" s="885" t="s">
        <v>938</v>
      </c>
      <c r="D56" s="1275">
        <v>0</v>
      </c>
      <c r="E56" s="45">
        <f t="shared" si="1"/>
        <v>0</v>
      </c>
      <c r="F56" s="45">
        <v>0</v>
      </c>
      <c r="G56"/>
    </row>
    <row r="57" spans="1:19">
      <c r="A57" s="59">
        <f t="shared" si="2"/>
        <v>34</v>
      </c>
      <c r="B57" s="1274" t="s">
        <v>939</v>
      </c>
      <c r="C57" s="885" t="s">
        <v>940</v>
      </c>
      <c r="D57" s="1275">
        <v>17000</v>
      </c>
      <c r="E57" s="45">
        <f t="shared" si="1"/>
        <v>17000</v>
      </c>
      <c r="F57" s="45">
        <v>0</v>
      </c>
      <c r="G57" s="47"/>
    </row>
    <row r="58" spans="1:19">
      <c r="A58" s="59">
        <f t="shared" si="2"/>
        <v>35</v>
      </c>
      <c r="B58" s="884"/>
      <c r="C58" s="885"/>
      <c r="D58" s="886"/>
      <c r="E58" s="45">
        <f>+D58</f>
        <v>0</v>
      </c>
      <c r="F58" s="45">
        <v>0</v>
      </c>
      <c r="G58" s="47"/>
    </row>
    <row r="59" spans="1:19">
      <c r="A59" s="59">
        <f t="shared" si="2"/>
        <v>36</v>
      </c>
      <c r="B59" s="884"/>
      <c r="C59" s="885"/>
      <c r="D59" s="886"/>
      <c r="E59" s="45">
        <f>+D59</f>
        <v>0</v>
      </c>
      <c r="F59" s="50">
        <v>0</v>
      </c>
      <c r="G59" s="47"/>
    </row>
    <row r="60" spans="1:19">
      <c r="B60" s="46"/>
      <c r="C60" s="47"/>
      <c r="D60" s="55"/>
      <c r="E60" s="56"/>
      <c r="F60" s="55"/>
      <c r="G60" s="47"/>
    </row>
    <row r="61" spans="1:19" ht="15.75">
      <c r="A61" s="59">
        <f>A59+1</f>
        <v>37</v>
      </c>
      <c r="B61" s="51"/>
      <c r="C61" s="1156" t="s">
        <v>630</v>
      </c>
      <c r="D61" s="57">
        <f>SUM(D44:D60)</f>
        <v>78000</v>
      </c>
      <c r="E61" s="57">
        <f>SUM(E44:E60)</f>
        <v>78000</v>
      </c>
      <c r="F61" s="57">
        <f>SUM(F44:F60)</f>
        <v>0</v>
      </c>
      <c r="G61" s="30"/>
    </row>
    <row r="62" spans="1:19" ht="12.75" customHeight="1">
      <c r="B62" s="39"/>
      <c r="C62" s="39"/>
      <c r="D62" s="39"/>
      <c r="E62" s="39"/>
      <c r="F62" s="39"/>
      <c r="G62" s="39"/>
    </row>
    <row r="63" spans="1:19" ht="15.75">
      <c r="B63" s="37"/>
      <c r="C63" s="102" t="s">
        <v>211</v>
      </c>
      <c r="D63" s="58"/>
      <c r="E63" s="58"/>
      <c r="F63" s="58"/>
      <c r="G63" s="37"/>
    </row>
    <row r="64" spans="1:19">
      <c r="A64" s="59">
        <f>+A61+1</f>
        <v>38</v>
      </c>
      <c r="B64" s="1274" t="s">
        <v>941</v>
      </c>
      <c r="C64" s="885" t="s">
        <v>942</v>
      </c>
      <c r="D64" s="1275">
        <v>3969000</v>
      </c>
      <c r="E64" s="45">
        <f>+D64</f>
        <v>3969000</v>
      </c>
      <c r="F64" s="50"/>
      <c r="G64" s="29"/>
      <c r="H64" s="29"/>
      <c r="J64" s="31"/>
      <c r="K64" s="31"/>
    </row>
    <row r="65" spans="1:11">
      <c r="A65" s="59">
        <f>+A64+1</f>
        <v>39</v>
      </c>
      <c r="B65" s="1274" t="s">
        <v>943</v>
      </c>
      <c r="C65" s="885" t="s">
        <v>944</v>
      </c>
      <c r="D65" s="1275">
        <v>129000</v>
      </c>
      <c r="E65" s="45">
        <f>+D65</f>
        <v>129000</v>
      </c>
      <c r="F65" s="50"/>
      <c r="G65" s="29"/>
      <c r="H65" s="29"/>
      <c r="J65" s="31"/>
      <c r="K65" s="31"/>
    </row>
    <row r="66" spans="1:11">
      <c r="A66" s="59">
        <f>+A65+1</f>
        <v>40</v>
      </c>
      <c r="B66" s="1274" t="s">
        <v>945</v>
      </c>
      <c r="C66" s="885" t="s">
        <v>946</v>
      </c>
      <c r="D66" s="1275">
        <v>0</v>
      </c>
      <c r="E66" s="45">
        <f>+D66</f>
        <v>0</v>
      </c>
      <c r="F66" s="50"/>
      <c r="G66" s="29"/>
      <c r="H66" s="29"/>
      <c r="J66" s="31"/>
      <c r="K66" s="31"/>
    </row>
    <row r="67" spans="1:11">
      <c r="B67" s="1274" t="s">
        <v>1107</v>
      </c>
      <c r="C67" s="885" t="s">
        <v>1108</v>
      </c>
      <c r="D67" s="1275">
        <v>0</v>
      </c>
      <c r="E67" s="45"/>
      <c r="F67" s="50"/>
      <c r="G67" s="29"/>
      <c r="H67" s="29"/>
      <c r="J67" s="31"/>
      <c r="K67" s="31"/>
    </row>
    <row r="68" spans="1:11">
      <c r="A68" s="59">
        <f>+A66+1</f>
        <v>41</v>
      </c>
      <c r="B68" s="1274" t="s">
        <v>947</v>
      </c>
      <c r="C68" s="885" t="s">
        <v>948</v>
      </c>
      <c r="D68" s="1275">
        <v>88000</v>
      </c>
      <c r="E68" s="45">
        <f>+D68</f>
        <v>88000</v>
      </c>
      <c r="F68" s="50"/>
      <c r="G68" s="39"/>
    </row>
    <row r="69" spans="1:11">
      <c r="A69" s="59">
        <f>+A68+1</f>
        <v>42</v>
      </c>
      <c r="B69" s="1274" t="s">
        <v>949</v>
      </c>
      <c r="C69" s="885" t="s">
        <v>950</v>
      </c>
      <c r="D69" s="1275">
        <v>2190000</v>
      </c>
      <c r="E69" s="45">
        <f>D69-F69</f>
        <v>1022000</v>
      </c>
      <c r="F69" s="45">
        <v>1168000</v>
      </c>
      <c r="G69" s="39"/>
    </row>
    <row r="70" spans="1:11">
      <c r="B70" s="319"/>
      <c r="C70" s="322"/>
      <c r="D70" s="323"/>
      <c r="E70" s="320"/>
      <c r="F70" s="320"/>
      <c r="G70" s="39"/>
    </row>
    <row r="71" spans="1:11" ht="15.75">
      <c r="A71" s="59">
        <f>1+A69</f>
        <v>43</v>
      </c>
      <c r="B71" s="39"/>
      <c r="C71" s="1156" t="s">
        <v>631</v>
      </c>
      <c r="D71" s="321">
        <f>SUM(D64:D69)</f>
        <v>6376000</v>
      </c>
      <c r="E71" s="321">
        <f>SUM(E64:E69)</f>
        <v>5208000</v>
      </c>
      <c r="F71" s="321">
        <f>SUM(F64:F69)</f>
        <v>1168000</v>
      </c>
      <c r="G71" s="30"/>
    </row>
    <row r="72" spans="1:11">
      <c r="B72" s="90"/>
      <c r="C72" s="21"/>
      <c r="D72" s="317"/>
      <c r="E72" s="21"/>
      <c r="F72" s="21"/>
      <c r="G72" s="21"/>
    </row>
    <row r="73" spans="1:11" ht="12.75">
      <c r="A73"/>
      <c r="B73"/>
      <c r="C73"/>
      <c r="D73"/>
      <c r="E73"/>
      <c r="F73"/>
    </row>
    <row r="74" spans="1:11" ht="12.75">
      <c r="A74"/>
      <c r="B74"/>
      <c r="C74"/>
      <c r="D74"/>
      <c r="E74"/>
      <c r="F7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zoomScaleNormal="100" zoomScaleSheetLayoutView="100" workbookViewId="0">
      <selection activeCell="E18" sqref="E18"/>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20" t="s">
        <v>115</v>
      </c>
    </row>
    <row r="2" spans="1:15" ht="15.75">
      <c r="A2" s="920" t="s">
        <v>115</v>
      </c>
    </row>
    <row r="3" spans="1:15" ht="15">
      <c r="A3" s="1461" t="s">
        <v>388</v>
      </c>
      <c r="B3" s="1461"/>
      <c r="C3" s="1461"/>
      <c r="D3" s="1461"/>
      <c r="E3" s="1461"/>
      <c r="F3" s="1461"/>
      <c r="G3" s="1461"/>
      <c r="H3" s="1461"/>
    </row>
    <row r="4" spans="1:15" ht="15">
      <c r="A4" s="1462" t="str">
        <f>"Cost of Service Formula Rate Using Actual/Projected FF1 Balances"</f>
        <v>Cost of Service Formula Rate Using Actual/Projected FF1 Balances</v>
      </c>
      <c r="B4" s="1462"/>
      <c r="C4" s="1462"/>
      <c r="D4" s="1462"/>
      <c r="E4" s="1462"/>
      <c r="F4" s="1462"/>
      <c r="G4" s="1462"/>
      <c r="H4" s="1462"/>
    </row>
    <row r="5" spans="1:15" ht="15">
      <c r="A5" s="1462" t="s">
        <v>529</v>
      </c>
      <c r="B5" s="1462"/>
      <c r="C5" s="1462"/>
      <c r="D5" s="1462"/>
      <c r="E5" s="1462"/>
      <c r="F5" s="1462"/>
      <c r="G5" s="1462"/>
      <c r="H5" s="1462"/>
    </row>
    <row r="6" spans="1:15" ht="15">
      <c r="A6" s="1473" t="str">
        <f>TCOS!F9</f>
        <v xml:space="preserve">Indiana Michigan Power Company </v>
      </c>
      <c r="B6" s="1473"/>
      <c r="C6" s="1473"/>
      <c r="D6" s="1473"/>
      <c r="E6" s="1473"/>
      <c r="F6" s="1473"/>
      <c r="G6" s="1473"/>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951</v>
      </c>
      <c r="C9" s="38"/>
      <c r="D9" s="41"/>
      <c r="E9" s="888">
        <v>5.3749999999999999E-2</v>
      </c>
      <c r="F9" s="2"/>
      <c r="G9" s="23"/>
      <c r="H9" s="23"/>
      <c r="L9" s="22"/>
    </row>
    <row r="10" spans="1:15" ht="15">
      <c r="A10" s="22"/>
      <c r="B10" s="17" t="s">
        <v>952</v>
      </c>
      <c r="C10" s="38"/>
      <c r="D10" s="38"/>
      <c r="E10" s="889">
        <v>0.69740000000000002</v>
      </c>
      <c r="F10" s="2"/>
      <c r="G10" s="23"/>
      <c r="H10" s="23"/>
      <c r="L10" s="22"/>
    </row>
    <row r="11" spans="1:15" ht="15">
      <c r="A11" s="22"/>
      <c r="B11" s="17" t="s">
        <v>449</v>
      </c>
      <c r="C11" s="38"/>
      <c r="D11" s="38"/>
      <c r="E11" s="329"/>
      <c r="F11" s="42">
        <f>ROUND(E9*E10,4)</f>
        <v>3.7499999999999999E-2</v>
      </c>
      <c r="G11" s="23"/>
      <c r="L11" s="22"/>
    </row>
    <row r="12" spans="1:15" ht="15">
      <c r="A12" s="22"/>
      <c r="B12" s="17"/>
      <c r="C12" s="38"/>
      <c r="D12" s="38"/>
      <c r="E12" s="329"/>
      <c r="F12" s="42"/>
      <c r="G12" s="23"/>
      <c r="L12" s="22"/>
    </row>
    <row r="13" spans="1:15" ht="15">
      <c r="A13" s="22"/>
      <c r="B13" s="17" t="s">
        <v>953</v>
      </c>
      <c r="C13" s="38"/>
      <c r="D13" s="41"/>
      <c r="E13" s="888">
        <v>0.06</v>
      </c>
      <c r="F13" s="2"/>
      <c r="G13" s="23"/>
      <c r="L13" s="22"/>
    </row>
    <row r="14" spans="1:15" ht="15">
      <c r="A14" s="22"/>
      <c r="B14" s="17" t="s">
        <v>952</v>
      </c>
      <c r="C14" s="38"/>
      <c r="D14" s="38"/>
      <c r="E14" s="889">
        <v>0.14750199999999999</v>
      </c>
      <c r="F14" s="2"/>
      <c r="G14" s="23"/>
      <c r="L14" s="22"/>
    </row>
    <row r="15" spans="1:15" ht="15">
      <c r="A15" s="22"/>
      <c r="B15" s="17" t="s">
        <v>449</v>
      </c>
      <c r="C15" s="38"/>
      <c r="D15" s="38"/>
      <c r="E15" s="329"/>
      <c r="F15" s="42">
        <f>ROUND(E13*E14,4)</f>
        <v>8.8999999999999999E-3</v>
      </c>
      <c r="G15" s="23"/>
      <c r="L15" s="22"/>
    </row>
    <row r="16" spans="1:15" ht="15">
      <c r="A16" s="22"/>
      <c r="B16" s="17"/>
      <c r="C16" s="38"/>
      <c r="D16" s="38"/>
      <c r="E16" s="329"/>
      <c r="F16" s="42"/>
      <c r="G16" s="23"/>
      <c r="L16" s="22"/>
    </row>
    <row r="17" spans="1:12" ht="15">
      <c r="A17" s="22"/>
      <c r="B17" s="17" t="s">
        <v>954</v>
      </c>
      <c r="C17" s="38"/>
      <c r="D17" s="41"/>
      <c r="E17" s="888">
        <v>6.5000000000000002E-2</v>
      </c>
      <c r="F17" s="2"/>
      <c r="G17" s="23"/>
      <c r="L17" s="22"/>
    </row>
    <row r="18" spans="1:12" ht="15">
      <c r="A18" s="22"/>
      <c r="B18" s="17" t="s">
        <v>952</v>
      </c>
      <c r="C18" s="38"/>
      <c r="D18" s="38"/>
      <c r="E18" s="889">
        <v>2.1454999999999998E-2</v>
      </c>
      <c r="F18" s="2"/>
      <c r="G18" s="23"/>
      <c r="L18" s="22"/>
    </row>
    <row r="19" spans="1:12" ht="15">
      <c r="A19" s="22"/>
      <c r="B19" s="17" t="s">
        <v>449</v>
      </c>
      <c r="C19" s="38"/>
      <c r="D19" s="38"/>
      <c r="E19" s="329"/>
      <c r="F19" s="42">
        <f>ROUND(E17*E18,4)</f>
        <v>1.4E-3</v>
      </c>
      <c r="G19" s="23"/>
      <c r="L19" s="22"/>
    </row>
    <row r="20" spans="1:12" ht="15">
      <c r="A20" s="22"/>
      <c r="B20" s="17"/>
      <c r="C20" s="38"/>
      <c r="D20" s="38"/>
      <c r="E20" s="329"/>
      <c r="F20" s="42"/>
      <c r="G20" s="23"/>
      <c r="L20" s="22"/>
    </row>
    <row r="21" spans="1:12" ht="15">
      <c r="A21" s="22"/>
      <c r="B21" s="17" t="s">
        <v>955</v>
      </c>
      <c r="C21" s="38"/>
      <c r="D21" s="41"/>
      <c r="E21" s="888">
        <v>0</v>
      </c>
      <c r="F21" s="43"/>
      <c r="G21" s="23"/>
      <c r="L21" s="22"/>
    </row>
    <row r="22" spans="1:12" ht="15">
      <c r="A22" s="22"/>
      <c r="B22" s="17" t="s">
        <v>956</v>
      </c>
      <c r="C22" s="38"/>
      <c r="D22" s="38"/>
      <c r="E22" s="888">
        <v>0</v>
      </c>
      <c r="F22" s="43"/>
      <c r="G22" s="23"/>
      <c r="L22" s="22"/>
    </row>
    <row r="23" spans="1:12" ht="15">
      <c r="A23" s="22"/>
      <c r="B23" s="17" t="s">
        <v>952</v>
      </c>
      <c r="C23" s="38"/>
      <c r="D23" s="38"/>
      <c r="E23" s="889">
        <v>0</v>
      </c>
      <c r="G23" s="23"/>
      <c r="L23" s="22"/>
    </row>
    <row r="24" spans="1:12" ht="15">
      <c r="A24" s="22"/>
      <c r="B24" s="17" t="s">
        <v>449</v>
      </c>
      <c r="C24" s="38"/>
      <c r="D24" s="38"/>
      <c r="E24" s="329"/>
      <c r="F24" s="42">
        <f>ROUND(E21*E22,4)</f>
        <v>0</v>
      </c>
      <c r="G24" s="23"/>
      <c r="L24" s="22"/>
    </row>
    <row r="25" spans="1:12" ht="15">
      <c r="A25" s="22"/>
      <c r="B25" s="17"/>
      <c r="C25" s="38"/>
      <c r="D25" s="41"/>
      <c r="G25" s="23"/>
      <c r="L25" s="22"/>
    </row>
    <row r="26" spans="1:12" ht="15">
      <c r="A26" s="22"/>
      <c r="B26" s="17" t="s">
        <v>957</v>
      </c>
      <c r="C26" s="38"/>
      <c r="D26" s="38"/>
      <c r="E26" s="888">
        <v>0.05</v>
      </c>
      <c r="F26" s="2"/>
      <c r="G26" s="23"/>
      <c r="L26" s="22"/>
    </row>
    <row r="27" spans="1:12" ht="15">
      <c r="A27" s="22"/>
      <c r="B27" s="17" t="s">
        <v>952</v>
      </c>
      <c r="C27" s="38"/>
      <c r="D27" s="38"/>
      <c r="E27" s="889">
        <v>1.1132100000000001E-2</v>
      </c>
      <c r="F27" s="2"/>
      <c r="G27" s="23"/>
      <c r="L27" s="22"/>
    </row>
    <row r="28" spans="1:12" ht="15">
      <c r="A28" s="22"/>
      <c r="B28" s="17" t="s">
        <v>449</v>
      </c>
      <c r="C28" s="38"/>
      <c r="D28" s="38"/>
      <c r="E28" s="329"/>
      <c r="F28" s="42">
        <f>ROUND(E26*E27,4)</f>
        <v>5.9999999999999995E-4</v>
      </c>
      <c r="G28" s="23"/>
      <c r="L28" s="22"/>
    </row>
    <row r="29" spans="1:12" ht="15">
      <c r="A29" s="22"/>
      <c r="B29" s="17"/>
      <c r="C29" s="38"/>
      <c r="D29" s="41"/>
      <c r="E29" s="329"/>
      <c r="F29" s="42"/>
      <c r="G29" s="23"/>
      <c r="L29" s="22"/>
    </row>
    <row r="30" spans="1:12" ht="15">
      <c r="A30" s="22"/>
      <c r="B30" s="17" t="s">
        <v>958</v>
      </c>
      <c r="C30" s="38"/>
      <c r="D30" s="38"/>
      <c r="E30" s="888">
        <v>0.04</v>
      </c>
      <c r="F30" s="2"/>
      <c r="G30" s="23"/>
      <c r="L30" s="22"/>
    </row>
    <row r="31" spans="1:12" ht="15">
      <c r="A31" s="22"/>
      <c r="B31" s="17" t="s">
        <v>952</v>
      </c>
      <c r="C31" s="38"/>
      <c r="D31" s="38"/>
      <c r="E31" s="889">
        <v>5.0000000000000002E-5</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959</v>
      </c>
      <c r="C34" s="20"/>
      <c r="D34" s="20"/>
      <c r="E34" s="888">
        <v>9.5000000000000001E-2</v>
      </c>
      <c r="F34" s="2"/>
      <c r="G34" s="23"/>
      <c r="L34" s="22"/>
    </row>
    <row r="35" spans="1:12" ht="15">
      <c r="A35" s="22"/>
      <c r="B35" s="17" t="s">
        <v>952</v>
      </c>
      <c r="E35" s="889">
        <v>1.6479000000000001E-2</v>
      </c>
      <c r="F35" s="2"/>
      <c r="G35" s="21"/>
      <c r="L35" s="22"/>
    </row>
    <row r="36" spans="1:12" ht="15">
      <c r="A36" s="22"/>
      <c r="B36" s="17" t="s">
        <v>449</v>
      </c>
      <c r="E36" s="20"/>
      <c r="F36" s="42">
        <f>ROUND(E34*E35,4)</f>
        <v>1.6000000000000001E-3</v>
      </c>
      <c r="G36" s="21"/>
      <c r="H36" s="21"/>
      <c r="L36" s="22"/>
    </row>
    <row r="37" spans="1:12">
      <c r="A37" s="22"/>
      <c r="G37" s="21"/>
      <c r="H37" s="21"/>
      <c r="L37" s="22"/>
    </row>
    <row r="38" spans="1:12" ht="21.75" customHeight="1" thickBot="1">
      <c r="A38" s="22"/>
      <c r="B38" s="20" t="s">
        <v>204</v>
      </c>
      <c r="C38" s="20"/>
      <c r="D38" s="20"/>
      <c r="E38" s="20"/>
      <c r="F38" s="140">
        <f>ROUND(SUM(F10:F37),4)</f>
        <v>0.05</v>
      </c>
      <c r="G38" s="21"/>
      <c r="H38" s="21"/>
      <c r="L38" s="22"/>
    </row>
    <row r="39" spans="1:12" ht="21.75" customHeight="1" thickTop="1">
      <c r="A39" s="2"/>
      <c r="B39" s="1500" t="s">
        <v>115</v>
      </c>
      <c r="C39" s="1500"/>
      <c r="D39" s="1500"/>
      <c r="E39" s="1500"/>
      <c r="F39" s="1500"/>
      <c r="G39" s="1500"/>
      <c r="H39" s="21"/>
      <c r="I39" s="19"/>
      <c r="L39" s="21"/>
    </row>
    <row r="40" spans="1:12" ht="12.75" customHeight="1">
      <c r="A40" s="21"/>
      <c r="B40" s="1500"/>
      <c r="C40" s="1500"/>
      <c r="D40" s="1500"/>
      <c r="E40" s="1500"/>
      <c r="F40" s="1500"/>
      <c r="G40" s="1500"/>
      <c r="H40" s="21"/>
      <c r="L40" s="21"/>
    </row>
    <row r="41" spans="1:12" ht="17.25" customHeight="1">
      <c r="A41" s="21"/>
      <c r="B41" s="1500"/>
      <c r="C41" s="1500"/>
      <c r="D41" s="1500"/>
      <c r="E41" s="1500"/>
      <c r="F41" s="1500"/>
      <c r="G41" s="1500"/>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76"/>
  <sheetViews>
    <sheetView view="pageBreakPreview" topLeftCell="A28" zoomScale="60" zoomScaleNormal="55" workbookViewId="0">
      <selection activeCell="E49" sqref="E49"/>
    </sheetView>
  </sheetViews>
  <sheetFormatPr defaultRowHeight="15"/>
  <cols>
    <col min="1" max="1" width="7.28515625" style="128" customWidth="1"/>
    <col min="2" max="2" width="1.7109375" style="129" customWidth="1"/>
    <col min="3" max="3" width="62.42578125" style="129" customWidth="1"/>
    <col min="4" max="4" width="19.140625" style="129" customWidth="1"/>
    <col min="5" max="5" width="22.7109375" style="123" bestFit="1" customWidth="1"/>
    <col min="6" max="6" width="1.7109375" style="114" customWidth="1"/>
    <col min="7" max="7" width="21.85546875" style="114" customWidth="1"/>
    <col min="8" max="8" width="1.7109375" style="114" customWidth="1"/>
    <col min="9" max="9" width="21.42578125" style="114" customWidth="1"/>
    <col min="10" max="10" width="1.7109375" style="114" customWidth="1"/>
    <col min="11" max="11" width="19.42578125" style="114" bestFit="1" customWidth="1"/>
    <col min="12" max="12" width="3.42578125" style="114" customWidth="1"/>
    <col min="13" max="13" width="22.5703125" style="114" customWidth="1"/>
    <col min="14" max="14" width="1.28515625" style="114" customWidth="1"/>
    <col min="15" max="15" width="22.140625" style="237" customWidth="1"/>
    <col min="16" max="16384" width="9.140625" style="114"/>
  </cols>
  <sheetData>
    <row r="1" spans="1:29" ht="15.75">
      <c r="A1" s="920" t="s">
        <v>115</v>
      </c>
    </row>
    <row r="2" spans="1:29" ht="15.75">
      <c r="A2" s="920" t="s">
        <v>115</v>
      </c>
    </row>
    <row r="3" spans="1:29" ht="18.75" customHeight="1">
      <c r="A3" s="1461" t="s">
        <v>388</v>
      </c>
      <c r="B3" s="1461"/>
      <c r="C3" s="1461"/>
      <c r="D3" s="1461"/>
      <c r="E3" s="1461"/>
      <c r="F3" s="1461"/>
      <c r="G3" s="1461"/>
      <c r="H3" s="1461"/>
      <c r="I3" s="1461"/>
      <c r="J3" s="1461"/>
      <c r="K3" s="1461"/>
      <c r="L3" s="1461"/>
      <c r="M3" s="1461"/>
    </row>
    <row r="4" spans="1:29" ht="18.75" customHeight="1">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row>
    <row r="5" spans="1:29" ht="18.75" customHeight="1">
      <c r="A5" s="1462" t="s">
        <v>239</v>
      </c>
      <c r="B5" s="1462"/>
      <c r="C5" s="1462"/>
      <c r="D5" s="1462"/>
      <c r="E5" s="1462"/>
      <c r="F5" s="1462"/>
      <c r="G5" s="1462"/>
      <c r="H5" s="1462"/>
      <c r="I5" s="1462"/>
      <c r="J5" s="1462"/>
      <c r="K5" s="1462"/>
      <c r="L5" s="1462"/>
      <c r="M5" s="1462"/>
    </row>
    <row r="6" spans="1:29" ht="18.75" customHeight="1">
      <c r="A6" s="1469" t="str">
        <f>+TCOS!F9</f>
        <v xml:space="preserve">Indiana Michigan Power Company </v>
      </c>
      <c r="B6" s="1469"/>
      <c r="C6" s="1469"/>
      <c r="D6" s="1469"/>
      <c r="E6" s="1469"/>
      <c r="F6" s="1469"/>
      <c r="G6" s="1469"/>
      <c r="H6" s="1469"/>
      <c r="I6" s="1469"/>
      <c r="J6" s="1469"/>
      <c r="K6" s="1469"/>
      <c r="L6" s="1469"/>
      <c r="M6" s="1469"/>
    </row>
    <row r="7" spans="1:29" ht="18" customHeight="1">
      <c r="A7" s="1473"/>
      <c r="B7" s="1473"/>
      <c r="C7" s="1473"/>
      <c r="D7" s="1473"/>
      <c r="E7" s="1473"/>
      <c r="F7" s="1473"/>
      <c r="G7" s="1473"/>
      <c r="H7" s="1473"/>
      <c r="I7" s="1473"/>
      <c r="J7" s="1473"/>
      <c r="K7" s="1473"/>
      <c r="L7" s="1473"/>
      <c r="M7" s="1473"/>
    </row>
    <row r="8" spans="1:29" ht="18" customHeight="1">
      <c r="A8" s="1499"/>
      <c r="B8" s="1499"/>
      <c r="C8" s="1499"/>
      <c r="D8" s="1499"/>
      <c r="E8" s="1499"/>
      <c r="F8" s="1499"/>
      <c r="G8" s="1499"/>
      <c r="H8" s="1499"/>
      <c r="I8" s="1499"/>
      <c r="J8" s="1499"/>
      <c r="K8" s="1499"/>
      <c r="L8" s="1499"/>
      <c r="M8" s="1499"/>
    </row>
    <row r="9" spans="1:29" ht="18" customHeight="1">
      <c r="A9" s="171"/>
      <c r="B9" s="171"/>
      <c r="C9" s="171"/>
      <c r="D9" s="171"/>
      <c r="E9" s="171"/>
      <c r="F9" s="171"/>
      <c r="G9" s="171"/>
      <c r="H9" s="171"/>
      <c r="I9" s="171"/>
      <c r="J9" s="171"/>
      <c r="K9" s="171"/>
      <c r="L9" s="171"/>
      <c r="M9" s="171"/>
    </row>
    <row r="10" spans="1:29" ht="19.5" customHeight="1">
      <c r="A10" s="116"/>
      <c r="B10" s="117"/>
      <c r="C10" s="37" t="s">
        <v>163</v>
      </c>
      <c r="E10" s="37" t="s">
        <v>164</v>
      </c>
      <c r="G10" s="37" t="s">
        <v>165</v>
      </c>
      <c r="I10" s="37" t="s">
        <v>166</v>
      </c>
      <c r="K10" s="37" t="s">
        <v>85</v>
      </c>
      <c r="M10" s="37" t="s">
        <v>86</v>
      </c>
    </row>
    <row r="11" spans="1:29" ht="18">
      <c r="A11" s="213"/>
      <c r="B11" s="214"/>
      <c r="C11" s="214"/>
      <c r="D11" s="214"/>
      <c r="E11"/>
      <c r="F11"/>
      <c r="G11"/>
      <c r="H11"/>
      <c r="I11"/>
      <c r="J11"/>
      <c r="K11"/>
      <c r="L11"/>
      <c r="M11"/>
      <c r="Q11" s="40"/>
      <c r="R11" s="40"/>
      <c r="S11" s="40"/>
      <c r="T11" s="40"/>
      <c r="U11" s="40"/>
      <c r="V11" s="40"/>
      <c r="W11" s="40"/>
      <c r="X11" s="40"/>
      <c r="Y11" s="40"/>
      <c r="Z11" s="40"/>
      <c r="AA11" s="40"/>
      <c r="AB11" s="40"/>
      <c r="AC11" s="40"/>
    </row>
    <row r="12" spans="1:29" ht="19.5">
      <c r="A12" s="213" t="s">
        <v>170</v>
      </c>
      <c r="B12" s="214"/>
      <c r="C12" s="214"/>
      <c r="D12" s="214"/>
      <c r="E12" s="215" t="s">
        <v>119</v>
      </c>
      <c r="F12" s="213"/>
      <c r="G12" s="213"/>
      <c r="H12" s="213"/>
      <c r="I12" s="213"/>
      <c r="J12" s="213"/>
      <c r="K12" s="122"/>
      <c r="L12" s="122"/>
      <c r="M12" s="216"/>
    </row>
    <row r="13" spans="1:29" ht="19.5">
      <c r="A13" s="217" t="s">
        <v>118</v>
      </c>
      <c r="B13" s="214"/>
      <c r="C13" s="217" t="s">
        <v>307</v>
      </c>
      <c r="D13" s="214"/>
      <c r="E13" s="218" t="s">
        <v>184</v>
      </c>
      <c r="F13" s="213"/>
      <c r="G13" s="217" t="s">
        <v>310</v>
      </c>
      <c r="H13" s="213"/>
      <c r="I13" s="217" t="s">
        <v>162</v>
      </c>
      <c r="J13" s="213"/>
      <c r="K13" s="219" t="s">
        <v>182</v>
      </c>
      <c r="L13" s="220"/>
      <c r="M13" s="219" t="s">
        <v>311</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324</v>
      </c>
      <c r="D16" s="117"/>
      <c r="E16" s="112"/>
      <c r="F16" s="112"/>
      <c r="G16" s="139"/>
      <c r="H16" s="139"/>
      <c r="I16" s="139"/>
      <c r="J16" s="139"/>
      <c r="K16" s="139"/>
      <c r="L16" s="139"/>
      <c r="M16" s="121"/>
    </row>
    <row r="17" spans="1:15" ht="19.5">
      <c r="A17" s="116">
        <f>+A16+1</f>
        <v>2</v>
      </c>
      <c r="B17" s="117"/>
      <c r="C17" s="112" t="s">
        <v>308</v>
      </c>
      <c r="D17" s="117"/>
      <c r="E17" s="287">
        <f>'WS H-1-Detail of Tax Amts'!E15</f>
        <v>22525000</v>
      </c>
      <c r="F17" s="112"/>
      <c r="G17" s="139"/>
      <c r="H17" s="139"/>
      <c r="I17" s="139"/>
      <c r="J17" s="139"/>
      <c r="K17" s="139"/>
      <c r="L17" s="139"/>
      <c r="M17" s="121">
        <f>+E17</f>
        <v>22525000</v>
      </c>
    </row>
    <row r="18" spans="1:15" ht="19.5">
      <c r="A18" s="116"/>
      <c r="B18" s="117"/>
      <c r="C18" s="122"/>
      <c r="D18" s="117"/>
      <c r="E18" s="286"/>
      <c r="F18" s="112"/>
      <c r="G18" s="139"/>
      <c r="H18" s="139"/>
      <c r="I18" s="139"/>
      <c r="J18" s="139"/>
      <c r="K18" s="139"/>
      <c r="L18" s="139"/>
      <c r="M18" s="121"/>
    </row>
    <row r="19" spans="1:15" ht="18">
      <c r="A19" s="1113">
        <f>+A17+1</f>
        <v>3</v>
      </c>
      <c r="B19" s="1114"/>
      <c r="C19" s="1115" t="s">
        <v>325</v>
      </c>
      <c r="D19" s="1114"/>
      <c r="E19" s="1116"/>
      <c r="F19" s="1117"/>
      <c r="G19" s="1118"/>
      <c r="H19" s="1111"/>
      <c r="I19" s="1111"/>
      <c r="J19" s="1111"/>
      <c r="K19" s="1111"/>
      <c r="L19" s="1111"/>
      <c r="M19" s="1112"/>
    </row>
    <row r="20" spans="1:15" ht="18">
      <c r="A20" s="1113">
        <f>+A19+1</f>
        <v>4</v>
      </c>
      <c r="B20" s="1114"/>
      <c r="C20" s="1117" t="s">
        <v>962</v>
      </c>
      <c r="D20" s="1117"/>
      <c r="E20" s="1119">
        <f>'WS H-1-Detail of Tax Amts'!E27</f>
        <v>52219000</v>
      </c>
      <c r="F20" s="1117"/>
      <c r="G20" s="1118">
        <f>+E20</f>
        <v>52219000</v>
      </c>
      <c r="H20" s="1111"/>
      <c r="I20" s="1111"/>
      <c r="J20" s="1111"/>
      <c r="K20" s="1111"/>
      <c r="L20" s="1111"/>
      <c r="M20" s="1112"/>
      <c r="O20"/>
    </row>
    <row r="21" spans="1:15" ht="18">
      <c r="A21" s="1113">
        <f>+A20+1</f>
        <v>5</v>
      </c>
      <c r="B21" s="1114"/>
      <c r="C21" s="1117" t="s">
        <v>963</v>
      </c>
      <c r="D21" s="1117"/>
      <c r="E21" s="1119">
        <f>'WS H-1-Detail of Tax Amts'!E33</f>
        <v>21388000</v>
      </c>
      <c r="F21" s="1117"/>
      <c r="G21" s="1118">
        <f>+E21</f>
        <v>21388000</v>
      </c>
      <c r="H21" s="1111"/>
      <c r="I21" s="1111"/>
      <c r="J21" s="1111"/>
      <c r="K21" s="1111"/>
      <c r="L21" s="1111"/>
      <c r="M21" s="1112"/>
      <c r="O21"/>
    </row>
    <row r="22" spans="1:15" ht="18">
      <c r="A22" s="1113">
        <f>+A21+1</f>
        <v>6</v>
      </c>
      <c r="B22" s="1114"/>
      <c r="C22" s="1117" t="s">
        <v>464</v>
      </c>
      <c r="D22" s="1119"/>
      <c r="E22" s="1119">
        <f>'WS H-1-Detail of Tax Amts'!E44</f>
        <v>26000</v>
      </c>
      <c r="F22" s="1117"/>
      <c r="G22" s="1118">
        <f>+E22</f>
        <v>26000</v>
      </c>
      <c r="H22" s="1111"/>
      <c r="I22" s="1111"/>
      <c r="J22" s="1111"/>
      <c r="K22" s="1111"/>
      <c r="L22" s="1111"/>
      <c r="M22" s="1112"/>
      <c r="O22"/>
    </row>
    <row r="23" spans="1:15" ht="19.5">
      <c r="A23" s="116"/>
      <c r="B23" s="117"/>
      <c r="C23" s="122"/>
      <c r="D23" s="117"/>
      <c r="E23" s="286"/>
      <c r="F23" s="112"/>
      <c r="G23" s="139"/>
      <c r="H23" s="139"/>
      <c r="I23" s="139"/>
      <c r="J23" s="139"/>
      <c r="K23" s="139"/>
      <c r="L23" s="139"/>
      <c r="M23" s="121"/>
      <c r="O23" s="238"/>
    </row>
    <row r="24" spans="1:15" ht="19.5">
      <c r="A24" s="116">
        <f>A22+1</f>
        <v>7</v>
      </c>
      <c r="B24" s="117"/>
      <c r="C24" s="120" t="s">
        <v>326</v>
      </c>
      <c r="D24" s="117"/>
      <c r="E24" s="286"/>
      <c r="F24" s="112"/>
      <c r="G24" s="139"/>
      <c r="H24" s="139"/>
      <c r="I24" s="139"/>
      <c r="J24" s="139"/>
      <c r="K24" s="139"/>
      <c r="L24" s="139"/>
      <c r="M24" s="121"/>
      <c r="O24" s="238"/>
    </row>
    <row r="25" spans="1:15" ht="19.5">
      <c r="A25" s="116">
        <f>+A24+1</f>
        <v>8</v>
      </c>
      <c r="B25" s="117"/>
      <c r="C25" s="115" t="s">
        <v>322</v>
      </c>
      <c r="D25" s="117"/>
      <c r="E25" s="287">
        <f>'WS H-1-Detail of Tax Amts'!E61</f>
        <v>13642000</v>
      </c>
      <c r="F25" s="112"/>
      <c r="G25" s="139"/>
      <c r="H25" s="139"/>
      <c r="I25" s="139">
        <f>+E25</f>
        <v>13642000</v>
      </c>
      <c r="J25" s="139"/>
      <c r="K25" s="139"/>
      <c r="L25" s="139"/>
      <c r="M25" s="121"/>
      <c r="O25" s="238"/>
    </row>
    <row r="26" spans="1:15" ht="19.5">
      <c r="A26" s="116">
        <f>+A25+1</f>
        <v>9</v>
      </c>
      <c r="B26" s="117"/>
      <c r="C26" s="115" t="s">
        <v>315</v>
      </c>
      <c r="D26" s="117"/>
      <c r="E26" s="287">
        <f>'WS H-1-Detail of Tax Amts'!E63</f>
        <v>77000</v>
      </c>
      <c r="F26" s="112"/>
      <c r="G26" s="112"/>
      <c r="H26" s="112"/>
      <c r="I26" s="121">
        <f>+E26</f>
        <v>77000</v>
      </c>
      <c r="J26" s="115"/>
      <c r="K26" s="112"/>
      <c r="L26" s="112"/>
      <c r="M26" s="121"/>
    </row>
    <row r="27" spans="1:15" ht="19.5">
      <c r="A27" s="116">
        <f>+A26+1</f>
        <v>10</v>
      </c>
      <c r="B27" s="117"/>
      <c r="C27" s="115" t="s">
        <v>316</v>
      </c>
      <c r="D27" s="117"/>
      <c r="E27" s="287">
        <f>'WS H-1-Detail of Tax Amts'!E65</f>
        <v>414000</v>
      </c>
      <c r="F27" s="112"/>
      <c r="G27" s="112"/>
      <c r="H27" s="112"/>
      <c r="I27" s="121">
        <f>+E27</f>
        <v>414000</v>
      </c>
      <c r="J27" s="119"/>
      <c r="K27" s="112"/>
      <c r="L27" s="112"/>
      <c r="M27" s="121"/>
    </row>
    <row r="28" spans="1:15" ht="19.5">
      <c r="A28" s="116" t="s">
        <v>115</v>
      </c>
      <c r="B28" s="117"/>
      <c r="C28" s="112"/>
      <c r="D28" s="117"/>
      <c r="E28" s="286"/>
      <c r="F28" s="112"/>
      <c r="G28" s="112"/>
      <c r="H28" s="112"/>
      <c r="I28" s="131"/>
      <c r="J28" s="132"/>
      <c r="K28" s="135"/>
      <c r="L28" s="135"/>
      <c r="M28" s="121"/>
    </row>
    <row r="29" spans="1:15" ht="19.5">
      <c r="A29" s="116">
        <f>A27+1</f>
        <v>11</v>
      </c>
      <c r="B29" s="117"/>
      <c r="C29" s="120" t="s">
        <v>441</v>
      </c>
      <c r="D29" s="117"/>
      <c r="E29" s="286"/>
      <c r="F29" s="112"/>
      <c r="G29" s="112"/>
      <c r="H29" s="112"/>
      <c r="I29" s="131"/>
      <c r="J29" s="132"/>
      <c r="K29" s="135"/>
      <c r="L29" s="135"/>
      <c r="M29" s="121"/>
    </row>
    <row r="30" spans="1:15" ht="19.5">
      <c r="A30" s="116">
        <f>A29+1</f>
        <v>12</v>
      </c>
      <c r="B30" s="117"/>
      <c r="C30" s="127" t="s">
        <v>442</v>
      </c>
      <c r="D30" s="240"/>
      <c r="E30" s="287">
        <f>'WS H-1-Detail of Tax Amts'!E71</f>
        <v>0</v>
      </c>
      <c r="F30" s="127"/>
      <c r="G30" s="112"/>
      <c r="H30" s="112"/>
      <c r="I30" s="131"/>
      <c r="J30" s="132"/>
      <c r="K30" s="135"/>
      <c r="L30" s="135"/>
      <c r="M30" s="121">
        <f>E30</f>
        <v>0</v>
      </c>
    </row>
    <row r="31" spans="1:15" ht="19.5">
      <c r="A31" s="116"/>
      <c r="B31" s="117"/>
      <c r="C31" s="112"/>
      <c r="D31" s="117"/>
      <c r="E31" s="286"/>
      <c r="F31" s="112"/>
      <c r="G31" s="112"/>
      <c r="H31" s="112"/>
      <c r="I31" s="131"/>
      <c r="J31" s="132"/>
      <c r="K31" s="135"/>
      <c r="L31" s="135"/>
      <c r="M31" s="121"/>
    </row>
    <row r="32" spans="1:15" ht="19.5">
      <c r="A32" s="124">
        <f>+A30+1</f>
        <v>13</v>
      </c>
      <c r="B32" s="125"/>
      <c r="C32" s="120" t="s">
        <v>323</v>
      </c>
      <c r="D32" s="126"/>
      <c r="E32" s="286"/>
      <c r="F32" s="112"/>
      <c r="G32" s="121"/>
      <c r="H32" s="121"/>
      <c r="I32" s="121"/>
      <c r="J32" s="121"/>
      <c r="K32" s="121"/>
      <c r="L32" s="121"/>
      <c r="M32" s="121"/>
    </row>
    <row r="33" spans="1:13" ht="19.5">
      <c r="A33" s="124">
        <f>A32+1</f>
        <v>14</v>
      </c>
      <c r="B33" s="125"/>
      <c r="C33" s="115" t="s">
        <v>440</v>
      </c>
      <c r="D33" s="126"/>
      <c r="E33" s="287">
        <f>'WS H-1-Detail of Tax Amts'!E75</f>
        <v>0</v>
      </c>
      <c r="F33" s="127"/>
      <c r="G33" s="121"/>
      <c r="H33" s="121"/>
      <c r="I33" s="121"/>
      <c r="J33" s="121"/>
      <c r="K33" s="121"/>
      <c r="L33" s="121"/>
      <c r="M33" s="121">
        <f>E33</f>
        <v>0</v>
      </c>
    </row>
    <row r="34" spans="1:13" ht="19.5">
      <c r="A34" s="116">
        <f>A33+1</f>
        <v>15</v>
      </c>
      <c r="B34" s="117"/>
      <c r="C34" s="115" t="s">
        <v>977</v>
      </c>
      <c r="D34" s="117"/>
      <c r="E34" s="168">
        <f>'WS H-1-Detail of Tax Amts'!E79</f>
        <v>2718000</v>
      </c>
      <c r="F34" s="112"/>
      <c r="G34" s="121"/>
      <c r="H34" s="121"/>
      <c r="I34" s="121"/>
      <c r="J34" s="121"/>
      <c r="K34" s="121">
        <f>+E34</f>
        <v>2718000</v>
      </c>
      <c r="L34" s="121"/>
      <c r="M34" s="121"/>
    </row>
    <row r="35" spans="1:13" ht="19.5">
      <c r="A35" s="116">
        <f t="shared" ref="A35:A41" si="0">+A34+1</f>
        <v>16</v>
      </c>
      <c r="B35" s="117"/>
      <c r="C35" s="115" t="s">
        <v>978</v>
      </c>
      <c r="D35"/>
      <c r="E35" s="168">
        <f>'WS H-1-Detail of Tax Amts'!E83</f>
        <v>29000</v>
      </c>
      <c r="F35" s="112"/>
      <c r="G35" s="168"/>
      <c r="H35" s="168"/>
      <c r="I35" s="168"/>
      <c r="J35" s="168"/>
      <c r="K35" s="121">
        <f>+E35</f>
        <v>29000</v>
      </c>
      <c r="L35" s="168"/>
      <c r="M35" s="121"/>
    </row>
    <row r="36" spans="1:13" ht="19.5">
      <c r="A36" s="116">
        <f>+A35+1</f>
        <v>17</v>
      </c>
      <c r="B36" s="117"/>
      <c r="C36" s="115" t="s">
        <v>979</v>
      </c>
      <c r="D36"/>
      <c r="E36" s="168">
        <f>'WS H-1-Detail of Tax Amts'!E93</f>
        <v>0</v>
      </c>
      <c r="F36" s="112"/>
      <c r="G36" s="121"/>
      <c r="H36" s="121"/>
      <c r="I36" s="121"/>
      <c r="J36" s="121"/>
      <c r="K36" s="121">
        <f>+E36</f>
        <v>0</v>
      </c>
      <c r="L36" s="121"/>
      <c r="M36" s="121"/>
    </row>
    <row r="37" spans="1:13" ht="19.5">
      <c r="A37" s="116">
        <f t="shared" si="0"/>
        <v>18</v>
      </c>
      <c r="B37" s="117"/>
      <c r="C37" s="115" t="s">
        <v>980</v>
      </c>
      <c r="D37" s="117"/>
      <c r="E37" s="168">
        <f>'WS H-1-Detail of Tax Amts'!E100</f>
        <v>-15000</v>
      </c>
      <c r="F37" s="112"/>
      <c r="G37" s="121"/>
      <c r="H37" s="121"/>
      <c r="I37" s="121"/>
      <c r="J37" s="121"/>
      <c r="K37" s="121">
        <f>+E37</f>
        <v>-15000</v>
      </c>
      <c r="L37" s="121"/>
      <c r="M37" s="121"/>
    </row>
    <row r="38" spans="1:13" ht="19.5">
      <c r="A38" s="116">
        <f t="shared" si="0"/>
        <v>19</v>
      </c>
      <c r="B38" s="117"/>
      <c r="C38" s="115" t="s">
        <v>981</v>
      </c>
      <c r="D38" s="117"/>
      <c r="E38" s="168">
        <f>'WS H-1-Detail of Tax Amts'!E103</f>
        <v>146000</v>
      </c>
      <c r="F38" s="127"/>
      <c r="G38" s="121"/>
      <c r="H38" s="121"/>
      <c r="I38" s="121"/>
      <c r="J38" s="121"/>
      <c r="K38" s="121"/>
      <c r="L38" s="121"/>
      <c r="M38" s="121">
        <f>+E38</f>
        <v>146000</v>
      </c>
    </row>
    <row r="39" spans="1:13" ht="19.5">
      <c r="A39" s="116">
        <f t="shared" si="0"/>
        <v>20</v>
      </c>
      <c r="B39" s="112"/>
      <c r="C39" s="115" t="s">
        <v>309</v>
      </c>
      <c r="D39" s="112"/>
      <c r="E39" s="168">
        <f>'WS H-1-Detail of Tax Amts'!E107</f>
        <v>3000</v>
      </c>
      <c r="F39" s="112"/>
      <c r="G39" s="121"/>
      <c r="H39" s="121"/>
      <c r="I39" s="121"/>
      <c r="J39" s="121"/>
      <c r="K39" s="121"/>
      <c r="L39" s="121"/>
      <c r="M39" s="121">
        <f>+E39</f>
        <v>3000</v>
      </c>
    </row>
    <row r="40" spans="1:13" ht="19.5">
      <c r="A40" s="116">
        <f t="shared" si="0"/>
        <v>21</v>
      </c>
      <c r="B40" s="112"/>
      <c r="C40" s="24" t="s">
        <v>1109</v>
      </c>
      <c r="D40" s="127"/>
      <c r="E40" s="168">
        <f>'WS H-1-Detail of Tax Amts'!E110</f>
        <v>-255000</v>
      </c>
      <c r="F40" s="127"/>
      <c r="G40" s="121"/>
      <c r="H40" s="121"/>
      <c r="I40" s="121"/>
      <c r="J40" s="121"/>
      <c r="K40" s="121"/>
      <c r="L40" s="121"/>
      <c r="M40" s="121">
        <f>+E40</f>
        <v>-255000</v>
      </c>
    </row>
    <row r="41" spans="1:13" ht="19.5">
      <c r="A41" s="116">
        <f t="shared" si="0"/>
        <v>22</v>
      </c>
      <c r="B41" s="112"/>
      <c r="C41" s="138"/>
      <c r="D41" s="127"/>
      <c r="E41" s="168"/>
      <c r="F41" s="127"/>
      <c r="G41" s="121"/>
      <c r="H41" s="121"/>
      <c r="I41" s="121"/>
      <c r="J41" s="121"/>
      <c r="K41" s="121"/>
      <c r="L41" s="121"/>
      <c r="M41" s="121"/>
    </row>
    <row r="42" spans="1:13" ht="20.25" thickBot="1">
      <c r="A42" s="116">
        <f>A41+1</f>
        <v>23</v>
      </c>
      <c r="B42" s="249"/>
      <c r="C42" s="112" t="s">
        <v>312</v>
      </c>
      <c r="D42"/>
      <c r="E42" s="137">
        <f>SUM(E17:E40)</f>
        <v>112917000</v>
      </c>
      <c r="F42" s="112"/>
      <c r="G42" s="137">
        <f>SUM(G17:G40)</f>
        <v>73633000</v>
      </c>
      <c r="H42" s="130"/>
      <c r="I42" s="137">
        <f>SUM(I17:I40)</f>
        <v>14133000</v>
      </c>
      <c r="J42" s="133"/>
      <c r="K42" s="137">
        <f>SUM(K17:K40)</f>
        <v>2732000</v>
      </c>
      <c r="L42" s="136"/>
      <c r="M42" s="137">
        <f>SUM(M17:M40)</f>
        <v>22419000</v>
      </c>
    </row>
    <row r="43" spans="1:13" ht="20.25" thickTop="1">
      <c r="A43" s="6"/>
      <c r="B43" s="249"/>
      <c r="C43" s="112" t="s">
        <v>382</v>
      </c>
      <c r="D43"/>
      <c r="E43"/>
      <c r="F43" s="112"/>
      <c r="G43" s="130"/>
      <c r="H43" s="130"/>
      <c r="I43" s="133"/>
      <c r="J43" s="134"/>
      <c r="K43" s="136"/>
      <c r="L43" s="136"/>
      <c r="M43" s="136"/>
    </row>
    <row r="44" spans="1:13" ht="19.5">
      <c r="A44" s="6"/>
      <c r="B44" s="249"/>
      <c r="C44" s="127" t="s">
        <v>80</v>
      </c>
      <c r="D44"/>
      <c r="E44"/>
      <c r="F44" s="112"/>
      <c r="G44" s="130"/>
      <c r="H44" s="130"/>
      <c r="I44" s="133"/>
      <c r="J44" s="134"/>
      <c r="K44" s="136"/>
      <c r="L44" s="136"/>
      <c r="M44" s="136"/>
    </row>
    <row r="45" spans="1:13" ht="19.5">
      <c r="A45" s="6"/>
      <c r="B45" s="249"/>
      <c r="C45" s="1501" t="s">
        <v>463</v>
      </c>
      <c r="D45" s="1501"/>
      <c r="E45" s="1501"/>
      <c r="F45" s="1501"/>
      <c r="G45" s="1501"/>
      <c r="H45" s="1501"/>
      <c r="I45" s="1501"/>
      <c r="J45" s="1501"/>
      <c r="K45" s="1501"/>
      <c r="L45" s="1501"/>
      <c r="M45" s="1501"/>
    </row>
    <row r="46" spans="1:13" ht="19.5">
      <c r="A46" s="116"/>
      <c r="C46" s="112"/>
      <c r="D46" s="112"/>
      <c r="E46" s="141" t="s">
        <v>230</v>
      </c>
      <c r="G46" s="141" t="s">
        <v>334</v>
      </c>
      <c r="H46" s="141"/>
      <c r="I46" s="141" t="s">
        <v>439</v>
      </c>
      <c r="J46" s="141"/>
      <c r="K46" s="141" t="s">
        <v>335</v>
      </c>
      <c r="L46" s="141"/>
      <c r="M46" s="141" t="s">
        <v>119</v>
      </c>
    </row>
    <row r="47" spans="1:13" ht="19.5">
      <c r="A47" s="164">
        <f>+A42+1</f>
        <v>24</v>
      </c>
      <c r="B47" s="165"/>
      <c r="C47" s="263" t="str">
        <f>"Functionalized Net Plant (TCOS, Lns "&amp;TCOS!B90&amp;" thru "&amp;TCOS!B95&amp;")"</f>
        <v>Functionalized Net Plant (TCOS, Lns 41 thru 46)</v>
      </c>
      <c r="D47" s="127"/>
      <c r="E47" s="264">
        <f>+TCOS!G90</f>
        <v>2647991000</v>
      </c>
      <c r="F47" s="263"/>
      <c r="G47" s="264">
        <f>+TCOS!G91</f>
        <v>1264874000</v>
      </c>
      <c r="H47" s="263"/>
      <c r="I47" s="264">
        <f>+TCOS!G92</f>
        <v>2072431000</v>
      </c>
      <c r="J47" s="263"/>
      <c r="K47" s="265">
        <f>+TCOS!G93</f>
        <v>142423000</v>
      </c>
      <c r="L47" s="127"/>
      <c r="M47" s="166">
        <f>SUM(E47:K47)</f>
        <v>6127719000</v>
      </c>
    </row>
    <row r="48" spans="1:13" ht="19.5">
      <c r="A48" s="164"/>
      <c r="B48" s="165"/>
      <c r="C48" s="122" t="s">
        <v>960</v>
      </c>
      <c r="D48" s="127"/>
      <c r="E48" s="166"/>
      <c r="F48" s="127"/>
      <c r="G48" s="231"/>
      <c r="H48" s="127"/>
      <c r="I48" s="166"/>
      <c r="J48" s="127"/>
      <c r="K48" s="167"/>
      <c r="L48" s="127"/>
      <c r="M48" s="236"/>
    </row>
    <row r="49" spans="1:21" ht="19.5">
      <c r="A49" s="164">
        <f>+A47+1</f>
        <v>25</v>
      </c>
      <c r="B49" s="165"/>
      <c r="C49" s="127" t="str">
        <f>"Percentage of Plant in "&amp;C48&amp;""</f>
        <v>Percentage of Plant in MICHIGAN JURISDICTION</v>
      </c>
      <c r="D49" s="127"/>
      <c r="E49" s="890">
        <v>0.82709999999999995</v>
      </c>
      <c r="F49" s="330"/>
      <c r="G49" s="890">
        <v>0.1636</v>
      </c>
      <c r="H49" s="330"/>
      <c r="I49" s="890">
        <v>0.18490000000000001</v>
      </c>
      <c r="J49" s="231"/>
      <c r="K49" s="890">
        <v>0.14990000000000001</v>
      </c>
      <c r="L49" s="127"/>
      <c r="M49" s="236"/>
    </row>
    <row r="50" spans="1:21" ht="19.5">
      <c r="A50" s="164">
        <f t="shared" ref="A50:A56" si="1">+A49+1</f>
        <v>26</v>
      </c>
      <c r="B50" s="165"/>
      <c r="C50" s="263" t="str">
        <f>"Net Plant in "&amp;C48&amp;" (Ln "&amp;A47&amp;" * Ln "&amp;A49&amp;")"</f>
        <v>Net Plant in MICHIGAN JURISDICTION (Ln 24 * Ln 25)</v>
      </c>
      <c r="D50" s="127"/>
      <c r="E50" s="166">
        <f>+E47*E49</f>
        <v>2190153356.0999999</v>
      </c>
      <c r="F50" s="127"/>
      <c r="G50" s="166">
        <f>+G47*G49</f>
        <v>206933386.40000001</v>
      </c>
      <c r="H50" s="127"/>
      <c r="I50" s="166">
        <f>+I47*I49</f>
        <v>383192491.90000004</v>
      </c>
      <c r="J50" s="127"/>
      <c r="K50" s="166">
        <f>+K47*K49</f>
        <v>21349207.699999999</v>
      </c>
      <c r="L50" s="127"/>
      <c r="M50" s="166">
        <f>SUM(E50:K50)</f>
        <v>2801628442.0999999</v>
      </c>
      <c r="O50"/>
    </row>
    <row r="51" spans="1:21" ht="19.5">
      <c r="A51" s="164">
        <f t="shared" si="1"/>
        <v>27</v>
      </c>
      <c r="B51" s="165"/>
      <c r="C51" s="263" t="s">
        <v>226</v>
      </c>
      <c r="D51" s="127"/>
      <c r="E51" s="891">
        <v>448826670</v>
      </c>
      <c r="F51" s="127"/>
      <c r="G51" s="229"/>
      <c r="H51" s="127"/>
      <c r="I51" s="229"/>
      <c r="J51" s="127"/>
      <c r="K51" s="230"/>
      <c r="L51" s="127"/>
      <c r="M51" s="166"/>
      <c r="O51"/>
    </row>
    <row r="52" spans="1:21" ht="19.5">
      <c r="A52" s="164">
        <f t="shared" si="1"/>
        <v>28</v>
      </c>
      <c r="B52" s="165"/>
      <c r="C52" s="127" t="str">
        <f>"Taxable Property Basis (Ln "&amp;A50&amp;" - Ln "&amp;A51&amp;")"</f>
        <v>Taxable Property Basis (Ln 26 - Ln 27)</v>
      </c>
      <c r="D52" s="127"/>
      <c r="E52" s="166">
        <f>+E50-E51</f>
        <v>1741326686.0999999</v>
      </c>
      <c r="F52" s="127"/>
      <c r="G52" s="166">
        <f>+G50-G51</f>
        <v>206933386.40000001</v>
      </c>
      <c r="H52" s="127"/>
      <c r="I52" s="166">
        <f>+I50-I51</f>
        <v>383192491.90000004</v>
      </c>
      <c r="J52" s="127"/>
      <c r="K52" s="166">
        <f>+K50-K51</f>
        <v>21349207.699999999</v>
      </c>
      <c r="L52" s="127"/>
      <c r="M52" s="166">
        <f>SUM(E52:K52)</f>
        <v>2352801772.0999999</v>
      </c>
      <c r="O52"/>
    </row>
    <row r="53" spans="1:21" ht="19.5">
      <c r="A53" s="164">
        <f t="shared" si="1"/>
        <v>29</v>
      </c>
      <c r="B53" s="165"/>
      <c r="C53" s="168" t="s">
        <v>462</v>
      </c>
      <c r="D53" s="127"/>
      <c r="E53" s="890">
        <v>1</v>
      </c>
      <c r="F53" s="330"/>
      <c r="G53" s="890">
        <v>1</v>
      </c>
      <c r="H53" s="330"/>
      <c r="I53" s="890">
        <v>1</v>
      </c>
      <c r="J53" s="231"/>
      <c r="K53" s="890">
        <v>1</v>
      </c>
      <c r="L53" s="127"/>
      <c r="M53" s="221">
        <f>SUM(E53:K53)</f>
        <v>4</v>
      </c>
      <c r="O53"/>
    </row>
    <row r="54" spans="1:21" ht="19.5">
      <c r="A54" s="164">
        <f t="shared" si="1"/>
        <v>30</v>
      </c>
      <c r="B54" s="165"/>
      <c r="C54" s="263" t="str">
        <f>"Weighted Net Plant (Ln "&amp;A52&amp;" * Ln "&amp;A53&amp;")"</f>
        <v>Weighted Net Plant (Ln 28 * Ln 29)</v>
      </c>
      <c r="D54" s="127"/>
      <c r="E54" s="166">
        <f>+E52*E53</f>
        <v>1741326686.0999999</v>
      </c>
      <c r="F54" s="127"/>
      <c r="G54" s="166">
        <f>+G52*G53</f>
        <v>206933386.40000001</v>
      </c>
      <c r="H54" s="127"/>
      <c r="I54" s="166">
        <f>+I52*I53</f>
        <v>383192491.90000004</v>
      </c>
      <c r="J54" s="127"/>
      <c r="K54" s="166">
        <f>+K52*K53</f>
        <v>21349207.699999999</v>
      </c>
      <c r="L54" s="127"/>
      <c r="M54" s="166"/>
      <c r="O54"/>
      <c r="P54"/>
      <c r="Q54"/>
      <c r="R54"/>
      <c r="S54"/>
      <c r="T54"/>
      <c r="U54"/>
    </row>
    <row r="55" spans="1:21" ht="19.5">
      <c r="A55" s="164">
        <f t="shared" si="1"/>
        <v>31</v>
      </c>
      <c r="B55" s="165"/>
      <c r="C55" s="127" t="str">
        <f>+"General Plant Allocator (Ln "&amp;A54&amp;" / (Total - General Plant))"</f>
        <v>General Plant Allocator (Ln 30 / (Total - General Plant))</v>
      </c>
      <c r="D55" s="127"/>
      <c r="E55" s="169">
        <f>IF(E53=0,0,+E54/($E54+$G54+$I54))</f>
        <v>0.74688488742559112</v>
      </c>
      <c r="F55" s="127"/>
      <c r="G55" s="169">
        <f>IF(G53=0,0,+G54/($E54+$G54+$I54))</f>
        <v>8.8757279285780519E-2</v>
      </c>
      <c r="H55" s="127"/>
      <c r="I55" s="169">
        <f>IF(I53=0,0,+I54/($E54+$G54+$I54))</f>
        <v>0.16435783328862824</v>
      </c>
      <c r="J55" s="127"/>
      <c r="K55" s="169">
        <v>-1</v>
      </c>
      <c r="L55" s="127"/>
      <c r="M55" s="127"/>
      <c r="O55"/>
      <c r="P55"/>
      <c r="Q55"/>
      <c r="R55"/>
      <c r="S55"/>
      <c r="T55"/>
      <c r="U55"/>
    </row>
    <row r="56" spans="1:21" ht="19.5">
      <c r="A56" s="164">
        <f t="shared" si="1"/>
        <v>32</v>
      </c>
      <c r="B56" s="165"/>
      <c r="C56" s="127" t="str">
        <f>"Functionalized General Plant (Ln "&amp;A55&amp;" * General Plant)"</f>
        <v>Functionalized General Plant (Ln 31 * General Plant)</v>
      </c>
      <c r="D56" s="127"/>
      <c r="E56" s="170">
        <f>ROUND($K54*E55,0)</f>
        <v>15945401</v>
      </c>
      <c r="F56" s="127"/>
      <c r="G56" s="170">
        <f>+G55*K54</f>
        <v>1894897.5903590359</v>
      </c>
      <c r="H56" s="127"/>
      <c r="I56" s="170">
        <f>ROUND($K54*I55,0)</f>
        <v>3508910</v>
      </c>
      <c r="J56" s="127"/>
      <c r="K56" s="170">
        <f>ROUND($K54*K55,0)</f>
        <v>-21349208</v>
      </c>
      <c r="L56" s="127"/>
      <c r="M56" s="166">
        <f>IF(SUM(E56:K56)&lt;&gt;0,0,0)</f>
        <v>0</v>
      </c>
      <c r="O56"/>
      <c r="P56"/>
      <c r="Q56"/>
      <c r="R56"/>
      <c r="S56"/>
      <c r="T56"/>
      <c r="U56"/>
    </row>
    <row r="57" spans="1:21" ht="19.5">
      <c r="A57" s="164">
        <f>+A56+1</f>
        <v>33</v>
      </c>
      <c r="B57" s="165"/>
      <c r="C57" s="127" t="str">
        <f>"Weighted "&amp;C48&amp;" Plant (Ln "&amp;A54&amp;" + "&amp;A56&amp;")"</f>
        <v>Weighted MICHIGAN JURISDICTION Plant (Ln 30 + 32)</v>
      </c>
      <c r="D57" s="127"/>
      <c r="E57" s="166">
        <f>+E54+E56</f>
        <v>1757272087.0999999</v>
      </c>
      <c r="F57" s="127"/>
      <c r="G57" s="167">
        <f>+G54+G56</f>
        <v>208828283.99035904</v>
      </c>
      <c r="H57" s="127"/>
      <c r="I57" s="166">
        <f>+I54+I56</f>
        <v>386701401.90000004</v>
      </c>
      <c r="J57" s="127"/>
      <c r="K57" s="166">
        <f>+K54+K56</f>
        <v>-0.30000000074505806</v>
      </c>
      <c r="L57" s="127"/>
      <c r="M57" s="166">
        <f>SUM(E57:K57)-SUM(E56:K56)</f>
        <v>2352801772.0999994</v>
      </c>
      <c r="O57"/>
    </row>
    <row r="58" spans="1:21" ht="19.5">
      <c r="A58" s="164">
        <f>+A57+1</f>
        <v>34</v>
      </c>
      <c r="B58" s="165"/>
      <c r="C58" s="127" t="str">
        <f>"Functional Percentage (Ln "&amp;A57&amp;"/Total Ln "&amp;A57&amp;")"</f>
        <v>Functional Percentage (Ln 33/Total Ln 33)</v>
      </c>
      <c r="D58" s="127"/>
      <c r="E58" s="231">
        <f>+E57/M57</f>
        <v>0.74688488760000471</v>
      </c>
      <c r="F58" s="127"/>
      <c r="G58" s="232">
        <f>+G57/M57</f>
        <v>8.8757279285780546E-2</v>
      </c>
      <c r="H58" s="127"/>
      <c r="I58" s="231">
        <f>+I57/M57</f>
        <v>0.16435783349263999</v>
      </c>
      <c r="J58" s="127"/>
      <c r="K58"/>
      <c r="L58" s="127"/>
      <c r="M58" s="166"/>
      <c r="O58"/>
    </row>
    <row r="59" spans="1:21" ht="19.5">
      <c r="A59" s="164"/>
      <c r="B59" s="165"/>
      <c r="C59" s="122" t="s">
        <v>961</v>
      </c>
      <c r="D59" s="127"/>
      <c r="E59" s="166"/>
      <c r="F59" s="127"/>
      <c r="G59" s="166"/>
      <c r="H59" s="127"/>
      <c r="I59" s="166"/>
      <c r="J59" s="127"/>
      <c r="K59" s="167"/>
      <c r="L59" s="127"/>
      <c r="M59" s="166"/>
      <c r="O59"/>
    </row>
    <row r="60" spans="1:21" ht="19.5">
      <c r="A60" s="164">
        <f>+A58+1</f>
        <v>35</v>
      </c>
      <c r="B60" s="165"/>
      <c r="C60" s="127" t="str">
        <f>"Percentage of Plant in "&amp;C59&amp;""</f>
        <v>Percentage of Plant in INDIANA JURISDICTION</v>
      </c>
      <c r="D60" s="127"/>
      <c r="E60" s="890">
        <v>0.1729</v>
      </c>
      <c r="F60" s="330"/>
      <c r="G60" s="890">
        <v>0.83640000000000003</v>
      </c>
      <c r="H60" s="330"/>
      <c r="I60" s="890">
        <v>0.81510000000000005</v>
      </c>
      <c r="J60" s="231"/>
      <c r="K60" s="890">
        <v>0.84860000000000002</v>
      </c>
      <c r="L60" s="127"/>
      <c r="M60" s="228"/>
      <c r="O60"/>
    </row>
    <row r="61" spans="1:21" ht="19.5">
      <c r="A61" s="164">
        <f t="shared" ref="A61:A68" si="2">+A60+1</f>
        <v>36</v>
      </c>
      <c r="B61" s="165"/>
      <c r="C61" s="263" t="str">
        <f>"Net Plant in "&amp;C59&amp;" (Ln "&amp;A47&amp;" * Ln "&amp;A60&amp;")"</f>
        <v>Net Plant in INDIANA JURISDICTION (Ln 24 * Ln 35)</v>
      </c>
      <c r="D61"/>
      <c r="E61" s="166">
        <f>+E60*E47</f>
        <v>457837643.89999998</v>
      </c>
      <c r="F61" s="127"/>
      <c r="G61" s="166">
        <f>+G60*G47</f>
        <v>1057940613.6</v>
      </c>
      <c r="H61" s="127"/>
      <c r="I61" s="166">
        <f>+I60*I47</f>
        <v>1689238508.1000001</v>
      </c>
      <c r="J61" s="127"/>
      <c r="K61" s="166">
        <f>+K60*K47</f>
        <v>120860157.8</v>
      </c>
      <c r="L61" s="127"/>
      <c r="M61" s="166">
        <f>SUM(E61:K61)</f>
        <v>3325876923.4000006</v>
      </c>
      <c r="O61"/>
    </row>
    <row r="62" spans="1:21" ht="19.5">
      <c r="A62" s="164">
        <f t="shared" si="2"/>
        <v>37</v>
      </c>
      <c r="B62" s="165"/>
      <c r="C62" s="263" t="s">
        <v>226</v>
      </c>
      <c r="D62"/>
      <c r="E62" s="891">
        <v>135862530</v>
      </c>
      <c r="F62" s="127"/>
      <c r="G62" s="229"/>
      <c r="H62" s="127"/>
      <c r="I62" s="229"/>
      <c r="J62" s="127"/>
      <c r="K62" s="230"/>
      <c r="L62" s="127"/>
      <c r="M62" s="166"/>
      <c r="O62"/>
    </row>
    <row r="63" spans="1:21" ht="19.5">
      <c r="A63" s="164">
        <f t="shared" si="2"/>
        <v>38</v>
      </c>
      <c r="B63" s="165"/>
      <c r="C63" s="127" t="str">
        <f>"Taxable Property Basis (Ln "&amp;A61&amp;" - Ln "&amp;A62&amp;")"</f>
        <v>Taxable Property Basis (Ln 36 - Ln 37)</v>
      </c>
      <c r="D63"/>
      <c r="E63" s="166">
        <f>+E61-E62</f>
        <v>321975113.89999998</v>
      </c>
      <c r="F63" s="127"/>
      <c r="G63" s="166">
        <f>+G61-G62</f>
        <v>1057940613.6</v>
      </c>
      <c r="H63" s="127"/>
      <c r="I63" s="166">
        <f>+I61-I62</f>
        <v>1689238508.1000001</v>
      </c>
      <c r="J63" s="127"/>
      <c r="K63" s="166">
        <f>+K61-K62</f>
        <v>120860157.8</v>
      </c>
      <c r="L63" s="127"/>
      <c r="M63" s="166">
        <f>SUM(E63:K63)</f>
        <v>3190014393.4000006</v>
      </c>
      <c r="O63"/>
    </row>
    <row r="64" spans="1:21" ht="19.5">
      <c r="A64" s="164">
        <f t="shared" si="2"/>
        <v>39</v>
      </c>
      <c r="B64" s="165"/>
      <c r="C64" s="168" t="s">
        <v>462</v>
      </c>
      <c r="D64"/>
      <c r="E64" s="890">
        <v>1</v>
      </c>
      <c r="F64" s="330"/>
      <c r="G64" s="890">
        <v>1</v>
      </c>
      <c r="H64" s="330"/>
      <c r="I64" s="890">
        <v>1</v>
      </c>
      <c r="J64" s="231"/>
      <c r="K64" s="890">
        <v>1</v>
      </c>
      <c r="L64" s="127"/>
      <c r="M64" s="221">
        <f>SUM(E64:K64)</f>
        <v>4</v>
      </c>
      <c r="O64"/>
    </row>
    <row r="65" spans="1:15" ht="19.5">
      <c r="A65" s="164">
        <f t="shared" si="2"/>
        <v>40</v>
      </c>
      <c r="B65" s="165"/>
      <c r="C65" s="263" t="str">
        <f>"Weighted Net Plant (Ln "&amp;A63&amp;" * Ln "&amp;A64&amp;")"</f>
        <v>Weighted Net Plant (Ln 38 * Ln 39)</v>
      </c>
      <c r="D65"/>
      <c r="E65" s="166">
        <f>+E63*E64</f>
        <v>321975113.89999998</v>
      </c>
      <c r="F65" s="127"/>
      <c r="G65" s="166">
        <f>+G63*G64</f>
        <v>1057940613.6</v>
      </c>
      <c r="H65" s="127"/>
      <c r="I65" s="166">
        <f>+I63*I64</f>
        <v>1689238508.1000001</v>
      </c>
      <c r="J65" s="127"/>
      <c r="K65" s="166">
        <f>+K63*K64</f>
        <v>120860157.8</v>
      </c>
      <c r="L65" s="127"/>
      <c r="M65" s="166"/>
      <c r="O65"/>
    </row>
    <row r="66" spans="1:15" ht="19.5">
      <c r="A66" s="164">
        <f t="shared" si="2"/>
        <v>41</v>
      </c>
      <c r="B66" s="165"/>
      <c r="C66" s="127" t="str">
        <f>+"General Plant Allocator (Ln "&amp;A65&amp;" / (Total - General Plant))"</f>
        <v>General Plant Allocator (Ln 40 / (Total - General Plant))</v>
      </c>
      <c r="D66" s="127"/>
      <c r="E66" s="169">
        <f>IF(E64=0,0,+E65/($E65+$G65+$I65))</f>
        <v>0.10490678838010754</v>
      </c>
      <c r="F66" s="127"/>
      <c r="G66" s="169">
        <f>IF(G64=0,0,+G65/($E65+$G65+$I65))</f>
        <v>0.344701025881542</v>
      </c>
      <c r="H66" s="127"/>
      <c r="I66" s="169">
        <f>IF(I64=0,0,+I65/($E65+$G65+$I65))</f>
        <v>0.55039218573835036</v>
      </c>
      <c r="J66" s="127"/>
      <c r="K66" s="169">
        <v>-1</v>
      </c>
      <c r="L66" s="127"/>
      <c r="M66" s="127"/>
      <c r="O66"/>
    </row>
    <row r="67" spans="1:15" ht="19.5">
      <c r="A67" s="164">
        <f t="shared" si="2"/>
        <v>42</v>
      </c>
      <c r="B67" s="165"/>
      <c r="C67" s="127" t="str">
        <f>"Functionalized General Plant (Ln "&amp;A66&amp;" * General Plant)"</f>
        <v>Functionalized General Plant (Ln 41 * General Plant)</v>
      </c>
      <c r="D67" s="127"/>
      <c r="E67" s="170">
        <f>ROUND($K65*E66,0)</f>
        <v>12679051</v>
      </c>
      <c r="F67" s="127"/>
      <c r="G67" s="170">
        <f>+G66*K65</f>
        <v>41660620.381865047</v>
      </c>
      <c r="H67" s="127"/>
      <c r="I67" s="170">
        <f>ROUND($K65*I66,0)</f>
        <v>66520486</v>
      </c>
      <c r="J67" s="127"/>
      <c r="K67" s="170">
        <f>ROUND($K65*K66,0)</f>
        <v>-120860158</v>
      </c>
      <c r="L67" s="127"/>
      <c r="M67" s="166">
        <f>IF(SUM(E67:K67)&lt;&gt;0,0,0)</f>
        <v>0</v>
      </c>
      <c r="O67"/>
    </row>
    <row r="68" spans="1:15" ht="19.5">
      <c r="A68" s="164">
        <f t="shared" si="2"/>
        <v>43</v>
      </c>
      <c r="B68" s="165"/>
      <c r="C68" s="127" t="str">
        <f>"Weighted "&amp;C59&amp;" Plant (Ln "&amp;A65&amp;" + "&amp;A67&amp;")"</f>
        <v>Weighted INDIANA JURISDICTION Plant (Ln 40 + 42)</v>
      </c>
      <c r="D68" s="127"/>
      <c r="E68" s="166">
        <f>+E65+E67</f>
        <v>334654164.89999998</v>
      </c>
      <c r="F68" s="127"/>
      <c r="G68" s="167">
        <f>+G65+G67</f>
        <v>1099601233.9818652</v>
      </c>
      <c r="H68" s="127"/>
      <c r="I68" s="166">
        <f>+I65+I67</f>
        <v>1755758994.1000001</v>
      </c>
      <c r="J68" s="127"/>
      <c r="K68" s="166">
        <f>+K65+K67</f>
        <v>-0.20000000298023224</v>
      </c>
      <c r="L68" s="127"/>
      <c r="M68" s="166">
        <f>SUM(E68:K68)-SUM(E67:K67)</f>
        <v>3190014393.4000001</v>
      </c>
      <c r="O68"/>
    </row>
    <row r="69" spans="1:15" ht="19.5">
      <c r="A69" s="164">
        <f>+A68+1</f>
        <v>44</v>
      </c>
      <c r="B69" s="165"/>
      <c r="C69" s="127" t="str">
        <f>"Functional Percentage (Ln "&amp;A68&amp;"/Total Ln "&amp;A68&amp;")"</f>
        <v>Functional Percentage (Ln 43/Total Ln 43)</v>
      </c>
      <c r="D69" s="127"/>
      <c r="E69" s="231">
        <f>+E68/M68</f>
        <v>0.10490678838076241</v>
      </c>
      <c r="F69" s="127"/>
      <c r="G69" s="232">
        <f>+G68/M68</f>
        <v>0.34470102588154206</v>
      </c>
      <c r="H69" s="127"/>
      <c r="I69" s="231">
        <f>+I68/M68</f>
        <v>0.5503921856066194</v>
      </c>
      <c r="J69" s="127"/>
      <c r="K69"/>
      <c r="L69" s="127"/>
      <c r="M69" s="166"/>
      <c r="O69"/>
    </row>
    <row r="70" spans="1:15" ht="19.5">
      <c r="A70" s="164" t="s">
        <v>115</v>
      </c>
      <c r="B70" s="165"/>
      <c r="C70" s="334" t="s">
        <v>115</v>
      </c>
      <c r="D70" s="127"/>
      <c r="E70" s="335"/>
      <c r="F70" s="336"/>
      <c r="G70" s="337"/>
      <c r="H70" s="336"/>
      <c r="I70" s="335"/>
      <c r="J70" s="336"/>
      <c r="K70" s="333"/>
      <c r="L70" s="127"/>
      <c r="M70" s="166"/>
      <c r="O70"/>
    </row>
    <row r="71" spans="1:15" ht="19.5">
      <c r="A71" s="164">
        <f>+A69+1</f>
        <v>45</v>
      </c>
      <c r="B71" s="165"/>
      <c r="C71" s="127" t="s">
        <v>976</v>
      </c>
      <c r="D71" s="127"/>
      <c r="E71" s="335">
        <f>+E47-E50-E61</f>
        <v>0</v>
      </c>
      <c r="F71" s="336"/>
      <c r="G71" s="227">
        <f>+M71*TCOS!J95</f>
        <v>5063.9964136350891</v>
      </c>
      <c r="H71" s="336"/>
      <c r="I71" s="335">
        <f>+I47-I50-I61</f>
        <v>0</v>
      </c>
      <c r="J71" s="336"/>
      <c r="K71" s="335">
        <v>0</v>
      </c>
      <c r="L71" s="127"/>
      <c r="M71" s="166">
        <f>G22</f>
        <v>26000</v>
      </c>
      <c r="O71"/>
    </row>
    <row r="72" spans="1:15" ht="19.5">
      <c r="A72" s="164"/>
      <c r="B72" s="165"/>
      <c r="C72" s="127"/>
      <c r="D72" s="127"/>
      <c r="E72" s="227"/>
      <c r="F72" s="127"/>
      <c r="G72" s="227"/>
      <c r="H72" s="127"/>
      <c r="I72" s="227"/>
      <c r="J72" s="127"/>
      <c r="K72"/>
      <c r="L72" s="127"/>
      <c r="M72" s="167"/>
      <c r="O72"/>
    </row>
    <row r="73" spans="1:15" ht="19.5">
      <c r="A73" s="164"/>
      <c r="B73" s="165"/>
      <c r="C73" s="127"/>
      <c r="D73" s="127"/>
      <c r="E73" s="168"/>
      <c r="F73" s="168"/>
      <c r="G73" s="168"/>
      <c r="H73" s="168"/>
      <c r="I73" s="168"/>
      <c r="J73" s="127"/>
      <c r="K73" s="227"/>
      <c r="L73" s="127"/>
      <c r="M73" s="168"/>
      <c r="O73"/>
    </row>
    <row r="74" spans="1:15" ht="19.5">
      <c r="A74" s="164"/>
      <c r="B74" s="165"/>
      <c r="C74" s="127"/>
      <c r="D74" s="127"/>
      <c r="E74" s="114"/>
      <c r="F74" s="336"/>
      <c r="G74" s="333"/>
      <c r="H74" s="336"/>
      <c r="I74" s="335"/>
      <c r="J74" s="336"/>
      <c r="K74" s="335"/>
      <c r="L74" s="127"/>
      <c r="M74" s="166"/>
      <c r="O74"/>
    </row>
    <row r="75" spans="1:15" ht="12.75">
      <c r="O75"/>
    </row>
    <row r="76" spans="1:15" ht="12.75">
      <c r="G76" s="235"/>
      <c r="O76"/>
    </row>
  </sheetData>
  <mergeCells count="7">
    <mergeCell ref="A8:M8"/>
    <mergeCell ref="A7:M7"/>
    <mergeCell ref="C45:M45"/>
    <mergeCell ref="A3:M3"/>
    <mergeCell ref="A4:M4"/>
    <mergeCell ref="A5:M5"/>
    <mergeCell ref="A6:M6"/>
  </mergeCells>
  <phoneticPr fontId="69"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38"/>
  <sheetViews>
    <sheetView view="pageBreakPreview" topLeftCell="A94" zoomScale="70" zoomScaleNormal="70" zoomScaleSheetLayoutView="70" workbookViewId="0">
      <selection activeCell="E114" sqref="E114"/>
    </sheetView>
  </sheetViews>
  <sheetFormatPr defaultRowHeight="12.75"/>
  <cols>
    <col min="1" max="1" width="7.28515625" style="128" customWidth="1"/>
    <col min="2" max="2" width="1.7109375" style="129" customWidth="1"/>
    <col min="3" max="3" width="68.5703125" style="129" customWidth="1"/>
    <col min="4" max="4" width="19.140625" style="129" customWidth="1"/>
    <col min="5" max="5" width="20.42578125" style="123" customWidth="1"/>
    <col min="6" max="6" width="20.42578125" style="114" bestFit="1" customWidth="1"/>
    <col min="7" max="7" width="40.28515625" style="114" bestFit="1" customWidth="1"/>
    <col min="8" max="8" width="13" style="114" bestFit="1" customWidth="1"/>
    <col min="9" max="9" width="34" style="114" customWidth="1"/>
    <col min="10" max="16384" width="9.140625" style="114"/>
  </cols>
  <sheetData>
    <row r="1" spans="1:20" ht="15.75">
      <c r="A1" s="920" t="s">
        <v>115</v>
      </c>
    </row>
    <row r="2" spans="1:20" ht="15.75">
      <c r="A2" s="920" t="s">
        <v>115</v>
      </c>
    </row>
    <row r="3" spans="1:20" ht="18.75" customHeight="1">
      <c r="A3" s="1461" t="s">
        <v>388</v>
      </c>
      <c r="B3" s="1461"/>
      <c r="C3" s="1461"/>
      <c r="D3" s="1461"/>
      <c r="E3" s="1461"/>
      <c r="F3" s="1461"/>
    </row>
    <row r="4" spans="1:20" ht="18.75" customHeight="1">
      <c r="A4" s="1462" t="str">
        <f>"Cost of Service Formula Rate Using Actual/Projected FF1 Balances"</f>
        <v>Cost of Service Formula Rate Using Actual/Projected FF1 Balances</v>
      </c>
      <c r="B4" s="1462"/>
      <c r="C4" s="1462"/>
      <c r="D4" s="1462"/>
      <c r="E4" s="1462"/>
      <c r="F4" s="1462"/>
    </row>
    <row r="5" spans="1:20" ht="18.75" customHeight="1">
      <c r="A5" s="1462" t="s">
        <v>218</v>
      </c>
      <c r="B5" s="1462"/>
      <c r="C5" s="1462"/>
      <c r="D5" s="1462"/>
      <c r="E5" s="1462"/>
      <c r="F5" s="1462"/>
    </row>
    <row r="6" spans="1:20" ht="18" customHeight="1">
      <c r="A6" s="1469" t="str">
        <f>TCOS!F9</f>
        <v xml:space="preserve">Indiana Michigan Power Company </v>
      </c>
      <c r="B6" s="1462"/>
      <c r="C6" s="1462"/>
      <c r="D6" s="1462"/>
      <c r="E6" s="1462"/>
      <c r="F6" s="1462"/>
    </row>
    <row r="7" spans="1:20" ht="18" customHeight="1">
      <c r="A7" s="1473"/>
      <c r="B7" s="1473"/>
      <c r="C7" s="1473"/>
      <c r="D7" s="1473"/>
      <c r="E7" s="1473"/>
      <c r="F7" s="1473"/>
    </row>
    <row r="8" spans="1:20" ht="19.5" customHeight="1">
      <c r="A8" s="116"/>
      <c r="B8" s="117"/>
      <c r="C8" s="37" t="s">
        <v>163</v>
      </c>
      <c r="E8" s="37" t="s">
        <v>164</v>
      </c>
      <c r="F8" s="273" t="s">
        <v>165</v>
      </c>
      <c r="G8" s="273" t="s">
        <v>166</v>
      </c>
    </row>
    <row r="9" spans="1:20" ht="18">
      <c r="A9" s="213"/>
      <c r="B9" s="214"/>
      <c r="C9" s="214"/>
      <c r="D9" s="214"/>
      <c r="E9"/>
      <c r="F9" s="16"/>
      <c r="G9" s="274"/>
      <c r="H9" s="40"/>
      <c r="I9" s="40"/>
      <c r="J9" s="40"/>
      <c r="K9" s="40"/>
      <c r="L9" s="40"/>
      <c r="M9" s="40"/>
      <c r="N9" s="40"/>
      <c r="O9" s="40"/>
      <c r="P9" s="40"/>
      <c r="Q9" s="40"/>
      <c r="R9" s="40"/>
      <c r="S9" s="40"/>
      <c r="T9" s="40"/>
    </row>
    <row r="10" spans="1:20" ht="18">
      <c r="A10" s="213" t="s">
        <v>170</v>
      </c>
      <c r="B10" s="214"/>
      <c r="C10" s="214"/>
      <c r="D10" s="214"/>
      <c r="E10" s="215" t="s">
        <v>119</v>
      </c>
      <c r="F10" s="275" t="s">
        <v>77</v>
      </c>
      <c r="G10" s="276"/>
    </row>
    <row r="11" spans="1:20" ht="18">
      <c r="A11" s="217" t="s">
        <v>118</v>
      </c>
      <c r="B11" s="277"/>
      <c r="C11" s="217" t="s">
        <v>30</v>
      </c>
      <c r="D11" s="1121"/>
      <c r="E11" s="218" t="s">
        <v>184</v>
      </c>
      <c r="F11" s="217" t="s">
        <v>78</v>
      </c>
      <c r="G11" s="218" t="s">
        <v>79</v>
      </c>
      <c r="H11" s="1121"/>
      <c r="I11" s="1121"/>
    </row>
    <row r="12" spans="1:20" ht="18">
      <c r="A12" s="118"/>
      <c r="B12" s="117"/>
      <c r="C12" s="113"/>
      <c r="D12" s="113"/>
      <c r="E12" s="113"/>
      <c r="F12" s="275"/>
      <c r="G12" s="278"/>
      <c r="H12" s="279"/>
      <c r="I12" s="1122"/>
    </row>
    <row r="13" spans="1:20" ht="18">
      <c r="A13" s="116"/>
      <c r="B13" s="117"/>
      <c r="C13" s="117"/>
      <c r="D13" s="117"/>
      <c r="E13" s="119"/>
      <c r="F13" s="113"/>
    </row>
    <row r="14" spans="1:20" ht="19.5">
      <c r="A14" s="116">
        <v>1</v>
      </c>
      <c r="B14" s="117"/>
      <c r="C14" s="120" t="s">
        <v>324</v>
      </c>
      <c r="D14" s="117"/>
      <c r="E14" s="127"/>
      <c r="F14" s="115"/>
    </row>
    <row r="15" spans="1:20" ht="19.5">
      <c r="A15" s="116">
        <f>+A14+1</f>
        <v>2</v>
      </c>
      <c r="B15" s="117"/>
      <c r="C15" s="112" t="s">
        <v>308</v>
      </c>
      <c r="D15"/>
      <c r="E15" s="287">
        <f>SUM(F16:F19)</f>
        <v>22525000</v>
      </c>
      <c r="F15" s="127"/>
      <c r="G15" s="279"/>
      <c r="H15" s="279"/>
    </row>
    <row r="16" spans="1:20" ht="19.5">
      <c r="A16" s="116"/>
      <c r="B16" s="117"/>
      <c r="C16" s="122"/>
      <c r="D16"/>
      <c r="E16" s="286"/>
      <c r="F16" s="892">
        <v>22525000</v>
      </c>
      <c r="G16" s="893"/>
      <c r="H16" s="279"/>
    </row>
    <row r="17" spans="1:9" ht="19.5">
      <c r="A17" s="116"/>
      <c r="B17" s="117"/>
      <c r="C17" s="122"/>
      <c r="D17"/>
      <c r="E17" s="286"/>
      <c r="F17" s="892"/>
      <c r="G17" s="893"/>
      <c r="H17" s="279"/>
    </row>
    <row r="18" spans="1:9" ht="19.5">
      <c r="A18" s="116"/>
      <c r="B18" s="117"/>
      <c r="C18" s="122"/>
      <c r="D18"/>
      <c r="E18" s="286"/>
      <c r="F18" s="892"/>
      <c r="G18" s="893"/>
      <c r="H18" s="279"/>
    </row>
    <row r="19" spans="1:9" ht="18" customHeight="1">
      <c r="A19" s="116"/>
      <c r="B19" s="117"/>
      <c r="C19" s="122"/>
      <c r="D19"/>
      <c r="E19" s="286"/>
      <c r="F19" s="892"/>
      <c r="G19" s="893"/>
      <c r="H19" s="279"/>
    </row>
    <row r="20" spans="1:9" ht="18" customHeight="1">
      <c r="A20" s="116"/>
      <c r="B20" s="117"/>
      <c r="C20" s="122"/>
      <c r="D20"/>
      <c r="E20" s="286"/>
      <c r="F20" s="892"/>
      <c r="G20" s="893"/>
      <c r="H20" s="279"/>
    </row>
    <row r="21" spans="1:9" ht="18" customHeight="1">
      <c r="A21" s="116"/>
      <c r="B21" s="117"/>
      <c r="C21" s="122"/>
      <c r="D21"/>
      <c r="E21" s="286"/>
      <c r="F21" s="922"/>
      <c r="G21" s="923"/>
      <c r="H21" s="279"/>
    </row>
    <row r="22" spans="1:9" ht="18" customHeight="1">
      <c r="A22" s="116"/>
      <c r="B22" s="117"/>
      <c r="C22" s="37" t="s">
        <v>163</v>
      </c>
      <c r="D22" s="37" t="s">
        <v>164</v>
      </c>
      <c r="E22" s="273" t="s">
        <v>165</v>
      </c>
      <c r="F22" s="273" t="s">
        <v>166</v>
      </c>
      <c r="G22" s="273" t="s">
        <v>85</v>
      </c>
      <c r="H22" s="1158" t="s">
        <v>86</v>
      </c>
      <c r="I22" s="273" t="s">
        <v>87</v>
      </c>
    </row>
    <row r="23" spans="1:9" ht="58.5" customHeight="1">
      <c r="A23" s="217"/>
      <c r="B23" s="277"/>
      <c r="C23" s="1159" t="s">
        <v>759</v>
      </c>
      <c r="D23" s="1160" t="s">
        <v>677</v>
      </c>
      <c r="E23" s="1161" t="s">
        <v>757</v>
      </c>
      <c r="F23" s="1162" t="s">
        <v>758</v>
      </c>
      <c r="G23" s="1163" t="s">
        <v>79</v>
      </c>
      <c r="H23" s="1161" t="s">
        <v>829</v>
      </c>
      <c r="I23" s="1162" t="s">
        <v>756</v>
      </c>
    </row>
    <row r="24" spans="1:9" ht="19.5">
      <c r="A24" s="116"/>
      <c r="B24" s="117"/>
      <c r="C24" s="334"/>
      <c r="D24" s="5"/>
      <c r="E24" s="286"/>
      <c r="F24" s="287"/>
      <c r="G24" s="1107"/>
      <c r="H24" s="279"/>
      <c r="I24" s="279"/>
    </row>
    <row r="25" spans="1:9" ht="39">
      <c r="A25" s="1105">
        <f>+A15+1</f>
        <v>3</v>
      </c>
      <c r="B25" s="1106"/>
      <c r="C25" s="1157" t="s">
        <v>755</v>
      </c>
      <c r="D25" s="1164"/>
      <c r="E25" s="1165">
        <f>E27+E33+E44+E50</f>
        <v>73633000</v>
      </c>
      <c r="F25" s="1166"/>
      <c r="G25" s="1123"/>
      <c r="H25" s="1167"/>
      <c r="I25" s="1165">
        <f>I27+I33+I44+I50</f>
        <v>12011912.508578595</v>
      </c>
    </row>
    <row r="26" spans="1:9" ht="19.5">
      <c r="A26" s="116"/>
      <c r="B26" s="117"/>
      <c r="C26" s="120"/>
      <c r="D26"/>
      <c r="E26" s="286"/>
      <c r="F26" s="281"/>
      <c r="G26" s="1107"/>
      <c r="H26" s="1108"/>
      <c r="I26" s="1109"/>
    </row>
    <row r="27" spans="1:9" ht="19.5">
      <c r="A27" s="116">
        <f>+A25+1</f>
        <v>4</v>
      </c>
      <c r="B27" s="117"/>
      <c r="C27" s="1110" t="s">
        <v>962</v>
      </c>
      <c r="D27"/>
      <c r="E27" s="287">
        <f>SUM(F28:F32)</f>
        <v>52219000</v>
      </c>
      <c r="F27" s="281"/>
      <c r="G27" s="280"/>
      <c r="H27" s="282"/>
      <c r="I27" s="1104">
        <f>SUM(I28:I32)</f>
        <v>4634816.367024174</v>
      </c>
    </row>
    <row r="28" spans="1:9" ht="19.5">
      <c r="A28" s="116"/>
      <c r="B28" s="117"/>
      <c r="C28" s="1110"/>
      <c r="D28" s="1328" t="s">
        <v>1110</v>
      </c>
      <c r="E28" s="287"/>
      <c r="F28" s="892">
        <v>52219000</v>
      </c>
      <c r="G28" s="893"/>
      <c r="H28" s="1102">
        <f>'WS H Other Taxes'!G58</f>
        <v>8.8757279285780546E-2</v>
      </c>
      <c r="I28" s="1172">
        <f>+F28*H28</f>
        <v>4634816.367024174</v>
      </c>
    </row>
    <row r="29" spans="1:9" ht="19.5">
      <c r="A29" s="116"/>
      <c r="B29" s="117"/>
      <c r="C29" s="1110"/>
      <c r="D29" s="892"/>
      <c r="E29" s="287"/>
      <c r="F29" s="892"/>
      <c r="G29" s="893"/>
      <c r="H29" s="1102"/>
      <c r="I29" s="1172">
        <f>+F29*H29</f>
        <v>0</v>
      </c>
    </row>
    <row r="30" spans="1:9" ht="19.5">
      <c r="A30" s="116"/>
      <c r="B30" s="117"/>
      <c r="C30" s="1110"/>
      <c r="D30" s="892"/>
      <c r="E30" s="287"/>
      <c r="F30" s="892"/>
      <c r="G30" s="893"/>
      <c r="H30" s="1102"/>
      <c r="I30" s="1172">
        <f>+F30*H30</f>
        <v>0</v>
      </c>
    </row>
    <row r="31" spans="1:9" ht="19.5">
      <c r="A31" s="116"/>
      <c r="B31" s="117"/>
      <c r="C31" s="1110"/>
      <c r="D31" s="892"/>
      <c r="E31" s="287"/>
      <c r="F31" s="892"/>
      <c r="G31" s="893"/>
      <c r="H31" s="1102"/>
      <c r="I31" s="1172">
        <f t="shared" ref="I31:I42" si="0">F31*H31</f>
        <v>0</v>
      </c>
    </row>
    <row r="32" spans="1:9" ht="19.5">
      <c r="A32" s="116"/>
      <c r="B32" s="117"/>
      <c r="C32" s="1110"/>
      <c r="D32" s="892"/>
      <c r="E32" s="287"/>
      <c r="F32" s="892"/>
      <c r="G32" s="893"/>
      <c r="H32" s="1102"/>
      <c r="I32" s="1172">
        <f t="shared" si="0"/>
        <v>0</v>
      </c>
    </row>
    <row r="33" spans="1:9" ht="19.5">
      <c r="A33" s="116">
        <f>+A27+1</f>
        <v>5</v>
      </c>
      <c r="B33" s="117"/>
      <c r="C33" s="1110" t="s">
        <v>963</v>
      </c>
      <c r="D33"/>
      <c r="E33" s="287">
        <f>SUM(F34:F40)</f>
        <v>21388000</v>
      </c>
      <c r="F33" s="168"/>
      <c r="G33" s="280"/>
      <c r="H33" s="279"/>
      <c r="I33" s="1172">
        <f>SUM(I34:I42)</f>
        <v>7372465.5415544212</v>
      </c>
    </row>
    <row r="34" spans="1:9" ht="19.5">
      <c r="A34" s="116"/>
      <c r="B34" s="117"/>
      <c r="C34" s="1110"/>
      <c r="D34" s="1328" t="s">
        <v>1110</v>
      </c>
      <c r="E34" s="287"/>
      <c r="F34" s="892">
        <v>21388000</v>
      </c>
      <c r="G34" s="893"/>
      <c r="H34" s="1103">
        <f>'WS H Other Taxes'!G69</f>
        <v>0.34470102588154206</v>
      </c>
      <c r="I34" s="1172">
        <f>F34*H34</f>
        <v>7372465.5415544212</v>
      </c>
    </row>
    <row r="35" spans="1:9" ht="19.5">
      <c r="A35" s="116"/>
      <c r="B35" s="117"/>
      <c r="C35" s="1110"/>
      <c r="D35" s="892"/>
      <c r="E35" s="287"/>
      <c r="F35" s="892"/>
      <c r="G35" s="893"/>
      <c r="H35" s="893"/>
      <c r="I35" s="1172">
        <f t="shared" si="0"/>
        <v>0</v>
      </c>
    </row>
    <row r="36" spans="1:9" ht="19.5">
      <c r="A36" s="116"/>
      <c r="B36" s="117"/>
      <c r="C36" s="1110"/>
      <c r="D36" s="892"/>
      <c r="E36" s="287"/>
      <c r="F36" s="892"/>
      <c r="G36" s="893"/>
      <c r="H36" s="893"/>
      <c r="I36" s="1172">
        <f t="shared" si="0"/>
        <v>0</v>
      </c>
    </row>
    <row r="37" spans="1:9" ht="19.5">
      <c r="A37" s="116"/>
      <c r="B37" s="117"/>
      <c r="C37" s="1110"/>
      <c r="D37" s="892"/>
      <c r="E37" s="287"/>
      <c r="F37" s="892"/>
      <c r="G37" s="893"/>
      <c r="H37" s="893"/>
      <c r="I37" s="1172">
        <f t="shared" si="0"/>
        <v>0</v>
      </c>
    </row>
    <row r="38" spans="1:9" ht="19.5">
      <c r="A38" s="116"/>
      <c r="B38" s="117"/>
      <c r="C38" s="1110"/>
      <c r="D38" s="892"/>
      <c r="E38" s="287"/>
      <c r="F38" s="892"/>
      <c r="G38" s="893"/>
      <c r="H38" s="893"/>
      <c r="I38" s="1172">
        <f t="shared" si="0"/>
        <v>0</v>
      </c>
    </row>
    <row r="39" spans="1:9" ht="19.5">
      <c r="A39" s="116"/>
      <c r="B39" s="117"/>
      <c r="C39" s="1110"/>
      <c r="D39" s="892"/>
      <c r="E39" s="287"/>
      <c r="F39" s="892"/>
      <c r="G39" s="893"/>
      <c r="H39" s="893"/>
      <c r="I39" s="1172">
        <f t="shared" si="0"/>
        <v>0</v>
      </c>
    </row>
    <row r="40" spans="1:9" ht="19.5">
      <c r="A40" s="116"/>
      <c r="B40" s="117"/>
      <c r="C40" s="1110"/>
      <c r="D40" s="892"/>
      <c r="E40" s="287"/>
      <c r="F40" s="892"/>
      <c r="G40" s="893"/>
      <c r="H40" s="893"/>
      <c r="I40" s="1172">
        <f t="shared" si="0"/>
        <v>0</v>
      </c>
    </row>
    <row r="41" spans="1:9" ht="19.5">
      <c r="A41" s="116"/>
      <c r="B41" s="117"/>
      <c r="C41" s="1110"/>
      <c r="D41" s="892"/>
      <c r="E41" s="287"/>
      <c r="F41" s="892"/>
      <c r="G41" s="893"/>
      <c r="H41" s="893"/>
      <c r="I41" s="1172">
        <f t="shared" si="0"/>
        <v>0</v>
      </c>
    </row>
    <row r="42" spans="1:9" ht="19.5">
      <c r="A42" s="116"/>
      <c r="B42" s="117"/>
      <c r="C42" s="1110"/>
      <c r="D42" s="892"/>
      <c r="E42" s="287"/>
      <c r="F42" s="892"/>
      <c r="G42" s="893"/>
      <c r="H42" s="893"/>
      <c r="I42" s="1172">
        <f t="shared" si="0"/>
        <v>0</v>
      </c>
    </row>
    <row r="43" spans="1:9" ht="19.5">
      <c r="A43" s="116"/>
      <c r="B43" s="117"/>
      <c r="C43" s="1110"/>
      <c r="D43" s="115"/>
      <c r="E43" s="287"/>
      <c r="F43" s="6"/>
      <c r="G43" s="325"/>
      <c r="H43" s="279"/>
      <c r="I43" s="279"/>
    </row>
    <row r="44" spans="1:9" ht="19.5">
      <c r="A44" s="116">
        <f>+A33+1</f>
        <v>6</v>
      </c>
      <c r="B44" s="117"/>
      <c r="C44" s="1110" t="s">
        <v>964</v>
      </c>
      <c r="D44" s="240"/>
      <c r="E44" s="287">
        <f>SUM(F45:F48)</f>
        <v>26000</v>
      </c>
      <c r="F44" s="127" t="s">
        <v>115</v>
      </c>
      <c r="G44" s="325" t="s">
        <v>115</v>
      </c>
      <c r="H44" s="279"/>
      <c r="I44" s="1172">
        <f>SUM(I45:I49)</f>
        <v>4630.6000000000004</v>
      </c>
    </row>
    <row r="45" spans="1:9" ht="19.5">
      <c r="A45" s="116"/>
      <c r="B45" s="117"/>
      <c r="C45" s="1110"/>
      <c r="D45" s="1328" t="s">
        <v>1110</v>
      </c>
      <c r="E45" s="287"/>
      <c r="F45" s="892">
        <v>26000</v>
      </c>
      <c r="G45" s="893"/>
      <c r="H45" s="1103">
        <v>0.17810000000000001</v>
      </c>
      <c r="I45" s="1172">
        <f>F45*H45</f>
        <v>4630.6000000000004</v>
      </c>
    </row>
    <row r="46" spans="1:9" ht="19.5">
      <c r="A46" s="116"/>
      <c r="B46" s="117"/>
      <c r="C46" s="1110"/>
      <c r="D46" s="892"/>
      <c r="E46" s="287"/>
      <c r="F46" s="892"/>
      <c r="G46" s="893"/>
      <c r="H46" s="893"/>
      <c r="I46" s="1172">
        <f>F46*H46</f>
        <v>0</v>
      </c>
    </row>
    <row r="47" spans="1:9" ht="19.5">
      <c r="A47" s="116"/>
      <c r="B47" s="117"/>
      <c r="C47" s="1110"/>
      <c r="D47" s="892"/>
      <c r="E47" s="287"/>
      <c r="F47" s="892"/>
      <c r="G47" s="893"/>
      <c r="H47" s="893"/>
      <c r="I47" s="1172">
        <f>F47*H47</f>
        <v>0</v>
      </c>
    </row>
    <row r="48" spans="1:9" ht="19.5">
      <c r="A48" s="116"/>
      <c r="B48" s="117"/>
      <c r="C48" s="1110"/>
      <c r="D48" s="892"/>
      <c r="E48" s="287"/>
      <c r="F48" s="892"/>
      <c r="G48" s="893"/>
      <c r="H48" s="893"/>
      <c r="I48" s="1172">
        <f>F48*H48</f>
        <v>0</v>
      </c>
    </row>
    <row r="49" spans="1:9" ht="19.5">
      <c r="A49" s="116"/>
      <c r="B49" s="117"/>
      <c r="C49" s="1110"/>
      <c r="D49" s="892"/>
      <c r="E49" s="287"/>
      <c r="F49" s="892"/>
      <c r="G49" s="893"/>
      <c r="H49" s="893"/>
      <c r="I49" s="1172">
        <f>F49*H49</f>
        <v>0</v>
      </c>
    </row>
    <row r="50" spans="1:9" ht="19.5">
      <c r="A50" s="116"/>
      <c r="B50" s="117"/>
      <c r="C50" s="1110"/>
      <c r="D50" s="240"/>
      <c r="E50" s="287">
        <f>SUM(F51:F53)</f>
        <v>0</v>
      </c>
      <c r="F50" s="324"/>
      <c r="G50" s="325"/>
      <c r="H50" s="279"/>
      <c r="I50" s="1173">
        <f>SUM(I51:I53)</f>
        <v>0</v>
      </c>
    </row>
    <row r="51" spans="1:9" ht="19.5">
      <c r="A51" s="116">
        <f>A44+1</f>
        <v>7</v>
      </c>
      <c r="B51" s="117"/>
      <c r="C51" s="1110" t="s">
        <v>464</v>
      </c>
      <c r="D51" s="892"/>
      <c r="E51" s="287"/>
      <c r="F51" s="892">
        <v>0</v>
      </c>
      <c r="G51" s="893"/>
      <c r="H51" s="893"/>
      <c r="I51" s="1172">
        <f>F51*H51</f>
        <v>0</v>
      </c>
    </row>
    <row r="52" spans="1:9" ht="19.5">
      <c r="A52" s="116"/>
      <c r="B52" s="117"/>
      <c r="C52" s="115"/>
      <c r="D52" s="892"/>
      <c r="E52" s="287"/>
      <c r="F52" s="892"/>
      <c r="G52" s="893"/>
      <c r="H52" s="893"/>
      <c r="I52" s="1172">
        <f>F52*H52</f>
        <v>0</v>
      </c>
    </row>
    <row r="53" spans="1:9" ht="19.5">
      <c r="A53" s="116"/>
      <c r="B53" s="117"/>
      <c r="C53" s="115"/>
      <c r="D53" s="892"/>
      <c r="E53" s="287"/>
      <c r="F53" s="892"/>
      <c r="G53" s="893"/>
      <c r="H53" s="893"/>
      <c r="I53" s="1172">
        <f>F53*H53</f>
        <v>0</v>
      </c>
    </row>
    <row r="54" spans="1:9" ht="19.5">
      <c r="A54" s="1124"/>
      <c r="B54" s="1125"/>
      <c r="C54" s="1126"/>
      <c r="D54" s="1127"/>
      <c r="E54" s="1128"/>
      <c r="F54" s="1127"/>
      <c r="G54" s="1129"/>
      <c r="H54" s="1129"/>
      <c r="I54" s="1130"/>
    </row>
    <row r="55" spans="1:9" ht="19.5">
      <c r="A55" s="116"/>
      <c r="B55" s="117"/>
      <c r="C55" s="115"/>
      <c r="D55" s="240"/>
      <c r="E55" s="287"/>
      <c r="F55" s="324"/>
      <c r="G55" s="325"/>
      <c r="H55" s="279"/>
    </row>
    <row r="56" spans="1:9" ht="18">
      <c r="A56" s="116"/>
      <c r="B56" s="117"/>
      <c r="C56" s="37" t="s">
        <v>163</v>
      </c>
      <c r="E56" s="37" t="s">
        <v>164</v>
      </c>
      <c r="F56" s="273" t="s">
        <v>165</v>
      </c>
      <c r="G56" s="273" t="s">
        <v>166</v>
      </c>
      <c r="H56" s="279"/>
    </row>
    <row r="57" spans="1:9" ht="18">
      <c r="A57" s="213"/>
      <c r="B57" s="214"/>
      <c r="C57" s="214"/>
      <c r="D57" s="214"/>
      <c r="E57"/>
      <c r="F57" s="16"/>
      <c r="G57" s="274"/>
      <c r="H57" s="279"/>
    </row>
    <row r="58" spans="1:9" ht="18">
      <c r="A58" s="213" t="s">
        <v>170</v>
      </c>
      <c r="B58" s="214"/>
      <c r="C58" s="214"/>
      <c r="D58" s="214"/>
      <c r="E58" s="215" t="s">
        <v>119</v>
      </c>
      <c r="F58" s="275" t="s">
        <v>77</v>
      </c>
      <c r="G58" s="276"/>
      <c r="H58" s="279"/>
    </row>
    <row r="59" spans="1:9" ht="18">
      <c r="A59" s="217" t="s">
        <v>118</v>
      </c>
      <c r="B59" s="277"/>
      <c r="C59" s="217" t="s">
        <v>30</v>
      </c>
      <c r="D59" s="1121"/>
      <c r="E59" s="218" t="s">
        <v>184</v>
      </c>
      <c r="F59" s="217" t="s">
        <v>78</v>
      </c>
      <c r="G59" s="218" t="s">
        <v>79</v>
      </c>
      <c r="H59" s="279"/>
    </row>
    <row r="60" spans="1:9" ht="19.5">
      <c r="A60" s="116">
        <f>+A51+1</f>
        <v>8</v>
      </c>
      <c r="B60" s="117"/>
      <c r="C60" s="120" t="s">
        <v>326</v>
      </c>
      <c r="D60" s="117"/>
      <c r="E60" s="286"/>
      <c r="F60" s="282" t="s">
        <v>115</v>
      </c>
      <c r="G60" s="280"/>
      <c r="H60" s="279"/>
    </row>
    <row r="61" spans="1:9" ht="19.5">
      <c r="A61" s="116">
        <f>+A60+1</f>
        <v>9</v>
      </c>
      <c r="B61" s="117"/>
      <c r="C61" s="115" t="s">
        <v>322</v>
      </c>
      <c r="D61" s="117"/>
      <c r="E61" s="287">
        <f>SUM(F62)</f>
        <v>13642000</v>
      </c>
      <c r="F61" s="283"/>
      <c r="G61" s="280"/>
      <c r="H61" s="279"/>
    </row>
    <row r="62" spans="1:9" ht="19.5">
      <c r="A62" s="116"/>
      <c r="B62" s="117"/>
      <c r="C62" s="115"/>
      <c r="D62" s="117"/>
      <c r="E62" s="287"/>
      <c r="F62" s="892">
        <v>13642000</v>
      </c>
      <c r="G62" s="893"/>
      <c r="H62" s="279"/>
    </row>
    <row r="63" spans="1:9" ht="19.5">
      <c r="A63" s="116">
        <f>+A61+1</f>
        <v>10</v>
      </c>
      <c r="B63" s="117"/>
      <c r="C63" s="115" t="s">
        <v>315</v>
      </c>
      <c r="D63" s="117"/>
      <c r="E63" s="287">
        <f>SUM(F64)</f>
        <v>77000</v>
      </c>
      <c r="F63" s="127"/>
      <c r="G63" s="336"/>
      <c r="H63" s="279"/>
    </row>
    <row r="64" spans="1:9" ht="19.5">
      <c r="A64" s="116"/>
      <c r="B64" s="117"/>
      <c r="C64" s="115"/>
      <c r="D64" s="117"/>
      <c r="E64" s="287"/>
      <c r="F64" s="892">
        <v>77000</v>
      </c>
      <c r="G64" s="893"/>
      <c r="H64" s="279"/>
    </row>
    <row r="65" spans="1:8" ht="19.5">
      <c r="A65" s="116">
        <f>+A63+1</f>
        <v>11</v>
      </c>
      <c r="B65" s="117"/>
      <c r="C65" s="115" t="s">
        <v>316</v>
      </c>
      <c r="D65" s="117"/>
      <c r="E65" s="287">
        <f>SUM(F66:F70)</f>
        <v>414000</v>
      </c>
      <c r="F65" s="127"/>
      <c r="G65" s="280"/>
      <c r="H65" s="279"/>
    </row>
    <row r="66" spans="1:8" ht="19.5">
      <c r="A66" s="116"/>
      <c r="B66" s="117"/>
      <c r="C66" s="115"/>
      <c r="D66" s="117"/>
      <c r="E66" s="287"/>
      <c r="F66" s="892">
        <v>414000</v>
      </c>
      <c r="G66" s="893"/>
      <c r="H66" s="279"/>
    </row>
    <row r="67" spans="1:8" ht="19.5">
      <c r="A67" s="116"/>
      <c r="B67" s="117"/>
      <c r="C67" s="115"/>
      <c r="D67" s="117"/>
      <c r="E67" s="287"/>
      <c r="F67" s="892"/>
      <c r="G67" s="893"/>
      <c r="H67" s="279"/>
    </row>
    <row r="68" spans="1:8" ht="19.5">
      <c r="A68" s="116"/>
      <c r="B68" s="117"/>
      <c r="C68" s="115"/>
      <c r="D68" s="117"/>
      <c r="E68" s="287"/>
      <c r="F68" s="892"/>
      <c r="G68" s="893"/>
      <c r="H68" s="279"/>
    </row>
    <row r="69" spans="1:8" ht="19.5">
      <c r="A69" s="114"/>
      <c r="B69" s="114"/>
      <c r="C69" s="114"/>
      <c r="D69" s="117"/>
      <c r="E69" s="286"/>
      <c r="F69" s="892"/>
      <c r="G69" s="893"/>
      <c r="H69" s="279"/>
    </row>
    <row r="70" spans="1:8" ht="19.5">
      <c r="A70" s="114"/>
      <c r="B70" s="114"/>
      <c r="C70" s="114"/>
      <c r="D70" s="117"/>
      <c r="E70" s="286"/>
      <c r="F70" s="892"/>
      <c r="G70" s="893"/>
      <c r="H70" s="279"/>
    </row>
    <row r="71" spans="1:8" ht="19.5">
      <c r="A71" s="116">
        <f>A65+1</f>
        <v>12</v>
      </c>
      <c r="B71" s="117"/>
      <c r="C71" s="120" t="s">
        <v>441</v>
      </c>
      <c r="D71" s="117"/>
      <c r="E71" s="287">
        <f>SUM(F72:F72)</f>
        <v>0</v>
      </c>
      <c r="F71" s="324"/>
      <c r="G71" s="325"/>
      <c r="H71" s="279"/>
    </row>
    <row r="72" spans="1:8" ht="19.5">
      <c r="A72" s="116">
        <f>+A71+1</f>
        <v>13</v>
      </c>
      <c r="B72" s="117"/>
      <c r="C72" s="127" t="s">
        <v>442</v>
      </c>
      <c r="D72" s="240"/>
      <c r="E72" s="287"/>
      <c r="F72" s="892">
        <v>0</v>
      </c>
      <c r="G72" s="893"/>
      <c r="H72" s="279"/>
    </row>
    <row r="73" spans="1:8" ht="19.5">
      <c r="A73" s="116"/>
      <c r="B73" s="117"/>
      <c r="C73" s="112"/>
      <c r="D73" s="117"/>
      <c r="E73" s="291"/>
      <c r="F73" s="324"/>
      <c r="G73" s="112"/>
      <c r="H73" s="279"/>
    </row>
    <row r="74" spans="1:8" ht="19.5">
      <c r="A74" s="124">
        <f>+A72+1</f>
        <v>14</v>
      </c>
      <c r="B74" s="117"/>
      <c r="C74" s="120" t="s">
        <v>323</v>
      </c>
      <c r="D74" s="126"/>
      <c r="E74" s="286"/>
      <c r="F74" s="127"/>
      <c r="G74" s="112"/>
      <c r="H74" s="279"/>
    </row>
    <row r="75" spans="1:8" ht="19.5">
      <c r="A75" s="124">
        <f>A74+1</f>
        <v>15</v>
      </c>
      <c r="B75" s="125"/>
      <c r="C75" s="112" t="s">
        <v>440</v>
      </c>
      <c r="D75" s="126"/>
      <c r="E75" s="287">
        <f>SUM(F76:F77)</f>
        <v>0</v>
      </c>
      <c r="F75" s="127"/>
      <c r="G75" s="112"/>
      <c r="H75" s="279"/>
    </row>
    <row r="76" spans="1:8" ht="19.5">
      <c r="A76" s="124"/>
      <c r="B76" s="125"/>
      <c r="C76" s="112"/>
      <c r="D76" s="114"/>
      <c r="E76" s="291"/>
      <c r="F76" s="892">
        <v>0</v>
      </c>
      <c r="G76" s="893"/>
      <c r="H76" s="279"/>
    </row>
    <row r="77" spans="1:8" ht="19.5">
      <c r="A77" s="124"/>
      <c r="B77" s="125"/>
      <c r="C77" s="112"/>
      <c r="D77" s="114"/>
      <c r="E77" s="291"/>
      <c r="F77" s="892"/>
      <c r="G77" s="893"/>
      <c r="H77" s="279"/>
    </row>
    <row r="78" spans="1:8" ht="19.5">
      <c r="A78" s="124"/>
      <c r="B78" s="125"/>
      <c r="C78" s="112"/>
      <c r="D78" s="114"/>
      <c r="E78" s="291"/>
      <c r="F78" s="892"/>
      <c r="G78" s="893"/>
      <c r="H78" s="279"/>
    </row>
    <row r="79" spans="1:8" ht="19.5">
      <c r="A79" s="116">
        <f>A75+1</f>
        <v>16</v>
      </c>
      <c r="B79" s="125"/>
      <c r="C79" s="112" t="s">
        <v>317</v>
      </c>
      <c r="D79" s="117"/>
      <c r="E79" s="287">
        <f>SUM(F80:F81)</f>
        <v>2718000</v>
      </c>
      <c r="F79" s="127"/>
      <c r="G79" s="112"/>
      <c r="H79" s="279"/>
    </row>
    <row r="80" spans="1:8" ht="19.5">
      <c r="A80" s="116"/>
      <c r="B80" s="125"/>
      <c r="C80" s="112"/>
      <c r="D80" s="117"/>
      <c r="E80" s="168"/>
      <c r="F80" s="892">
        <v>2718000</v>
      </c>
      <c r="G80" s="893"/>
      <c r="H80" s="279"/>
    </row>
    <row r="81" spans="1:8" ht="19.5">
      <c r="A81" s="116"/>
      <c r="B81" s="125"/>
      <c r="C81" s="112"/>
      <c r="D81" s="117"/>
      <c r="E81" s="168"/>
      <c r="F81" s="892"/>
      <c r="G81" s="893"/>
      <c r="H81" s="279"/>
    </row>
    <row r="82" spans="1:8" ht="19.5">
      <c r="A82" s="116"/>
      <c r="B82" s="125"/>
      <c r="C82" s="112"/>
      <c r="D82" s="117"/>
      <c r="E82" s="168"/>
      <c r="F82" s="892"/>
      <c r="G82" s="893"/>
      <c r="H82" s="279"/>
    </row>
    <row r="83" spans="1:8" ht="19.5">
      <c r="A83" s="116">
        <f>+A79+1</f>
        <v>17</v>
      </c>
      <c r="B83" s="117"/>
      <c r="C83" s="112" t="s">
        <v>318</v>
      </c>
      <c r="D83"/>
      <c r="E83" s="287">
        <f>SUM(F84:F91)</f>
        <v>29000</v>
      </c>
      <c r="H83" s="279"/>
    </row>
    <row r="84" spans="1:8" ht="19.5">
      <c r="A84" s="116"/>
      <c r="B84" s="117"/>
      <c r="C84" s="112"/>
      <c r="D84"/>
      <c r="E84" s="168"/>
      <c r="F84" s="892">
        <v>29000</v>
      </c>
      <c r="G84" s="893"/>
      <c r="H84" s="279"/>
    </row>
    <row r="85" spans="1:8" ht="19.5">
      <c r="A85" s="116"/>
      <c r="B85" s="117"/>
      <c r="C85" s="112"/>
      <c r="D85"/>
      <c r="E85" s="168"/>
      <c r="F85" s="892"/>
      <c r="G85" s="893"/>
      <c r="H85" s="279"/>
    </row>
    <row r="86" spans="1:8" ht="19.5">
      <c r="A86" s="116"/>
      <c r="B86" s="117"/>
      <c r="C86" s="112"/>
      <c r="D86"/>
      <c r="E86" s="168"/>
      <c r="F86" s="892"/>
      <c r="G86" s="893"/>
      <c r="H86" s="279"/>
    </row>
    <row r="87" spans="1:8" ht="19.5">
      <c r="A87" s="116"/>
      <c r="B87" s="117"/>
      <c r="C87" s="112"/>
      <c r="D87"/>
      <c r="E87" s="168"/>
      <c r="F87" s="892"/>
      <c r="G87" s="893"/>
      <c r="H87" s="279"/>
    </row>
    <row r="88" spans="1:8" ht="19.5">
      <c r="A88" s="116"/>
      <c r="B88" s="117"/>
      <c r="C88" s="112"/>
      <c r="D88"/>
      <c r="E88" s="168"/>
      <c r="F88" s="892"/>
      <c r="G88" s="893"/>
      <c r="H88" s="279"/>
    </row>
    <row r="89" spans="1:8" ht="19.5">
      <c r="A89" s="116"/>
      <c r="B89" s="117"/>
      <c r="C89" s="112"/>
      <c r="D89"/>
      <c r="E89" s="168"/>
      <c r="F89" s="892"/>
      <c r="G89" s="893"/>
      <c r="H89" s="279"/>
    </row>
    <row r="90" spans="1:8" ht="19.5">
      <c r="A90" s="116"/>
      <c r="B90" s="117"/>
      <c r="C90" s="112"/>
      <c r="D90"/>
      <c r="E90" s="168"/>
      <c r="F90" s="892"/>
      <c r="G90" s="893"/>
      <c r="H90" s="279"/>
    </row>
    <row r="91" spans="1:8" ht="19.5">
      <c r="A91" s="116"/>
      <c r="B91" s="117"/>
      <c r="C91" s="112"/>
      <c r="D91"/>
      <c r="E91" s="168"/>
      <c r="F91" s="892"/>
      <c r="G91" s="893"/>
      <c r="H91" s="279"/>
    </row>
    <row r="92" spans="1:8" ht="19.5">
      <c r="A92" s="116"/>
      <c r="B92" s="117"/>
      <c r="C92" s="112"/>
      <c r="D92"/>
      <c r="E92" s="168"/>
      <c r="F92" s="127"/>
      <c r="G92" s="112"/>
      <c r="H92" s="279"/>
    </row>
    <row r="93" spans="1:8" ht="19.5">
      <c r="A93" s="116">
        <f>+A83+1</f>
        <v>18</v>
      </c>
      <c r="B93" s="117"/>
      <c r="C93" s="112" t="s">
        <v>319</v>
      </c>
      <c r="D93"/>
      <c r="E93" s="287">
        <f>SUM(F94:F99)</f>
        <v>0</v>
      </c>
      <c r="F93" s="127"/>
      <c r="G93" s="112"/>
      <c r="H93" s="279"/>
    </row>
    <row r="94" spans="1:8" ht="19.5">
      <c r="A94" s="116"/>
      <c r="B94" s="117"/>
      <c r="C94" s="112"/>
      <c r="D94"/>
      <c r="E94" s="168"/>
      <c r="F94" s="892">
        <v>0</v>
      </c>
      <c r="G94" s="893"/>
      <c r="H94" s="279"/>
    </row>
    <row r="95" spans="1:8" ht="19.5">
      <c r="A95" s="116"/>
      <c r="B95" s="117"/>
      <c r="C95" s="112"/>
      <c r="D95"/>
      <c r="E95" s="168"/>
      <c r="F95" s="892"/>
      <c r="G95" s="893"/>
      <c r="H95" s="279"/>
    </row>
    <row r="96" spans="1:8" ht="19.5">
      <c r="A96" s="116"/>
      <c r="B96" s="117"/>
      <c r="C96" s="112"/>
      <c r="D96"/>
      <c r="E96" s="168"/>
      <c r="F96" s="892"/>
      <c r="G96" s="893"/>
      <c r="H96" s="279"/>
    </row>
    <row r="97" spans="1:8" ht="19.5">
      <c r="A97" s="116"/>
      <c r="B97" s="117"/>
      <c r="C97" s="112"/>
      <c r="D97"/>
      <c r="E97" s="168"/>
      <c r="F97" s="892"/>
      <c r="G97" s="893"/>
      <c r="H97" s="279"/>
    </row>
    <row r="98" spans="1:8" ht="19.5">
      <c r="A98" s="116"/>
      <c r="B98" s="117"/>
      <c r="C98" s="112"/>
      <c r="D98"/>
      <c r="E98" s="168"/>
      <c r="F98" s="892"/>
      <c r="G98" s="893"/>
      <c r="H98" s="279"/>
    </row>
    <row r="99" spans="1:8" ht="19.5">
      <c r="A99" s="116"/>
      <c r="B99" s="117"/>
      <c r="C99" s="112"/>
      <c r="D99"/>
      <c r="E99" s="168"/>
      <c r="F99" s="892"/>
      <c r="G99" s="893"/>
      <c r="H99" s="279"/>
    </row>
    <row r="100" spans="1:8" ht="19.5">
      <c r="A100" s="116">
        <f>+A93+1</f>
        <v>19</v>
      </c>
      <c r="B100" s="117"/>
      <c r="C100" s="112" t="s">
        <v>320</v>
      </c>
      <c r="D100" s="117"/>
      <c r="E100" s="287">
        <f>SUM(F101:F102)</f>
        <v>-15000</v>
      </c>
      <c r="F100" s="127"/>
      <c r="G100" s="325"/>
      <c r="H100" s="279"/>
    </row>
    <row r="101" spans="1:8" ht="19.5">
      <c r="A101" s="116"/>
      <c r="B101" s="117"/>
      <c r="C101" s="112"/>
      <c r="D101" s="117"/>
      <c r="E101" s="287"/>
      <c r="F101" s="892">
        <v>-15000</v>
      </c>
      <c r="G101" s="893"/>
      <c r="H101" s="279"/>
    </row>
    <row r="102" spans="1:8" ht="19.5">
      <c r="A102" s="116"/>
      <c r="B102" s="117"/>
      <c r="C102" s="112"/>
      <c r="D102" s="117"/>
      <c r="E102" s="291"/>
      <c r="F102" s="892"/>
      <c r="G102" s="893"/>
      <c r="H102" s="279"/>
    </row>
    <row r="103" spans="1:8" ht="19.5">
      <c r="A103" s="116">
        <f>+A100+1</f>
        <v>20</v>
      </c>
      <c r="B103" s="117"/>
      <c r="C103" s="112" t="s">
        <v>321</v>
      </c>
      <c r="D103" s="114"/>
      <c r="E103" s="287">
        <f>SUM(F104:F106)</f>
        <v>146000</v>
      </c>
      <c r="G103" s="112"/>
      <c r="H103" s="279"/>
    </row>
    <row r="104" spans="1:8" ht="19.5">
      <c r="A104" s="116"/>
      <c r="B104" s="117"/>
      <c r="C104" s="112"/>
      <c r="D104" s="117"/>
      <c r="E104" s="168"/>
      <c r="F104" s="892">
        <v>146000</v>
      </c>
      <c r="G104" s="893"/>
      <c r="H104" s="279"/>
    </row>
    <row r="105" spans="1:8" ht="19.5">
      <c r="A105" s="116"/>
      <c r="B105" s="117"/>
      <c r="C105" s="112"/>
      <c r="D105" s="117"/>
      <c r="E105" s="168"/>
      <c r="F105" s="892"/>
      <c r="G105" s="893"/>
      <c r="H105" s="279"/>
    </row>
    <row r="106" spans="1:8" ht="19.5">
      <c r="A106" s="116"/>
      <c r="B106" s="117"/>
      <c r="C106" s="112"/>
      <c r="D106" s="117"/>
      <c r="E106" s="168"/>
      <c r="F106" s="127"/>
      <c r="G106" s="112"/>
      <c r="H106" s="279"/>
    </row>
    <row r="107" spans="1:8" ht="19.5">
      <c r="A107" s="116">
        <f>+A103+1</f>
        <v>21</v>
      </c>
      <c r="B107" s="117"/>
      <c r="C107" s="112" t="s">
        <v>309</v>
      </c>
      <c r="D107" s="112"/>
      <c r="E107" s="287">
        <f>SUM(F108:F109)</f>
        <v>3000</v>
      </c>
      <c r="F107" s="127"/>
      <c r="G107" s="112"/>
      <c r="H107" s="279"/>
    </row>
    <row r="108" spans="1:8" ht="19.5">
      <c r="A108" s="116"/>
      <c r="B108" s="117"/>
      <c r="C108" s="112"/>
      <c r="D108" s="112"/>
      <c r="E108" s="168"/>
      <c r="F108" s="892">
        <v>3000</v>
      </c>
      <c r="G108" s="893"/>
      <c r="H108" s="279"/>
    </row>
    <row r="109" spans="1:8" ht="19.5">
      <c r="A109" s="116"/>
      <c r="B109" s="117"/>
      <c r="C109" s="112"/>
      <c r="D109" s="112"/>
      <c r="E109" s="168"/>
      <c r="F109" s="892"/>
      <c r="G109" s="893"/>
      <c r="H109" s="279"/>
    </row>
    <row r="110" spans="1:8" ht="19.5">
      <c r="A110" s="116">
        <f>+A107+1</f>
        <v>22</v>
      </c>
      <c r="B110" s="112"/>
      <c r="C110" s="138" t="s">
        <v>108</v>
      </c>
      <c r="D110" s="127"/>
      <c r="E110" s="287">
        <f>SUM(F111:F111)</f>
        <v>-255000</v>
      </c>
      <c r="F110" s="284"/>
      <c r="G110" s="112"/>
      <c r="H110" s="279"/>
    </row>
    <row r="111" spans="1:8" ht="19.5">
      <c r="A111" s="116"/>
      <c r="B111" s="112"/>
      <c r="C111" s="138"/>
      <c r="D111" s="127"/>
      <c r="E111" s="168"/>
      <c r="F111" s="892">
        <v>-255000</v>
      </c>
      <c r="G111" s="893"/>
    </row>
    <row r="112" spans="1:8" ht="19.5">
      <c r="A112" s="6"/>
      <c r="B112" s="112"/>
      <c r="C112" s="261"/>
      <c r="D112"/>
      <c r="E112"/>
      <c r="F112" s="260"/>
      <c r="G112" s="285"/>
    </row>
    <row r="113" spans="1:7" ht="20.25" thickBot="1">
      <c r="A113" s="254">
        <f>+A110+1</f>
        <v>23</v>
      </c>
      <c r="B113" s="261"/>
      <c r="C113" s="112" t="s">
        <v>312</v>
      </c>
      <c r="D113"/>
      <c r="E113" s="137">
        <f>E15+E25+E61+E63+E65+E79+E103+E83+E93+E100+E107+E110+E71+E75</f>
        <v>112917000</v>
      </c>
      <c r="F113" s="137">
        <f>SUM(F15:F111)</f>
        <v>112917000</v>
      </c>
      <c r="G113" s="112"/>
    </row>
    <row r="114" spans="1:7" ht="20.25" thickTop="1">
      <c r="A114" s="6"/>
      <c r="B114" s="261"/>
      <c r="C114" s="112" t="s">
        <v>382</v>
      </c>
      <c r="D114"/>
      <c r="E114"/>
      <c r="F114" s="284"/>
      <c r="G114" s="112"/>
    </row>
    <row r="115" spans="1:7" ht="21">
      <c r="A115" s="6"/>
      <c r="B115" s="261"/>
      <c r="C115" s="112"/>
      <c r="D115"/>
      <c r="E115" s="301"/>
      <c r="F115" s="170" t="s">
        <v>115</v>
      </c>
      <c r="G115" s="112"/>
    </row>
    <row r="116" spans="1:7" ht="20.25" customHeight="1">
      <c r="A116" s="1503" t="s">
        <v>768</v>
      </c>
      <c r="B116" s="1503"/>
      <c r="C116" s="1503"/>
      <c r="D116" s="1503"/>
      <c r="E116" s="1503"/>
      <c r="F116" s="1503"/>
      <c r="G116" s="1503"/>
    </row>
    <row r="117" spans="1:7" ht="20.25" customHeight="1">
      <c r="A117" s="1503"/>
      <c r="B117" s="1503"/>
      <c r="C117" s="1503"/>
      <c r="D117" s="1503"/>
      <c r="E117" s="1503"/>
      <c r="F117" s="1503"/>
      <c r="G117" s="1503"/>
    </row>
    <row r="118" spans="1:7" ht="20.25" customHeight="1">
      <c r="A118" s="1503"/>
      <c r="B118" s="1503"/>
      <c r="C118" s="1503"/>
      <c r="D118" s="1503"/>
      <c r="E118" s="1503"/>
      <c r="F118" s="1503"/>
      <c r="G118" s="1503"/>
    </row>
    <row r="119" spans="1:7" ht="20.25" customHeight="1">
      <c r="A119" s="1503"/>
      <c r="B119" s="1503"/>
      <c r="C119" s="1503"/>
      <c r="D119" s="1503"/>
      <c r="E119" s="1503"/>
      <c r="F119" s="1503"/>
      <c r="G119" s="1503"/>
    </row>
    <row r="120" spans="1:7" ht="20.25" customHeight="1">
      <c r="A120" s="1503"/>
      <c r="B120" s="1503"/>
      <c r="C120" s="1503"/>
      <c r="D120" s="1503"/>
      <c r="E120" s="1503"/>
      <c r="F120" s="1503"/>
      <c r="G120" s="1503"/>
    </row>
    <row r="121" spans="1:7" ht="20.25" customHeight="1">
      <c r="A121" s="1168"/>
      <c r="B121" s="1168"/>
      <c r="C121" s="1168"/>
      <c r="D121" s="1168"/>
      <c r="E121" s="1168"/>
      <c r="F121" s="1168"/>
      <c r="G121" s="1168"/>
    </row>
    <row r="122" spans="1:7" ht="30.75" customHeight="1">
      <c r="A122" s="1502" t="s">
        <v>872</v>
      </c>
      <c r="B122" s="1502"/>
      <c r="C122" s="1502"/>
      <c r="D122" s="1502"/>
      <c r="E122" s="1502"/>
      <c r="F122" s="1502"/>
      <c r="G122" s="1502"/>
    </row>
    <row r="123" spans="1:7" ht="30.75" customHeight="1">
      <c r="A123" s="1502"/>
      <c r="B123" s="1502"/>
      <c r="C123" s="1502"/>
      <c r="D123" s="1502"/>
      <c r="E123" s="1502"/>
      <c r="F123" s="1502"/>
      <c r="G123" s="1502"/>
    </row>
    <row r="124" spans="1:7" ht="19.5">
      <c r="B124" s="165"/>
      <c r="F124" s="127"/>
      <c r="G124" s="112"/>
    </row>
    <row r="125" spans="1:7" ht="19.5">
      <c r="B125" s="165"/>
      <c r="F125" s="284"/>
      <c r="G125" s="112"/>
    </row>
    <row r="126" spans="1:7" ht="19.5">
      <c r="B126" s="165"/>
      <c r="F126" s="284"/>
      <c r="G126" s="112"/>
    </row>
    <row r="127" spans="1:7" ht="19.5">
      <c r="B127" s="165"/>
      <c r="F127" s="284"/>
      <c r="G127" s="112"/>
    </row>
    <row r="128" spans="1:7" ht="19.5">
      <c r="B128" s="165"/>
      <c r="F128" s="127"/>
      <c r="G128" s="279"/>
    </row>
    <row r="129" spans="2:7" ht="19.5">
      <c r="B129" s="165"/>
      <c r="F129" s="127"/>
      <c r="G129" s="279"/>
    </row>
    <row r="130" spans="2:7" ht="19.5">
      <c r="B130" s="165"/>
      <c r="F130" s="127"/>
      <c r="G130" s="279"/>
    </row>
    <row r="131" spans="2:7" ht="19.5">
      <c r="B131" s="165"/>
      <c r="F131" s="286"/>
      <c r="G131" s="279"/>
    </row>
    <row r="132" spans="2:7" ht="19.5">
      <c r="B132" s="165"/>
      <c r="F132" s="139"/>
    </row>
    <row r="133" spans="2:7">
      <c r="B133" s="165"/>
      <c r="F133" s="276"/>
    </row>
    <row r="134" spans="2:7">
      <c r="B134" s="165"/>
      <c r="F134" s="276"/>
    </row>
    <row r="135" spans="2:7">
      <c r="B135" s="165"/>
    </row>
    <row r="136" spans="2:7">
      <c r="B136" s="165"/>
    </row>
    <row r="137" spans="2:7">
      <c r="B137" s="165"/>
    </row>
    <row r="138" spans="2:7">
      <c r="B138" s="165"/>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20" t="s">
        <v>115</v>
      </c>
    </row>
    <row r="2" spans="1:29" ht="15.75">
      <c r="A2" s="920" t="s">
        <v>115</v>
      </c>
    </row>
    <row r="3" spans="1:29" ht="18">
      <c r="A3" s="1505" t="s">
        <v>388</v>
      </c>
      <c r="B3" s="1505"/>
      <c r="C3" s="1505"/>
      <c r="D3" s="1505"/>
      <c r="E3" s="1505"/>
      <c r="F3" s="1505"/>
      <c r="G3" s="1505"/>
      <c r="H3" s="1505"/>
      <c r="I3" s="1505"/>
      <c r="J3" s="1505"/>
      <c r="K3" s="159"/>
      <c r="L3" s="159"/>
      <c r="M3" s="159"/>
    </row>
    <row r="4" spans="1:29" ht="18">
      <c r="A4" s="1504" t="str">
        <f>"Cost of Service Formula Rate Using "&amp;TCOS!L4&amp;" FF1 Balances"</f>
        <v>Cost of Service Formula Rate Using 2021 FF1 Balances</v>
      </c>
      <c r="B4" s="1504"/>
      <c r="C4" s="1504"/>
      <c r="D4" s="1504"/>
      <c r="E4" s="1504"/>
      <c r="F4" s="1504"/>
      <c r="G4" s="1504"/>
      <c r="H4" s="1504"/>
      <c r="I4" s="1504"/>
      <c r="J4" s="1504"/>
      <c r="K4" s="98"/>
      <c r="L4" s="98"/>
      <c r="M4" s="98"/>
    </row>
    <row r="5" spans="1:29" ht="18">
      <c r="A5" s="1504" t="s">
        <v>548</v>
      </c>
      <c r="B5" s="1504"/>
      <c r="C5" s="1504"/>
      <c r="D5" s="1504"/>
      <c r="E5" s="1504"/>
      <c r="F5" s="1504"/>
      <c r="G5" s="1504"/>
      <c r="H5" s="1504"/>
      <c r="I5" s="1504"/>
      <c r="J5" s="1504"/>
      <c r="K5" s="160"/>
      <c r="L5" s="160"/>
      <c r="M5" s="160"/>
    </row>
    <row r="6" spans="1:29" ht="18">
      <c r="A6" s="1499" t="str">
        <f>+TCOS!F9</f>
        <v xml:space="preserve">Indiana Michigan Power Company </v>
      </c>
      <c r="B6" s="1499"/>
      <c r="C6" s="1499"/>
      <c r="D6" s="1499"/>
      <c r="E6" s="1499"/>
      <c r="F6" s="1499"/>
      <c r="G6" s="1499"/>
      <c r="H6" s="1499"/>
      <c r="I6" s="1499"/>
      <c r="J6" s="1499"/>
      <c r="K6" s="171"/>
      <c r="L6" s="171"/>
      <c r="M6" s="171"/>
    </row>
    <row r="8" spans="1:29" ht="18">
      <c r="A8" s="177"/>
      <c r="B8" s="104"/>
      <c r="D8" s="106"/>
      <c r="E8" s="6"/>
      <c r="F8" s="108"/>
    </row>
    <row r="9" spans="1:29" ht="18">
      <c r="C9" s="7"/>
      <c r="D9" s="106"/>
      <c r="E9" s="6"/>
      <c r="F9" s="108"/>
      <c r="Q9" s="159"/>
      <c r="R9" s="159"/>
      <c r="S9" s="159"/>
      <c r="T9" s="159"/>
      <c r="U9" s="159"/>
      <c r="V9" s="159"/>
      <c r="W9" s="159"/>
      <c r="X9" s="159"/>
      <c r="Y9" s="159"/>
      <c r="Z9" s="159"/>
      <c r="AA9" s="159"/>
      <c r="AB9" s="159"/>
      <c r="AC9" s="159"/>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72"/>
    </row>
    <row r="18" spans="1:12" ht="18">
      <c r="A18" s="177"/>
      <c r="B18" s="19"/>
    </row>
    <row r="20" spans="1:12">
      <c r="A20" s="18"/>
      <c r="B20" s="18"/>
      <c r="C20" s="173"/>
      <c r="E20" s="173"/>
      <c r="F20" s="173"/>
      <c r="G20" s="173"/>
      <c r="H20" s="173"/>
      <c r="I20" s="173"/>
      <c r="J20" s="174"/>
    </row>
    <row r="22" spans="1:12">
      <c r="E22" s="175"/>
      <c r="F22" s="176"/>
      <c r="G22" s="176"/>
      <c r="I22" s="176"/>
      <c r="L22" s="326"/>
    </row>
    <row r="23" spans="1:12">
      <c r="E23" s="110"/>
      <c r="F23" s="176"/>
      <c r="G23" s="176"/>
      <c r="I23" s="176"/>
      <c r="L23" s="326"/>
    </row>
    <row r="24" spans="1:12">
      <c r="E24" s="110"/>
      <c r="F24" s="176"/>
      <c r="G24" s="176"/>
      <c r="I24" s="176"/>
      <c r="L24" s="326"/>
    </row>
    <row r="25" spans="1:12">
      <c r="E25" s="110"/>
      <c r="F25" s="176"/>
      <c r="G25" s="176"/>
      <c r="I25" s="176"/>
      <c r="L25" s="326"/>
    </row>
    <row r="26" spans="1:12">
      <c r="E26" s="110"/>
      <c r="F26" s="176"/>
      <c r="G26" s="176"/>
      <c r="I26" s="176"/>
      <c r="L26" s="326"/>
    </row>
    <row r="27" spans="1:12">
      <c r="E27" s="110"/>
      <c r="F27" s="176"/>
      <c r="G27" s="176"/>
      <c r="I27" s="176"/>
      <c r="L27" s="326"/>
    </row>
    <row r="28" spans="1:12">
      <c r="E28" s="110"/>
      <c r="F28" s="176"/>
      <c r="G28" s="176"/>
      <c r="I28" s="176"/>
      <c r="L28" s="326"/>
    </row>
    <row r="29" spans="1:12">
      <c r="E29" s="110"/>
      <c r="F29" s="176"/>
      <c r="G29" s="176"/>
      <c r="I29" s="176"/>
      <c r="L29" s="326"/>
    </row>
    <row r="30" spans="1:12">
      <c r="E30" s="110"/>
      <c r="F30" s="176"/>
      <c r="G30" s="176"/>
      <c r="I30" s="176"/>
      <c r="L30" s="326"/>
    </row>
    <row r="31" spans="1:12">
      <c r="E31" s="110"/>
      <c r="F31" s="176"/>
      <c r="G31" s="176"/>
      <c r="I31" s="176"/>
      <c r="L31" s="326"/>
    </row>
    <row r="32" spans="1:12">
      <c r="E32" s="110"/>
      <c r="F32" s="176"/>
      <c r="G32" s="176"/>
      <c r="I32" s="176"/>
      <c r="L32" s="326"/>
    </row>
    <row r="33" spans="1:12">
      <c r="E33" s="110"/>
      <c r="F33" s="176"/>
      <c r="G33" s="176"/>
      <c r="I33" s="176"/>
      <c r="L33" s="326"/>
    </row>
    <row r="35" spans="1:12">
      <c r="H35" s="100"/>
      <c r="I35" s="331"/>
    </row>
    <row r="37" spans="1:12" ht="18">
      <c r="A37" s="177"/>
      <c r="B37" s="19"/>
    </row>
    <row r="44" spans="1:12" ht="18">
      <c r="A44" s="177"/>
      <c r="B44" s="186"/>
      <c r="C44" s="178"/>
      <c r="E44" s="178"/>
      <c r="F44" s="178"/>
      <c r="G44" s="178"/>
      <c r="H44" s="178"/>
      <c r="I44" s="106"/>
    </row>
    <row r="45" spans="1:12">
      <c r="B45" s="179"/>
      <c r="C45" s="178"/>
      <c r="E45" s="178"/>
      <c r="F45" s="178"/>
      <c r="G45" s="178"/>
      <c r="H45" s="178"/>
      <c r="I45" s="106"/>
    </row>
    <row r="46" spans="1:12">
      <c r="B46" s="185"/>
      <c r="C46" s="178"/>
      <c r="E46" s="178"/>
      <c r="F46" s="178"/>
      <c r="G46" s="187"/>
      <c r="H46" s="187"/>
    </row>
    <row r="47" spans="1:12">
      <c r="B47" s="185"/>
      <c r="C47" s="180"/>
      <c r="E47" s="180"/>
      <c r="F47" s="180"/>
      <c r="G47" s="180"/>
    </row>
    <row r="48" spans="1:12">
      <c r="B48" s="182"/>
      <c r="F48" s="100"/>
      <c r="G48" s="222"/>
      <c r="H48" s="190"/>
      <c r="I48" s="183"/>
      <c r="J48" s="188"/>
    </row>
    <row r="49" spans="2:10">
      <c r="B49" s="182"/>
      <c r="F49" s="100"/>
      <c r="G49" s="181"/>
      <c r="H49" s="190"/>
      <c r="I49" s="183"/>
      <c r="J49" s="188"/>
    </row>
    <row r="50" spans="2:10">
      <c r="B50" s="185"/>
      <c r="G50" s="181"/>
      <c r="H50" s="190"/>
      <c r="I50" s="183"/>
      <c r="J50" s="188"/>
    </row>
    <row r="51" spans="2:10">
      <c r="B51" s="266"/>
      <c r="C51" s="267"/>
      <c r="D51" s="178"/>
      <c r="E51" s="178"/>
      <c r="F51" s="178"/>
      <c r="G51" s="332"/>
      <c r="H51" s="188"/>
      <c r="J51" s="188"/>
    </row>
    <row r="52" spans="2:10">
      <c r="F52" s="100"/>
      <c r="G52" s="222"/>
      <c r="J52" s="189"/>
    </row>
    <row r="55" spans="2:10">
      <c r="D55" s="189"/>
    </row>
    <row r="56" spans="2:10">
      <c r="D56" s="189"/>
      <c r="H56" s="106"/>
    </row>
    <row r="57" spans="2:10">
      <c r="D57" s="189"/>
      <c r="H57" s="178"/>
    </row>
    <row r="58" spans="2:10">
      <c r="D58" s="189"/>
    </row>
    <row r="59" spans="2:10">
      <c r="D59" s="189"/>
      <c r="H59" s="106"/>
    </row>
    <row r="60" spans="2:10">
      <c r="D60" s="189"/>
    </row>
    <row r="61" spans="2:10">
      <c r="D61" s="189"/>
    </row>
    <row r="62" spans="2:10">
      <c r="D62" s="189"/>
    </row>
    <row r="63" spans="2:10">
      <c r="D63" s="189"/>
      <c r="H63" s="179"/>
    </row>
    <row r="64" spans="2:10">
      <c r="D64" s="189"/>
      <c r="H64" s="223"/>
    </row>
    <row r="65" spans="2:8">
      <c r="D65" s="189"/>
      <c r="H65" s="223"/>
    </row>
    <row r="66" spans="2:8">
      <c r="D66" s="189"/>
    </row>
    <row r="74" spans="2:8">
      <c r="B74" s="182"/>
      <c r="G74" s="183"/>
    </row>
    <row r="75" spans="2:8">
      <c r="G75" s="183"/>
    </row>
    <row r="76" spans="2:8">
      <c r="B76" s="224"/>
      <c r="G76" s="225"/>
    </row>
    <row r="77" spans="2:8">
      <c r="G77" s="183"/>
    </row>
    <row r="78" spans="2:8">
      <c r="G78" s="18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884"/>
  <sheetViews>
    <sheetView view="pageBreakPreview" topLeftCell="A8" zoomScale="70" zoomScaleNormal="100" zoomScaleSheetLayoutView="70" workbookViewId="0">
      <selection activeCell="D541" sqref="D541"/>
    </sheetView>
  </sheetViews>
  <sheetFormatPr defaultColWidth="8.85546875" defaultRowHeight="12.75"/>
  <cols>
    <col min="1" max="1" width="4.7109375" style="357" customWidth="1"/>
    <col min="2" max="2" width="6.7109375" style="439" customWidth="1"/>
    <col min="3" max="3" width="42" style="357" customWidth="1"/>
    <col min="4" max="4" width="17.7109375" style="451" customWidth="1"/>
    <col min="5" max="7" width="17.7109375" style="357" customWidth="1"/>
    <col min="8" max="8" width="17.7109375" style="619" customWidth="1"/>
    <col min="9" max="9" width="17.7109375" style="357" bestFit="1" customWidth="1"/>
    <col min="10" max="10" width="2.140625" style="341" customWidth="1"/>
    <col min="11" max="11" width="20.7109375" style="357" customWidth="1"/>
    <col min="12" max="14" width="17.7109375" style="357" customWidth="1"/>
    <col min="15" max="15" width="16.7109375" style="357" customWidth="1"/>
    <col min="16" max="16" width="2.140625" style="570" customWidth="1"/>
    <col min="17" max="16384" width="8.85546875" style="357"/>
  </cols>
  <sheetData>
    <row r="1" spans="1:16" ht="15.75">
      <c r="A1" s="920" t="s">
        <v>115</v>
      </c>
    </row>
    <row r="2" spans="1:16" ht="15.75">
      <c r="A2" s="920" t="s">
        <v>115</v>
      </c>
    </row>
    <row r="3" spans="1:16" ht="15">
      <c r="A3" s="1492" t="s">
        <v>388</v>
      </c>
      <c r="B3" s="1492"/>
      <c r="C3" s="1492"/>
      <c r="D3" s="1492"/>
      <c r="E3" s="1492"/>
      <c r="F3" s="1492"/>
      <c r="G3" s="1492"/>
      <c r="H3" s="1492"/>
      <c r="I3" s="1492"/>
      <c r="J3" s="1492"/>
      <c r="K3" s="1492"/>
      <c r="L3" s="1492"/>
      <c r="M3" s="1492"/>
      <c r="N3" s="1492"/>
      <c r="O3" s="1492"/>
      <c r="P3" s="618"/>
    </row>
    <row r="4" spans="1:16" ht="15">
      <c r="A4" s="1493" t="str">
        <f>"Cost of Service Formula Rate Using "&amp;TCOS!L4&amp;" FF1 Balances"</f>
        <v>Cost of Service Formula Rate Using 2021 FF1 Balances</v>
      </c>
      <c r="B4" s="1493"/>
      <c r="C4" s="1493"/>
      <c r="D4" s="1493"/>
      <c r="E4" s="1493"/>
      <c r="F4" s="1493"/>
      <c r="G4" s="1493"/>
      <c r="H4" s="1493"/>
      <c r="I4" s="1493"/>
      <c r="J4" s="1493"/>
      <c r="K4" s="1493"/>
      <c r="L4" s="1493"/>
      <c r="M4" s="1493"/>
      <c r="N4" s="1493"/>
      <c r="O4" s="1493"/>
      <c r="P4" s="618"/>
    </row>
    <row r="5" spans="1:16" ht="15">
      <c r="A5" s="1493" t="s">
        <v>469</v>
      </c>
      <c r="B5" s="1493"/>
      <c r="C5" s="1493"/>
      <c r="D5" s="1493"/>
      <c r="E5" s="1493"/>
      <c r="F5" s="1493"/>
      <c r="G5" s="1493"/>
      <c r="H5" s="1493"/>
      <c r="I5" s="1493"/>
      <c r="J5" s="1493"/>
      <c r="K5" s="1493"/>
      <c r="L5" s="1493"/>
      <c r="M5" s="1493"/>
      <c r="N5" s="1493"/>
      <c r="O5" s="1493"/>
      <c r="P5" s="618"/>
    </row>
    <row r="6" spans="1:16" ht="15">
      <c r="A6" s="1494" t="str">
        <f>TCOS!F9</f>
        <v xml:space="preserve">Indiana Michigan Power Company </v>
      </c>
      <c r="B6" s="1494"/>
      <c r="C6" s="1494"/>
      <c r="D6" s="1494"/>
      <c r="E6" s="1494"/>
      <c r="F6" s="1494"/>
      <c r="G6" s="1494"/>
      <c r="H6" s="1494"/>
      <c r="I6" s="1494"/>
      <c r="J6" s="1494"/>
      <c r="K6" s="1494"/>
      <c r="L6" s="1494"/>
      <c r="M6" s="1494"/>
      <c r="N6" s="1494"/>
      <c r="O6" s="1494"/>
      <c r="P6" s="618"/>
    </row>
    <row r="7" spans="1:16">
      <c r="P7" s="618"/>
    </row>
    <row r="8" spans="1:16" ht="20.25">
      <c r="A8" s="620"/>
      <c r="C8" s="439"/>
      <c r="N8" s="621" t="str">
        <f>"Page "&amp;P8&amp;" of "</f>
        <v xml:space="preserve">Page 1 of </v>
      </c>
      <c r="O8" s="622">
        <f>COUNT(P$8:P$57834)</f>
        <v>10</v>
      </c>
      <c r="P8" s="623">
        <v>1</v>
      </c>
    </row>
    <row r="9" spans="1:16" ht="18">
      <c r="C9" s="624"/>
      <c r="P9" s="618"/>
    </row>
    <row r="10" spans="1:16">
      <c r="P10" s="618"/>
    </row>
    <row r="11" spans="1:16" ht="18">
      <c r="B11" s="625" t="s">
        <v>172</v>
      </c>
      <c r="C11" s="1518" t="str">
        <f>"Calculate Return and Income Taxes with "&amp;F17&amp;" basis point ROE increase for Projects Qualified for Regional Billing."</f>
        <v>Calculate Return and Income Taxes with  basis point ROE increase for Projects Qualified for Regional Billing.</v>
      </c>
      <c r="D11" s="1519"/>
      <c r="E11" s="1519"/>
      <c r="F11" s="1519"/>
      <c r="G11" s="1519"/>
      <c r="H11" s="1519"/>
      <c r="P11" s="618"/>
    </row>
    <row r="12" spans="1:16" ht="18.75" customHeight="1">
      <c r="C12" s="1519"/>
      <c r="D12" s="1519"/>
      <c r="E12" s="1519"/>
      <c r="F12" s="1519"/>
      <c r="G12" s="1519"/>
      <c r="H12" s="1519"/>
      <c r="P12" s="618"/>
    </row>
    <row r="13" spans="1:16" ht="15.75" customHeight="1">
      <c r="C13" s="557"/>
      <c r="D13" s="557"/>
      <c r="E13" s="557"/>
      <c r="F13" s="557"/>
      <c r="G13" s="557"/>
      <c r="H13" s="557"/>
      <c r="P13" s="618"/>
    </row>
    <row r="14" spans="1:16" ht="15.75">
      <c r="C14" s="626" t="str">
        <f>"A.   Determine 'R' with hypothetical "&amp;F17&amp;" basis point increase in ROE for Identified Projects"</f>
        <v>A.   Determine 'R' with hypothetical  basis point increase in ROE for Identified Projects</v>
      </c>
      <c r="P14" s="618"/>
    </row>
    <row r="15" spans="1:16">
      <c r="C15" s="439"/>
      <c r="P15" s="618"/>
    </row>
    <row r="16" spans="1:16">
      <c r="C16" s="627" t="str">
        <f>"   ROE w/o incentives  (TCOS, ln "&amp;TCOS!B257&amp;")"</f>
        <v xml:space="preserve">   ROE w/o incentives  (TCOS, ln 156)</v>
      </c>
      <c r="E16" s="628"/>
      <c r="F16" s="629">
        <f>TCOS!J257</f>
        <v>0.10349999999999999</v>
      </c>
      <c r="G16" s="628"/>
      <c r="H16" s="630"/>
      <c r="I16" s="630"/>
      <c r="J16" s="631"/>
      <c r="K16" s="630"/>
      <c r="L16" s="630"/>
      <c r="M16" s="630"/>
      <c r="N16" s="630"/>
      <c r="O16" s="630"/>
      <c r="P16" s="631"/>
    </row>
    <row r="17" spans="3:16">
      <c r="C17" s="627" t="s">
        <v>253</v>
      </c>
      <c r="E17" s="628"/>
      <c r="F17" s="894"/>
      <c r="G17" s="632"/>
      <c r="H17" s="630"/>
      <c r="I17" s="630"/>
      <c r="J17" s="631"/>
    </row>
    <row r="18" spans="3:16">
      <c r="C18" s="627" t="str">
        <f>"   ROE with additional "&amp;F17&amp;" basis point incentive"</f>
        <v xml:space="preserve">   ROE with additional  basis point incentive</v>
      </c>
      <c r="D18" s="628"/>
      <c r="E18" s="628"/>
      <c r="F18" s="633">
        <f>IF((F16+(F17/10000)&gt;0.1274),"ERROR",F16+(F17/10000))</f>
        <v>0.10349999999999999</v>
      </c>
      <c r="G18" s="634"/>
      <c r="H18" s="630"/>
      <c r="I18" s="630"/>
      <c r="J18" s="631"/>
    </row>
    <row r="19" spans="3:16">
      <c r="C19" s="62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8"/>
      <c r="F19" s="635"/>
      <c r="G19" s="628"/>
      <c r="H19" s="630"/>
      <c r="I19" s="630"/>
      <c r="J19" s="631"/>
    </row>
    <row r="20" spans="3:16">
      <c r="C20" s="631"/>
      <c r="D20" s="636" t="s">
        <v>147</v>
      </c>
      <c r="E20" s="636" t="s">
        <v>146</v>
      </c>
      <c r="F20" s="637" t="s">
        <v>254</v>
      </c>
      <c r="G20" s="628"/>
      <c r="H20" s="630"/>
      <c r="I20" s="630"/>
      <c r="J20" s="631"/>
    </row>
    <row r="21" spans="3:16" ht="13.5" thickBot="1">
      <c r="C21" s="638" t="s">
        <v>258</v>
      </c>
      <c r="D21" s="639">
        <f>TCOS!H255</f>
        <v>0.5540509623452905</v>
      </c>
      <c r="E21" s="640">
        <f>TCOS!J255</f>
        <v>3.8913699763894076E-2</v>
      </c>
      <c r="F21" s="641">
        <f>E21*D21</f>
        <v>2.1560172802601217E-2</v>
      </c>
      <c r="G21" s="628"/>
      <c r="H21" s="630"/>
      <c r="I21" s="642"/>
      <c r="J21" s="643"/>
      <c r="K21" s="565"/>
      <c r="L21" s="565"/>
      <c r="M21" s="565"/>
      <c r="N21" s="565"/>
      <c r="O21" s="565"/>
    </row>
    <row r="22" spans="3:16">
      <c r="C22" s="638" t="s">
        <v>259</v>
      </c>
      <c r="D22" s="639">
        <f>TCOS!H256</f>
        <v>0</v>
      </c>
      <c r="E22" s="640">
        <f>TCOS!J256</f>
        <v>0</v>
      </c>
      <c r="F22" s="641">
        <f>E22*D22</f>
        <v>0</v>
      </c>
      <c r="G22" s="644"/>
      <c r="H22" s="644"/>
      <c r="I22" s="645"/>
      <c r="J22" s="646"/>
      <c r="K22" s="1512" t="s">
        <v>452</v>
      </c>
      <c r="L22" s="1513"/>
      <c r="M22" s="1513"/>
      <c r="N22" s="1513"/>
      <c r="O22" s="1514"/>
      <c r="P22" s="646"/>
    </row>
    <row r="23" spans="3:16">
      <c r="C23" s="647" t="s">
        <v>245</v>
      </c>
      <c r="D23" s="639">
        <f>TCOS!H257</f>
        <v>0.44594903765470945</v>
      </c>
      <c r="E23" s="640">
        <f>+F18</f>
        <v>0.10349999999999999</v>
      </c>
      <c r="F23" s="648">
        <f>E23*D23</f>
        <v>4.6155725397262426E-2</v>
      </c>
      <c r="G23" s="644"/>
      <c r="H23" s="644"/>
      <c r="I23" s="645"/>
      <c r="J23" s="646"/>
      <c r="K23" s="1515"/>
      <c r="L23" s="1516"/>
      <c r="M23" s="1516"/>
      <c r="N23" s="1516"/>
      <c r="O23" s="1517"/>
      <c r="P23" s="646"/>
    </row>
    <row r="24" spans="3:16">
      <c r="C24" s="649"/>
      <c r="D24" s="357"/>
      <c r="E24" s="650" t="s">
        <v>261</v>
      </c>
      <c r="F24" s="641">
        <f>SUM(F21:F23)</f>
        <v>6.771589819986365E-2</v>
      </c>
      <c r="G24" s="644"/>
      <c r="H24" s="644"/>
      <c r="I24" s="645"/>
      <c r="J24" s="646"/>
      <c r="K24" s="651"/>
      <c r="L24" s="652"/>
      <c r="M24" s="653" t="s">
        <v>255</v>
      </c>
      <c r="N24" s="653" t="s">
        <v>256</v>
      </c>
      <c r="O24" s="654" t="s">
        <v>257</v>
      </c>
      <c r="P24" s="646"/>
    </row>
    <row r="25" spans="3:16">
      <c r="C25" s="570"/>
      <c r="D25" s="655"/>
      <c r="E25" s="655"/>
      <c r="F25" s="644"/>
      <c r="G25" s="644"/>
      <c r="H25" s="644"/>
      <c r="I25" s="644"/>
      <c r="J25" s="656"/>
      <c r="K25" s="657"/>
      <c r="L25" s="658"/>
      <c r="M25" s="658"/>
      <c r="N25" s="658"/>
      <c r="O25" s="659"/>
      <c r="P25" s="656"/>
    </row>
    <row r="26" spans="3:16" ht="16.5" thickBot="1">
      <c r="C26" s="626" t="str">
        <f>"B.   Determine Return using 'R' with hypothetical "&amp;F17&amp;" basis point ROE increase for Identified Projects."</f>
        <v>B.   Determine Return using 'R' with hypothetical  basis point ROE increase for Identified Projects.</v>
      </c>
      <c r="D26" s="655"/>
      <c r="E26" s="655"/>
      <c r="F26" s="660"/>
      <c r="G26" s="644"/>
      <c r="H26" s="628"/>
      <c r="I26" s="644"/>
      <c r="J26" s="656"/>
      <c r="K26" s="661" t="s">
        <v>262</v>
      </c>
      <c r="L26" s="662">
        <f>TCOS!L4</f>
        <v>2021</v>
      </c>
      <c r="M26" s="895">
        <f>N90+N179+N268+N357+N446+N535+N624+N713+N802</f>
        <v>5251215.154440023</v>
      </c>
      <c r="N26" s="895">
        <f>N91+N180+N269+N358+N447+N536+N625+N714+N803</f>
        <v>5251215.154440023</v>
      </c>
      <c r="O26" s="663">
        <f>+N26-M26</f>
        <v>0</v>
      </c>
      <c r="P26" s="656"/>
    </row>
    <row r="27" spans="3:16">
      <c r="C27" s="631"/>
      <c r="D27" s="655"/>
      <c r="E27" s="655"/>
      <c r="F27" s="656"/>
      <c r="G27" s="656"/>
      <c r="H27" s="656"/>
      <c r="I27" s="656"/>
      <c r="J27" s="656"/>
      <c r="K27" s="664"/>
      <c r="L27" s="664"/>
      <c r="M27" s="664"/>
      <c r="N27" s="664"/>
      <c r="O27" s="664"/>
      <c r="P27" s="656"/>
    </row>
    <row r="28" spans="3:16">
      <c r="C28" s="665" t="str">
        <f>"   Rate Base  (TCOS, ln "&amp;TCOS!B125&amp;")"</f>
        <v xml:space="preserve">   Rate Base  (TCOS, ln 68)</v>
      </c>
      <c r="D28" s="628"/>
      <c r="F28" s="666">
        <f>TCOS!L125</f>
        <v>999769571.14057338</v>
      </c>
      <c r="G28" s="656"/>
      <c r="H28" s="656"/>
      <c r="I28" s="656"/>
      <c r="J28" s="656"/>
      <c r="K28" s="664"/>
      <c r="L28" s="664"/>
      <c r="M28" s="664"/>
      <c r="N28" s="664"/>
      <c r="O28" s="667"/>
      <c r="P28" s="656"/>
    </row>
    <row r="29" spans="3:16">
      <c r="C29" s="631" t="s">
        <v>475</v>
      </c>
      <c r="D29" s="668"/>
      <c r="F29" s="641">
        <f>F24</f>
        <v>6.771589819986365E-2</v>
      </c>
      <c r="G29" s="656"/>
      <c r="H29" s="656"/>
      <c r="I29" s="656"/>
      <c r="J29" s="656"/>
      <c r="K29" s="656"/>
      <c r="L29" s="656"/>
      <c r="M29" s="656"/>
      <c r="N29" s="656"/>
      <c r="O29" s="656"/>
      <c r="P29" s="656"/>
    </row>
    <row r="30" spans="3:16">
      <c r="C30" s="669" t="s">
        <v>263</v>
      </c>
      <c r="D30" s="669"/>
      <c r="F30" s="645">
        <f>F28*F29</f>
        <v>67700294.502676412</v>
      </c>
      <c r="G30" s="656"/>
      <c r="H30" s="656"/>
      <c r="I30" s="646"/>
      <c r="J30" s="646"/>
      <c r="K30" s="646"/>
      <c r="L30" s="646"/>
      <c r="M30" s="646"/>
      <c r="N30" s="646"/>
      <c r="O30" s="656"/>
      <c r="P30" s="646"/>
    </row>
    <row r="31" spans="3:16">
      <c r="C31" s="670"/>
      <c r="D31" s="630"/>
      <c r="E31" s="630"/>
      <c r="F31" s="656"/>
      <c r="G31" s="656"/>
      <c r="H31" s="656"/>
      <c r="I31" s="646"/>
      <c r="J31" s="646"/>
      <c r="K31" s="646"/>
      <c r="L31" s="646"/>
      <c r="M31" s="646"/>
      <c r="N31" s="646"/>
      <c r="O31" s="656"/>
      <c r="P31" s="646"/>
    </row>
    <row r="32" spans="3:16" ht="15.75">
      <c r="C32" s="626" t="str">
        <f>"C.   Determine Income Taxes using Return with hypothetical "&amp;F17&amp;" basis point ROE increase for Identified Projects."</f>
        <v>C.   Determine Income Taxes using Return with hypothetical  basis point ROE increase for Identified Projects.</v>
      </c>
      <c r="D32" s="671"/>
      <c r="E32" s="671"/>
      <c r="F32" s="672"/>
      <c r="G32" s="672"/>
      <c r="H32" s="672"/>
      <c r="I32" s="673"/>
      <c r="J32" s="673"/>
      <c r="K32" s="673"/>
      <c r="L32" s="673"/>
      <c r="M32" s="673"/>
      <c r="N32" s="673"/>
      <c r="O32" s="672"/>
      <c r="P32" s="673"/>
    </row>
    <row r="33" spans="2:16">
      <c r="C33" s="649"/>
      <c r="D33" s="630"/>
      <c r="E33" s="630"/>
      <c r="F33" s="656"/>
      <c r="G33" s="656"/>
      <c r="H33" s="656"/>
      <c r="I33" s="646"/>
      <c r="J33" s="646"/>
      <c r="K33" s="646"/>
      <c r="L33" s="646"/>
      <c r="M33" s="646"/>
      <c r="N33" s="646"/>
      <c r="O33" s="656"/>
      <c r="P33" s="646"/>
    </row>
    <row r="34" spans="2:16">
      <c r="C34" s="631" t="s">
        <v>264</v>
      </c>
      <c r="D34" s="650"/>
      <c r="F34" s="674">
        <f>F30</f>
        <v>67700294.502676412</v>
      </c>
      <c r="G34" s="656"/>
      <c r="H34" s="656"/>
      <c r="I34" s="656"/>
      <c r="J34" s="656"/>
      <c r="K34" s="656"/>
      <c r="L34" s="656"/>
      <c r="M34" s="656"/>
      <c r="N34" s="656"/>
      <c r="O34" s="656"/>
      <c r="P34" s="656"/>
    </row>
    <row r="35" spans="2:16">
      <c r="C35" s="665" t="str">
        <f>"   Effective Tax Rate  (TCOS, ln "&amp;TCOS!B190&amp;")"</f>
        <v xml:space="preserve">   Effective Tax Rate  (TCOS, ln 114)</v>
      </c>
      <c r="D35" s="593"/>
      <c r="F35" s="675">
        <f>TCOS!G190</f>
        <v>0.22659733133352886</v>
      </c>
      <c r="G35" s="570"/>
      <c r="H35" s="676"/>
      <c r="I35" s="570"/>
      <c r="J35" s="618"/>
      <c r="K35" s="570"/>
      <c r="L35" s="570"/>
      <c r="M35" s="570"/>
      <c r="N35" s="570"/>
      <c r="O35" s="570"/>
      <c r="P35" s="618"/>
    </row>
    <row r="36" spans="2:16">
      <c r="C36" s="670" t="s">
        <v>265</v>
      </c>
      <c r="D36" s="593"/>
      <c r="F36" s="677">
        <f>F34*F35</f>
        <v>15340706.064800449</v>
      </c>
      <c r="G36" s="570"/>
      <c r="H36" s="676"/>
      <c r="I36" s="570"/>
      <c r="J36" s="618"/>
      <c r="K36" s="570"/>
      <c r="L36" s="570"/>
      <c r="M36" s="570"/>
      <c r="N36" s="570"/>
      <c r="O36" s="570"/>
      <c r="P36" s="618"/>
    </row>
    <row r="37" spans="2:16" ht="15">
      <c r="C37" s="649" t="s">
        <v>303</v>
      </c>
      <c r="D37" s="503"/>
      <c r="F37" s="678">
        <f>TCOS!L199</f>
        <v>-973758.56207541446</v>
      </c>
      <c r="G37" s="503"/>
      <c r="H37" s="503"/>
      <c r="I37" s="503"/>
      <c r="J37" s="503"/>
      <c r="K37" s="503"/>
      <c r="L37" s="503"/>
      <c r="M37" s="503"/>
      <c r="N37" s="503"/>
      <c r="O37" s="415"/>
      <c r="P37" s="503"/>
    </row>
    <row r="38" spans="2:16" ht="15">
      <c r="C38" s="649" t="s">
        <v>534</v>
      </c>
      <c r="D38" s="503"/>
      <c r="F38" s="678">
        <f>TCOS!L200</f>
        <v>-4570286.4756828789</v>
      </c>
      <c r="G38" s="503"/>
      <c r="H38" s="503"/>
      <c r="I38" s="503"/>
      <c r="J38" s="503"/>
      <c r="K38" s="503"/>
      <c r="L38" s="503"/>
      <c r="M38" s="503"/>
      <c r="N38" s="503"/>
      <c r="O38" s="415"/>
      <c r="P38" s="503"/>
    </row>
    <row r="39" spans="2:16" ht="15">
      <c r="C39" s="649" t="s">
        <v>535</v>
      </c>
      <c r="D39" s="503"/>
      <c r="F39" s="679">
        <f>TCOS!L201</f>
        <v>1696202.53164557</v>
      </c>
      <c r="G39" s="503"/>
      <c r="H39" s="503"/>
      <c r="I39" s="503"/>
      <c r="J39" s="503"/>
      <c r="K39" s="503"/>
      <c r="L39" s="503"/>
      <c r="M39" s="503"/>
      <c r="N39" s="503"/>
      <c r="O39" s="415"/>
      <c r="P39" s="503"/>
    </row>
    <row r="40" spans="2:16" ht="15">
      <c r="C40" s="670" t="s">
        <v>266</v>
      </c>
      <c r="D40" s="503"/>
      <c r="F40" s="678">
        <f>F36+F37+F38+F39</f>
        <v>11492863.558687726</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75">
      <c r="B42" s="625" t="s">
        <v>173</v>
      </c>
      <c r="C42" s="624"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4" t="str">
        <f>"basis point ROE increase."</f>
        <v>basis point ROE increase.</v>
      </c>
      <c r="D43" s="503"/>
      <c r="E43" s="503"/>
      <c r="F43" s="503"/>
      <c r="G43" s="503"/>
      <c r="H43" s="503"/>
      <c r="I43" s="503"/>
      <c r="J43" s="503"/>
      <c r="K43" s="503"/>
      <c r="L43" s="503"/>
      <c r="M43" s="503"/>
      <c r="N43" s="503"/>
      <c r="O43" s="373"/>
      <c r="P43" s="503"/>
    </row>
    <row r="44" spans="2:16" ht="12.75" customHeight="1">
      <c r="C44" s="624"/>
      <c r="D44" s="503"/>
      <c r="E44" s="503"/>
      <c r="F44" s="503"/>
      <c r="G44" s="503"/>
      <c r="H44" s="503"/>
      <c r="I44" s="503"/>
      <c r="J44" s="503"/>
      <c r="K44" s="503"/>
      <c r="L44" s="503"/>
      <c r="M44" s="503"/>
      <c r="N44" s="503"/>
      <c r="O44" s="373"/>
      <c r="P44" s="503"/>
    </row>
    <row r="45" spans="2:16" ht="15.75">
      <c r="C45" s="626" t="s">
        <v>466</v>
      </c>
      <c r="D45" s="503"/>
      <c r="E45" s="503"/>
      <c r="F45" s="502"/>
      <c r="G45" s="503"/>
      <c r="H45" s="503"/>
      <c r="I45" s="503"/>
      <c r="J45" s="503"/>
      <c r="K45" s="503"/>
      <c r="L45" s="503"/>
      <c r="M45" s="503"/>
      <c r="N45" s="503"/>
      <c r="O45" s="373"/>
      <c r="P45" s="503"/>
    </row>
    <row r="46" spans="2:16">
      <c r="B46" s="606"/>
      <c r="C46" s="627"/>
      <c r="D46" s="680"/>
      <c r="E46" s="680"/>
      <c r="F46" s="680"/>
      <c r="G46" s="680"/>
      <c r="H46" s="680"/>
      <c r="I46" s="680"/>
      <c r="J46" s="680"/>
      <c r="K46" s="680"/>
      <c r="L46" s="680"/>
      <c r="M46" s="680"/>
      <c r="N46" s="680"/>
      <c r="O46" s="678"/>
      <c r="P46" s="680"/>
    </row>
    <row r="47" spans="2:16" ht="12.75" customHeight="1">
      <c r="B47" s="606"/>
      <c r="C47" s="665" t="str">
        <f>"   Annual Revenue Requirement  (TCOS, ln "&amp;TCOS!B13&amp;")"</f>
        <v xml:space="preserve">   Annual Revenue Requirement  (TCOS, ln 1)</v>
      </c>
      <c r="D47" s="680"/>
      <c r="E47" s="680"/>
      <c r="G47" s="678">
        <f>TCOS!L13</f>
        <v>162340700.98301724</v>
      </c>
      <c r="H47" s="680"/>
      <c r="I47" s="680"/>
      <c r="J47" s="680"/>
      <c r="K47" s="680"/>
      <c r="L47" s="680"/>
      <c r="M47" s="680"/>
      <c r="N47" s="680"/>
      <c r="O47" s="678"/>
      <c r="P47" s="680"/>
    </row>
    <row r="48" spans="2:16" ht="12.75" customHeight="1">
      <c r="B48" s="606"/>
      <c r="C48" s="665" t="str">
        <f>"   Lease Payments (TCOS, Ln "&amp;TCOS!B168&amp;")"</f>
        <v xml:space="preserve">   Lease Payments (TCOS, Ln 95)</v>
      </c>
      <c r="D48" s="680"/>
      <c r="E48" s="680"/>
      <c r="G48" s="678">
        <f>TCOS!L168</f>
        <v>0</v>
      </c>
      <c r="H48" s="680"/>
      <c r="I48" s="680"/>
      <c r="J48" s="680"/>
      <c r="K48" s="680"/>
      <c r="L48" s="680"/>
      <c r="M48" s="680"/>
      <c r="N48" s="680"/>
      <c r="O48" s="678"/>
      <c r="P48" s="680"/>
    </row>
    <row r="49" spans="2:16">
      <c r="B49" s="606"/>
      <c r="C49" s="665" t="str">
        <f>"   Return  (TCOS, ln "&amp;TCOS!B205&amp;")"</f>
        <v xml:space="preserve">   Return  (TCOS, ln 126)</v>
      </c>
      <c r="D49" s="680"/>
      <c r="E49" s="680"/>
      <c r="G49" s="681">
        <f>TCOS!L205</f>
        <v>67700294.502676412</v>
      </c>
      <c r="H49" s="682"/>
      <c r="I49" s="682"/>
      <c r="J49" s="682"/>
      <c r="K49" s="682"/>
      <c r="L49" s="682"/>
      <c r="M49" s="682"/>
      <c r="N49" s="682"/>
      <c r="O49" s="678"/>
      <c r="P49" s="682"/>
    </row>
    <row r="50" spans="2:16">
      <c r="B50" s="606"/>
      <c r="C50" s="665" t="str">
        <f>"   Income Taxes  (TCOS, ln "&amp;TCOS!B203&amp;")"</f>
        <v xml:space="preserve">   Income Taxes  (TCOS, ln 125)</v>
      </c>
      <c r="D50" s="680"/>
      <c r="E50" s="680"/>
      <c r="G50" s="683">
        <f>TCOS!L203</f>
        <v>11492863.558687726</v>
      </c>
      <c r="H50" s="680"/>
      <c r="I50" s="684"/>
      <c r="J50" s="684"/>
      <c r="K50" s="684"/>
      <c r="L50" s="684"/>
      <c r="M50" s="684"/>
      <c r="N50" s="684"/>
      <c r="O50" s="680"/>
      <c r="P50" s="684"/>
    </row>
    <row r="51" spans="2:16">
      <c r="B51" s="606"/>
      <c r="C51" s="685" t="s">
        <v>592</v>
      </c>
      <c r="D51" s="680"/>
      <c r="E51" s="680"/>
      <c r="G51" s="681">
        <f>G47-G49-G50-G48</f>
        <v>83147542.921653092</v>
      </c>
      <c r="H51" s="680"/>
      <c r="I51" s="686"/>
      <c r="J51" s="686"/>
      <c r="K51" s="686"/>
      <c r="L51" s="686"/>
      <c r="M51" s="686"/>
      <c r="N51" s="686"/>
      <c r="O51" s="686"/>
      <c r="P51" s="686"/>
    </row>
    <row r="52" spans="2:16">
      <c r="B52" s="606"/>
      <c r="C52" s="627"/>
      <c r="D52" s="680"/>
      <c r="E52" s="680"/>
      <c r="F52" s="678"/>
      <c r="G52" s="687"/>
      <c r="H52" s="688"/>
      <c r="I52" s="688"/>
      <c r="J52" s="688"/>
      <c r="K52" s="688"/>
      <c r="L52" s="688"/>
      <c r="M52" s="688"/>
      <c r="N52" s="688"/>
      <c r="O52" s="688"/>
      <c r="P52" s="688"/>
    </row>
    <row r="53" spans="2:16" ht="15.75">
      <c r="B53" s="606"/>
      <c r="C53" s="626" t="str">
        <f>"B.   Determine Annual Revenue Requirement with hypothetical "&amp;F17&amp;" basis point increase in ROE."</f>
        <v>B.   Determine Annual Revenue Requirement with hypothetical  basis point increase in ROE.</v>
      </c>
      <c r="D53" s="689"/>
      <c r="E53" s="689"/>
      <c r="F53" s="678"/>
      <c r="G53" s="687"/>
      <c r="H53" s="688"/>
      <c r="I53" s="688"/>
      <c r="J53" s="688"/>
      <c r="K53" s="688"/>
      <c r="L53" s="688"/>
      <c r="M53" s="688"/>
      <c r="N53" s="688"/>
      <c r="O53" s="688"/>
      <c r="P53" s="688"/>
    </row>
    <row r="54" spans="2:16">
      <c r="B54" s="606"/>
      <c r="C54" s="627"/>
      <c r="D54" s="689"/>
      <c r="E54" s="689"/>
      <c r="F54" s="678"/>
      <c r="G54" s="687"/>
      <c r="H54" s="688"/>
      <c r="I54" s="688"/>
      <c r="J54" s="688"/>
      <c r="K54" s="688"/>
      <c r="L54" s="688"/>
      <c r="M54" s="688"/>
      <c r="N54" s="688"/>
      <c r="O54" s="688"/>
      <c r="P54" s="688"/>
    </row>
    <row r="55" spans="2:16">
      <c r="B55" s="606"/>
      <c r="C55" s="627" t="str">
        <f>C51</f>
        <v xml:space="preserve">   Annual Revenue Requirement, Less Lease Payments, Return and Taxes</v>
      </c>
      <c r="D55" s="689"/>
      <c r="E55" s="689"/>
      <c r="G55" s="678">
        <f>G51</f>
        <v>83147542.921653092</v>
      </c>
      <c r="H55" s="680"/>
      <c r="I55" s="680"/>
      <c r="J55" s="680"/>
      <c r="K55" s="680"/>
      <c r="L55" s="680"/>
      <c r="M55" s="680"/>
      <c r="N55" s="680"/>
      <c r="O55" s="690"/>
      <c r="P55" s="680"/>
    </row>
    <row r="56" spans="2:16">
      <c r="B56" s="606"/>
      <c r="C56" s="631" t="s">
        <v>300</v>
      </c>
      <c r="D56" s="691"/>
      <c r="E56" s="685"/>
      <c r="G56" s="692">
        <f>F30</f>
        <v>67700294.502676412</v>
      </c>
      <c r="H56" s="693"/>
      <c r="I56" s="685"/>
      <c r="J56" s="685"/>
      <c r="K56" s="685"/>
      <c r="L56" s="685"/>
      <c r="M56" s="685"/>
      <c r="N56" s="685"/>
      <c r="O56" s="685"/>
      <c r="P56" s="685"/>
    </row>
    <row r="57" spans="2:16" ht="12.75" customHeight="1">
      <c r="B57" s="606"/>
      <c r="C57" s="649" t="s">
        <v>267</v>
      </c>
      <c r="D57" s="680"/>
      <c r="E57" s="680"/>
      <c r="G57" s="683">
        <f>F40</f>
        <v>11492863.558687726</v>
      </c>
      <c r="H57" s="676"/>
      <c r="I57" s="570"/>
      <c r="J57" s="618"/>
      <c r="K57" s="570"/>
      <c r="L57" s="570"/>
      <c r="M57" s="570"/>
      <c r="N57" s="570"/>
      <c r="O57" s="570"/>
      <c r="P57" s="618"/>
    </row>
    <row r="58" spans="2:16">
      <c r="B58" s="606"/>
      <c r="C58" s="685" t="str">
        <f>"   Annual Revenue Requirement, with "&amp;F17&amp;" Basis Point ROE increase"</f>
        <v xml:space="preserve">   Annual Revenue Requirement, with  Basis Point ROE increase</v>
      </c>
      <c r="D58" s="593"/>
      <c r="E58" s="570"/>
      <c r="G58" s="677">
        <f>SUM(G55:G57)</f>
        <v>162340700.98301724</v>
      </c>
      <c r="H58" s="676"/>
      <c r="I58" s="570"/>
      <c r="J58" s="618"/>
      <c r="K58" s="570"/>
      <c r="L58" s="570"/>
      <c r="M58" s="570"/>
      <c r="N58" s="570"/>
      <c r="O58" s="570"/>
      <c r="P58" s="618"/>
    </row>
    <row r="59" spans="2:16">
      <c r="B59" s="606"/>
      <c r="C59" s="665" t="str">
        <f>"   Depreciation  (TCOS, ln "&amp;TCOS!B174&amp;")"</f>
        <v xml:space="preserve">   Depreciation  (TCOS, ln 100)</v>
      </c>
      <c r="D59" s="593"/>
      <c r="E59" s="570"/>
      <c r="G59" s="694">
        <f>TCOS!L174</f>
        <v>41621217.743170053</v>
      </c>
      <c r="H59" s="676"/>
      <c r="I59" s="570"/>
      <c r="J59" s="618"/>
      <c r="K59" s="570"/>
      <c r="L59" s="570"/>
      <c r="M59" s="570"/>
      <c r="N59" s="570"/>
      <c r="O59" s="570"/>
      <c r="P59" s="618"/>
    </row>
    <row r="60" spans="2:16">
      <c r="B60" s="606"/>
      <c r="C60" s="685" t="str">
        <f>"   Annual Rev. Req, w/"&amp;F17&amp;" Basis Point ROE increase, less Depreciation"</f>
        <v xml:space="preserve">   Annual Rev. Req, w/ Basis Point ROE increase, less Depreciation</v>
      </c>
      <c r="D60" s="593"/>
      <c r="E60" s="570"/>
      <c r="G60" s="677">
        <f>G58-G59</f>
        <v>120719483.23984718</v>
      </c>
      <c r="H60" s="676"/>
      <c r="I60" s="570"/>
      <c r="J60" s="618"/>
      <c r="K60" s="570"/>
      <c r="L60" s="570"/>
      <c r="M60" s="570"/>
      <c r="N60" s="570"/>
      <c r="O60" s="570"/>
      <c r="P60" s="618"/>
    </row>
    <row r="61" spans="2:16">
      <c r="B61" s="606"/>
      <c r="C61" s="570"/>
      <c r="D61" s="593"/>
      <c r="E61" s="570"/>
      <c r="F61" s="570"/>
      <c r="G61" s="570"/>
      <c r="H61" s="676"/>
      <c r="I61" s="570"/>
      <c r="J61" s="618"/>
      <c r="K61" s="570"/>
      <c r="L61" s="570"/>
      <c r="M61" s="570"/>
      <c r="N61" s="570"/>
      <c r="O61" s="570"/>
      <c r="P61" s="618"/>
    </row>
    <row r="62" spans="2:16" ht="15.75">
      <c r="B62" s="606"/>
      <c r="C62" s="626" t="str">
        <f>"C.   Determine FCR with hypothetical "&amp;F17&amp;" basis point ROE increase."</f>
        <v>C.   Determine FCR with hypothetical  basis point ROE increase.</v>
      </c>
      <c r="D62" s="593"/>
      <c r="E62" s="570"/>
      <c r="F62" s="570"/>
      <c r="G62" s="570"/>
      <c r="H62" s="676"/>
      <c r="I62" s="570"/>
      <c r="J62" s="618"/>
      <c r="K62" s="570"/>
      <c r="L62" s="570"/>
      <c r="M62" s="570"/>
      <c r="N62" s="570"/>
      <c r="O62" s="570"/>
      <c r="P62" s="618"/>
    </row>
    <row r="63" spans="2:16">
      <c r="B63" s="606"/>
      <c r="C63" s="570"/>
      <c r="D63" s="593"/>
      <c r="E63" s="570"/>
      <c r="F63" s="570"/>
      <c r="G63" s="570"/>
      <c r="H63" s="676"/>
      <c r="I63" s="570"/>
      <c r="J63" s="618"/>
      <c r="K63" s="570"/>
      <c r="L63" s="570"/>
      <c r="M63" s="570"/>
      <c r="N63" s="570"/>
      <c r="O63" s="570"/>
      <c r="P63" s="618"/>
    </row>
    <row r="64" spans="2:16">
      <c r="B64" s="606"/>
      <c r="C64" s="665" t="str">
        <f>"   Net Transmission Plant  (TCOS, ln "&amp;TCOS!B91&amp;")"</f>
        <v xml:space="preserve">   Net Transmission Plant  (TCOS, ln 42)</v>
      </c>
      <c r="D64" s="593"/>
      <c r="E64" s="570"/>
      <c r="G64" s="677">
        <f>TCOS!L91</f>
        <v>1217927000</v>
      </c>
      <c r="H64" s="695"/>
      <c r="I64" s="570"/>
      <c r="J64" s="618"/>
      <c r="K64" s="570"/>
      <c r="L64" s="570"/>
      <c r="M64" s="570"/>
      <c r="N64" s="570"/>
      <c r="O64" s="570"/>
      <c r="P64" s="618"/>
    </row>
    <row r="65" spans="2:16">
      <c r="B65" s="606"/>
      <c r="C65" s="685" t="str">
        <f>"   Annual Revenue Requirement, with "&amp;F17&amp;" Basis Point ROE increase"</f>
        <v xml:space="preserve">   Annual Revenue Requirement, with  Basis Point ROE increase</v>
      </c>
      <c r="D65" s="593"/>
      <c r="E65" s="570"/>
      <c r="G65" s="677">
        <f>G58</f>
        <v>162340700.98301724</v>
      </c>
      <c r="H65" s="676"/>
      <c r="I65" s="570"/>
      <c r="J65" s="618"/>
      <c r="K65" s="570"/>
      <c r="L65" s="570"/>
      <c r="M65" s="570"/>
      <c r="N65" s="570"/>
      <c r="O65" s="570"/>
      <c r="P65" s="618"/>
    </row>
    <row r="66" spans="2:16">
      <c r="B66" s="606"/>
      <c r="C66" s="685" t="str">
        <f>"   FCR with "&amp;F17&amp;" Basis Point increase in ROE"</f>
        <v xml:space="preserve">   FCR with  Basis Point increase in ROE</v>
      </c>
      <c r="D66" s="593"/>
      <c r="E66" s="570"/>
      <c r="G66" s="675">
        <f>G65/G64</f>
        <v>0.13329263657264945</v>
      </c>
      <c r="H66" s="676"/>
      <c r="I66" s="570"/>
      <c r="J66" s="618"/>
      <c r="K66" s="570"/>
      <c r="L66" s="570"/>
      <c r="M66" s="570"/>
      <c r="N66" s="570"/>
      <c r="O66" s="570"/>
      <c r="P66" s="618"/>
    </row>
    <row r="67" spans="2:16">
      <c r="B67" s="606"/>
      <c r="C67" s="395"/>
      <c r="D67" s="593"/>
      <c r="E67" s="570"/>
      <c r="G67" s="606"/>
      <c r="H67" s="676"/>
      <c r="I67" s="570"/>
      <c r="J67" s="618"/>
      <c r="K67" s="570"/>
      <c r="L67" s="570"/>
      <c r="M67" s="570"/>
      <c r="N67" s="570"/>
      <c r="O67" s="570"/>
      <c r="P67" s="618"/>
    </row>
    <row r="68" spans="2:16">
      <c r="B68" s="606"/>
      <c r="C68" s="685" t="str">
        <f>"   Annual Rev. Req, w / "&amp;F17&amp;" Basis Point ROE increase, less Dep."</f>
        <v xml:space="preserve">   Annual Rev. Req, w /  Basis Point ROE increase, less Dep.</v>
      </c>
      <c r="D68" s="593"/>
      <c r="E68" s="570"/>
      <c r="G68" s="677">
        <f>G60</f>
        <v>120719483.23984718</v>
      </c>
      <c r="H68" s="676"/>
      <c r="I68" s="570"/>
      <c r="J68" s="618"/>
      <c r="K68" s="570"/>
      <c r="L68" s="570"/>
      <c r="M68" s="570"/>
      <c r="N68" s="570"/>
      <c r="O68" s="570"/>
      <c r="P68" s="618"/>
    </row>
    <row r="69" spans="2:16">
      <c r="B69" s="606"/>
      <c r="C69" s="685" t="str">
        <f>"   FCR with "&amp;F17&amp;" Basis Point ROE increase, less Depreciation"</f>
        <v xml:space="preserve">   FCR with  Basis Point ROE increase, less Depreciation</v>
      </c>
      <c r="D69" s="593"/>
      <c r="E69" s="570"/>
      <c r="G69" s="675">
        <f>G68/G64</f>
        <v>9.9118816841934854E-2</v>
      </c>
      <c r="H69" s="676"/>
      <c r="I69" s="570"/>
      <c r="J69" s="618"/>
      <c r="K69" s="570"/>
      <c r="L69" s="570"/>
      <c r="M69" s="570"/>
      <c r="N69" s="570"/>
      <c r="O69" s="570"/>
      <c r="P69" s="618"/>
    </row>
    <row r="70" spans="2:16">
      <c r="B70" s="606"/>
      <c r="C70" s="665" t="str">
        <f>"   FCR less Depreciation  (TCOS, ln "&amp;TCOS!B34&amp;")"</f>
        <v xml:space="preserve">   FCR less Depreciation  (TCOS, ln 10)</v>
      </c>
      <c r="D70" s="593"/>
      <c r="E70" s="570"/>
      <c r="G70" s="696">
        <f>TCOS!L34</f>
        <v>9.9118816841934854E-2</v>
      </c>
      <c r="H70" s="676"/>
      <c r="I70" s="570"/>
      <c r="J70" s="618"/>
      <c r="K70" s="570"/>
      <c r="L70" s="570"/>
      <c r="M70" s="570"/>
      <c r="N70" s="570"/>
      <c r="O70" s="570"/>
      <c r="P70" s="618"/>
    </row>
    <row r="71" spans="2:16">
      <c r="B71" s="606"/>
      <c r="C71" s="685" t="str">
        <f>"   Incremental FCR with "&amp;F17&amp;" Basis Point ROE increase, less Depreciation"</f>
        <v xml:space="preserve">   Incremental FCR with  Basis Point ROE increase, less Depreciation</v>
      </c>
      <c r="D71" s="593"/>
      <c r="E71" s="570"/>
      <c r="G71" s="675">
        <f>G69-G70</f>
        <v>0</v>
      </c>
      <c r="H71" s="676"/>
      <c r="I71" s="570"/>
      <c r="J71" s="618"/>
      <c r="K71" s="570"/>
      <c r="L71" s="570"/>
      <c r="M71" s="570"/>
      <c r="N71" s="570"/>
      <c r="O71" s="570"/>
      <c r="P71" s="618"/>
    </row>
    <row r="72" spans="2:16">
      <c r="B72" s="606"/>
      <c r="C72" s="685"/>
      <c r="D72" s="593"/>
      <c r="E72" s="570"/>
      <c r="F72" s="675"/>
      <c r="G72" s="570"/>
      <c r="H72" s="676"/>
      <c r="I72" s="570"/>
      <c r="J72" s="618"/>
      <c r="K72" s="570"/>
      <c r="L72" s="570"/>
      <c r="M72" s="570"/>
      <c r="N72" s="570"/>
      <c r="O72" s="570"/>
      <c r="P72" s="618"/>
    </row>
    <row r="73" spans="2:16" ht="18.75">
      <c r="B73" s="625" t="s">
        <v>174</v>
      </c>
      <c r="C73" s="624" t="s">
        <v>268</v>
      </c>
      <c r="D73" s="593"/>
      <c r="E73" s="570"/>
      <c r="F73" s="675"/>
      <c r="G73" s="570"/>
      <c r="H73" s="676"/>
      <c r="I73" s="570"/>
      <c r="J73" s="618"/>
      <c r="K73" s="570"/>
      <c r="L73" s="570"/>
      <c r="M73" s="570"/>
      <c r="N73" s="570"/>
      <c r="O73" s="570"/>
      <c r="P73" s="618"/>
    </row>
    <row r="74" spans="2:16">
      <c r="B74" s="606"/>
      <c r="C74" s="685"/>
      <c r="D74" s="593"/>
      <c r="E74" s="570"/>
      <c r="F74" s="675"/>
      <c r="G74" s="570"/>
      <c r="H74" s="676"/>
      <c r="I74" s="570"/>
      <c r="J74" s="618"/>
      <c r="K74" s="570"/>
      <c r="L74" s="570"/>
      <c r="M74" s="570"/>
      <c r="N74" s="570"/>
      <c r="O74" s="570"/>
      <c r="P74" s="618"/>
    </row>
    <row r="75" spans="2:16">
      <c r="B75" s="606"/>
      <c r="C75" s="685" t="str">
        <f>+"Average Transmission Plant Balance for "&amp;TCOS!L4&amp;" (TCOS, ln "&amp;TCOS!B68&amp;")"</f>
        <v>Average Transmission Plant Balance for 2021 (TCOS, ln 21)</v>
      </c>
      <c r="D75" s="593"/>
      <c r="G75" s="676">
        <f>TCOS!L68</f>
        <v>1689211000</v>
      </c>
      <c r="I75" s="570"/>
      <c r="J75" s="618"/>
      <c r="K75" s="699"/>
      <c r="L75" s="570"/>
      <c r="M75" s="570"/>
      <c r="N75" s="570"/>
      <c r="O75" s="570"/>
      <c r="P75" s="618"/>
    </row>
    <row r="76" spans="2:16">
      <c r="B76" s="606"/>
      <c r="C76" s="697" t="str">
        <f>"Annual Depreciation and Amortization Expense  (TCOS, ln "&amp;TCOS!B174&amp;")"</f>
        <v>Annual Depreciation and Amortization Expense  (TCOS, ln 100)</v>
      </c>
      <c r="D76" s="593"/>
      <c r="E76" s="570"/>
      <c r="G76" s="698">
        <f>TCOS!L174</f>
        <v>41621217.743170053</v>
      </c>
      <c r="H76" s="676"/>
      <c r="I76" s="570"/>
      <c r="J76" s="618"/>
      <c r="K76" s="570"/>
      <c r="L76" s="570"/>
      <c r="M76" s="570"/>
      <c r="N76" s="570"/>
      <c r="O76" s="570"/>
      <c r="P76" s="618"/>
    </row>
    <row r="77" spans="2:16">
      <c r="B77" s="606"/>
      <c r="C77" s="685" t="s">
        <v>269</v>
      </c>
      <c r="D77" s="593"/>
      <c r="E77" s="570"/>
      <c r="G77" s="675">
        <f>+G76/G75</f>
        <v>2.4639442759471761E-2</v>
      </c>
      <c r="H77" s="700"/>
      <c r="I77" s="570"/>
      <c r="J77" s="618"/>
      <c r="K77" s="570"/>
      <c r="L77" s="570"/>
      <c r="M77" s="570"/>
      <c r="N77" s="570"/>
      <c r="O77" s="570"/>
      <c r="P77" s="618"/>
    </row>
    <row r="78" spans="2:16">
      <c r="B78" s="606"/>
      <c r="C78" s="685" t="s">
        <v>270</v>
      </c>
      <c r="D78" s="593"/>
      <c r="E78" s="570"/>
      <c r="G78" s="700">
        <f>1/G77</f>
        <v>40.5853334331429</v>
      </c>
      <c r="H78" s="676"/>
      <c r="I78" s="570"/>
      <c r="J78" s="618"/>
      <c r="K78" s="570"/>
      <c r="L78" s="570"/>
      <c r="M78" s="570"/>
      <c r="N78" s="570"/>
      <c r="O78" s="570"/>
      <c r="P78" s="618"/>
    </row>
    <row r="79" spans="2:16">
      <c r="B79" s="606"/>
      <c r="C79" s="685" t="s">
        <v>271</v>
      </c>
      <c r="D79" s="593"/>
      <c r="E79" s="570"/>
      <c r="G79" s="701">
        <f>ROUND(G78,0)</f>
        <v>41</v>
      </c>
      <c r="H79" s="676"/>
      <c r="I79" s="570"/>
      <c r="J79" s="618"/>
      <c r="K79" s="570"/>
      <c r="L79" s="570"/>
      <c r="M79" s="570"/>
      <c r="N79" s="570"/>
      <c r="O79" s="570"/>
      <c r="P79" s="618"/>
    </row>
    <row r="80" spans="2:16">
      <c r="B80" s="606"/>
      <c r="C80" s="685"/>
      <c r="D80" s="593"/>
      <c r="E80" s="570"/>
      <c r="G80" s="701"/>
      <c r="H80" s="676"/>
      <c r="I80" s="570"/>
      <c r="J80" s="618"/>
      <c r="K80" s="570"/>
      <c r="L80" s="570"/>
      <c r="M80" s="570"/>
      <c r="N80" s="570"/>
      <c r="O80" s="570"/>
      <c r="P80" s="618"/>
    </row>
    <row r="81" spans="1:16">
      <c r="C81" s="702"/>
      <c r="D81" s="703"/>
      <c r="E81" s="703"/>
      <c r="F81" s="703"/>
      <c r="G81" s="699"/>
      <c r="H81" s="699"/>
      <c r="I81" s="704"/>
      <c r="J81" s="704"/>
      <c r="K81" s="704"/>
      <c r="L81" s="704"/>
      <c r="M81" s="704"/>
      <c r="N81" s="704"/>
      <c r="O81" s="570"/>
      <c r="P81" s="704"/>
    </row>
    <row r="82" spans="1:16">
      <c r="B82" s="357"/>
    </row>
    <row r="84" spans="1:16" ht="20.25">
      <c r="A84" s="705" t="s">
        <v>965</v>
      </c>
      <c r="B84" s="606"/>
      <c r="C84" s="685"/>
      <c r="D84" s="593"/>
      <c r="E84" s="570"/>
      <c r="F84" s="675"/>
      <c r="G84" s="570"/>
      <c r="H84" s="1276"/>
      <c r="K84" s="706"/>
      <c r="L84" s="706"/>
      <c r="M84" s="706"/>
      <c r="N84" s="621" t="str">
        <f>"Page "&amp;P84&amp;" of "</f>
        <v xml:space="preserve">Page 2 of </v>
      </c>
      <c r="O84" s="622">
        <f>COUNT(P$6:P$59527)</f>
        <v>10</v>
      </c>
      <c r="P84" s="697">
        <v>2</v>
      </c>
    </row>
    <row r="85" spans="1:16">
      <c r="B85" s="606"/>
      <c r="C85" s="570"/>
      <c r="D85" s="593"/>
      <c r="E85" s="570"/>
      <c r="F85" s="570"/>
      <c r="G85" s="570"/>
      <c r="H85" s="1276"/>
      <c r="I85" s="570"/>
      <c r="J85" s="618"/>
      <c r="K85" s="570"/>
      <c r="L85" s="570"/>
      <c r="M85" s="570"/>
      <c r="N85" s="570"/>
      <c r="O85" s="570"/>
      <c r="P85" s="618"/>
    </row>
    <row r="86" spans="1:16" ht="18">
      <c r="B86" s="625" t="s">
        <v>175</v>
      </c>
      <c r="C86" s="707" t="s">
        <v>291</v>
      </c>
      <c r="D86" s="593"/>
      <c r="E86" s="570"/>
      <c r="F86" s="570"/>
      <c r="G86" s="570"/>
      <c r="H86" s="1276"/>
      <c r="I86" s="1276"/>
      <c r="J86" s="1277"/>
      <c r="K86" s="1276"/>
      <c r="L86" s="1276"/>
      <c r="M86" s="1276"/>
      <c r="N86" s="1276"/>
      <c r="O86" s="570"/>
      <c r="P86" s="1277"/>
    </row>
    <row r="87" spans="1:16" ht="18.75">
      <c r="B87" s="625"/>
      <c r="C87" s="624"/>
      <c r="D87" s="593"/>
      <c r="E87" s="570"/>
      <c r="F87" s="570"/>
      <c r="G87" s="570"/>
      <c r="H87" s="1276"/>
      <c r="I87" s="1276"/>
      <c r="J87" s="1277"/>
      <c r="K87" s="1276"/>
      <c r="L87" s="1276"/>
      <c r="M87" s="1276"/>
      <c r="N87" s="1276"/>
      <c r="O87" s="570"/>
      <c r="P87" s="1277"/>
    </row>
    <row r="88" spans="1:16" ht="20.25" customHeight="1">
      <c r="B88" s="625"/>
      <c r="C88" s="624" t="s">
        <v>292</v>
      </c>
      <c r="D88" s="593"/>
      <c r="E88" s="570"/>
      <c r="F88" s="570"/>
      <c r="G88" s="570"/>
      <c r="H88" s="1276"/>
      <c r="I88" s="1276"/>
      <c r="J88" s="1277"/>
      <c r="K88" s="1276"/>
      <c r="L88" s="1276"/>
      <c r="M88" s="1276"/>
      <c r="N88" s="1276"/>
      <c r="O88" s="570"/>
      <c r="P88" s="1277"/>
    </row>
    <row r="89" spans="1:16" ht="15.75" thickBot="1">
      <c r="C89" s="423"/>
      <c r="D89" s="593"/>
      <c r="E89" s="570"/>
      <c r="F89" s="570"/>
      <c r="G89" s="570"/>
      <c r="H89" s="1276"/>
      <c r="I89" s="1276"/>
      <c r="J89" s="1277"/>
      <c r="K89" s="1276"/>
      <c r="L89" s="1276"/>
      <c r="M89" s="1276"/>
      <c r="N89" s="1276"/>
      <c r="O89" s="570"/>
      <c r="P89" s="1277"/>
    </row>
    <row r="90" spans="1:16" ht="15.75">
      <c r="C90" s="626" t="s">
        <v>293</v>
      </c>
      <c r="D90" s="593"/>
      <c r="E90" s="570"/>
      <c r="F90" s="570"/>
      <c r="G90" s="1278"/>
      <c r="H90" s="570" t="s">
        <v>272</v>
      </c>
      <c r="I90" s="570"/>
      <c r="J90" s="618"/>
      <c r="K90" s="708" t="s">
        <v>297</v>
      </c>
      <c r="L90" s="709"/>
      <c r="M90" s="710"/>
      <c r="N90" s="1279">
        <f>VLOOKUP(I96,C103:O162,5)</f>
        <v>786904.64425107813</v>
      </c>
      <c r="O90" s="570"/>
      <c r="P90" s="618"/>
    </row>
    <row r="91" spans="1:16" ht="15.75">
      <c r="C91" s="626"/>
      <c r="D91" s="593"/>
      <c r="E91" s="570"/>
      <c r="F91" s="570"/>
      <c r="G91" s="570"/>
      <c r="H91" s="1280"/>
      <c r="I91" s="1280"/>
      <c r="J91" s="1281"/>
      <c r="K91" s="713" t="s">
        <v>298</v>
      </c>
      <c r="L91" s="1282"/>
      <c r="M91" s="618"/>
      <c r="N91" s="1283">
        <f>VLOOKUP(I96,C103:O162,6)</f>
        <v>786904.64425107813</v>
      </c>
      <c r="O91" s="570"/>
      <c r="P91" s="1281"/>
    </row>
    <row r="92" spans="1:16" ht="13.5" thickBot="1">
      <c r="C92" s="714" t="s">
        <v>294</v>
      </c>
      <c r="D92" s="1510" t="s">
        <v>966</v>
      </c>
      <c r="E92" s="1511"/>
      <c r="F92" s="1511"/>
      <c r="G92" s="1511"/>
      <c r="H92" s="1511"/>
      <c r="I92" s="1511"/>
      <c r="J92" s="1277"/>
      <c r="K92" s="1284" t="s">
        <v>451</v>
      </c>
      <c r="L92" s="1285"/>
      <c r="M92" s="1285"/>
      <c r="N92" s="1286">
        <f>+N91-N90</f>
        <v>0</v>
      </c>
      <c r="O92" s="570"/>
      <c r="P92" s="1277"/>
    </row>
    <row r="93" spans="1:16">
      <c r="C93" s="716"/>
      <c r="D93" s="1511"/>
      <c r="E93" s="1511"/>
      <c r="F93" s="1511"/>
      <c r="G93" s="1511"/>
      <c r="H93" s="1511"/>
      <c r="I93" s="1511"/>
      <c r="J93" s="1277"/>
      <c r="K93" s="1276"/>
      <c r="L93" s="1276"/>
      <c r="M93" s="1276"/>
      <c r="N93" s="1276"/>
      <c r="O93" s="570"/>
      <c r="P93" s="1277"/>
    </row>
    <row r="94" spans="1:16" ht="13.5" thickBot="1">
      <c r="C94" s="719"/>
      <c r="D94" s="720"/>
      <c r="E94" s="718"/>
      <c r="F94" s="718"/>
      <c r="G94" s="718"/>
      <c r="H94" s="718"/>
      <c r="I94" s="718"/>
      <c r="J94" s="721"/>
      <c r="K94" s="718"/>
      <c r="L94" s="718"/>
      <c r="M94" s="718"/>
      <c r="N94" s="718"/>
      <c r="O94" s="606"/>
      <c r="P94" s="721"/>
    </row>
    <row r="95" spans="1:16" ht="13.5" thickBot="1">
      <c r="C95" s="722" t="s">
        <v>295</v>
      </c>
      <c r="D95" s="723"/>
      <c r="E95" s="723"/>
      <c r="F95" s="723"/>
      <c r="G95" s="723"/>
      <c r="H95" s="723"/>
      <c r="I95" s="724"/>
      <c r="J95" s="725"/>
      <c r="K95" s="570"/>
      <c r="L95" s="570"/>
      <c r="M95" s="570"/>
      <c r="N95" s="570"/>
      <c r="O95" s="726"/>
      <c r="P95" s="727"/>
    </row>
    <row r="96" spans="1:16" ht="15">
      <c r="C96" s="728" t="s">
        <v>273</v>
      </c>
      <c r="D96" s="1287">
        <v>8327150</v>
      </c>
      <c r="E96" s="685" t="s">
        <v>274</v>
      </c>
      <c r="G96" s="729"/>
      <c r="H96" s="729"/>
      <c r="I96" s="730">
        <f>L26</f>
        <v>2021</v>
      </c>
      <c r="J96" s="616"/>
      <c r="K96" s="1506" t="s">
        <v>460</v>
      </c>
      <c r="L96" s="1506"/>
      <c r="M96" s="1506"/>
      <c r="N96" s="1506"/>
      <c r="O96" s="1506"/>
      <c r="P96" s="616"/>
    </row>
    <row r="97" spans="1:16">
      <c r="C97" s="728" t="s">
        <v>276</v>
      </c>
      <c r="D97" s="898">
        <v>2009</v>
      </c>
      <c r="E97" s="728" t="s">
        <v>277</v>
      </c>
      <c r="F97" s="729"/>
      <c r="H97" s="357"/>
      <c r="I97" s="901">
        <f>IF(G90="",0,$F$15)</f>
        <v>0</v>
      </c>
      <c r="J97" s="731"/>
      <c r="K97" s="1277" t="s">
        <v>460</v>
      </c>
      <c r="P97" s="731"/>
    </row>
    <row r="98" spans="1:16">
      <c r="C98" s="728" t="s">
        <v>278</v>
      </c>
      <c r="D98" s="1287">
        <v>6</v>
      </c>
      <c r="E98" s="728" t="s">
        <v>279</v>
      </c>
      <c r="F98" s="729"/>
      <c r="H98" s="357"/>
      <c r="I98" s="732">
        <f>$G$70</f>
        <v>9.9118816841934854E-2</v>
      </c>
      <c r="J98" s="733"/>
      <c r="K98" s="357" t="str">
        <f>"          INPUT PROJECTED ARR (WITH &amp; WITHOUT INCENTIVES) FROM EACH PRIOR YEAR"</f>
        <v xml:space="preserve">          INPUT PROJECTED ARR (WITH &amp; WITHOUT INCENTIVES) FROM EACH PRIOR YEAR</v>
      </c>
      <c r="P98" s="733"/>
    </row>
    <row r="99" spans="1:16">
      <c r="C99" s="728" t="s">
        <v>280</v>
      </c>
      <c r="D99" s="734">
        <f>G$79</f>
        <v>41</v>
      </c>
      <c r="E99" s="728" t="s">
        <v>281</v>
      </c>
      <c r="F99" s="729"/>
      <c r="H99" s="357"/>
      <c r="I99" s="732">
        <f>IF(G90="",I98,$G$67)</f>
        <v>9.9118816841934854E-2</v>
      </c>
      <c r="J99" s="735"/>
      <c r="K99" s="357" t="s">
        <v>358</v>
      </c>
      <c r="P99" s="735"/>
    </row>
    <row r="100" spans="1:16" ht="13.5" thickBot="1">
      <c r="C100" s="728" t="s">
        <v>282</v>
      </c>
      <c r="D100" s="900" t="s">
        <v>967</v>
      </c>
      <c r="E100" s="736" t="s">
        <v>283</v>
      </c>
      <c r="F100" s="737"/>
      <c r="G100" s="738"/>
      <c r="H100" s="738"/>
      <c r="I100" s="1286">
        <f>IF(D96=0,0,D96/D99)</f>
        <v>203101.21951219512</v>
      </c>
      <c r="J100" s="1277"/>
      <c r="K100" s="1277" t="s">
        <v>364</v>
      </c>
      <c r="L100" s="1277"/>
      <c r="M100" s="1277"/>
      <c r="N100" s="1277"/>
      <c r="O100" s="618"/>
      <c r="P100" s="1277"/>
    </row>
    <row r="101" spans="1:16" ht="51">
      <c r="A101" s="557"/>
      <c r="B101" s="1288"/>
      <c r="C101" s="739" t="s">
        <v>273</v>
      </c>
      <c r="D101" s="1289" t="s">
        <v>284</v>
      </c>
      <c r="E101" s="1290" t="s">
        <v>285</v>
      </c>
      <c r="F101" s="1289" t="s">
        <v>286</v>
      </c>
      <c r="G101" s="1290" t="s">
        <v>357</v>
      </c>
      <c r="H101" s="1291" t="s">
        <v>357</v>
      </c>
      <c r="I101" s="739" t="s">
        <v>296</v>
      </c>
      <c r="J101" s="743"/>
      <c r="K101" s="1290" t="s">
        <v>366</v>
      </c>
      <c r="L101" s="1292"/>
      <c r="M101" s="1290" t="s">
        <v>366</v>
      </c>
      <c r="N101" s="1292"/>
      <c r="O101" s="1292"/>
      <c r="P101" s="744"/>
    </row>
    <row r="102" spans="1:16" ht="13.5" thickBot="1">
      <c r="C102" s="745" t="s">
        <v>178</v>
      </c>
      <c r="D102" s="746" t="s">
        <v>179</v>
      </c>
      <c r="E102" s="745" t="s">
        <v>38</v>
      </c>
      <c r="F102" s="746" t="s">
        <v>179</v>
      </c>
      <c r="G102" s="1293" t="s">
        <v>299</v>
      </c>
      <c r="H102" s="1294" t="s">
        <v>301</v>
      </c>
      <c r="I102" s="749" t="s">
        <v>390</v>
      </c>
      <c r="J102" s="750"/>
      <c r="K102" s="1293" t="s">
        <v>288</v>
      </c>
      <c r="L102" s="1295"/>
      <c r="M102" s="1293" t="s">
        <v>301</v>
      </c>
      <c r="N102" s="1295"/>
      <c r="O102" s="1295"/>
      <c r="P102" s="616"/>
    </row>
    <row r="103" spans="1:16">
      <c r="C103" s="751">
        <f>IF(D97= "","-",D97)</f>
        <v>2009</v>
      </c>
      <c r="D103" s="703">
        <f>+D96</f>
        <v>8327150</v>
      </c>
      <c r="E103" s="1296">
        <f>+I100/12*(12-D98)</f>
        <v>101550.60975609758</v>
      </c>
      <c r="F103" s="703">
        <f t="shared" ref="F103:F162" si="0">+D103-E103</f>
        <v>8225599.3902439028</v>
      </c>
      <c r="G103" s="1297">
        <f>+$I$98*((D103+F103)/2)+E103</f>
        <v>921895.07727711461</v>
      </c>
      <c r="H103" s="1298">
        <f>+$I$99*((D103+F103)/2)+E103</f>
        <v>921895.07727711461</v>
      </c>
      <c r="I103" s="755">
        <f>+H103-G103</f>
        <v>0</v>
      </c>
      <c r="J103" s="755"/>
      <c r="K103" s="902"/>
      <c r="L103" s="757"/>
      <c r="M103" s="902"/>
      <c r="N103" s="757"/>
      <c r="O103" s="757"/>
      <c r="P103" s="704"/>
    </row>
    <row r="104" spans="1:16">
      <c r="C104" s="751">
        <f>IF(D97="","-",+C103+1)</f>
        <v>2010</v>
      </c>
      <c r="D104" s="703">
        <f t="shared" ref="D104:D162" si="1">F103</f>
        <v>8225599.3902439028</v>
      </c>
      <c r="E104" s="758">
        <f>IF(D104&gt;$I$100,$I$100,D104)</f>
        <v>203101.21951219512</v>
      </c>
      <c r="F104" s="703">
        <f t="shared" si="0"/>
        <v>8022498.1707317075</v>
      </c>
      <c r="G104" s="1296">
        <f t="shared" ref="G104:G162" si="2">+$I$98*((D104+F104)/2)+E104</f>
        <v>1008347.3226003101</v>
      </c>
      <c r="H104" s="1299">
        <f t="shared" ref="H104:H162" si="3">+$I$99*((D104+F104)/2)+E104</f>
        <v>1008347.3226003101</v>
      </c>
      <c r="I104" s="755">
        <f t="shared" ref="I104:I162" si="4">+H104-G104</f>
        <v>0</v>
      </c>
      <c r="J104" s="755"/>
      <c r="K104" s="903">
        <v>1408114.4789272889</v>
      </c>
      <c r="L104" s="761"/>
      <c r="M104" s="903">
        <v>1408114.4789272889</v>
      </c>
      <c r="N104" s="761"/>
      <c r="O104" s="761"/>
      <c r="P104" s="704"/>
    </row>
    <row r="105" spans="1:16">
      <c r="C105" s="751">
        <f>IF(D97="","-",+C104+1)</f>
        <v>2011</v>
      </c>
      <c r="D105" s="703">
        <f t="shared" si="1"/>
        <v>8022498.1707317075</v>
      </c>
      <c r="E105" s="758">
        <f t="shared" ref="E105:E162" si="5">IF(D105&gt;$I$100,$I$100,D105)</f>
        <v>203101.21951219512</v>
      </c>
      <c r="F105" s="703">
        <f t="shared" si="0"/>
        <v>7819396.9512195121</v>
      </c>
      <c r="G105" s="1296">
        <f t="shared" si="2"/>
        <v>988216.17002310709</v>
      </c>
      <c r="H105" s="1299">
        <f t="shared" si="3"/>
        <v>988216.17002310709</v>
      </c>
      <c r="I105" s="755">
        <f t="shared" si="4"/>
        <v>0</v>
      </c>
      <c r="J105" s="755"/>
      <c r="K105" s="903">
        <v>1487355</v>
      </c>
      <c r="L105" s="761"/>
      <c r="M105" s="903">
        <v>1487355</v>
      </c>
      <c r="N105" s="761"/>
      <c r="O105" s="761"/>
      <c r="P105" s="704"/>
    </row>
    <row r="106" spans="1:16">
      <c r="C106" s="751">
        <f>IF(D97="","-",+C105+1)</f>
        <v>2012</v>
      </c>
      <c r="D106" s="703">
        <f t="shared" si="1"/>
        <v>7819396.9512195121</v>
      </c>
      <c r="E106" s="758">
        <f t="shared" si="5"/>
        <v>203101.21951219512</v>
      </c>
      <c r="F106" s="703">
        <f t="shared" si="0"/>
        <v>7616295.7317073168</v>
      </c>
      <c r="G106" s="1296">
        <f t="shared" si="2"/>
        <v>968085.01744590432</v>
      </c>
      <c r="H106" s="1299">
        <f t="shared" si="3"/>
        <v>968085.01744590432</v>
      </c>
      <c r="I106" s="755">
        <f t="shared" si="4"/>
        <v>0</v>
      </c>
      <c r="J106" s="755"/>
      <c r="K106" s="903">
        <v>1319695.2352555101</v>
      </c>
      <c r="L106" s="761"/>
      <c r="M106" s="903">
        <v>1319695.2352555101</v>
      </c>
      <c r="N106" s="761"/>
      <c r="O106" s="761"/>
      <c r="P106" s="704"/>
    </row>
    <row r="107" spans="1:16">
      <c r="C107" s="751">
        <f>IF(D97="","-",+C106+1)</f>
        <v>2013</v>
      </c>
      <c r="D107" s="703">
        <f t="shared" si="1"/>
        <v>7616295.7317073168</v>
      </c>
      <c r="E107" s="758">
        <f t="shared" si="5"/>
        <v>203101.21951219512</v>
      </c>
      <c r="F107" s="703">
        <f t="shared" si="0"/>
        <v>7413194.5121951215</v>
      </c>
      <c r="G107" s="1296">
        <f t="shared" si="2"/>
        <v>947953.86486870132</v>
      </c>
      <c r="H107" s="1299">
        <f t="shared" si="3"/>
        <v>947953.86486870132</v>
      </c>
      <c r="I107" s="755">
        <f t="shared" si="4"/>
        <v>0</v>
      </c>
      <c r="J107" s="755"/>
      <c r="K107" s="1300">
        <v>1272484</v>
      </c>
      <c r="L107" s="761"/>
      <c r="M107" s="1300">
        <v>1272484</v>
      </c>
      <c r="N107" s="761"/>
      <c r="O107" s="761"/>
      <c r="P107" s="704"/>
    </row>
    <row r="108" spans="1:16">
      <c r="C108" s="751">
        <f>IF(D97="","-",+C107+1)</f>
        <v>2014</v>
      </c>
      <c r="D108" s="703">
        <f t="shared" si="1"/>
        <v>7413194.5121951215</v>
      </c>
      <c r="E108" s="758">
        <f t="shared" si="5"/>
        <v>203101.21951219512</v>
      </c>
      <c r="F108" s="703">
        <f t="shared" si="0"/>
        <v>7210093.2926829262</v>
      </c>
      <c r="G108" s="1296">
        <f t="shared" si="2"/>
        <v>927822.71229149855</v>
      </c>
      <c r="H108" s="1299">
        <f t="shared" si="3"/>
        <v>927822.71229149855</v>
      </c>
      <c r="I108" s="755">
        <f t="shared" si="4"/>
        <v>0</v>
      </c>
      <c r="J108" s="755"/>
      <c r="K108" s="903">
        <v>1249385</v>
      </c>
      <c r="L108" s="761"/>
      <c r="M108" s="903">
        <v>1249385</v>
      </c>
      <c r="N108" s="761"/>
      <c r="O108" s="761"/>
      <c r="P108" s="704"/>
    </row>
    <row r="109" spans="1:16">
      <c r="C109" s="751">
        <f>IF(D97="","-",+C108+1)</f>
        <v>2015</v>
      </c>
      <c r="D109" s="703">
        <f t="shared" si="1"/>
        <v>7210093.2926829262</v>
      </c>
      <c r="E109" s="758">
        <f t="shared" si="5"/>
        <v>203101.21951219512</v>
      </c>
      <c r="F109" s="703">
        <f t="shared" si="0"/>
        <v>7006992.0731707308</v>
      </c>
      <c r="G109" s="1296">
        <f t="shared" si="2"/>
        <v>907691.55971429555</v>
      </c>
      <c r="H109" s="1299">
        <f t="shared" si="3"/>
        <v>907691.55971429555</v>
      </c>
      <c r="I109" s="755">
        <f t="shared" si="4"/>
        <v>0</v>
      </c>
      <c r="J109" s="755"/>
      <c r="K109" s="903">
        <v>1278273</v>
      </c>
      <c r="L109" s="761"/>
      <c r="M109" s="903">
        <v>1278273</v>
      </c>
      <c r="N109" s="761"/>
      <c r="O109" s="761"/>
      <c r="P109" s="704"/>
    </row>
    <row r="110" spans="1:16">
      <c r="C110" s="751">
        <f>IF(D97="","-",+C109+1)</f>
        <v>2016</v>
      </c>
      <c r="D110" s="703">
        <f t="shared" si="1"/>
        <v>7006992.0731707308</v>
      </c>
      <c r="E110" s="758">
        <f t="shared" si="5"/>
        <v>203101.21951219512</v>
      </c>
      <c r="F110" s="703">
        <f t="shared" si="0"/>
        <v>6803890.8536585355</v>
      </c>
      <c r="G110" s="1296">
        <f t="shared" si="2"/>
        <v>887560.40713709278</v>
      </c>
      <c r="H110" s="1299">
        <f t="shared" si="3"/>
        <v>887560.40713709278</v>
      </c>
      <c r="I110" s="755">
        <f t="shared" si="4"/>
        <v>0</v>
      </c>
      <c r="J110" s="755"/>
      <c r="K110" s="903">
        <v>1254654</v>
      </c>
      <c r="L110" s="761"/>
      <c r="M110" s="903">
        <v>1254654</v>
      </c>
      <c r="N110" s="761"/>
      <c r="O110" s="761"/>
      <c r="P110" s="704"/>
    </row>
    <row r="111" spans="1:16">
      <c r="C111" s="751">
        <f>IF(D97="","-",+C110+1)</f>
        <v>2017</v>
      </c>
      <c r="D111" s="703">
        <f t="shared" si="1"/>
        <v>6803890.8536585355</v>
      </c>
      <c r="E111" s="758">
        <f t="shared" si="5"/>
        <v>203101.21951219512</v>
      </c>
      <c r="F111" s="703">
        <f t="shared" si="0"/>
        <v>6600789.6341463402</v>
      </c>
      <c r="G111" s="1296">
        <f t="shared" si="2"/>
        <v>867429.25455988979</v>
      </c>
      <c r="H111" s="1299">
        <f t="shared" si="3"/>
        <v>867429.25455988979</v>
      </c>
      <c r="I111" s="755">
        <f t="shared" si="4"/>
        <v>0</v>
      </c>
      <c r="J111" s="755"/>
      <c r="K111" s="903">
        <v>1132871</v>
      </c>
      <c r="L111" s="761"/>
      <c r="M111" s="903">
        <v>1132871</v>
      </c>
      <c r="N111" s="761"/>
      <c r="O111" s="761"/>
      <c r="P111" s="704"/>
    </row>
    <row r="112" spans="1:16">
      <c r="C112" s="1313">
        <f>IF(D97="","-",+C111+1)</f>
        <v>2018</v>
      </c>
      <c r="D112" s="1301">
        <f t="shared" si="1"/>
        <v>6600789.6341463402</v>
      </c>
      <c r="E112" s="1302">
        <f t="shared" si="5"/>
        <v>203101.21951219512</v>
      </c>
      <c r="F112" s="1301">
        <f t="shared" si="0"/>
        <v>6397688.4146341449</v>
      </c>
      <c r="G112" s="1303">
        <f t="shared" si="2"/>
        <v>847298.1019826869</v>
      </c>
      <c r="H112" s="1304">
        <f t="shared" si="3"/>
        <v>847298.1019826869</v>
      </c>
      <c r="I112" s="1305">
        <f t="shared" si="4"/>
        <v>0</v>
      </c>
      <c r="J112" s="755"/>
      <c r="K112" s="903">
        <v>933326</v>
      </c>
      <c r="L112" s="761"/>
      <c r="M112" s="903">
        <v>933326</v>
      </c>
      <c r="N112" s="761"/>
      <c r="O112" s="761"/>
      <c r="P112" s="704"/>
    </row>
    <row r="113" spans="3:16">
      <c r="C113" s="751">
        <f>IF(D97="","-",+C112+1)</f>
        <v>2019</v>
      </c>
      <c r="D113" s="703">
        <f t="shared" si="1"/>
        <v>6397688.4146341449</v>
      </c>
      <c r="E113" s="758">
        <f t="shared" si="5"/>
        <v>203101.21951219512</v>
      </c>
      <c r="F113" s="703">
        <f t="shared" si="0"/>
        <v>6194587.1951219495</v>
      </c>
      <c r="G113" s="1296">
        <f t="shared" si="2"/>
        <v>827166.94940548402</v>
      </c>
      <c r="H113" s="1299">
        <f t="shared" si="3"/>
        <v>827166.94940548402</v>
      </c>
      <c r="I113" s="755">
        <f t="shared" si="4"/>
        <v>0</v>
      </c>
      <c r="J113" s="755"/>
      <c r="K113" s="903">
        <v>856880</v>
      </c>
      <c r="L113" s="761"/>
      <c r="M113" s="903">
        <v>856880</v>
      </c>
      <c r="N113" s="761"/>
      <c r="O113" s="761"/>
      <c r="P113" s="704"/>
    </row>
    <row r="114" spans="3:16">
      <c r="C114" s="751">
        <f>IF(D97="","-",+C113+1)</f>
        <v>2020</v>
      </c>
      <c r="D114" s="703">
        <f t="shared" si="1"/>
        <v>6194587.1951219495</v>
      </c>
      <c r="E114" s="758">
        <f t="shared" si="5"/>
        <v>203101.21951219512</v>
      </c>
      <c r="F114" s="703">
        <f t="shared" si="0"/>
        <v>5991485.9756097542</v>
      </c>
      <c r="G114" s="1296">
        <f t="shared" si="2"/>
        <v>807035.79682828113</v>
      </c>
      <c r="H114" s="1299">
        <f t="shared" si="3"/>
        <v>807035.79682828113</v>
      </c>
      <c r="I114" s="755">
        <f t="shared" si="4"/>
        <v>0</v>
      </c>
      <c r="J114" s="755"/>
      <c r="K114" s="903">
        <v>804583.945304416</v>
      </c>
      <c r="L114" s="761"/>
      <c r="M114" s="903">
        <v>804583.945304416</v>
      </c>
      <c r="N114" s="761"/>
      <c r="O114" s="761"/>
      <c r="P114" s="704"/>
    </row>
    <row r="115" spans="3:16">
      <c r="C115" s="751">
        <f>IF(D97="","-",+C114+1)</f>
        <v>2021</v>
      </c>
      <c r="D115" s="703">
        <f t="shared" si="1"/>
        <v>5991485.9756097542</v>
      </c>
      <c r="E115" s="758">
        <f t="shared" si="5"/>
        <v>203101.21951219512</v>
      </c>
      <c r="F115" s="703">
        <f t="shared" si="0"/>
        <v>5788384.7560975589</v>
      </c>
      <c r="G115" s="1296">
        <f t="shared" si="2"/>
        <v>786904.64425107813</v>
      </c>
      <c r="H115" s="1299">
        <f t="shared" si="3"/>
        <v>786904.64425107813</v>
      </c>
      <c r="I115" s="755">
        <f t="shared" si="4"/>
        <v>0</v>
      </c>
      <c r="J115" s="755"/>
      <c r="K115" s="903"/>
      <c r="L115" s="761"/>
      <c r="M115" s="903"/>
      <c r="N115" s="761"/>
      <c r="O115" s="761"/>
      <c r="P115" s="704"/>
    </row>
    <row r="116" spans="3:16">
      <c r="C116" s="751">
        <f>IF(D97="","-",+C115+1)</f>
        <v>2022</v>
      </c>
      <c r="D116" s="703">
        <f t="shared" si="1"/>
        <v>5788384.7560975589</v>
      </c>
      <c r="E116" s="758">
        <f t="shared" si="5"/>
        <v>203101.21951219512</v>
      </c>
      <c r="F116" s="703">
        <f t="shared" si="0"/>
        <v>5585283.5365853636</v>
      </c>
      <c r="G116" s="1296">
        <f t="shared" si="2"/>
        <v>766773.49167387537</v>
      </c>
      <c r="H116" s="1299">
        <f t="shared" si="3"/>
        <v>766773.49167387537</v>
      </c>
      <c r="I116" s="755">
        <f t="shared" si="4"/>
        <v>0</v>
      </c>
      <c r="J116" s="755"/>
      <c r="K116" s="903"/>
      <c r="L116" s="761"/>
      <c r="M116" s="903"/>
      <c r="N116" s="761"/>
      <c r="O116" s="761"/>
      <c r="P116" s="704"/>
    </row>
    <row r="117" spans="3:16">
      <c r="C117" s="751">
        <f>IF(D97="","-",+C116+1)</f>
        <v>2023</v>
      </c>
      <c r="D117" s="703">
        <f t="shared" si="1"/>
        <v>5585283.5365853636</v>
      </c>
      <c r="E117" s="758">
        <f t="shared" si="5"/>
        <v>203101.21951219512</v>
      </c>
      <c r="F117" s="703">
        <f t="shared" si="0"/>
        <v>5382182.3170731682</v>
      </c>
      <c r="G117" s="1296">
        <f t="shared" si="2"/>
        <v>746642.33909667237</v>
      </c>
      <c r="H117" s="1299">
        <f t="shared" si="3"/>
        <v>746642.33909667237</v>
      </c>
      <c r="I117" s="755">
        <f t="shared" si="4"/>
        <v>0</v>
      </c>
      <c r="J117" s="755"/>
      <c r="K117" s="903"/>
      <c r="L117" s="761"/>
      <c r="M117" s="903"/>
      <c r="N117" s="761"/>
      <c r="O117" s="761"/>
      <c r="P117" s="704"/>
    </row>
    <row r="118" spans="3:16">
      <c r="C118" s="751">
        <f>IF(D97="","-",+C117+1)</f>
        <v>2024</v>
      </c>
      <c r="D118" s="703">
        <f t="shared" si="1"/>
        <v>5382182.3170731682</v>
      </c>
      <c r="E118" s="758">
        <f t="shared" si="5"/>
        <v>203101.21951219512</v>
      </c>
      <c r="F118" s="703">
        <f t="shared" si="0"/>
        <v>5179081.0975609729</v>
      </c>
      <c r="G118" s="1296">
        <f t="shared" si="2"/>
        <v>726511.1865194696</v>
      </c>
      <c r="H118" s="1299">
        <f t="shared" si="3"/>
        <v>726511.1865194696</v>
      </c>
      <c r="I118" s="755">
        <f t="shared" si="4"/>
        <v>0</v>
      </c>
      <c r="J118" s="755"/>
      <c r="K118" s="903"/>
      <c r="L118" s="761"/>
      <c r="M118" s="903"/>
      <c r="N118" s="761"/>
      <c r="O118" s="761"/>
      <c r="P118" s="704"/>
    </row>
    <row r="119" spans="3:16">
      <c r="C119" s="751">
        <f>IF(D97="","-",+C118+1)</f>
        <v>2025</v>
      </c>
      <c r="D119" s="703">
        <f t="shared" si="1"/>
        <v>5179081.0975609729</v>
      </c>
      <c r="E119" s="758">
        <f t="shared" si="5"/>
        <v>203101.21951219512</v>
      </c>
      <c r="F119" s="703">
        <f t="shared" si="0"/>
        <v>4975979.8780487776</v>
      </c>
      <c r="G119" s="1296">
        <f t="shared" si="2"/>
        <v>706380.0339422666</v>
      </c>
      <c r="H119" s="1299">
        <f t="shared" si="3"/>
        <v>706380.0339422666</v>
      </c>
      <c r="I119" s="755">
        <f t="shared" si="4"/>
        <v>0</v>
      </c>
      <c r="J119" s="755"/>
      <c r="K119" s="903"/>
      <c r="L119" s="761"/>
      <c r="M119" s="903"/>
      <c r="N119" s="761"/>
      <c r="O119" s="761"/>
      <c r="P119" s="704"/>
    </row>
    <row r="120" spans="3:16">
      <c r="C120" s="751">
        <f>IF(D97="","-",+C119+1)</f>
        <v>2026</v>
      </c>
      <c r="D120" s="703">
        <f t="shared" si="1"/>
        <v>4975979.8780487776</v>
      </c>
      <c r="E120" s="758">
        <f t="shared" si="5"/>
        <v>203101.21951219512</v>
      </c>
      <c r="F120" s="703">
        <f t="shared" si="0"/>
        <v>4772878.6585365823</v>
      </c>
      <c r="G120" s="1296">
        <f t="shared" si="2"/>
        <v>686248.88136506383</v>
      </c>
      <c r="H120" s="1299">
        <f t="shared" si="3"/>
        <v>686248.88136506383</v>
      </c>
      <c r="I120" s="755">
        <f t="shared" si="4"/>
        <v>0</v>
      </c>
      <c r="J120" s="755"/>
      <c r="K120" s="903"/>
      <c r="L120" s="761"/>
      <c r="M120" s="903"/>
      <c r="N120" s="761"/>
      <c r="O120" s="761"/>
      <c r="P120" s="704"/>
    </row>
    <row r="121" spans="3:16">
      <c r="C121" s="751">
        <f>IF(D97="","-",+C120+1)</f>
        <v>2027</v>
      </c>
      <c r="D121" s="703">
        <f t="shared" si="1"/>
        <v>4772878.6585365823</v>
      </c>
      <c r="E121" s="758">
        <f t="shared" si="5"/>
        <v>203101.21951219512</v>
      </c>
      <c r="F121" s="703">
        <f t="shared" si="0"/>
        <v>4569777.4390243869</v>
      </c>
      <c r="G121" s="1296">
        <f t="shared" si="2"/>
        <v>666117.72878786083</v>
      </c>
      <c r="H121" s="1299">
        <f t="shared" si="3"/>
        <v>666117.72878786083</v>
      </c>
      <c r="I121" s="755">
        <f t="shared" si="4"/>
        <v>0</v>
      </c>
      <c r="J121" s="755"/>
      <c r="K121" s="903"/>
      <c r="L121" s="761"/>
      <c r="M121" s="903"/>
      <c r="N121" s="761"/>
      <c r="O121" s="761"/>
      <c r="P121" s="704"/>
    </row>
    <row r="122" spans="3:16">
      <c r="C122" s="751">
        <f>IF(D97="","-",+C121+1)</f>
        <v>2028</v>
      </c>
      <c r="D122" s="703">
        <f t="shared" si="1"/>
        <v>4569777.4390243869</v>
      </c>
      <c r="E122" s="758">
        <f t="shared" si="5"/>
        <v>203101.21951219512</v>
      </c>
      <c r="F122" s="703">
        <f t="shared" si="0"/>
        <v>4366676.2195121916</v>
      </c>
      <c r="G122" s="1296">
        <f t="shared" si="2"/>
        <v>645986.57621065807</v>
      </c>
      <c r="H122" s="1299">
        <f t="shared" si="3"/>
        <v>645986.57621065807</v>
      </c>
      <c r="I122" s="755">
        <f t="shared" si="4"/>
        <v>0</v>
      </c>
      <c r="J122" s="755"/>
      <c r="K122" s="903"/>
      <c r="L122" s="761"/>
      <c r="M122" s="903"/>
      <c r="N122" s="761"/>
      <c r="O122" s="761"/>
      <c r="P122" s="704"/>
    </row>
    <row r="123" spans="3:16">
      <c r="C123" s="751">
        <f>IF(D97="","-",+C122+1)</f>
        <v>2029</v>
      </c>
      <c r="D123" s="703">
        <f t="shared" si="1"/>
        <v>4366676.2195121916</v>
      </c>
      <c r="E123" s="758">
        <f t="shared" si="5"/>
        <v>203101.21951219512</v>
      </c>
      <c r="F123" s="703">
        <f t="shared" si="0"/>
        <v>4163574.9999999963</v>
      </c>
      <c r="G123" s="1296">
        <f t="shared" si="2"/>
        <v>625855.42363345507</v>
      </c>
      <c r="H123" s="1299">
        <f t="shared" si="3"/>
        <v>625855.42363345507</v>
      </c>
      <c r="I123" s="755">
        <f t="shared" si="4"/>
        <v>0</v>
      </c>
      <c r="J123" s="755"/>
      <c r="K123" s="903"/>
      <c r="L123" s="761"/>
      <c r="M123" s="903"/>
      <c r="N123" s="761"/>
      <c r="O123" s="761"/>
      <c r="P123" s="704"/>
    </row>
    <row r="124" spans="3:16">
      <c r="C124" s="751">
        <f>IF(D97="","-",+C123+1)</f>
        <v>2030</v>
      </c>
      <c r="D124" s="703">
        <f t="shared" si="1"/>
        <v>4163574.9999999963</v>
      </c>
      <c r="E124" s="758">
        <f t="shared" si="5"/>
        <v>203101.21951219512</v>
      </c>
      <c r="F124" s="703">
        <f t="shared" si="0"/>
        <v>3960473.7804878009</v>
      </c>
      <c r="G124" s="1296">
        <f t="shared" si="2"/>
        <v>605724.27105625218</v>
      </c>
      <c r="H124" s="1299">
        <f t="shared" si="3"/>
        <v>605724.27105625218</v>
      </c>
      <c r="I124" s="755">
        <f t="shared" si="4"/>
        <v>0</v>
      </c>
      <c r="J124" s="755"/>
      <c r="K124" s="903"/>
      <c r="L124" s="761"/>
      <c r="M124" s="903"/>
      <c r="N124" s="761"/>
      <c r="O124" s="761"/>
      <c r="P124" s="704"/>
    </row>
    <row r="125" spans="3:16">
      <c r="C125" s="751">
        <f>IF(D97="","-",+C124+1)</f>
        <v>2031</v>
      </c>
      <c r="D125" s="703">
        <f t="shared" si="1"/>
        <v>3960473.7804878009</v>
      </c>
      <c r="E125" s="758">
        <f t="shared" si="5"/>
        <v>203101.21951219512</v>
      </c>
      <c r="F125" s="703">
        <f t="shared" si="0"/>
        <v>3757372.5609756056</v>
      </c>
      <c r="G125" s="1296">
        <f t="shared" si="2"/>
        <v>585593.1184790493</v>
      </c>
      <c r="H125" s="1299">
        <f t="shared" si="3"/>
        <v>585593.1184790493</v>
      </c>
      <c r="I125" s="755">
        <f t="shared" si="4"/>
        <v>0</v>
      </c>
      <c r="J125" s="755"/>
      <c r="K125" s="903"/>
      <c r="L125" s="761"/>
      <c r="M125" s="903"/>
      <c r="N125" s="761"/>
      <c r="O125" s="761"/>
      <c r="P125" s="704"/>
    </row>
    <row r="126" spans="3:16">
      <c r="C126" s="751">
        <f>IF(D97="","-",+C125+1)</f>
        <v>2032</v>
      </c>
      <c r="D126" s="703">
        <f t="shared" si="1"/>
        <v>3757372.5609756056</v>
      </c>
      <c r="E126" s="758">
        <f t="shared" si="5"/>
        <v>203101.21951219512</v>
      </c>
      <c r="F126" s="703">
        <f t="shared" si="0"/>
        <v>3554271.3414634103</v>
      </c>
      <c r="G126" s="1296">
        <f t="shared" si="2"/>
        <v>565461.96590184642</v>
      </c>
      <c r="H126" s="1299">
        <f t="shared" si="3"/>
        <v>565461.96590184642</v>
      </c>
      <c r="I126" s="755">
        <f t="shared" si="4"/>
        <v>0</v>
      </c>
      <c r="J126" s="755"/>
      <c r="K126" s="903"/>
      <c r="L126" s="761"/>
      <c r="M126" s="903"/>
      <c r="N126" s="761"/>
      <c r="O126" s="761"/>
      <c r="P126" s="704"/>
    </row>
    <row r="127" spans="3:16">
      <c r="C127" s="751">
        <f>IF(D97="","-",+C126+1)</f>
        <v>2033</v>
      </c>
      <c r="D127" s="703">
        <f t="shared" si="1"/>
        <v>3554271.3414634103</v>
      </c>
      <c r="E127" s="758">
        <f t="shared" si="5"/>
        <v>203101.21951219512</v>
      </c>
      <c r="F127" s="703">
        <f t="shared" si="0"/>
        <v>3351170.121951215</v>
      </c>
      <c r="G127" s="1296">
        <f t="shared" si="2"/>
        <v>545330.81332464353</v>
      </c>
      <c r="H127" s="1299">
        <f t="shared" si="3"/>
        <v>545330.81332464353</v>
      </c>
      <c r="I127" s="755">
        <f t="shared" si="4"/>
        <v>0</v>
      </c>
      <c r="J127" s="755"/>
      <c r="K127" s="903"/>
      <c r="L127" s="761"/>
      <c r="M127" s="903"/>
      <c r="N127" s="761"/>
      <c r="O127" s="761"/>
      <c r="P127" s="704"/>
    </row>
    <row r="128" spans="3:16">
      <c r="C128" s="751">
        <f>IF(D97="","-",+C127+1)</f>
        <v>2034</v>
      </c>
      <c r="D128" s="703">
        <f t="shared" si="1"/>
        <v>3351170.121951215</v>
      </c>
      <c r="E128" s="758">
        <f t="shared" si="5"/>
        <v>203101.21951219512</v>
      </c>
      <c r="F128" s="703">
        <f t="shared" si="0"/>
        <v>3148068.9024390196</v>
      </c>
      <c r="G128" s="1296">
        <f t="shared" si="2"/>
        <v>525199.66074744065</v>
      </c>
      <c r="H128" s="1299">
        <f t="shared" si="3"/>
        <v>525199.66074744065</v>
      </c>
      <c r="I128" s="755">
        <f t="shared" si="4"/>
        <v>0</v>
      </c>
      <c r="J128" s="755"/>
      <c r="K128" s="903"/>
      <c r="L128" s="761"/>
      <c r="M128" s="903"/>
      <c r="N128" s="761"/>
      <c r="O128" s="761"/>
      <c r="P128" s="704"/>
    </row>
    <row r="129" spans="3:16">
      <c r="C129" s="751">
        <f>IF(D97="","-",+C128+1)</f>
        <v>2035</v>
      </c>
      <c r="D129" s="703">
        <f t="shared" si="1"/>
        <v>3148068.9024390196</v>
      </c>
      <c r="E129" s="758">
        <f t="shared" si="5"/>
        <v>203101.21951219512</v>
      </c>
      <c r="F129" s="703">
        <f t="shared" si="0"/>
        <v>2944967.6829268243</v>
      </c>
      <c r="G129" s="1296">
        <f t="shared" si="2"/>
        <v>505068.50817023776</v>
      </c>
      <c r="H129" s="1299">
        <f t="shared" si="3"/>
        <v>505068.50817023776</v>
      </c>
      <c r="I129" s="755">
        <f t="shared" si="4"/>
        <v>0</v>
      </c>
      <c r="J129" s="755"/>
      <c r="K129" s="903"/>
      <c r="L129" s="761"/>
      <c r="M129" s="903"/>
      <c r="N129" s="761"/>
      <c r="O129" s="761"/>
      <c r="P129" s="704"/>
    </row>
    <row r="130" spans="3:16">
      <c r="C130" s="751">
        <f>IF(D97="","-",+C129+1)</f>
        <v>2036</v>
      </c>
      <c r="D130" s="703">
        <f t="shared" si="1"/>
        <v>2944967.6829268243</v>
      </c>
      <c r="E130" s="758">
        <f t="shared" si="5"/>
        <v>203101.21951219512</v>
      </c>
      <c r="F130" s="703">
        <f t="shared" si="0"/>
        <v>2741866.463414629</v>
      </c>
      <c r="G130" s="1296">
        <f t="shared" si="2"/>
        <v>484937.35559303488</v>
      </c>
      <c r="H130" s="1299">
        <f t="shared" si="3"/>
        <v>484937.35559303488</v>
      </c>
      <c r="I130" s="755">
        <f t="shared" si="4"/>
        <v>0</v>
      </c>
      <c r="J130" s="755"/>
      <c r="K130" s="903"/>
      <c r="L130" s="761"/>
      <c r="M130" s="903"/>
      <c r="N130" s="761"/>
      <c r="O130" s="761"/>
      <c r="P130" s="704"/>
    </row>
    <row r="131" spans="3:16">
      <c r="C131" s="751">
        <f>IF(D97="","-",+C130+1)</f>
        <v>2037</v>
      </c>
      <c r="D131" s="703">
        <f t="shared" si="1"/>
        <v>2741866.463414629</v>
      </c>
      <c r="E131" s="758">
        <f t="shared" si="5"/>
        <v>203101.21951219512</v>
      </c>
      <c r="F131" s="703">
        <f t="shared" si="0"/>
        <v>2538765.2439024337</v>
      </c>
      <c r="G131" s="1306">
        <f t="shared" si="2"/>
        <v>464806.203015832</v>
      </c>
      <c r="H131" s="1299">
        <f t="shared" si="3"/>
        <v>464806.203015832</v>
      </c>
      <c r="I131" s="755">
        <f t="shared" si="4"/>
        <v>0</v>
      </c>
      <c r="J131" s="755"/>
      <c r="K131" s="903"/>
      <c r="L131" s="761"/>
      <c r="M131" s="903"/>
      <c r="N131" s="761"/>
      <c r="O131" s="761"/>
      <c r="P131" s="704"/>
    </row>
    <row r="132" spans="3:16">
      <c r="C132" s="751">
        <f>IF(D97="","-",+C131+1)</f>
        <v>2038</v>
      </c>
      <c r="D132" s="703">
        <f t="shared" si="1"/>
        <v>2538765.2439024337</v>
      </c>
      <c r="E132" s="758">
        <f t="shared" si="5"/>
        <v>203101.21951219512</v>
      </c>
      <c r="F132" s="703">
        <f t="shared" si="0"/>
        <v>2335664.0243902383</v>
      </c>
      <c r="G132" s="1296">
        <f t="shared" si="2"/>
        <v>444675.05043862906</v>
      </c>
      <c r="H132" s="1299">
        <f t="shared" si="3"/>
        <v>444675.05043862906</v>
      </c>
      <c r="I132" s="755">
        <f t="shared" si="4"/>
        <v>0</v>
      </c>
      <c r="J132" s="755"/>
      <c r="K132" s="903"/>
      <c r="L132" s="761"/>
      <c r="M132" s="903"/>
      <c r="N132" s="761"/>
      <c r="O132" s="761"/>
      <c r="P132" s="704"/>
    </row>
    <row r="133" spans="3:16">
      <c r="C133" s="751">
        <f>IF(D97="","-",+C132+1)</f>
        <v>2039</v>
      </c>
      <c r="D133" s="703">
        <f t="shared" si="1"/>
        <v>2335664.0243902383</v>
      </c>
      <c r="E133" s="758">
        <f t="shared" si="5"/>
        <v>203101.21951219512</v>
      </c>
      <c r="F133" s="703">
        <f t="shared" si="0"/>
        <v>2132562.804878043</v>
      </c>
      <c r="G133" s="1296">
        <f t="shared" si="2"/>
        <v>424543.89786142617</v>
      </c>
      <c r="H133" s="1299">
        <f t="shared" si="3"/>
        <v>424543.89786142617</v>
      </c>
      <c r="I133" s="755">
        <f t="shared" si="4"/>
        <v>0</v>
      </c>
      <c r="J133" s="755"/>
      <c r="K133" s="903"/>
      <c r="L133" s="761"/>
      <c r="M133" s="903"/>
      <c r="N133" s="761"/>
      <c r="O133" s="761"/>
      <c r="P133" s="704"/>
    </row>
    <row r="134" spans="3:16">
      <c r="C134" s="751">
        <f>IF(D97="","-",+C133+1)</f>
        <v>2040</v>
      </c>
      <c r="D134" s="703">
        <f t="shared" si="1"/>
        <v>2132562.804878043</v>
      </c>
      <c r="E134" s="758">
        <f t="shared" si="5"/>
        <v>203101.21951219512</v>
      </c>
      <c r="F134" s="703">
        <f t="shared" si="0"/>
        <v>1929461.5853658479</v>
      </c>
      <c r="G134" s="1296">
        <f t="shared" si="2"/>
        <v>404412.74528422329</v>
      </c>
      <c r="H134" s="1299">
        <f t="shared" si="3"/>
        <v>404412.74528422329</v>
      </c>
      <c r="I134" s="755">
        <f t="shared" si="4"/>
        <v>0</v>
      </c>
      <c r="J134" s="755"/>
      <c r="K134" s="903"/>
      <c r="L134" s="761"/>
      <c r="M134" s="903"/>
      <c r="N134" s="761"/>
      <c r="O134" s="761"/>
      <c r="P134" s="704"/>
    </row>
    <row r="135" spans="3:16">
      <c r="C135" s="751">
        <f>IF(D97="","-",+C134+1)</f>
        <v>2041</v>
      </c>
      <c r="D135" s="703">
        <f t="shared" si="1"/>
        <v>1929461.5853658479</v>
      </c>
      <c r="E135" s="758">
        <f t="shared" si="5"/>
        <v>203101.21951219512</v>
      </c>
      <c r="F135" s="703">
        <f t="shared" si="0"/>
        <v>1726360.3658536528</v>
      </c>
      <c r="G135" s="1296">
        <f t="shared" si="2"/>
        <v>384281.59270702046</v>
      </c>
      <c r="H135" s="1299">
        <f t="shared" si="3"/>
        <v>384281.59270702046</v>
      </c>
      <c r="I135" s="755">
        <f t="shared" si="4"/>
        <v>0</v>
      </c>
      <c r="J135" s="755"/>
      <c r="K135" s="903"/>
      <c r="L135" s="761"/>
      <c r="M135" s="903"/>
      <c r="N135" s="761"/>
      <c r="O135" s="761"/>
      <c r="P135" s="704"/>
    </row>
    <row r="136" spans="3:16">
      <c r="C136" s="751">
        <f>IF(D97="","-",+C135+1)</f>
        <v>2042</v>
      </c>
      <c r="D136" s="703">
        <f t="shared" si="1"/>
        <v>1726360.3658536528</v>
      </c>
      <c r="E136" s="758">
        <f t="shared" si="5"/>
        <v>203101.21951219512</v>
      </c>
      <c r="F136" s="703">
        <f t="shared" si="0"/>
        <v>1523259.1463414577</v>
      </c>
      <c r="G136" s="1296">
        <f t="shared" si="2"/>
        <v>364150.44012981752</v>
      </c>
      <c r="H136" s="1299">
        <f t="shared" si="3"/>
        <v>364150.44012981752</v>
      </c>
      <c r="I136" s="755">
        <f t="shared" si="4"/>
        <v>0</v>
      </c>
      <c r="J136" s="755"/>
      <c r="K136" s="903"/>
      <c r="L136" s="761"/>
      <c r="M136" s="903"/>
      <c r="N136" s="761"/>
      <c r="O136" s="761"/>
      <c r="P136" s="704"/>
    </row>
    <row r="137" spans="3:16">
      <c r="C137" s="751">
        <f>IF(D97="","-",+C136+1)</f>
        <v>2043</v>
      </c>
      <c r="D137" s="703">
        <f t="shared" si="1"/>
        <v>1523259.1463414577</v>
      </c>
      <c r="E137" s="758">
        <f t="shared" si="5"/>
        <v>203101.21951219512</v>
      </c>
      <c r="F137" s="703">
        <f t="shared" si="0"/>
        <v>1320157.9268292626</v>
      </c>
      <c r="G137" s="1296">
        <f t="shared" si="2"/>
        <v>344019.2875526147</v>
      </c>
      <c r="H137" s="1299">
        <f t="shared" si="3"/>
        <v>344019.2875526147</v>
      </c>
      <c r="I137" s="755">
        <f t="shared" si="4"/>
        <v>0</v>
      </c>
      <c r="J137" s="755"/>
      <c r="K137" s="903"/>
      <c r="L137" s="761"/>
      <c r="M137" s="903"/>
      <c r="N137" s="761"/>
      <c r="O137" s="761"/>
      <c r="P137" s="704"/>
    </row>
    <row r="138" spans="3:16">
      <c r="C138" s="751">
        <f>IF(D97="","-",+C137+1)</f>
        <v>2044</v>
      </c>
      <c r="D138" s="703">
        <f t="shared" si="1"/>
        <v>1320157.9268292626</v>
      </c>
      <c r="E138" s="758">
        <f t="shared" si="5"/>
        <v>203101.21951219512</v>
      </c>
      <c r="F138" s="703">
        <f t="shared" si="0"/>
        <v>1117056.7073170675</v>
      </c>
      <c r="G138" s="1296">
        <f t="shared" si="2"/>
        <v>323888.13497541181</v>
      </c>
      <c r="H138" s="1299">
        <f t="shared" si="3"/>
        <v>323888.13497541181</v>
      </c>
      <c r="I138" s="755">
        <f t="shared" si="4"/>
        <v>0</v>
      </c>
      <c r="J138" s="755"/>
      <c r="K138" s="903"/>
      <c r="L138" s="761"/>
      <c r="M138" s="903"/>
      <c r="N138" s="761"/>
      <c r="O138" s="761"/>
      <c r="P138" s="704"/>
    </row>
    <row r="139" spans="3:16">
      <c r="C139" s="751">
        <f>IF(D97="","-",+C138+1)</f>
        <v>2045</v>
      </c>
      <c r="D139" s="703">
        <f t="shared" si="1"/>
        <v>1117056.7073170675</v>
      </c>
      <c r="E139" s="758">
        <f t="shared" si="5"/>
        <v>203101.21951219512</v>
      </c>
      <c r="F139" s="703">
        <f t="shared" si="0"/>
        <v>913955.48780487245</v>
      </c>
      <c r="G139" s="1296">
        <f t="shared" si="2"/>
        <v>303756.98239820893</v>
      </c>
      <c r="H139" s="1299">
        <f t="shared" si="3"/>
        <v>303756.98239820893</v>
      </c>
      <c r="I139" s="755">
        <f t="shared" si="4"/>
        <v>0</v>
      </c>
      <c r="J139" s="755"/>
      <c r="K139" s="903"/>
      <c r="L139" s="761"/>
      <c r="M139" s="903"/>
      <c r="N139" s="761"/>
      <c r="O139" s="761"/>
      <c r="P139" s="704"/>
    </row>
    <row r="140" spans="3:16">
      <c r="C140" s="751">
        <f>IF(D97="","-",+C139+1)</f>
        <v>2046</v>
      </c>
      <c r="D140" s="703">
        <f t="shared" si="1"/>
        <v>913955.48780487245</v>
      </c>
      <c r="E140" s="758">
        <f t="shared" si="5"/>
        <v>203101.21951219512</v>
      </c>
      <c r="F140" s="703">
        <f t="shared" si="0"/>
        <v>710854.26829267736</v>
      </c>
      <c r="G140" s="1296">
        <f t="shared" si="2"/>
        <v>283625.82982100605</v>
      </c>
      <c r="H140" s="1299">
        <f t="shared" si="3"/>
        <v>283625.82982100605</v>
      </c>
      <c r="I140" s="755">
        <f t="shared" si="4"/>
        <v>0</v>
      </c>
      <c r="J140" s="755"/>
      <c r="K140" s="903"/>
      <c r="L140" s="761"/>
      <c r="M140" s="903"/>
      <c r="N140" s="761"/>
      <c r="O140" s="761"/>
      <c r="P140" s="704"/>
    </row>
    <row r="141" spans="3:16">
      <c r="C141" s="751">
        <f>IF(D97="","-",+C140+1)</f>
        <v>2047</v>
      </c>
      <c r="D141" s="703">
        <f t="shared" si="1"/>
        <v>710854.26829267736</v>
      </c>
      <c r="E141" s="758">
        <f t="shared" si="5"/>
        <v>203101.21951219512</v>
      </c>
      <c r="F141" s="703">
        <f t="shared" si="0"/>
        <v>507753.04878048226</v>
      </c>
      <c r="G141" s="1296">
        <f t="shared" si="2"/>
        <v>263494.67724380316</v>
      </c>
      <c r="H141" s="1299">
        <f t="shared" si="3"/>
        <v>263494.67724380316</v>
      </c>
      <c r="I141" s="755">
        <f t="shared" si="4"/>
        <v>0</v>
      </c>
      <c r="J141" s="755"/>
      <c r="K141" s="903"/>
      <c r="L141" s="761"/>
      <c r="M141" s="903"/>
      <c r="N141" s="761"/>
      <c r="O141" s="761"/>
      <c r="P141" s="704"/>
    </row>
    <row r="142" spans="3:16">
      <c r="C142" s="751">
        <f>IF(D97="","-",+C141+1)</f>
        <v>2048</v>
      </c>
      <c r="D142" s="703">
        <f t="shared" si="1"/>
        <v>507753.04878048226</v>
      </c>
      <c r="E142" s="758">
        <f t="shared" si="5"/>
        <v>203101.21951219512</v>
      </c>
      <c r="F142" s="703">
        <f t="shared" si="0"/>
        <v>304651.82926828717</v>
      </c>
      <c r="G142" s="1296">
        <f t="shared" si="2"/>
        <v>243363.52466660034</v>
      </c>
      <c r="H142" s="1299">
        <f t="shared" si="3"/>
        <v>243363.52466660034</v>
      </c>
      <c r="I142" s="755">
        <f t="shared" si="4"/>
        <v>0</v>
      </c>
      <c r="J142" s="755"/>
      <c r="K142" s="903"/>
      <c r="L142" s="761"/>
      <c r="M142" s="903"/>
      <c r="N142" s="761"/>
      <c r="O142" s="761"/>
      <c r="P142" s="704"/>
    </row>
    <row r="143" spans="3:16">
      <c r="C143" s="751">
        <f>IF(D97="","-",+C142+1)</f>
        <v>2049</v>
      </c>
      <c r="D143" s="703">
        <f t="shared" si="1"/>
        <v>304651.82926828717</v>
      </c>
      <c r="E143" s="758">
        <f t="shared" si="5"/>
        <v>203101.21951219512</v>
      </c>
      <c r="F143" s="703">
        <f t="shared" si="0"/>
        <v>101550.60975609205</v>
      </c>
      <c r="G143" s="1296">
        <f t="shared" si="2"/>
        <v>223232.37208939745</v>
      </c>
      <c r="H143" s="1299">
        <f t="shared" si="3"/>
        <v>223232.37208939745</v>
      </c>
      <c r="I143" s="755">
        <f t="shared" si="4"/>
        <v>0</v>
      </c>
      <c r="J143" s="755"/>
      <c r="K143" s="903"/>
      <c r="L143" s="761"/>
      <c r="M143" s="903"/>
      <c r="N143" s="761"/>
      <c r="O143" s="761"/>
      <c r="P143" s="704"/>
    </row>
    <row r="144" spans="3:16">
      <c r="C144" s="751">
        <f>IF(D97="","-",+C143+1)</f>
        <v>2050</v>
      </c>
      <c r="D144" s="703">
        <f t="shared" si="1"/>
        <v>101550.60975609205</v>
      </c>
      <c r="E144" s="758">
        <f t="shared" si="5"/>
        <v>101550.60975609205</v>
      </c>
      <c r="F144" s="703">
        <f t="shared" si="0"/>
        <v>0</v>
      </c>
      <c r="G144" s="1296">
        <f t="shared" si="2"/>
        <v>106583.39790039249</v>
      </c>
      <c r="H144" s="1299">
        <f t="shared" si="3"/>
        <v>106583.39790039249</v>
      </c>
      <c r="I144" s="755">
        <f t="shared" si="4"/>
        <v>0</v>
      </c>
      <c r="J144" s="755"/>
      <c r="K144" s="903"/>
      <c r="L144" s="761"/>
      <c r="M144" s="903"/>
      <c r="N144" s="761"/>
      <c r="O144" s="761"/>
      <c r="P144" s="704"/>
    </row>
    <row r="145" spans="3:16">
      <c r="C145" s="751">
        <f>IF(D97="","-",+C144+1)</f>
        <v>2051</v>
      </c>
      <c r="D145" s="703">
        <f t="shared" si="1"/>
        <v>0</v>
      </c>
      <c r="E145" s="758">
        <f t="shared" si="5"/>
        <v>0</v>
      </c>
      <c r="F145" s="703">
        <f t="shared" si="0"/>
        <v>0</v>
      </c>
      <c r="G145" s="1296">
        <f t="shared" si="2"/>
        <v>0</v>
      </c>
      <c r="H145" s="1299">
        <f t="shared" si="3"/>
        <v>0</v>
      </c>
      <c r="I145" s="755">
        <f t="shared" si="4"/>
        <v>0</v>
      </c>
      <c r="J145" s="755"/>
      <c r="K145" s="903"/>
      <c r="L145" s="761"/>
      <c r="M145" s="903"/>
      <c r="N145" s="761"/>
      <c r="O145" s="761"/>
      <c r="P145" s="704"/>
    </row>
    <row r="146" spans="3:16">
      <c r="C146" s="751">
        <f>IF(D97="","-",+C145+1)</f>
        <v>2052</v>
      </c>
      <c r="D146" s="703">
        <f t="shared" si="1"/>
        <v>0</v>
      </c>
      <c r="E146" s="758">
        <f t="shared" si="5"/>
        <v>0</v>
      </c>
      <c r="F146" s="703">
        <f t="shared" si="0"/>
        <v>0</v>
      </c>
      <c r="G146" s="1296">
        <f t="shared" si="2"/>
        <v>0</v>
      </c>
      <c r="H146" s="1299">
        <f t="shared" si="3"/>
        <v>0</v>
      </c>
      <c r="I146" s="755">
        <f t="shared" si="4"/>
        <v>0</v>
      </c>
      <c r="J146" s="755"/>
      <c r="K146" s="903"/>
      <c r="L146" s="761"/>
      <c r="M146" s="903"/>
      <c r="N146" s="761"/>
      <c r="O146" s="761"/>
      <c r="P146" s="704"/>
    </row>
    <row r="147" spans="3:16">
      <c r="C147" s="751">
        <f>IF(D97="","-",+C146+1)</f>
        <v>2053</v>
      </c>
      <c r="D147" s="703">
        <f t="shared" si="1"/>
        <v>0</v>
      </c>
      <c r="E147" s="758">
        <f t="shared" si="5"/>
        <v>0</v>
      </c>
      <c r="F147" s="703">
        <f t="shared" si="0"/>
        <v>0</v>
      </c>
      <c r="G147" s="1296">
        <f t="shared" si="2"/>
        <v>0</v>
      </c>
      <c r="H147" s="1299">
        <f t="shared" si="3"/>
        <v>0</v>
      </c>
      <c r="I147" s="755">
        <f t="shared" si="4"/>
        <v>0</v>
      </c>
      <c r="J147" s="755"/>
      <c r="K147" s="903"/>
      <c r="L147" s="761"/>
      <c r="M147" s="903"/>
      <c r="N147" s="761"/>
      <c r="O147" s="761"/>
      <c r="P147" s="704"/>
    </row>
    <row r="148" spans="3:16">
      <c r="C148" s="751">
        <f>IF(D97="","-",+C147+1)</f>
        <v>2054</v>
      </c>
      <c r="D148" s="703">
        <f t="shared" si="1"/>
        <v>0</v>
      </c>
      <c r="E148" s="758">
        <f t="shared" si="5"/>
        <v>0</v>
      </c>
      <c r="F148" s="703">
        <f t="shared" si="0"/>
        <v>0</v>
      </c>
      <c r="G148" s="1296">
        <f t="shared" si="2"/>
        <v>0</v>
      </c>
      <c r="H148" s="1299">
        <f t="shared" si="3"/>
        <v>0</v>
      </c>
      <c r="I148" s="755">
        <f t="shared" si="4"/>
        <v>0</v>
      </c>
      <c r="J148" s="755"/>
      <c r="K148" s="903"/>
      <c r="L148" s="761"/>
      <c r="M148" s="903"/>
      <c r="N148" s="761"/>
      <c r="O148" s="761"/>
      <c r="P148" s="704"/>
    </row>
    <row r="149" spans="3:16">
      <c r="C149" s="751">
        <f>IF(D97="","-",+C148+1)</f>
        <v>2055</v>
      </c>
      <c r="D149" s="703">
        <f t="shared" si="1"/>
        <v>0</v>
      </c>
      <c r="E149" s="758">
        <f t="shared" si="5"/>
        <v>0</v>
      </c>
      <c r="F149" s="703">
        <f t="shared" si="0"/>
        <v>0</v>
      </c>
      <c r="G149" s="1296">
        <f t="shared" si="2"/>
        <v>0</v>
      </c>
      <c r="H149" s="1299">
        <f t="shared" si="3"/>
        <v>0</v>
      </c>
      <c r="I149" s="755">
        <f t="shared" si="4"/>
        <v>0</v>
      </c>
      <c r="J149" s="755"/>
      <c r="K149" s="903"/>
      <c r="L149" s="761"/>
      <c r="M149" s="903"/>
      <c r="N149" s="761"/>
      <c r="O149" s="761"/>
      <c r="P149" s="704"/>
    </row>
    <row r="150" spans="3:16">
      <c r="C150" s="751">
        <f>IF(D97="","-",+C149+1)</f>
        <v>2056</v>
      </c>
      <c r="D150" s="703">
        <f t="shared" si="1"/>
        <v>0</v>
      </c>
      <c r="E150" s="758">
        <f t="shared" si="5"/>
        <v>0</v>
      </c>
      <c r="F150" s="703">
        <f t="shared" si="0"/>
        <v>0</v>
      </c>
      <c r="G150" s="1296">
        <f t="shared" si="2"/>
        <v>0</v>
      </c>
      <c r="H150" s="1299">
        <f t="shared" si="3"/>
        <v>0</v>
      </c>
      <c r="I150" s="755">
        <f t="shared" si="4"/>
        <v>0</v>
      </c>
      <c r="J150" s="755"/>
      <c r="K150" s="903"/>
      <c r="L150" s="761"/>
      <c r="M150" s="903"/>
      <c r="N150" s="761"/>
      <c r="O150" s="761"/>
      <c r="P150" s="704"/>
    </row>
    <row r="151" spans="3:16">
      <c r="C151" s="751">
        <f>IF(D97="","-",+C150+1)</f>
        <v>2057</v>
      </c>
      <c r="D151" s="703">
        <f t="shared" si="1"/>
        <v>0</v>
      </c>
      <c r="E151" s="758">
        <f t="shared" si="5"/>
        <v>0</v>
      </c>
      <c r="F151" s="703">
        <f t="shared" si="0"/>
        <v>0</v>
      </c>
      <c r="G151" s="1296">
        <f t="shared" si="2"/>
        <v>0</v>
      </c>
      <c r="H151" s="1299">
        <f t="shared" si="3"/>
        <v>0</v>
      </c>
      <c r="I151" s="755">
        <f t="shared" si="4"/>
        <v>0</v>
      </c>
      <c r="J151" s="755"/>
      <c r="K151" s="903"/>
      <c r="L151" s="761"/>
      <c r="M151" s="903"/>
      <c r="N151" s="761"/>
      <c r="O151" s="761"/>
      <c r="P151" s="704"/>
    </row>
    <row r="152" spans="3:16">
      <c r="C152" s="751">
        <f>IF(D97="","-",+C151+1)</f>
        <v>2058</v>
      </c>
      <c r="D152" s="703">
        <f t="shared" si="1"/>
        <v>0</v>
      </c>
      <c r="E152" s="758">
        <f t="shared" si="5"/>
        <v>0</v>
      </c>
      <c r="F152" s="703">
        <f t="shared" si="0"/>
        <v>0</v>
      </c>
      <c r="G152" s="1296">
        <f t="shared" si="2"/>
        <v>0</v>
      </c>
      <c r="H152" s="1299">
        <f t="shared" si="3"/>
        <v>0</v>
      </c>
      <c r="I152" s="755">
        <f t="shared" si="4"/>
        <v>0</v>
      </c>
      <c r="J152" s="755"/>
      <c r="K152" s="903"/>
      <c r="L152" s="761"/>
      <c r="M152" s="903"/>
      <c r="N152" s="761"/>
      <c r="O152" s="761"/>
      <c r="P152" s="704"/>
    </row>
    <row r="153" spans="3:16">
      <c r="C153" s="751">
        <f>IF(D97="","-",+C152+1)</f>
        <v>2059</v>
      </c>
      <c r="D153" s="703">
        <f t="shared" si="1"/>
        <v>0</v>
      </c>
      <c r="E153" s="758">
        <f t="shared" si="5"/>
        <v>0</v>
      </c>
      <c r="F153" s="703">
        <f t="shared" si="0"/>
        <v>0</v>
      </c>
      <c r="G153" s="1296">
        <f t="shared" si="2"/>
        <v>0</v>
      </c>
      <c r="H153" s="1299">
        <f t="shared" si="3"/>
        <v>0</v>
      </c>
      <c r="I153" s="755">
        <f t="shared" si="4"/>
        <v>0</v>
      </c>
      <c r="J153" s="755"/>
      <c r="K153" s="903"/>
      <c r="L153" s="761"/>
      <c r="M153" s="903"/>
      <c r="N153" s="761"/>
      <c r="O153" s="761"/>
      <c r="P153" s="704"/>
    </row>
    <row r="154" spans="3:16">
      <c r="C154" s="751">
        <f>IF(D97="","-",+C153+1)</f>
        <v>2060</v>
      </c>
      <c r="D154" s="703">
        <f t="shared" si="1"/>
        <v>0</v>
      </c>
      <c r="E154" s="758">
        <f t="shared" si="5"/>
        <v>0</v>
      </c>
      <c r="F154" s="703">
        <f t="shared" si="0"/>
        <v>0</v>
      </c>
      <c r="G154" s="1296">
        <f t="shared" si="2"/>
        <v>0</v>
      </c>
      <c r="H154" s="1299">
        <f t="shared" si="3"/>
        <v>0</v>
      </c>
      <c r="I154" s="755">
        <f t="shared" si="4"/>
        <v>0</v>
      </c>
      <c r="J154" s="755"/>
      <c r="K154" s="903"/>
      <c r="L154" s="761"/>
      <c r="M154" s="903"/>
      <c r="N154" s="761"/>
      <c r="O154" s="761"/>
      <c r="P154" s="704"/>
    </row>
    <row r="155" spans="3:16">
      <c r="C155" s="751">
        <f>IF(D97="","-",+C154+1)</f>
        <v>2061</v>
      </c>
      <c r="D155" s="703">
        <f t="shared" si="1"/>
        <v>0</v>
      </c>
      <c r="E155" s="758">
        <f t="shared" si="5"/>
        <v>0</v>
      </c>
      <c r="F155" s="703">
        <f t="shared" si="0"/>
        <v>0</v>
      </c>
      <c r="G155" s="1296">
        <f t="shared" si="2"/>
        <v>0</v>
      </c>
      <c r="H155" s="1299">
        <f t="shared" si="3"/>
        <v>0</v>
      </c>
      <c r="I155" s="755">
        <f t="shared" si="4"/>
        <v>0</v>
      </c>
      <c r="J155" s="755"/>
      <c r="K155" s="903"/>
      <c r="L155" s="761"/>
      <c r="M155" s="903"/>
      <c r="N155" s="761"/>
      <c r="O155" s="761"/>
      <c r="P155" s="704"/>
    </row>
    <row r="156" spans="3:16">
      <c r="C156" s="751">
        <f>IF(D97="","-",+C155+1)</f>
        <v>2062</v>
      </c>
      <c r="D156" s="703">
        <f t="shared" si="1"/>
        <v>0</v>
      </c>
      <c r="E156" s="758">
        <f t="shared" si="5"/>
        <v>0</v>
      </c>
      <c r="F156" s="703">
        <f t="shared" si="0"/>
        <v>0</v>
      </c>
      <c r="G156" s="1296">
        <f t="shared" si="2"/>
        <v>0</v>
      </c>
      <c r="H156" s="1299">
        <f t="shared" si="3"/>
        <v>0</v>
      </c>
      <c r="I156" s="755">
        <f t="shared" si="4"/>
        <v>0</v>
      </c>
      <c r="J156" s="755"/>
      <c r="K156" s="903"/>
      <c r="L156" s="761"/>
      <c r="M156" s="903"/>
      <c r="N156" s="761"/>
      <c r="O156" s="761"/>
      <c r="P156" s="704"/>
    </row>
    <row r="157" spans="3:16">
      <c r="C157" s="751">
        <f>IF(D97="","-",+C156+1)</f>
        <v>2063</v>
      </c>
      <c r="D157" s="703">
        <f t="shared" si="1"/>
        <v>0</v>
      </c>
      <c r="E157" s="758">
        <f t="shared" si="5"/>
        <v>0</v>
      </c>
      <c r="F157" s="703">
        <f t="shared" si="0"/>
        <v>0</v>
      </c>
      <c r="G157" s="1296">
        <f t="shared" si="2"/>
        <v>0</v>
      </c>
      <c r="H157" s="1299">
        <f t="shared" si="3"/>
        <v>0</v>
      </c>
      <c r="I157" s="755">
        <f t="shared" si="4"/>
        <v>0</v>
      </c>
      <c r="J157" s="755"/>
      <c r="K157" s="903"/>
      <c r="L157" s="761"/>
      <c r="M157" s="903"/>
      <c r="N157" s="761"/>
      <c r="O157" s="761"/>
      <c r="P157" s="704"/>
    </row>
    <row r="158" spans="3:16">
      <c r="C158" s="751">
        <f>IF(D97="","-",+C157+1)</f>
        <v>2064</v>
      </c>
      <c r="D158" s="703">
        <f t="shared" si="1"/>
        <v>0</v>
      </c>
      <c r="E158" s="758">
        <f t="shared" si="5"/>
        <v>0</v>
      </c>
      <c r="F158" s="703">
        <f t="shared" si="0"/>
        <v>0</v>
      </c>
      <c r="G158" s="1296">
        <f t="shared" si="2"/>
        <v>0</v>
      </c>
      <c r="H158" s="1299">
        <f t="shared" si="3"/>
        <v>0</v>
      </c>
      <c r="I158" s="755">
        <f t="shared" si="4"/>
        <v>0</v>
      </c>
      <c r="J158" s="755"/>
      <c r="K158" s="903"/>
      <c r="L158" s="761"/>
      <c r="M158" s="903"/>
      <c r="N158" s="761"/>
      <c r="O158" s="761"/>
      <c r="P158" s="704"/>
    </row>
    <row r="159" spans="3:16">
      <c r="C159" s="751">
        <f>IF(D97="","-",+C158+1)</f>
        <v>2065</v>
      </c>
      <c r="D159" s="703">
        <f t="shared" si="1"/>
        <v>0</v>
      </c>
      <c r="E159" s="758">
        <f t="shared" si="5"/>
        <v>0</v>
      </c>
      <c r="F159" s="703">
        <f t="shared" si="0"/>
        <v>0</v>
      </c>
      <c r="G159" s="1296">
        <f t="shared" si="2"/>
        <v>0</v>
      </c>
      <c r="H159" s="1299">
        <f t="shared" si="3"/>
        <v>0</v>
      </c>
      <c r="I159" s="755">
        <f t="shared" si="4"/>
        <v>0</v>
      </c>
      <c r="J159" s="755"/>
      <c r="K159" s="903"/>
      <c r="L159" s="761"/>
      <c r="M159" s="903"/>
      <c r="N159" s="761"/>
      <c r="O159" s="761"/>
      <c r="P159" s="704"/>
    </row>
    <row r="160" spans="3:16">
      <c r="C160" s="751">
        <f>IF(D97="","-",+C159+1)</f>
        <v>2066</v>
      </c>
      <c r="D160" s="703">
        <f t="shared" si="1"/>
        <v>0</v>
      </c>
      <c r="E160" s="758">
        <f t="shared" si="5"/>
        <v>0</v>
      </c>
      <c r="F160" s="703">
        <f t="shared" si="0"/>
        <v>0</v>
      </c>
      <c r="G160" s="1296">
        <f t="shared" si="2"/>
        <v>0</v>
      </c>
      <c r="H160" s="1299">
        <f t="shared" si="3"/>
        <v>0</v>
      </c>
      <c r="I160" s="755">
        <f t="shared" si="4"/>
        <v>0</v>
      </c>
      <c r="J160" s="755"/>
      <c r="K160" s="903"/>
      <c r="L160" s="761"/>
      <c r="M160" s="903"/>
      <c r="N160" s="761"/>
      <c r="O160" s="761"/>
      <c r="P160" s="704"/>
    </row>
    <row r="161" spans="1:16">
      <c r="C161" s="751">
        <f>IF(D97="","-",+C160+1)</f>
        <v>2067</v>
      </c>
      <c r="D161" s="703">
        <f t="shared" si="1"/>
        <v>0</v>
      </c>
      <c r="E161" s="758">
        <f t="shared" si="5"/>
        <v>0</v>
      </c>
      <c r="F161" s="703">
        <f t="shared" si="0"/>
        <v>0</v>
      </c>
      <c r="G161" s="1296">
        <f t="shared" si="2"/>
        <v>0</v>
      </c>
      <c r="H161" s="1299">
        <f t="shared" si="3"/>
        <v>0</v>
      </c>
      <c r="I161" s="755">
        <f t="shared" si="4"/>
        <v>0</v>
      </c>
      <c r="J161" s="755"/>
      <c r="K161" s="903"/>
      <c r="L161" s="761"/>
      <c r="M161" s="903"/>
      <c r="N161" s="761"/>
      <c r="O161" s="761"/>
      <c r="P161" s="704"/>
    </row>
    <row r="162" spans="1:16" ht="13.5" thickBot="1">
      <c r="C162" s="762">
        <f>IF(D97="","-",+C161+1)</f>
        <v>2068</v>
      </c>
      <c r="D162" s="763">
        <f t="shared" si="1"/>
        <v>0</v>
      </c>
      <c r="E162" s="764">
        <f t="shared" si="5"/>
        <v>0</v>
      </c>
      <c r="F162" s="763">
        <f t="shared" si="0"/>
        <v>0</v>
      </c>
      <c r="G162" s="1307">
        <f t="shared" si="2"/>
        <v>0</v>
      </c>
      <c r="H162" s="1307">
        <f t="shared" si="3"/>
        <v>0</v>
      </c>
      <c r="I162" s="766">
        <f t="shared" si="4"/>
        <v>0</v>
      </c>
      <c r="J162" s="755"/>
      <c r="K162" s="904"/>
      <c r="L162" s="768"/>
      <c r="M162" s="904"/>
      <c r="N162" s="768"/>
      <c r="O162" s="768"/>
      <c r="P162" s="704"/>
    </row>
    <row r="163" spans="1:16">
      <c r="C163" s="703" t="s">
        <v>289</v>
      </c>
      <c r="D163" s="1277"/>
      <c r="E163" s="1277">
        <f>SUM(E103:E162)</f>
        <v>8327150</v>
      </c>
      <c r="F163" s="1277"/>
      <c r="G163" s="1277">
        <f>SUM(G103:G162)</f>
        <v>25660072.368971653</v>
      </c>
      <c r="H163" s="1277">
        <f>SUM(H103:H162)</f>
        <v>25660072.368971653</v>
      </c>
      <c r="I163" s="1277">
        <f>SUM(I103:I162)</f>
        <v>0</v>
      </c>
      <c r="J163" s="1277"/>
      <c r="K163" s="1277"/>
      <c r="L163" s="1277"/>
      <c r="M163" s="1277"/>
      <c r="N163" s="1277"/>
      <c r="O163" s="570"/>
      <c r="P163" s="1277"/>
    </row>
    <row r="164" spans="1:16">
      <c r="D164" s="593"/>
      <c r="E164" s="570"/>
      <c r="F164" s="570"/>
      <c r="G164" s="570"/>
      <c r="H164" s="1276"/>
      <c r="I164" s="1276"/>
      <c r="J164" s="1277"/>
      <c r="K164" s="1276"/>
      <c r="L164" s="1276"/>
      <c r="M164" s="1276"/>
      <c r="N164" s="1276"/>
      <c r="O164" s="570"/>
      <c r="P164" s="1277"/>
    </row>
    <row r="165" spans="1:16">
      <c r="C165" s="1308" t="s">
        <v>968</v>
      </c>
      <c r="D165" s="593"/>
      <c r="E165" s="570"/>
      <c r="F165" s="570"/>
      <c r="G165" s="570"/>
      <c r="H165" s="1276"/>
      <c r="I165" s="1276"/>
      <c r="J165" s="1277"/>
      <c r="K165" s="1276"/>
      <c r="L165" s="1276"/>
      <c r="M165" s="1276"/>
      <c r="N165" s="1276"/>
      <c r="O165" s="570"/>
      <c r="P165" s="1277"/>
    </row>
    <row r="166" spans="1:16">
      <c r="D166" s="593"/>
      <c r="E166" s="570"/>
      <c r="F166" s="570"/>
      <c r="G166" s="570"/>
      <c r="H166" s="1276"/>
      <c r="I166" s="1276"/>
      <c r="J166" s="1277"/>
      <c r="K166" s="1276"/>
      <c r="L166" s="1276"/>
      <c r="M166" s="1276"/>
      <c r="N166" s="1276"/>
      <c r="O166" s="570"/>
      <c r="P166" s="1277"/>
    </row>
    <row r="167" spans="1:16" ht="12.75" customHeight="1">
      <c r="C167" s="716" t="s">
        <v>969</v>
      </c>
      <c r="D167" s="703"/>
      <c r="E167" s="703"/>
      <c r="F167" s="703"/>
      <c r="G167" s="1277"/>
      <c r="H167" s="1277"/>
      <c r="I167" s="704"/>
      <c r="J167" s="704"/>
      <c r="K167" s="704"/>
      <c r="L167" s="704"/>
      <c r="M167" s="704"/>
      <c r="N167" s="704"/>
      <c r="O167" s="570"/>
      <c r="P167" s="704"/>
    </row>
    <row r="168" spans="1:16">
      <c r="C168" s="702" t="s">
        <v>477</v>
      </c>
      <c r="D168" s="703"/>
      <c r="E168" s="703"/>
      <c r="F168" s="703"/>
      <c r="G168" s="1277"/>
      <c r="H168" s="1277"/>
      <c r="I168" s="704"/>
      <c r="J168" s="704"/>
      <c r="K168" s="704"/>
      <c r="L168" s="704"/>
      <c r="M168" s="704"/>
      <c r="N168" s="704"/>
      <c r="O168" s="570"/>
      <c r="P168" s="704"/>
    </row>
    <row r="169" spans="1:16">
      <c r="C169" s="702" t="s">
        <v>290</v>
      </c>
      <c r="D169" s="703"/>
      <c r="E169" s="703"/>
      <c r="F169" s="703"/>
      <c r="G169" s="1277"/>
      <c r="H169" s="1277"/>
      <c r="I169" s="704"/>
      <c r="J169" s="704"/>
      <c r="K169" s="704"/>
      <c r="L169" s="704"/>
      <c r="M169" s="704"/>
      <c r="N169" s="704"/>
      <c r="O169" s="570"/>
      <c r="P169" s="704"/>
    </row>
    <row r="170" spans="1:16">
      <c r="C170" s="702"/>
      <c r="D170" s="703"/>
      <c r="E170" s="703"/>
      <c r="F170" s="703"/>
      <c r="G170" s="1277"/>
      <c r="H170" s="1277"/>
      <c r="I170" s="704"/>
      <c r="J170" s="704"/>
      <c r="K170" s="704"/>
      <c r="L170" s="704"/>
      <c r="M170" s="704"/>
      <c r="N170" s="704"/>
      <c r="O170" s="570"/>
      <c r="P170" s="704"/>
    </row>
    <row r="171" spans="1:16">
      <c r="C171" s="1507" t="s">
        <v>461</v>
      </c>
      <c r="D171" s="1507"/>
      <c r="E171" s="1507"/>
      <c r="F171" s="1507"/>
      <c r="G171" s="1507"/>
      <c r="H171" s="1507"/>
      <c r="I171" s="1507"/>
      <c r="J171" s="1507"/>
      <c r="K171" s="1507"/>
      <c r="L171" s="1507"/>
      <c r="M171" s="1507"/>
      <c r="N171" s="1507"/>
      <c r="O171" s="1507"/>
    </row>
    <row r="172" spans="1:16">
      <c r="C172" s="1507"/>
      <c r="D172" s="1507"/>
      <c r="E172" s="1507"/>
      <c r="F172" s="1507"/>
      <c r="G172" s="1507"/>
      <c r="H172" s="1507"/>
      <c r="I172" s="1507"/>
      <c r="J172" s="1507"/>
      <c r="K172" s="1507"/>
      <c r="L172" s="1507"/>
      <c r="M172" s="1507"/>
      <c r="N172" s="1507"/>
      <c r="O172" s="1507"/>
    </row>
    <row r="173" spans="1:16" ht="20.25">
      <c r="A173" s="705" t="s">
        <v>965</v>
      </c>
      <c r="B173" s="606"/>
      <c r="C173" s="685"/>
      <c r="D173" s="593"/>
      <c r="E173" s="570"/>
      <c r="F173" s="675"/>
      <c r="G173" s="570"/>
      <c r="H173" s="1276"/>
      <c r="K173" s="706"/>
      <c r="L173" s="706"/>
      <c r="M173" s="706"/>
      <c r="N173" s="621" t="str">
        <f>"Page "&amp;P173&amp;" of "</f>
        <v xml:space="preserve">Page 3 of </v>
      </c>
      <c r="O173" s="622">
        <f>COUNT(P$6:P$59527)</f>
        <v>10</v>
      </c>
      <c r="P173" s="570">
        <v>3</v>
      </c>
    </row>
    <row r="174" spans="1:16">
      <c r="B174" s="606"/>
      <c r="C174" s="570"/>
      <c r="D174" s="593"/>
      <c r="E174" s="570"/>
      <c r="F174" s="570"/>
      <c r="G174" s="570"/>
      <c r="H174" s="1276"/>
      <c r="I174" s="570"/>
      <c r="J174" s="618"/>
      <c r="K174" s="570"/>
      <c r="L174" s="570"/>
      <c r="M174" s="570"/>
      <c r="N174" s="570"/>
      <c r="O174" s="570"/>
    </row>
    <row r="175" spans="1:16" ht="18">
      <c r="B175" s="625" t="s">
        <v>175</v>
      </c>
      <c r="C175" s="707" t="s">
        <v>291</v>
      </c>
      <c r="D175" s="593"/>
      <c r="E175" s="570"/>
      <c r="F175" s="570"/>
      <c r="G175" s="570"/>
      <c r="H175" s="1276"/>
      <c r="I175" s="1276"/>
      <c r="J175" s="1277"/>
      <c r="K175" s="1276"/>
      <c r="L175" s="1276"/>
      <c r="M175" s="1276"/>
      <c r="N175" s="1276"/>
      <c r="O175" s="570"/>
    </row>
    <row r="176" spans="1:16" ht="18.75">
      <c r="B176" s="625"/>
      <c r="C176" s="624"/>
      <c r="D176" s="593"/>
      <c r="E176" s="570"/>
      <c r="F176" s="570"/>
      <c r="G176" s="570"/>
      <c r="H176" s="1276"/>
      <c r="I176" s="1276"/>
      <c r="J176" s="1277"/>
      <c r="K176" s="1276"/>
      <c r="L176" s="1276"/>
      <c r="M176" s="1276"/>
      <c r="N176" s="1276"/>
      <c r="O176" s="570"/>
    </row>
    <row r="177" spans="1:15" ht="18.75">
      <c r="B177" s="625"/>
      <c r="C177" s="624" t="s">
        <v>292</v>
      </c>
      <c r="D177" s="593"/>
      <c r="E177" s="570"/>
      <c r="F177" s="570"/>
      <c r="G177" s="570"/>
      <c r="H177" s="1276"/>
      <c r="I177" s="1276"/>
      <c r="J177" s="1277"/>
      <c r="K177" s="1276"/>
      <c r="L177" s="1276"/>
      <c r="M177" s="1276"/>
      <c r="N177" s="1276"/>
      <c r="O177" s="570"/>
    </row>
    <row r="178" spans="1:15" ht="15.75" thickBot="1">
      <c r="C178" s="423"/>
      <c r="D178" s="593"/>
      <c r="E178" s="570"/>
      <c r="F178" s="570"/>
      <c r="G178" s="570"/>
      <c r="H178" s="1276"/>
      <c r="I178" s="1276"/>
      <c r="J178" s="1277"/>
      <c r="K178" s="1276"/>
      <c r="L178" s="1276"/>
      <c r="M178" s="1276"/>
      <c r="N178" s="1276"/>
      <c r="O178" s="570"/>
    </row>
    <row r="179" spans="1:15" ht="15.75">
      <c r="C179" s="626" t="s">
        <v>293</v>
      </c>
      <c r="D179" s="593"/>
      <c r="E179" s="570"/>
      <c r="F179" s="570"/>
      <c r="G179" s="1278"/>
      <c r="H179" s="570" t="s">
        <v>272</v>
      </c>
      <c r="I179" s="570"/>
      <c r="J179" s="618"/>
      <c r="K179" s="708" t="s">
        <v>297</v>
      </c>
      <c r="L179" s="709"/>
      <c r="M179" s="710"/>
      <c r="N179" s="1279">
        <f>VLOOKUP(I185,C192:O251,5)</f>
        <v>61040.939819297004</v>
      </c>
      <c r="O179" s="570"/>
    </row>
    <row r="180" spans="1:15" ht="15.75">
      <c r="C180" s="626"/>
      <c r="D180" s="593"/>
      <c r="E180" s="570"/>
      <c r="F180" s="570"/>
      <c r="G180" s="570"/>
      <c r="H180" s="1280"/>
      <c r="I180" s="1280"/>
      <c r="J180" s="1281"/>
      <c r="K180" s="713" t="s">
        <v>298</v>
      </c>
      <c r="L180" s="1282"/>
      <c r="M180" s="618"/>
      <c r="N180" s="1283">
        <f>VLOOKUP(I185,C192:O251,6)</f>
        <v>61040.939819297004</v>
      </c>
      <c r="O180" s="570"/>
    </row>
    <row r="181" spans="1:15" ht="13.5" thickBot="1">
      <c r="C181" s="714" t="s">
        <v>294</v>
      </c>
      <c r="D181" s="1510" t="s">
        <v>970</v>
      </c>
      <c r="E181" s="1511"/>
      <c r="F181" s="1511"/>
      <c r="G181" s="1511"/>
      <c r="H181" s="1511"/>
      <c r="I181" s="1511"/>
      <c r="J181" s="1277"/>
      <c r="K181" s="1284" t="s">
        <v>451</v>
      </c>
      <c r="L181" s="1285"/>
      <c r="M181" s="1285"/>
      <c r="N181" s="1286">
        <f>+N180-N179</f>
        <v>0</v>
      </c>
      <c r="O181" s="570"/>
    </row>
    <row r="182" spans="1:15">
      <c r="C182" s="716"/>
      <c r="D182" s="1511"/>
      <c r="E182" s="1511"/>
      <c r="F182" s="1511"/>
      <c r="G182" s="1511"/>
      <c r="H182" s="1511"/>
      <c r="I182" s="1511"/>
      <c r="J182" s="1277"/>
      <c r="K182" s="1276"/>
      <c r="L182" s="1276"/>
      <c r="M182" s="1276"/>
      <c r="N182" s="1276"/>
      <c r="O182" s="570"/>
    </row>
    <row r="183" spans="1:15" ht="13.5" thickBot="1">
      <c r="C183" s="719"/>
      <c r="D183" s="720"/>
      <c r="E183" s="718"/>
      <c r="F183" s="718"/>
      <c r="G183" s="718"/>
      <c r="H183" s="718"/>
      <c r="I183" s="718"/>
      <c r="J183" s="721"/>
      <c r="K183" s="718"/>
      <c r="L183" s="718"/>
      <c r="M183" s="718"/>
      <c r="N183" s="718"/>
      <c r="O183" s="606"/>
    </row>
    <row r="184" spans="1:15" ht="13.5" thickBot="1">
      <c r="C184" s="722" t="s">
        <v>295</v>
      </c>
      <c r="D184" s="723"/>
      <c r="E184" s="723"/>
      <c r="F184" s="723"/>
      <c r="G184" s="723"/>
      <c r="H184" s="723"/>
      <c r="I184" s="724"/>
      <c r="J184" s="725"/>
      <c r="K184" s="570"/>
      <c r="L184" s="570"/>
      <c r="M184" s="570"/>
      <c r="N184" s="570"/>
      <c r="O184" s="726"/>
    </row>
    <row r="185" spans="1:15" ht="15">
      <c r="C185" s="728" t="s">
        <v>273</v>
      </c>
      <c r="D185" s="1287">
        <v>585981</v>
      </c>
      <c r="E185" s="685" t="s">
        <v>274</v>
      </c>
      <c r="G185" s="729"/>
      <c r="H185" s="729"/>
      <c r="I185" s="730">
        <f>L26</f>
        <v>2021</v>
      </c>
      <c r="J185" s="616"/>
      <c r="K185" s="1506" t="s">
        <v>460</v>
      </c>
      <c r="L185" s="1506"/>
      <c r="M185" s="1506"/>
      <c r="N185" s="1506"/>
      <c r="O185" s="1506"/>
    </row>
    <row r="186" spans="1:15">
      <c r="C186" s="728" t="s">
        <v>276</v>
      </c>
      <c r="D186" s="898">
        <v>2013</v>
      </c>
      <c r="E186" s="728" t="s">
        <v>277</v>
      </c>
      <c r="F186" s="729"/>
      <c r="H186" s="357"/>
      <c r="I186" s="901">
        <f>IF(G179="",0,$F$15)</f>
        <v>0</v>
      </c>
      <c r="J186" s="731"/>
      <c r="K186" s="1277" t="s">
        <v>460</v>
      </c>
    </row>
    <row r="187" spans="1:15">
      <c r="C187" s="728" t="s">
        <v>278</v>
      </c>
      <c r="D187" s="1287">
        <v>6</v>
      </c>
      <c r="E187" s="728" t="s">
        <v>279</v>
      </c>
      <c r="F187" s="729"/>
      <c r="H187" s="357"/>
      <c r="I187" s="732">
        <f>$G$70</f>
        <v>9.9118816841934854E-2</v>
      </c>
      <c r="J187" s="733"/>
      <c r="K187" s="357" t="str">
        <f>"          INPUT PROJECTED ARR (WITH &amp; WITHOUT INCENTIVES) FROM EACH PRIOR YEAR"</f>
        <v xml:space="preserve">          INPUT PROJECTED ARR (WITH &amp; WITHOUT INCENTIVES) FROM EACH PRIOR YEAR</v>
      </c>
    </row>
    <row r="188" spans="1:15">
      <c r="C188" s="728" t="s">
        <v>280</v>
      </c>
      <c r="D188" s="734">
        <f>G$79</f>
        <v>41</v>
      </c>
      <c r="E188" s="728" t="s">
        <v>281</v>
      </c>
      <c r="F188" s="729"/>
      <c r="H188" s="357"/>
      <c r="I188" s="732">
        <f>IF(G179="",I187,$G$67)</f>
        <v>9.9118816841934854E-2</v>
      </c>
      <c r="J188" s="735"/>
      <c r="K188" s="357" t="s">
        <v>358</v>
      </c>
    </row>
    <row r="189" spans="1:15" ht="13.5" thickBot="1">
      <c r="C189" s="728" t="s">
        <v>282</v>
      </c>
      <c r="D189" s="900" t="s">
        <v>967</v>
      </c>
      <c r="E189" s="736" t="s">
        <v>283</v>
      </c>
      <c r="F189" s="737"/>
      <c r="G189" s="738"/>
      <c r="H189" s="738"/>
      <c r="I189" s="1286">
        <f>IF(D185=0,0,D185/D188)</f>
        <v>14292.219512195123</v>
      </c>
      <c r="J189" s="1277"/>
      <c r="K189" s="1277" t="s">
        <v>364</v>
      </c>
      <c r="L189" s="1277"/>
      <c r="M189" s="1277"/>
      <c r="N189" s="1277"/>
      <c r="O189" s="618"/>
    </row>
    <row r="190" spans="1:15" ht="51">
      <c r="A190" s="557"/>
      <c r="B190" s="1288"/>
      <c r="C190" s="739" t="s">
        <v>273</v>
      </c>
      <c r="D190" s="1289" t="s">
        <v>284</v>
      </c>
      <c r="E190" s="1290" t="s">
        <v>285</v>
      </c>
      <c r="F190" s="1289" t="s">
        <v>286</v>
      </c>
      <c r="G190" s="1290" t="s">
        <v>357</v>
      </c>
      <c r="H190" s="1291" t="s">
        <v>357</v>
      </c>
      <c r="I190" s="739" t="s">
        <v>296</v>
      </c>
      <c r="J190" s="743"/>
      <c r="K190" s="1290" t="s">
        <v>366</v>
      </c>
      <c r="L190" s="1292"/>
      <c r="M190" s="1290" t="s">
        <v>366</v>
      </c>
      <c r="N190" s="1292"/>
      <c r="O190" s="1292"/>
    </row>
    <row r="191" spans="1:15" ht="13.5" thickBot="1">
      <c r="C191" s="745" t="s">
        <v>178</v>
      </c>
      <c r="D191" s="746" t="s">
        <v>179</v>
      </c>
      <c r="E191" s="745" t="s">
        <v>38</v>
      </c>
      <c r="F191" s="746" t="s">
        <v>179</v>
      </c>
      <c r="G191" s="1293" t="s">
        <v>299</v>
      </c>
      <c r="H191" s="1294" t="s">
        <v>301</v>
      </c>
      <c r="I191" s="749" t="s">
        <v>390</v>
      </c>
      <c r="J191" s="750"/>
      <c r="K191" s="1293" t="s">
        <v>288</v>
      </c>
      <c r="L191" s="1295"/>
      <c r="M191" s="1293" t="s">
        <v>301</v>
      </c>
      <c r="N191" s="1295"/>
      <c r="O191" s="1295"/>
    </row>
    <row r="192" spans="1:15">
      <c r="C192" s="751">
        <f>IF(D186= "","-",D186)</f>
        <v>2013</v>
      </c>
      <c r="D192" s="703">
        <f>+D185</f>
        <v>585981</v>
      </c>
      <c r="E192" s="1296">
        <f>+I189/12*(12-D187)</f>
        <v>7146.1097560975613</v>
      </c>
      <c r="F192" s="703">
        <f t="shared" ref="F192:F251" si="6">+D192-E192</f>
        <v>578834.89024390245</v>
      </c>
      <c r="G192" s="1297">
        <f>+$I$187*((D192+F192)/2)+E192</f>
        <v>64873.696195927885</v>
      </c>
      <c r="H192" s="1298">
        <f>+$I$188*((D192+F192)/2)+E192</f>
        <v>64873.696195927885</v>
      </c>
      <c r="I192" s="755">
        <f>+H192-G192</f>
        <v>0</v>
      </c>
      <c r="J192" s="755"/>
      <c r="K192" s="1300">
        <v>92625</v>
      </c>
      <c r="L192" s="757"/>
      <c r="M192" s="1300">
        <v>92625</v>
      </c>
      <c r="N192" s="757"/>
      <c r="O192" s="757"/>
    </row>
    <row r="193" spans="3:15">
      <c r="C193" s="751">
        <f>IF(D186="","-",+C192+1)</f>
        <v>2014</v>
      </c>
      <c r="D193" s="703">
        <f t="shared" ref="D193:D251" si="7">F192</f>
        <v>578834.89024390245</v>
      </c>
      <c r="E193" s="758">
        <f>IF(D193&gt;$I$189,$I$189,D193)</f>
        <v>14292.219512195123</v>
      </c>
      <c r="F193" s="703">
        <f t="shared" si="6"/>
        <v>564542.67073170736</v>
      </c>
      <c r="G193" s="1296">
        <f t="shared" ref="G193:G251" si="8">+$I$187*((D193+F193)/2)+E193</f>
        <v>70957.335035954951</v>
      </c>
      <c r="H193" s="1299">
        <f t="shared" ref="H193:H251" si="9">+$I$188*((D193+F193)/2)+E193</f>
        <v>70957.335035954951</v>
      </c>
      <c r="I193" s="755">
        <f t="shared" ref="I193:I251" si="10">+H193-G193</f>
        <v>0</v>
      </c>
      <c r="J193" s="755"/>
      <c r="K193" s="903">
        <v>87393</v>
      </c>
      <c r="L193" s="761"/>
      <c r="M193" s="903">
        <v>87393</v>
      </c>
      <c r="N193" s="761"/>
      <c r="O193" s="761"/>
    </row>
    <row r="194" spans="3:15">
      <c r="C194" s="751">
        <f>IF(D186="","-",+C193+1)</f>
        <v>2015</v>
      </c>
      <c r="D194" s="703">
        <f t="shared" si="7"/>
        <v>564542.67073170736</v>
      </c>
      <c r="E194" s="758">
        <f t="shared" ref="E194:E251" si="11">IF(D194&gt;$I$189,$I$189,D194)</f>
        <v>14292.219512195123</v>
      </c>
      <c r="F194" s="703">
        <f t="shared" si="6"/>
        <v>550250.45121951227</v>
      </c>
      <c r="G194" s="1296">
        <f t="shared" si="8"/>
        <v>69540.707147860958</v>
      </c>
      <c r="H194" s="1299">
        <f t="shared" si="9"/>
        <v>69540.707147860958</v>
      </c>
      <c r="I194" s="755">
        <f t="shared" si="10"/>
        <v>0</v>
      </c>
      <c r="J194" s="755"/>
      <c r="K194" s="903">
        <v>87463</v>
      </c>
      <c r="L194" s="761"/>
      <c r="M194" s="903">
        <v>87463</v>
      </c>
      <c r="N194" s="761"/>
      <c r="O194" s="761"/>
    </row>
    <row r="195" spans="3:15">
      <c r="C195" s="751">
        <f>IF(D186="","-",+C194+1)</f>
        <v>2016</v>
      </c>
      <c r="D195" s="703">
        <f t="shared" si="7"/>
        <v>550250.45121951227</v>
      </c>
      <c r="E195" s="758">
        <f t="shared" si="11"/>
        <v>14292.219512195123</v>
      </c>
      <c r="F195" s="703">
        <f t="shared" si="6"/>
        <v>535958.23170731717</v>
      </c>
      <c r="G195" s="1296">
        <f t="shared" si="8"/>
        <v>68124.079259766964</v>
      </c>
      <c r="H195" s="1299">
        <f t="shared" si="9"/>
        <v>68124.079259766964</v>
      </c>
      <c r="I195" s="755">
        <f t="shared" si="10"/>
        <v>0</v>
      </c>
      <c r="J195" s="755"/>
      <c r="K195" s="903">
        <v>85936</v>
      </c>
      <c r="L195" s="761"/>
      <c r="M195" s="903">
        <v>85936</v>
      </c>
      <c r="N195" s="761"/>
      <c r="O195" s="761"/>
    </row>
    <row r="196" spans="3:15">
      <c r="C196" s="751">
        <f>IF(D186="","-",+C195+1)</f>
        <v>2017</v>
      </c>
      <c r="D196" s="703">
        <f t="shared" si="7"/>
        <v>535958.23170731717</v>
      </c>
      <c r="E196" s="758">
        <f t="shared" si="11"/>
        <v>14292.219512195123</v>
      </c>
      <c r="F196" s="703">
        <f t="shared" si="6"/>
        <v>521666.01219512208</v>
      </c>
      <c r="G196" s="1296">
        <f t="shared" si="8"/>
        <v>66707.451371672971</v>
      </c>
      <c r="H196" s="1299">
        <f t="shared" si="9"/>
        <v>66707.451371672971</v>
      </c>
      <c r="I196" s="755">
        <f t="shared" si="10"/>
        <v>0</v>
      </c>
      <c r="J196" s="755"/>
      <c r="K196" s="903">
        <v>77494</v>
      </c>
      <c r="L196" s="761"/>
      <c r="M196" s="903">
        <v>77494</v>
      </c>
      <c r="N196" s="761"/>
      <c r="O196" s="761"/>
    </row>
    <row r="197" spans="3:15">
      <c r="C197" s="1313">
        <f>IF(D186="","-",+C196+1)</f>
        <v>2018</v>
      </c>
      <c r="D197" s="1301">
        <f t="shared" si="7"/>
        <v>521666.01219512208</v>
      </c>
      <c r="E197" s="1302">
        <f t="shared" si="11"/>
        <v>14292.219512195123</v>
      </c>
      <c r="F197" s="1301">
        <f t="shared" si="6"/>
        <v>507373.79268292699</v>
      </c>
      <c r="G197" s="1303">
        <f t="shared" si="8"/>
        <v>65290.823483578984</v>
      </c>
      <c r="H197" s="1304">
        <f t="shared" si="9"/>
        <v>65290.823483578984</v>
      </c>
      <c r="I197" s="1305">
        <f t="shared" si="10"/>
        <v>0</v>
      </c>
      <c r="J197" s="755"/>
      <c r="K197" s="903">
        <v>70215</v>
      </c>
      <c r="L197" s="761"/>
      <c r="M197" s="903">
        <v>70215</v>
      </c>
      <c r="N197" s="761"/>
      <c r="O197" s="761"/>
    </row>
    <row r="198" spans="3:15">
      <c r="C198" s="751">
        <f>IF(D186="","-",+C197+1)</f>
        <v>2019</v>
      </c>
      <c r="D198" s="703">
        <f t="shared" si="7"/>
        <v>507373.79268292699</v>
      </c>
      <c r="E198" s="758">
        <f t="shared" si="11"/>
        <v>14292.219512195123</v>
      </c>
      <c r="F198" s="703">
        <f t="shared" si="6"/>
        <v>493081.57317073189</v>
      </c>
      <c r="G198" s="1296">
        <f t="shared" si="8"/>
        <v>63874.195595484991</v>
      </c>
      <c r="H198" s="1299">
        <f t="shared" si="9"/>
        <v>63874.195595484991</v>
      </c>
      <c r="I198" s="755">
        <f t="shared" si="10"/>
        <v>0</v>
      </c>
      <c r="J198" s="755"/>
      <c r="K198" s="903">
        <v>65616</v>
      </c>
      <c r="L198" s="761"/>
      <c r="M198" s="903">
        <v>65616</v>
      </c>
      <c r="N198" s="761"/>
      <c r="O198" s="761"/>
    </row>
    <row r="199" spans="3:15">
      <c r="C199" s="751">
        <f>IF(D186="","-",+C198+1)</f>
        <v>2020</v>
      </c>
      <c r="D199" s="703">
        <f t="shared" si="7"/>
        <v>493081.57317073189</v>
      </c>
      <c r="E199" s="758">
        <f t="shared" si="11"/>
        <v>14292.219512195123</v>
      </c>
      <c r="F199" s="703">
        <f t="shared" si="6"/>
        <v>478789.3536585368</v>
      </c>
      <c r="G199" s="1296">
        <f t="shared" si="8"/>
        <v>62457.567707390997</v>
      </c>
      <c r="H199" s="1299">
        <f t="shared" si="9"/>
        <v>62457.567707390997</v>
      </c>
      <c r="I199" s="755">
        <f t="shared" si="10"/>
        <v>0</v>
      </c>
      <c r="J199" s="755"/>
      <c r="K199" s="903">
        <v>61867.097648006813</v>
      </c>
      <c r="L199" s="761"/>
      <c r="M199" s="903">
        <v>61867.097648006813</v>
      </c>
      <c r="N199" s="761"/>
      <c r="O199" s="761"/>
    </row>
    <row r="200" spans="3:15">
      <c r="C200" s="751">
        <f>IF(D186="","-",+C199+1)</f>
        <v>2021</v>
      </c>
      <c r="D200" s="703">
        <f t="shared" si="7"/>
        <v>478789.3536585368</v>
      </c>
      <c r="E200" s="758">
        <f t="shared" si="11"/>
        <v>14292.219512195123</v>
      </c>
      <c r="F200" s="703">
        <f t="shared" si="6"/>
        <v>464497.1341463417</v>
      </c>
      <c r="G200" s="1296">
        <f t="shared" si="8"/>
        <v>61040.939819297004</v>
      </c>
      <c r="H200" s="1299">
        <f t="shared" si="9"/>
        <v>61040.939819297004</v>
      </c>
      <c r="I200" s="755">
        <f t="shared" si="10"/>
        <v>0</v>
      </c>
      <c r="J200" s="755"/>
      <c r="K200" s="903"/>
      <c r="L200" s="761"/>
      <c r="M200" s="903"/>
      <c r="N200" s="761"/>
      <c r="O200" s="761"/>
    </row>
    <row r="201" spans="3:15">
      <c r="C201" s="751">
        <f>IF(D186="","-",+C200+1)</f>
        <v>2022</v>
      </c>
      <c r="D201" s="703">
        <f t="shared" si="7"/>
        <v>464497.1341463417</v>
      </c>
      <c r="E201" s="758">
        <f t="shared" si="11"/>
        <v>14292.219512195123</v>
      </c>
      <c r="F201" s="703">
        <f t="shared" si="6"/>
        <v>450204.91463414661</v>
      </c>
      <c r="G201" s="1296">
        <f t="shared" si="8"/>
        <v>59624.31193120301</v>
      </c>
      <c r="H201" s="1299">
        <f t="shared" si="9"/>
        <v>59624.31193120301</v>
      </c>
      <c r="I201" s="755">
        <f t="shared" si="10"/>
        <v>0</v>
      </c>
      <c r="J201" s="755"/>
      <c r="K201" s="903"/>
      <c r="L201" s="761"/>
      <c r="M201" s="903"/>
      <c r="N201" s="761"/>
      <c r="O201" s="761"/>
    </row>
    <row r="202" spans="3:15">
      <c r="C202" s="751">
        <f>IF(D186="","-",+C201+1)</f>
        <v>2023</v>
      </c>
      <c r="D202" s="703">
        <f t="shared" si="7"/>
        <v>450204.91463414661</v>
      </c>
      <c r="E202" s="758">
        <f t="shared" si="11"/>
        <v>14292.219512195123</v>
      </c>
      <c r="F202" s="703">
        <f t="shared" si="6"/>
        <v>435912.69512195152</v>
      </c>
      <c r="G202" s="1296">
        <f t="shared" si="8"/>
        <v>58207.684043109017</v>
      </c>
      <c r="H202" s="1299">
        <f t="shared" si="9"/>
        <v>58207.684043109017</v>
      </c>
      <c r="I202" s="755">
        <f t="shared" si="10"/>
        <v>0</v>
      </c>
      <c r="J202" s="755"/>
      <c r="K202" s="903"/>
      <c r="L202" s="761"/>
      <c r="M202" s="903"/>
      <c r="N202" s="761"/>
      <c r="O202" s="761"/>
    </row>
    <row r="203" spans="3:15">
      <c r="C203" s="751">
        <f>IF(D186="","-",+C202+1)</f>
        <v>2024</v>
      </c>
      <c r="D203" s="703">
        <f t="shared" si="7"/>
        <v>435912.69512195152</v>
      </c>
      <c r="E203" s="758">
        <f t="shared" si="11"/>
        <v>14292.219512195123</v>
      </c>
      <c r="F203" s="703">
        <f t="shared" si="6"/>
        <v>421620.47560975642</v>
      </c>
      <c r="G203" s="1296">
        <f t="shared" si="8"/>
        <v>56791.056155015031</v>
      </c>
      <c r="H203" s="1299">
        <f t="shared" si="9"/>
        <v>56791.056155015031</v>
      </c>
      <c r="I203" s="755">
        <f t="shared" si="10"/>
        <v>0</v>
      </c>
      <c r="J203" s="755"/>
      <c r="K203" s="903"/>
      <c r="L203" s="761"/>
      <c r="M203" s="903"/>
      <c r="N203" s="761"/>
      <c r="O203" s="761"/>
    </row>
    <row r="204" spans="3:15">
      <c r="C204" s="751">
        <f>IF(D186="","-",+C203+1)</f>
        <v>2025</v>
      </c>
      <c r="D204" s="703">
        <f t="shared" si="7"/>
        <v>421620.47560975642</v>
      </c>
      <c r="E204" s="758">
        <f t="shared" si="11"/>
        <v>14292.219512195123</v>
      </c>
      <c r="F204" s="703">
        <f t="shared" si="6"/>
        <v>407328.25609756133</v>
      </c>
      <c r="G204" s="1296">
        <f t="shared" si="8"/>
        <v>55374.428266921037</v>
      </c>
      <c r="H204" s="1299">
        <f t="shared" si="9"/>
        <v>55374.428266921037</v>
      </c>
      <c r="I204" s="755">
        <f t="shared" si="10"/>
        <v>0</v>
      </c>
      <c r="J204" s="755"/>
      <c r="K204" s="903"/>
      <c r="L204" s="761"/>
      <c r="M204" s="903"/>
      <c r="N204" s="761"/>
      <c r="O204" s="761"/>
    </row>
    <row r="205" spans="3:15">
      <c r="C205" s="751">
        <f>IF(D186="","-",+C204+1)</f>
        <v>2026</v>
      </c>
      <c r="D205" s="703">
        <f t="shared" si="7"/>
        <v>407328.25609756133</v>
      </c>
      <c r="E205" s="758">
        <f t="shared" si="11"/>
        <v>14292.219512195123</v>
      </c>
      <c r="F205" s="703">
        <f t="shared" si="6"/>
        <v>393036.03658536624</v>
      </c>
      <c r="G205" s="1296">
        <f t="shared" si="8"/>
        <v>53957.800378827043</v>
      </c>
      <c r="H205" s="1299">
        <f t="shared" si="9"/>
        <v>53957.800378827043</v>
      </c>
      <c r="I205" s="755">
        <f t="shared" si="10"/>
        <v>0</v>
      </c>
      <c r="J205" s="755"/>
      <c r="K205" s="903"/>
      <c r="L205" s="761"/>
      <c r="M205" s="903"/>
      <c r="N205" s="761"/>
      <c r="O205" s="761"/>
    </row>
    <row r="206" spans="3:15">
      <c r="C206" s="751">
        <f>IF(D186="","-",+C205+1)</f>
        <v>2027</v>
      </c>
      <c r="D206" s="703">
        <f t="shared" si="7"/>
        <v>393036.03658536624</v>
      </c>
      <c r="E206" s="758">
        <f t="shared" si="11"/>
        <v>14292.219512195123</v>
      </c>
      <c r="F206" s="703">
        <f t="shared" si="6"/>
        <v>378743.81707317114</v>
      </c>
      <c r="G206" s="1296">
        <f t="shared" si="8"/>
        <v>52541.17249073305</v>
      </c>
      <c r="H206" s="1299">
        <f t="shared" si="9"/>
        <v>52541.17249073305</v>
      </c>
      <c r="I206" s="755">
        <f t="shared" si="10"/>
        <v>0</v>
      </c>
      <c r="J206" s="755"/>
      <c r="K206" s="903"/>
      <c r="L206" s="761"/>
      <c r="M206" s="903"/>
      <c r="N206" s="761"/>
      <c r="O206" s="761"/>
    </row>
    <row r="207" spans="3:15">
      <c r="C207" s="751">
        <f>IF(D186="","-",+C206+1)</f>
        <v>2028</v>
      </c>
      <c r="D207" s="703">
        <f t="shared" si="7"/>
        <v>378743.81707317114</v>
      </c>
      <c r="E207" s="758">
        <f t="shared" si="11"/>
        <v>14292.219512195123</v>
      </c>
      <c r="F207" s="703">
        <f t="shared" si="6"/>
        <v>364451.59756097605</v>
      </c>
      <c r="G207" s="1296">
        <f t="shared" si="8"/>
        <v>51124.544602639056</v>
      </c>
      <c r="H207" s="1299">
        <f t="shared" si="9"/>
        <v>51124.544602639056</v>
      </c>
      <c r="I207" s="755">
        <f t="shared" si="10"/>
        <v>0</v>
      </c>
      <c r="J207" s="755"/>
      <c r="K207" s="903"/>
      <c r="L207" s="761"/>
      <c r="M207" s="903"/>
      <c r="N207" s="761"/>
      <c r="O207" s="761"/>
    </row>
    <row r="208" spans="3:15">
      <c r="C208" s="751">
        <f>IF(D186="","-",+C207+1)</f>
        <v>2029</v>
      </c>
      <c r="D208" s="703">
        <f t="shared" si="7"/>
        <v>364451.59756097605</v>
      </c>
      <c r="E208" s="758">
        <f t="shared" si="11"/>
        <v>14292.219512195123</v>
      </c>
      <c r="F208" s="703">
        <f t="shared" si="6"/>
        <v>350159.37804878096</v>
      </c>
      <c r="G208" s="1296">
        <f t="shared" si="8"/>
        <v>49707.916714545063</v>
      </c>
      <c r="H208" s="1299">
        <f t="shared" si="9"/>
        <v>49707.916714545063</v>
      </c>
      <c r="I208" s="755">
        <f t="shared" si="10"/>
        <v>0</v>
      </c>
      <c r="J208" s="755"/>
      <c r="K208" s="903"/>
      <c r="L208" s="761"/>
      <c r="M208" s="903"/>
      <c r="N208" s="761"/>
      <c r="O208" s="761"/>
    </row>
    <row r="209" spans="3:15">
      <c r="C209" s="751">
        <f>IF(D186="","-",+C208+1)</f>
        <v>2030</v>
      </c>
      <c r="D209" s="703">
        <f t="shared" si="7"/>
        <v>350159.37804878096</v>
      </c>
      <c r="E209" s="758">
        <f t="shared" si="11"/>
        <v>14292.219512195123</v>
      </c>
      <c r="F209" s="703">
        <f t="shared" si="6"/>
        <v>335867.15853658586</v>
      </c>
      <c r="G209" s="1296">
        <f t="shared" si="8"/>
        <v>48291.288826451069</v>
      </c>
      <c r="H209" s="1299">
        <f t="shared" si="9"/>
        <v>48291.288826451069</v>
      </c>
      <c r="I209" s="755">
        <f t="shared" si="10"/>
        <v>0</v>
      </c>
      <c r="J209" s="755"/>
      <c r="K209" s="903"/>
      <c r="L209" s="761"/>
      <c r="M209" s="903"/>
      <c r="N209" s="761"/>
      <c r="O209" s="761"/>
    </row>
    <row r="210" spans="3:15">
      <c r="C210" s="751">
        <f>IF(D186="","-",+C209+1)</f>
        <v>2031</v>
      </c>
      <c r="D210" s="703">
        <f t="shared" si="7"/>
        <v>335867.15853658586</v>
      </c>
      <c r="E210" s="758">
        <f t="shared" si="11"/>
        <v>14292.219512195123</v>
      </c>
      <c r="F210" s="703">
        <f t="shared" si="6"/>
        <v>321574.93902439077</v>
      </c>
      <c r="G210" s="1296">
        <f t="shared" si="8"/>
        <v>46874.660938357076</v>
      </c>
      <c r="H210" s="1299">
        <f t="shared" si="9"/>
        <v>46874.660938357076</v>
      </c>
      <c r="I210" s="755">
        <f t="shared" si="10"/>
        <v>0</v>
      </c>
      <c r="J210" s="755"/>
      <c r="K210" s="903"/>
      <c r="L210" s="761"/>
      <c r="M210" s="903"/>
      <c r="N210" s="761"/>
      <c r="O210" s="761"/>
    </row>
    <row r="211" spans="3:15">
      <c r="C211" s="751">
        <f>IF(D186="","-",+C210+1)</f>
        <v>2032</v>
      </c>
      <c r="D211" s="703">
        <f t="shared" si="7"/>
        <v>321574.93902439077</v>
      </c>
      <c r="E211" s="758">
        <f t="shared" si="11"/>
        <v>14292.219512195123</v>
      </c>
      <c r="F211" s="703">
        <f t="shared" si="6"/>
        <v>307282.71951219568</v>
      </c>
      <c r="G211" s="1296">
        <f t="shared" si="8"/>
        <v>45458.033050263082</v>
      </c>
      <c r="H211" s="1299">
        <f t="shared" si="9"/>
        <v>45458.033050263082</v>
      </c>
      <c r="I211" s="755">
        <f t="shared" si="10"/>
        <v>0</v>
      </c>
      <c r="J211" s="755"/>
      <c r="K211" s="903"/>
      <c r="L211" s="761"/>
      <c r="M211" s="903"/>
      <c r="N211" s="761"/>
      <c r="O211" s="761"/>
    </row>
    <row r="212" spans="3:15">
      <c r="C212" s="751">
        <f>IF(D186="","-",+C211+1)</f>
        <v>2033</v>
      </c>
      <c r="D212" s="703">
        <f t="shared" si="7"/>
        <v>307282.71951219568</v>
      </c>
      <c r="E212" s="758">
        <f t="shared" si="11"/>
        <v>14292.219512195123</v>
      </c>
      <c r="F212" s="703">
        <f t="shared" si="6"/>
        <v>292990.50000000058</v>
      </c>
      <c r="G212" s="1296">
        <f t="shared" si="8"/>
        <v>44041.405162169089</v>
      </c>
      <c r="H212" s="1299">
        <f t="shared" si="9"/>
        <v>44041.405162169089</v>
      </c>
      <c r="I212" s="755">
        <f t="shared" si="10"/>
        <v>0</v>
      </c>
      <c r="J212" s="755"/>
      <c r="K212" s="903"/>
      <c r="L212" s="761"/>
      <c r="M212" s="903"/>
      <c r="N212" s="761"/>
      <c r="O212" s="761"/>
    </row>
    <row r="213" spans="3:15">
      <c r="C213" s="751">
        <f>IF(D186="","-",+C212+1)</f>
        <v>2034</v>
      </c>
      <c r="D213" s="703">
        <f t="shared" si="7"/>
        <v>292990.50000000058</v>
      </c>
      <c r="E213" s="758">
        <f t="shared" si="11"/>
        <v>14292.219512195123</v>
      </c>
      <c r="F213" s="703">
        <f t="shared" si="6"/>
        <v>278698.28048780549</v>
      </c>
      <c r="G213" s="1296">
        <f t="shared" si="8"/>
        <v>42624.777274075095</v>
      </c>
      <c r="H213" s="1299">
        <f t="shared" si="9"/>
        <v>42624.777274075095</v>
      </c>
      <c r="I213" s="755">
        <f t="shared" si="10"/>
        <v>0</v>
      </c>
      <c r="J213" s="755"/>
      <c r="K213" s="903"/>
      <c r="L213" s="761"/>
      <c r="M213" s="903"/>
      <c r="N213" s="761"/>
      <c r="O213" s="761"/>
    </row>
    <row r="214" spans="3:15">
      <c r="C214" s="751">
        <f>IF(D186="","-",+C213+1)</f>
        <v>2035</v>
      </c>
      <c r="D214" s="703">
        <f t="shared" si="7"/>
        <v>278698.28048780549</v>
      </c>
      <c r="E214" s="758">
        <f t="shared" si="11"/>
        <v>14292.219512195123</v>
      </c>
      <c r="F214" s="703">
        <f t="shared" si="6"/>
        <v>264406.06097561039</v>
      </c>
      <c r="G214" s="1296">
        <f t="shared" si="8"/>
        <v>41208.149385981102</v>
      </c>
      <c r="H214" s="1299">
        <f t="shared" si="9"/>
        <v>41208.149385981102</v>
      </c>
      <c r="I214" s="755">
        <f t="shared" si="10"/>
        <v>0</v>
      </c>
      <c r="J214" s="755"/>
      <c r="K214" s="903"/>
      <c r="L214" s="761"/>
      <c r="M214" s="903"/>
      <c r="N214" s="761"/>
      <c r="O214" s="761"/>
    </row>
    <row r="215" spans="3:15">
      <c r="C215" s="751">
        <f>IF(D186="","-",+C214+1)</f>
        <v>2036</v>
      </c>
      <c r="D215" s="703">
        <f t="shared" si="7"/>
        <v>264406.06097561039</v>
      </c>
      <c r="E215" s="758">
        <f t="shared" si="11"/>
        <v>14292.219512195123</v>
      </c>
      <c r="F215" s="703">
        <f t="shared" si="6"/>
        <v>250113.84146341527</v>
      </c>
      <c r="G215" s="1296">
        <f t="shared" si="8"/>
        <v>39791.521497887108</v>
      </c>
      <c r="H215" s="1299">
        <f t="shared" si="9"/>
        <v>39791.521497887108</v>
      </c>
      <c r="I215" s="755">
        <f t="shared" si="10"/>
        <v>0</v>
      </c>
      <c r="J215" s="755"/>
      <c r="K215" s="903"/>
      <c r="L215" s="761"/>
      <c r="M215" s="903"/>
      <c r="N215" s="761"/>
      <c r="O215" s="761"/>
    </row>
    <row r="216" spans="3:15">
      <c r="C216" s="751">
        <f>IF(D186="","-",+C215+1)</f>
        <v>2037</v>
      </c>
      <c r="D216" s="703">
        <f t="shared" si="7"/>
        <v>250113.84146341527</v>
      </c>
      <c r="E216" s="758">
        <f t="shared" si="11"/>
        <v>14292.219512195123</v>
      </c>
      <c r="F216" s="703">
        <f t="shared" si="6"/>
        <v>235821.62195122015</v>
      </c>
      <c r="G216" s="1296">
        <f t="shared" si="8"/>
        <v>38374.893609793115</v>
      </c>
      <c r="H216" s="1299">
        <f t="shared" si="9"/>
        <v>38374.893609793115</v>
      </c>
      <c r="I216" s="755">
        <f t="shared" si="10"/>
        <v>0</v>
      </c>
      <c r="J216" s="755"/>
      <c r="K216" s="903"/>
      <c r="L216" s="761"/>
      <c r="M216" s="903"/>
      <c r="N216" s="761"/>
      <c r="O216" s="761"/>
    </row>
    <row r="217" spans="3:15">
      <c r="C217" s="751">
        <f>IF(D186="","-",+C216+1)</f>
        <v>2038</v>
      </c>
      <c r="D217" s="703">
        <f t="shared" si="7"/>
        <v>235821.62195122015</v>
      </c>
      <c r="E217" s="758">
        <f t="shared" si="11"/>
        <v>14292.219512195123</v>
      </c>
      <c r="F217" s="703">
        <f t="shared" si="6"/>
        <v>221529.40243902503</v>
      </c>
      <c r="G217" s="1296">
        <f t="shared" si="8"/>
        <v>36958.265721699121</v>
      </c>
      <c r="H217" s="1299">
        <f t="shared" si="9"/>
        <v>36958.265721699121</v>
      </c>
      <c r="I217" s="755">
        <f t="shared" si="10"/>
        <v>0</v>
      </c>
      <c r="J217" s="755"/>
      <c r="K217" s="903"/>
      <c r="L217" s="761"/>
      <c r="M217" s="903"/>
      <c r="N217" s="761"/>
      <c r="O217" s="761"/>
    </row>
    <row r="218" spans="3:15">
      <c r="C218" s="751">
        <f>IF(D186="","-",+C217+1)</f>
        <v>2039</v>
      </c>
      <c r="D218" s="703">
        <f t="shared" si="7"/>
        <v>221529.40243902503</v>
      </c>
      <c r="E218" s="758">
        <f t="shared" si="11"/>
        <v>14292.219512195123</v>
      </c>
      <c r="F218" s="703">
        <f t="shared" si="6"/>
        <v>207237.1829268299</v>
      </c>
      <c r="G218" s="1296">
        <f t="shared" si="8"/>
        <v>35541.63783360512</v>
      </c>
      <c r="H218" s="1299">
        <f t="shared" si="9"/>
        <v>35541.63783360512</v>
      </c>
      <c r="I218" s="755">
        <f t="shared" si="10"/>
        <v>0</v>
      </c>
      <c r="J218" s="755"/>
      <c r="K218" s="903"/>
      <c r="L218" s="761"/>
      <c r="M218" s="903"/>
      <c r="N218" s="761"/>
      <c r="O218" s="761"/>
    </row>
    <row r="219" spans="3:15">
      <c r="C219" s="751">
        <f>IF(D186="","-",+C218+1)</f>
        <v>2040</v>
      </c>
      <c r="D219" s="703">
        <f t="shared" si="7"/>
        <v>207237.1829268299</v>
      </c>
      <c r="E219" s="758">
        <f t="shared" si="11"/>
        <v>14292.219512195123</v>
      </c>
      <c r="F219" s="703">
        <f t="shared" si="6"/>
        <v>192944.96341463478</v>
      </c>
      <c r="G219" s="1296">
        <f t="shared" si="8"/>
        <v>34125.009945511127</v>
      </c>
      <c r="H219" s="1299">
        <f t="shared" si="9"/>
        <v>34125.009945511127</v>
      </c>
      <c r="I219" s="755">
        <f t="shared" si="10"/>
        <v>0</v>
      </c>
      <c r="J219" s="755"/>
      <c r="K219" s="903"/>
      <c r="L219" s="761"/>
      <c r="M219" s="903"/>
      <c r="N219" s="761"/>
      <c r="O219" s="761"/>
    </row>
    <row r="220" spans="3:15">
      <c r="C220" s="751">
        <f>IF(D186="","-",+C219+1)</f>
        <v>2041</v>
      </c>
      <c r="D220" s="703">
        <f t="shared" si="7"/>
        <v>192944.96341463478</v>
      </c>
      <c r="E220" s="758">
        <f t="shared" si="11"/>
        <v>14292.219512195123</v>
      </c>
      <c r="F220" s="703">
        <f t="shared" si="6"/>
        <v>178652.74390243966</v>
      </c>
      <c r="G220" s="1306">
        <f t="shared" si="8"/>
        <v>32708.38205741713</v>
      </c>
      <c r="H220" s="1299">
        <f t="shared" si="9"/>
        <v>32708.38205741713</v>
      </c>
      <c r="I220" s="755">
        <f t="shared" si="10"/>
        <v>0</v>
      </c>
      <c r="J220" s="755"/>
      <c r="K220" s="903"/>
      <c r="L220" s="761"/>
      <c r="M220" s="903"/>
      <c r="N220" s="761"/>
      <c r="O220" s="761"/>
    </row>
    <row r="221" spans="3:15">
      <c r="C221" s="751">
        <f>IF(D186="","-",+C220+1)</f>
        <v>2042</v>
      </c>
      <c r="D221" s="703">
        <f t="shared" si="7"/>
        <v>178652.74390243966</v>
      </c>
      <c r="E221" s="758">
        <f t="shared" si="11"/>
        <v>14292.219512195123</v>
      </c>
      <c r="F221" s="703">
        <f t="shared" si="6"/>
        <v>164360.52439024454</v>
      </c>
      <c r="G221" s="1296">
        <f t="shared" si="8"/>
        <v>31291.754169323136</v>
      </c>
      <c r="H221" s="1299">
        <f t="shared" si="9"/>
        <v>31291.754169323136</v>
      </c>
      <c r="I221" s="755">
        <f t="shared" si="10"/>
        <v>0</v>
      </c>
      <c r="J221" s="755"/>
      <c r="K221" s="903"/>
      <c r="L221" s="761"/>
      <c r="M221" s="903"/>
      <c r="N221" s="761"/>
      <c r="O221" s="761"/>
    </row>
    <row r="222" spans="3:15">
      <c r="C222" s="751">
        <f>IF(D186="","-",+C221+1)</f>
        <v>2043</v>
      </c>
      <c r="D222" s="703">
        <f t="shared" si="7"/>
        <v>164360.52439024454</v>
      </c>
      <c r="E222" s="758">
        <f t="shared" si="11"/>
        <v>14292.219512195123</v>
      </c>
      <c r="F222" s="703">
        <f t="shared" si="6"/>
        <v>150068.30487804941</v>
      </c>
      <c r="G222" s="1296">
        <f t="shared" si="8"/>
        <v>29875.126281229139</v>
      </c>
      <c r="H222" s="1299">
        <f t="shared" si="9"/>
        <v>29875.126281229139</v>
      </c>
      <c r="I222" s="755">
        <f t="shared" si="10"/>
        <v>0</v>
      </c>
      <c r="J222" s="755"/>
      <c r="K222" s="903"/>
      <c r="L222" s="761"/>
      <c r="M222" s="903"/>
      <c r="N222" s="761"/>
      <c r="O222" s="761"/>
    </row>
    <row r="223" spans="3:15">
      <c r="C223" s="751">
        <f>IF(D186="","-",+C222+1)</f>
        <v>2044</v>
      </c>
      <c r="D223" s="703">
        <f t="shared" si="7"/>
        <v>150068.30487804941</v>
      </c>
      <c r="E223" s="758">
        <f t="shared" si="11"/>
        <v>14292.219512195123</v>
      </c>
      <c r="F223" s="703">
        <f t="shared" si="6"/>
        <v>135776.08536585429</v>
      </c>
      <c r="G223" s="1296">
        <f t="shared" si="8"/>
        <v>28458.498393135145</v>
      </c>
      <c r="H223" s="1299">
        <f t="shared" si="9"/>
        <v>28458.498393135145</v>
      </c>
      <c r="I223" s="755">
        <f t="shared" si="10"/>
        <v>0</v>
      </c>
      <c r="J223" s="755"/>
      <c r="K223" s="903"/>
      <c r="L223" s="761"/>
      <c r="M223" s="903"/>
      <c r="N223" s="761"/>
      <c r="O223" s="761"/>
    </row>
    <row r="224" spans="3:15">
      <c r="C224" s="751">
        <f>IF(D186="","-",+C223+1)</f>
        <v>2045</v>
      </c>
      <c r="D224" s="703">
        <f t="shared" si="7"/>
        <v>135776.08536585429</v>
      </c>
      <c r="E224" s="758">
        <f t="shared" si="11"/>
        <v>14292.219512195123</v>
      </c>
      <c r="F224" s="703">
        <f t="shared" si="6"/>
        <v>121483.86585365917</v>
      </c>
      <c r="G224" s="1296">
        <f t="shared" si="8"/>
        <v>27041.870505041148</v>
      </c>
      <c r="H224" s="1299">
        <f t="shared" si="9"/>
        <v>27041.870505041148</v>
      </c>
      <c r="I224" s="755">
        <f t="shared" si="10"/>
        <v>0</v>
      </c>
      <c r="J224" s="755"/>
      <c r="K224" s="903"/>
      <c r="L224" s="761"/>
      <c r="M224" s="903"/>
      <c r="N224" s="761"/>
      <c r="O224" s="761"/>
    </row>
    <row r="225" spans="3:15">
      <c r="C225" s="751">
        <f>IF(D186="","-",+C224+1)</f>
        <v>2046</v>
      </c>
      <c r="D225" s="703">
        <f t="shared" si="7"/>
        <v>121483.86585365917</v>
      </c>
      <c r="E225" s="758">
        <f t="shared" si="11"/>
        <v>14292.219512195123</v>
      </c>
      <c r="F225" s="703">
        <f t="shared" si="6"/>
        <v>107191.64634146405</v>
      </c>
      <c r="G225" s="1296">
        <f t="shared" si="8"/>
        <v>25625.242616947151</v>
      </c>
      <c r="H225" s="1299">
        <f t="shared" si="9"/>
        <v>25625.242616947151</v>
      </c>
      <c r="I225" s="755">
        <f t="shared" si="10"/>
        <v>0</v>
      </c>
      <c r="J225" s="755"/>
      <c r="K225" s="903"/>
      <c r="L225" s="761"/>
      <c r="M225" s="903"/>
      <c r="N225" s="761"/>
      <c r="O225" s="761"/>
    </row>
    <row r="226" spans="3:15">
      <c r="C226" s="751">
        <f>IF(D186="","-",+C225+1)</f>
        <v>2047</v>
      </c>
      <c r="D226" s="703">
        <f t="shared" si="7"/>
        <v>107191.64634146405</v>
      </c>
      <c r="E226" s="758">
        <f t="shared" si="11"/>
        <v>14292.219512195123</v>
      </c>
      <c r="F226" s="703">
        <f t="shared" si="6"/>
        <v>92899.426829268923</v>
      </c>
      <c r="G226" s="1296">
        <f t="shared" si="8"/>
        <v>24208.614728853157</v>
      </c>
      <c r="H226" s="1299">
        <f t="shared" si="9"/>
        <v>24208.614728853157</v>
      </c>
      <c r="I226" s="755">
        <f t="shared" si="10"/>
        <v>0</v>
      </c>
      <c r="J226" s="755"/>
      <c r="K226" s="903"/>
      <c r="L226" s="761"/>
      <c r="M226" s="903"/>
      <c r="N226" s="761"/>
      <c r="O226" s="761"/>
    </row>
    <row r="227" spans="3:15">
      <c r="C227" s="751">
        <f>IF(D186="","-",+C226+1)</f>
        <v>2048</v>
      </c>
      <c r="D227" s="703">
        <f t="shared" si="7"/>
        <v>92899.426829268923</v>
      </c>
      <c r="E227" s="758">
        <f t="shared" si="11"/>
        <v>14292.219512195123</v>
      </c>
      <c r="F227" s="703">
        <f t="shared" si="6"/>
        <v>78607.2073170738</v>
      </c>
      <c r="G227" s="1296">
        <f t="shared" si="8"/>
        <v>22791.98684075916</v>
      </c>
      <c r="H227" s="1299">
        <f t="shared" si="9"/>
        <v>22791.98684075916</v>
      </c>
      <c r="I227" s="755">
        <f t="shared" si="10"/>
        <v>0</v>
      </c>
      <c r="J227" s="755"/>
      <c r="K227" s="903"/>
      <c r="L227" s="761"/>
      <c r="M227" s="903"/>
      <c r="N227" s="761"/>
      <c r="O227" s="761"/>
    </row>
    <row r="228" spans="3:15">
      <c r="C228" s="751">
        <f>IF(D186="","-",+C227+1)</f>
        <v>2049</v>
      </c>
      <c r="D228" s="703">
        <f t="shared" si="7"/>
        <v>78607.2073170738</v>
      </c>
      <c r="E228" s="758">
        <f t="shared" si="11"/>
        <v>14292.219512195123</v>
      </c>
      <c r="F228" s="703">
        <f t="shared" si="6"/>
        <v>64314.987804878678</v>
      </c>
      <c r="G228" s="1296">
        <f t="shared" si="8"/>
        <v>21375.358952665163</v>
      </c>
      <c r="H228" s="1299">
        <f t="shared" si="9"/>
        <v>21375.358952665163</v>
      </c>
      <c r="I228" s="755">
        <f t="shared" si="10"/>
        <v>0</v>
      </c>
      <c r="J228" s="755"/>
      <c r="K228" s="903"/>
      <c r="L228" s="761"/>
      <c r="M228" s="903"/>
      <c r="N228" s="761"/>
      <c r="O228" s="761"/>
    </row>
    <row r="229" spans="3:15">
      <c r="C229" s="751">
        <f>IF(D186="","-",+C228+1)</f>
        <v>2050</v>
      </c>
      <c r="D229" s="703">
        <f t="shared" si="7"/>
        <v>64314.987804878678</v>
      </c>
      <c r="E229" s="758">
        <f t="shared" si="11"/>
        <v>14292.219512195123</v>
      </c>
      <c r="F229" s="703">
        <f t="shared" si="6"/>
        <v>50022.768292683555</v>
      </c>
      <c r="G229" s="1296">
        <f t="shared" si="8"/>
        <v>19958.73106457117</v>
      </c>
      <c r="H229" s="1299">
        <f t="shared" si="9"/>
        <v>19958.73106457117</v>
      </c>
      <c r="I229" s="755">
        <f t="shared" si="10"/>
        <v>0</v>
      </c>
      <c r="J229" s="755"/>
      <c r="K229" s="903"/>
      <c r="L229" s="761"/>
      <c r="M229" s="903"/>
      <c r="N229" s="761"/>
      <c r="O229" s="761"/>
    </row>
    <row r="230" spans="3:15">
      <c r="C230" s="751">
        <f>IF(D186="","-",+C229+1)</f>
        <v>2051</v>
      </c>
      <c r="D230" s="703">
        <f t="shared" si="7"/>
        <v>50022.768292683555</v>
      </c>
      <c r="E230" s="758">
        <f t="shared" si="11"/>
        <v>14292.219512195123</v>
      </c>
      <c r="F230" s="703">
        <f t="shared" si="6"/>
        <v>35730.548780488432</v>
      </c>
      <c r="G230" s="1296">
        <f t="shared" si="8"/>
        <v>18542.103176477172</v>
      </c>
      <c r="H230" s="1299">
        <f t="shared" si="9"/>
        <v>18542.103176477172</v>
      </c>
      <c r="I230" s="755">
        <f t="shared" si="10"/>
        <v>0</v>
      </c>
      <c r="J230" s="755"/>
      <c r="K230" s="903"/>
      <c r="L230" s="761"/>
      <c r="M230" s="903"/>
      <c r="N230" s="761"/>
      <c r="O230" s="761"/>
    </row>
    <row r="231" spans="3:15">
      <c r="C231" s="751">
        <f>IF(D186="","-",+C230+1)</f>
        <v>2052</v>
      </c>
      <c r="D231" s="703">
        <f t="shared" si="7"/>
        <v>35730.548780488432</v>
      </c>
      <c r="E231" s="758">
        <f t="shared" si="11"/>
        <v>14292.219512195123</v>
      </c>
      <c r="F231" s="703">
        <f t="shared" si="6"/>
        <v>21438.32926829331</v>
      </c>
      <c r="G231" s="1296">
        <f t="shared" si="8"/>
        <v>17125.475288383175</v>
      </c>
      <c r="H231" s="1299">
        <f t="shared" si="9"/>
        <v>17125.475288383175</v>
      </c>
      <c r="I231" s="755">
        <f t="shared" si="10"/>
        <v>0</v>
      </c>
      <c r="J231" s="755"/>
      <c r="K231" s="903"/>
      <c r="L231" s="761"/>
      <c r="M231" s="903"/>
      <c r="N231" s="761"/>
      <c r="O231" s="761"/>
    </row>
    <row r="232" spans="3:15">
      <c r="C232" s="751">
        <f>IF(D186="","-",+C231+1)</f>
        <v>2053</v>
      </c>
      <c r="D232" s="703">
        <f t="shared" si="7"/>
        <v>21438.32926829331</v>
      </c>
      <c r="E232" s="758">
        <f t="shared" si="11"/>
        <v>14292.219512195123</v>
      </c>
      <c r="F232" s="703">
        <f t="shared" si="6"/>
        <v>7146.1097560981871</v>
      </c>
      <c r="G232" s="1296">
        <f t="shared" si="8"/>
        <v>15708.84740028918</v>
      </c>
      <c r="H232" s="1299">
        <f t="shared" si="9"/>
        <v>15708.84740028918</v>
      </c>
      <c r="I232" s="755">
        <f t="shared" si="10"/>
        <v>0</v>
      </c>
      <c r="J232" s="755"/>
      <c r="K232" s="903"/>
      <c r="L232" s="761"/>
      <c r="M232" s="903"/>
      <c r="N232" s="761"/>
      <c r="O232" s="761"/>
    </row>
    <row r="233" spans="3:15">
      <c r="C233" s="751">
        <f>IF(D186="","-",+C232+1)</f>
        <v>2054</v>
      </c>
      <c r="D233" s="703">
        <f t="shared" si="7"/>
        <v>7146.1097560981871</v>
      </c>
      <c r="E233" s="758">
        <f t="shared" si="11"/>
        <v>7146.1097560981871</v>
      </c>
      <c r="F233" s="703">
        <f t="shared" si="6"/>
        <v>0</v>
      </c>
      <c r="G233" s="1296">
        <f t="shared" si="8"/>
        <v>7500.2667281217173</v>
      </c>
      <c r="H233" s="1299">
        <f t="shared" si="9"/>
        <v>7500.2667281217173</v>
      </c>
      <c r="I233" s="755">
        <f t="shared" si="10"/>
        <v>0</v>
      </c>
      <c r="J233" s="755"/>
      <c r="K233" s="903"/>
      <c r="L233" s="761"/>
      <c r="M233" s="903"/>
      <c r="N233" s="761"/>
      <c r="O233" s="761"/>
    </row>
    <row r="234" spans="3:15">
      <c r="C234" s="751">
        <f>IF(D186="","-",+C233+1)</f>
        <v>2055</v>
      </c>
      <c r="D234" s="703">
        <f t="shared" si="7"/>
        <v>0</v>
      </c>
      <c r="E234" s="758">
        <f t="shared" si="11"/>
        <v>0</v>
      </c>
      <c r="F234" s="703">
        <f t="shared" si="6"/>
        <v>0</v>
      </c>
      <c r="G234" s="1296">
        <f t="shared" si="8"/>
        <v>0</v>
      </c>
      <c r="H234" s="1299">
        <f t="shared" si="9"/>
        <v>0</v>
      </c>
      <c r="I234" s="755">
        <f t="shared" si="10"/>
        <v>0</v>
      </c>
      <c r="J234" s="755"/>
      <c r="K234" s="903"/>
      <c r="L234" s="761"/>
      <c r="M234" s="903"/>
      <c r="N234" s="761"/>
      <c r="O234" s="761"/>
    </row>
    <row r="235" spans="3:15">
      <c r="C235" s="751">
        <f>IF(D186="","-",+C234+1)</f>
        <v>2056</v>
      </c>
      <c r="D235" s="703">
        <f t="shared" si="7"/>
        <v>0</v>
      </c>
      <c r="E235" s="758">
        <f t="shared" si="11"/>
        <v>0</v>
      </c>
      <c r="F235" s="703">
        <f t="shared" si="6"/>
        <v>0</v>
      </c>
      <c r="G235" s="1296">
        <f t="shared" si="8"/>
        <v>0</v>
      </c>
      <c r="H235" s="1299">
        <f t="shared" si="9"/>
        <v>0</v>
      </c>
      <c r="I235" s="755">
        <f t="shared" si="10"/>
        <v>0</v>
      </c>
      <c r="J235" s="755"/>
      <c r="K235" s="903"/>
      <c r="L235" s="761"/>
      <c r="M235" s="903"/>
      <c r="N235" s="761"/>
      <c r="O235" s="761"/>
    </row>
    <row r="236" spans="3:15">
      <c r="C236" s="751">
        <f>IF(D186="","-",+C235+1)</f>
        <v>2057</v>
      </c>
      <c r="D236" s="703">
        <f t="shared" si="7"/>
        <v>0</v>
      </c>
      <c r="E236" s="758">
        <f t="shared" si="11"/>
        <v>0</v>
      </c>
      <c r="F236" s="703">
        <f t="shared" si="6"/>
        <v>0</v>
      </c>
      <c r="G236" s="1296">
        <f t="shared" si="8"/>
        <v>0</v>
      </c>
      <c r="H236" s="1299">
        <f t="shared" si="9"/>
        <v>0</v>
      </c>
      <c r="I236" s="755">
        <f t="shared" si="10"/>
        <v>0</v>
      </c>
      <c r="J236" s="755"/>
      <c r="K236" s="903"/>
      <c r="L236" s="761"/>
      <c r="M236" s="903"/>
      <c r="N236" s="761"/>
      <c r="O236" s="761"/>
    </row>
    <row r="237" spans="3:15">
      <c r="C237" s="751">
        <f>IF(D186="","-",+C236+1)</f>
        <v>2058</v>
      </c>
      <c r="D237" s="703">
        <f t="shared" si="7"/>
        <v>0</v>
      </c>
      <c r="E237" s="758">
        <f t="shared" si="11"/>
        <v>0</v>
      </c>
      <c r="F237" s="703">
        <f t="shared" si="6"/>
        <v>0</v>
      </c>
      <c r="G237" s="1296">
        <f t="shared" si="8"/>
        <v>0</v>
      </c>
      <c r="H237" s="1299">
        <f t="shared" si="9"/>
        <v>0</v>
      </c>
      <c r="I237" s="755">
        <f t="shared" si="10"/>
        <v>0</v>
      </c>
      <c r="J237" s="755"/>
      <c r="K237" s="903"/>
      <c r="L237" s="761"/>
      <c r="M237" s="903"/>
      <c r="N237" s="761"/>
      <c r="O237" s="761"/>
    </row>
    <row r="238" spans="3:15">
      <c r="C238" s="751">
        <f>IF(D186="","-",+C237+1)</f>
        <v>2059</v>
      </c>
      <c r="D238" s="703">
        <f t="shared" si="7"/>
        <v>0</v>
      </c>
      <c r="E238" s="758">
        <f t="shared" si="11"/>
        <v>0</v>
      </c>
      <c r="F238" s="703">
        <f t="shared" si="6"/>
        <v>0</v>
      </c>
      <c r="G238" s="1296">
        <f t="shared" si="8"/>
        <v>0</v>
      </c>
      <c r="H238" s="1299">
        <f t="shared" si="9"/>
        <v>0</v>
      </c>
      <c r="I238" s="755">
        <f t="shared" si="10"/>
        <v>0</v>
      </c>
      <c r="J238" s="755"/>
      <c r="K238" s="903"/>
      <c r="L238" s="761"/>
      <c r="M238" s="903"/>
      <c r="N238" s="761"/>
      <c r="O238" s="761"/>
    </row>
    <row r="239" spans="3:15">
      <c r="C239" s="751">
        <f>IF(D186="","-",+C238+1)</f>
        <v>2060</v>
      </c>
      <c r="D239" s="703">
        <f t="shared" si="7"/>
        <v>0</v>
      </c>
      <c r="E239" s="758">
        <f t="shared" si="11"/>
        <v>0</v>
      </c>
      <c r="F239" s="703">
        <f t="shared" si="6"/>
        <v>0</v>
      </c>
      <c r="G239" s="1296">
        <f t="shared" si="8"/>
        <v>0</v>
      </c>
      <c r="H239" s="1299">
        <f t="shared" si="9"/>
        <v>0</v>
      </c>
      <c r="I239" s="755">
        <f t="shared" si="10"/>
        <v>0</v>
      </c>
      <c r="J239" s="755"/>
      <c r="K239" s="903"/>
      <c r="L239" s="761"/>
      <c r="M239" s="903"/>
      <c r="N239" s="761"/>
      <c r="O239" s="761"/>
    </row>
    <row r="240" spans="3:15">
      <c r="C240" s="751">
        <f>IF(D186="","-",+C239+1)</f>
        <v>2061</v>
      </c>
      <c r="D240" s="703">
        <f t="shared" si="7"/>
        <v>0</v>
      </c>
      <c r="E240" s="758">
        <f t="shared" si="11"/>
        <v>0</v>
      </c>
      <c r="F240" s="703">
        <f t="shared" si="6"/>
        <v>0</v>
      </c>
      <c r="G240" s="1296">
        <f t="shared" si="8"/>
        <v>0</v>
      </c>
      <c r="H240" s="1299">
        <f t="shared" si="9"/>
        <v>0</v>
      </c>
      <c r="I240" s="755">
        <f t="shared" si="10"/>
        <v>0</v>
      </c>
      <c r="J240" s="755"/>
      <c r="K240" s="903"/>
      <c r="L240" s="761"/>
      <c r="M240" s="903"/>
      <c r="N240" s="761"/>
      <c r="O240" s="761"/>
    </row>
    <row r="241" spans="3:15">
      <c r="C241" s="751">
        <f>IF(D186="","-",+C240+1)</f>
        <v>2062</v>
      </c>
      <c r="D241" s="703">
        <f t="shared" si="7"/>
        <v>0</v>
      </c>
      <c r="E241" s="758">
        <f t="shared" si="11"/>
        <v>0</v>
      </c>
      <c r="F241" s="703">
        <f t="shared" si="6"/>
        <v>0</v>
      </c>
      <c r="G241" s="1296">
        <f t="shared" si="8"/>
        <v>0</v>
      </c>
      <c r="H241" s="1299">
        <f t="shared" si="9"/>
        <v>0</v>
      </c>
      <c r="I241" s="755">
        <f t="shared" si="10"/>
        <v>0</v>
      </c>
      <c r="J241" s="755"/>
      <c r="K241" s="903"/>
      <c r="L241" s="761"/>
      <c r="M241" s="903"/>
      <c r="N241" s="761"/>
      <c r="O241" s="761"/>
    </row>
    <row r="242" spans="3:15">
      <c r="C242" s="751">
        <f>IF(D186="","-",+C241+1)</f>
        <v>2063</v>
      </c>
      <c r="D242" s="703">
        <f t="shared" si="7"/>
        <v>0</v>
      </c>
      <c r="E242" s="758">
        <f t="shared" si="11"/>
        <v>0</v>
      </c>
      <c r="F242" s="703">
        <f t="shared" si="6"/>
        <v>0</v>
      </c>
      <c r="G242" s="1296">
        <f t="shared" si="8"/>
        <v>0</v>
      </c>
      <c r="H242" s="1299">
        <f t="shared" si="9"/>
        <v>0</v>
      </c>
      <c r="I242" s="755">
        <f t="shared" si="10"/>
        <v>0</v>
      </c>
      <c r="J242" s="755"/>
      <c r="K242" s="903"/>
      <c r="L242" s="761"/>
      <c r="M242" s="903"/>
      <c r="N242" s="761"/>
      <c r="O242" s="761"/>
    </row>
    <row r="243" spans="3:15">
      <c r="C243" s="751">
        <f>IF(D186="","-",+C242+1)</f>
        <v>2064</v>
      </c>
      <c r="D243" s="703">
        <f t="shared" si="7"/>
        <v>0</v>
      </c>
      <c r="E243" s="758">
        <f t="shared" si="11"/>
        <v>0</v>
      </c>
      <c r="F243" s="703">
        <f t="shared" si="6"/>
        <v>0</v>
      </c>
      <c r="G243" s="1296">
        <f t="shared" si="8"/>
        <v>0</v>
      </c>
      <c r="H243" s="1299">
        <f t="shared" si="9"/>
        <v>0</v>
      </c>
      <c r="I243" s="755">
        <f t="shared" si="10"/>
        <v>0</v>
      </c>
      <c r="J243" s="755"/>
      <c r="K243" s="903"/>
      <c r="L243" s="761"/>
      <c r="M243" s="903"/>
      <c r="N243" s="761"/>
      <c r="O243" s="761"/>
    </row>
    <row r="244" spans="3:15">
      <c r="C244" s="751">
        <f>IF(D186="","-",+C243+1)</f>
        <v>2065</v>
      </c>
      <c r="D244" s="703">
        <f t="shared" si="7"/>
        <v>0</v>
      </c>
      <c r="E244" s="758">
        <f t="shared" si="11"/>
        <v>0</v>
      </c>
      <c r="F244" s="703">
        <f t="shared" si="6"/>
        <v>0</v>
      </c>
      <c r="G244" s="1296">
        <f t="shared" si="8"/>
        <v>0</v>
      </c>
      <c r="H244" s="1299">
        <f t="shared" si="9"/>
        <v>0</v>
      </c>
      <c r="I244" s="755">
        <f t="shared" si="10"/>
        <v>0</v>
      </c>
      <c r="J244" s="755"/>
      <c r="K244" s="903"/>
      <c r="L244" s="761"/>
      <c r="M244" s="903"/>
      <c r="N244" s="761"/>
      <c r="O244" s="761"/>
    </row>
    <row r="245" spans="3:15">
      <c r="C245" s="751">
        <f>IF(D186="","-",+C244+1)</f>
        <v>2066</v>
      </c>
      <c r="D245" s="703">
        <f t="shared" si="7"/>
        <v>0</v>
      </c>
      <c r="E245" s="758">
        <f t="shared" si="11"/>
        <v>0</v>
      </c>
      <c r="F245" s="703">
        <f t="shared" si="6"/>
        <v>0</v>
      </c>
      <c r="G245" s="1296">
        <f t="shared" si="8"/>
        <v>0</v>
      </c>
      <c r="H245" s="1299">
        <f t="shared" si="9"/>
        <v>0</v>
      </c>
      <c r="I245" s="755">
        <f t="shared" si="10"/>
        <v>0</v>
      </c>
      <c r="J245" s="755"/>
      <c r="K245" s="903"/>
      <c r="L245" s="761"/>
      <c r="M245" s="903"/>
      <c r="N245" s="761"/>
      <c r="O245" s="761"/>
    </row>
    <row r="246" spans="3:15">
      <c r="C246" s="751">
        <f>IF(D186="","-",+C245+1)</f>
        <v>2067</v>
      </c>
      <c r="D246" s="703">
        <f t="shared" si="7"/>
        <v>0</v>
      </c>
      <c r="E246" s="758">
        <f t="shared" si="11"/>
        <v>0</v>
      </c>
      <c r="F246" s="703">
        <f t="shared" si="6"/>
        <v>0</v>
      </c>
      <c r="G246" s="1296">
        <f t="shared" si="8"/>
        <v>0</v>
      </c>
      <c r="H246" s="1299">
        <f t="shared" si="9"/>
        <v>0</v>
      </c>
      <c r="I246" s="755">
        <f t="shared" si="10"/>
        <v>0</v>
      </c>
      <c r="J246" s="755"/>
      <c r="K246" s="903"/>
      <c r="L246" s="761"/>
      <c r="M246" s="903"/>
      <c r="N246" s="761"/>
      <c r="O246" s="761"/>
    </row>
    <row r="247" spans="3:15">
      <c r="C247" s="751">
        <f>IF(D186="","-",+C246+1)</f>
        <v>2068</v>
      </c>
      <c r="D247" s="703">
        <f t="shared" si="7"/>
        <v>0</v>
      </c>
      <c r="E247" s="758">
        <f t="shared" si="11"/>
        <v>0</v>
      </c>
      <c r="F247" s="703">
        <f t="shared" si="6"/>
        <v>0</v>
      </c>
      <c r="G247" s="1296">
        <f t="shared" si="8"/>
        <v>0</v>
      </c>
      <c r="H247" s="1299">
        <f t="shared" si="9"/>
        <v>0</v>
      </c>
      <c r="I247" s="755">
        <f t="shared" si="10"/>
        <v>0</v>
      </c>
      <c r="J247" s="755"/>
      <c r="K247" s="903"/>
      <c r="L247" s="761"/>
      <c r="M247" s="903"/>
      <c r="N247" s="761"/>
      <c r="O247" s="761"/>
    </row>
    <row r="248" spans="3:15">
      <c r="C248" s="751">
        <f>IF(D186="","-",+C247+1)</f>
        <v>2069</v>
      </c>
      <c r="D248" s="703">
        <f t="shared" si="7"/>
        <v>0</v>
      </c>
      <c r="E248" s="758">
        <f t="shared" si="11"/>
        <v>0</v>
      </c>
      <c r="F248" s="703">
        <f t="shared" si="6"/>
        <v>0</v>
      </c>
      <c r="G248" s="1296">
        <f t="shared" si="8"/>
        <v>0</v>
      </c>
      <c r="H248" s="1299">
        <f t="shared" si="9"/>
        <v>0</v>
      </c>
      <c r="I248" s="755">
        <f t="shared" si="10"/>
        <v>0</v>
      </c>
      <c r="J248" s="755"/>
      <c r="K248" s="903"/>
      <c r="L248" s="761"/>
      <c r="M248" s="903"/>
      <c r="N248" s="761"/>
      <c r="O248" s="761"/>
    </row>
    <row r="249" spans="3:15">
      <c r="C249" s="751">
        <f>IF(D186="","-",+C248+1)</f>
        <v>2070</v>
      </c>
      <c r="D249" s="703">
        <f t="shared" si="7"/>
        <v>0</v>
      </c>
      <c r="E249" s="758">
        <f t="shared" si="11"/>
        <v>0</v>
      </c>
      <c r="F249" s="703">
        <f t="shared" si="6"/>
        <v>0</v>
      </c>
      <c r="G249" s="1296">
        <f t="shared" si="8"/>
        <v>0</v>
      </c>
      <c r="H249" s="1299">
        <f t="shared" si="9"/>
        <v>0</v>
      </c>
      <c r="I249" s="755">
        <f t="shared" si="10"/>
        <v>0</v>
      </c>
      <c r="J249" s="755"/>
      <c r="K249" s="903"/>
      <c r="L249" s="761"/>
      <c r="M249" s="903"/>
      <c r="N249" s="761"/>
      <c r="O249" s="761"/>
    </row>
    <row r="250" spans="3:15">
      <c r="C250" s="751">
        <f>IF(D186="","-",+C249+1)</f>
        <v>2071</v>
      </c>
      <c r="D250" s="703">
        <f t="shared" si="7"/>
        <v>0</v>
      </c>
      <c r="E250" s="758">
        <f t="shared" si="11"/>
        <v>0</v>
      </c>
      <c r="F250" s="703">
        <f t="shared" si="6"/>
        <v>0</v>
      </c>
      <c r="G250" s="1296">
        <f t="shared" si="8"/>
        <v>0</v>
      </c>
      <c r="H250" s="1299">
        <f t="shared" si="9"/>
        <v>0</v>
      </c>
      <c r="I250" s="755">
        <f t="shared" si="10"/>
        <v>0</v>
      </c>
      <c r="J250" s="755"/>
      <c r="K250" s="903"/>
      <c r="L250" s="761"/>
      <c r="M250" s="903"/>
      <c r="N250" s="761"/>
      <c r="O250" s="761"/>
    </row>
    <row r="251" spans="3:15" ht="13.5" thickBot="1">
      <c r="C251" s="762">
        <f>IF(D186="","-",+C250+1)</f>
        <v>2072</v>
      </c>
      <c r="D251" s="763">
        <f t="shared" si="7"/>
        <v>0</v>
      </c>
      <c r="E251" s="764">
        <f t="shared" si="11"/>
        <v>0</v>
      </c>
      <c r="F251" s="763">
        <f t="shared" si="6"/>
        <v>0</v>
      </c>
      <c r="G251" s="1307">
        <f t="shared" si="8"/>
        <v>0</v>
      </c>
      <c r="H251" s="1307">
        <f t="shared" si="9"/>
        <v>0</v>
      </c>
      <c r="I251" s="766">
        <f t="shared" si="10"/>
        <v>0</v>
      </c>
      <c r="J251" s="755"/>
      <c r="K251" s="904"/>
      <c r="L251" s="768"/>
      <c r="M251" s="904"/>
      <c r="N251" s="768"/>
      <c r="O251" s="768"/>
    </row>
    <row r="252" spans="3:15">
      <c r="C252" s="703" t="s">
        <v>289</v>
      </c>
      <c r="D252" s="1277"/>
      <c r="E252" s="1277">
        <f>SUM(E192:E251)</f>
        <v>585981</v>
      </c>
      <c r="F252" s="1277"/>
      <c r="G252" s="1277">
        <f>SUM(G192:G251)</f>
        <v>1805697.6116489333</v>
      </c>
      <c r="H252" s="1277">
        <f>SUM(H192:H251)</f>
        <v>1805697.6116489333</v>
      </c>
      <c r="I252" s="1277">
        <f>SUM(I192:I251)</f>
        <v>0</v>
      </c>
      <c r="J252" s="1277"/>
      <c r="K252" s="1277"/>
      <c r="L252" s="1277"/>
      <c r="M252" s="1277"/>
      <c r="N252" s="1277"/>
      <c r="O252" s="570"/>
    </row>
    <row r="253" spans="3:15">
      <c r="D253" s="593"/>
      <c r="E253" s="570"/>
      <c r="F253" s="570"/>
      <c r="G253" s="570"/>
      <c r="H253" s="1276"/>
      <c r="I253" s="1276"/>
      <c r="J253" s="1277"/>
      <c r="K253" s="1276"/>
      <c r="L253" s="1276"/>
      <c r="M253" s="1276"/>
      <c r="N253" s="1276"/>
      <c r="O253" s="570"/>
    </row>
    <row r="254" spans="3:15">
      <c r="C254" s="1308" t="s">
        <v>968</v>
      </c>
      <c r="D254" s="593"/>
      <c r="E254" s="570"/>
      <c r="F254" s="570"/>
      <c r="G254" s="570"/>
      <c r="H254" s="1276"/>
      <c r="I254" s="1276"/>
      <c r="J254" s="1277"/>
      <c r="K254" s="1276"/>
      <c r="L254" s="1276"/>
      <c r="M254" s="1276"/>
      <c r="N254" s="1276"/>
      <c r="O254" s="570"/>
    </row>
    <row r="255" spans="3:15">
      <c r="D255" s="593"/>
      <c r="E255" s="570"/>
      <c r="F255" s="570"/>
      <c r="G255" s="570"/>
      <c r="H255" s="1276"/>
      <c r="I255" s="1276"/>
      <c r="J255" s="1277"/>
      <c r="K255" s="1276"/>
      <c r="L255" s="1276"/>
      <c r="M255" s="1276"/>
      <c r="N255" s="1276"/>
      <c r="O255" s="570"/>
    </row>
    <row r="256" spans="3:15">
      <c r="C256" s="716" t="s">
        <v>969</v>
      </c>
      <c r="D256" s="703"/>
      <c r="E256" s="703"/>
      <c r="F256" s="703"/>
      <c r="G256" s="1277"/>
      <c r="H256" s="1277"/>
      <c r="I256" s="704"/>
      <c r="J256" s="704"/>
      <c r="K256" s="704"/>
      <c r="L256" s="704"/>
      <c r="M256" s="704"/>
      <c r="N256" s="704"/>
      <c r="O256" s="570"/>
    </row>
    <row r="257" spans="1:16">
      <c r="C257" s="702" t="s">
        <v>477</v>
      </c>
      <c r="D257" s="703"/>
      <c r="E257" s="703"/>
      <c r="F257" s="703"/>
      <c r="G257" s="1277"/>
      <c r="H257" s="1277"/>
      <c r="I257" s="704"/>
      <c r="J257" s="704"/>
      <c r="K257" s="704"/>
      <c r="L257" s="704"/>
      <c r="M257" s="704"/>
      <c r="N257" s="704"/>
      <c r="O257" s="570"/>
    </row>
    <row r="258" spans="1:16">
      <c r="C258" s="702" t="s">
        <v>290</v>
      </c>
      <c r="D258" s="703"/>
      <c r="E258" s="703"/>
      <c r="F258" s="703"/>
      <c r="G258" s="1277"/>
      <c r="H258" s="1277"/>
      <c r="I258" s="704"/>
      <c r="J258" s="704"/>
      <c r="K258" s="704"/>
      <c r="L258" s="704"/>
      <c r="M258" s="704"/>
      <c r="N258" s="704"/>
      <c r="O258" s="570"/>
    </row>
    <row r="259" spans="1:16">
      <c r="C259" s="702"/>
      <c r="D259" s="703"/>
      <c r="E259" s="703"/>
      <c r="F259" s="703"/>
      <c r="G259" s="1277"/>
      <c r="H259" s="1277"/>
      <c r="I259" s="704"/>
      <c r="J259" s="704"/>
      <c r="K259" s="704"/>
      <c r="L259" s="704"/>
      <c r="M259" s="704"/>
      <c r="N259" s="704"/>
      <c r="O259" s="570"/>
    </row>
    <row r="260" spans="1:16">
      <c r="C260" s="1507" t="s">
        <v>461</v>
      </c>
      <c r="D260" s="1507"/>
      <c r="E260" s="1507"/>
      <c r="F260" s="1507"/>
      <c r="G260" s="1507"/>
      <c r="H260" s="1507"/>
      <c r="I260" s="1507"/>
      <c r="J260" s="1507"/>
      <c r="K260" s="1507"/>
      <c r="L260" s="1507"/>
      <c r="M260" s="1507"/>
      <c r="N260" s="1507"/>
      <c r="O260" s="1507"/>
    </row>
    <row r="261" spans="1:16">
      <c r="C261" s="1507"/>
      <c r="D261" s="1507"/>
      <c r="E261" s="1507"/>
      <c r="F261" s="1507"/>
      <c r="G261" s="1507"/>
      <c r="H261" s="1507"/>
      <c r="I261" s="1507"/>
      <c r="J261" s="1507"/>
      <c r="K261" s="1507"/>
      <c r="L261" s="1507"/>
      <c r="M261" s="1507"/>
      <c r="N261" s="1507"/>
      <c r="O261" s="1507"/>
    </row>
    <row r="262" spans="1:16" ht="20.25">
      <c r="A262" s="705" t="s">
        <v>965</v>
      </c>
      <c r="B262" s="606"/>
      <c r="C262" s="685"/>
      <c r="D262" s="593"/>
      <c r="E262" s="570"/>
      <c r="F262" s="675"/>
      <c r="G262" s="570"/>
      <c r="H262" s="1276"/>
      <c r="K262" s="706"/>
      <c r="L262" s="706"/>
      <c r="M262" s="706"/>
      <c r="N262" s="621" t="str">
        <f>"Page "&amp;P262&amp;" of "</f>
        <v xml:space="preserve">Page 4 of </v>
      </c>
      <c r="O262" s="622">
        <f>COUNT(P$6:P$59527)</f>
        <v>10</v>
      </c>
      <c r="P262" s="570">
        <v>4</v>
      </c>
    </row>
    <row r="263" spans="1:16">
      <c r="B263" s="606"/>
      <c r="C263" s="570"/>
      <c r="D263" s="593"/>
      <c r="E263" s="570"/>
      <c r="F263" s="570"/>
      <c r="G263" s="570"/>
      <c r="H263" s="1276"/>
      <c r="I263" s="570"/>
      <c r="J263" s="618"/>
      <c r="K263" s="570"/>
      <c r="L263" s="570"/>
      <c r="M263" s="570"/>
      <c r="N263" s="570"/>
      <c r="O263" s="570"/>
    </row>
    <row r="264" spans="1:16" ht="18">
      <c r="B264" s="625" t="s">
        <v>175</v>
      </c>
      <c r="C264" s="707" t="s">
        <v>291</v>
      </c>
      <c r="D264" s="593"/>
      <c r="E264" s="570"/>
      <c r="F264" s="570"/>
      <c r="G264" s="570"/>
      <c r="H264" s="1276"/>
      <c r="I264" s="1276"/>
      <c r="J264" s="1277"/>
      <c r="K264" s="1276"/>
      <c r="L264" s="1276"/>
      <c r="M264" s="1276"/>
      <c r="N264" s="1276"/>
      <c r="O264" s="570"/>
    </row>
    <row r="265" spans="1:16" ht="18.75">
      <c r="B265" s="625"/>
      <c r="C265" s="624"/>
      <c r="D265" s="593"/>
      <c r="E265" s="570"/>
      <c r="F265" s="570"/>
      <c r="G265" s="570"/>
      <c r="H265" s="1276"/>
      <c r="I265" s="1276"/>
      <c r="J265" s="1277"/>
      <c r="K265" s="1276"/>
      <c r="L265" s="1276"/>
      <c r="M265" s="1276"/>
      <c r="N265" s="1276"/>
      <c r="O265" s="570"/>
    </row>
    <row r="266" spans="1:16" ht="18.75">
      <c r="B266" s="625"/>
      <c r="C266" s="624" t="s">
        <v>292</v>
      </c>
      <c r="D266" s="593"/>
      <c r="E266" s="570"/>
      <c r="F266" s="570"/>
      <c r="G266" s="570"/>
      <c r="H266" s="1276"/>
      <c r="I266" s="1276"/>
      <c r="J266" s="1277"/>
      <c r="K266" s="1276"/>
      <c r="L266" s="1276"/>
      <c r="M266" s="1276"/>
      <c r="N266" s="1276"/>
      <c r="O266" s="570"/>
    </row>
    <row r="267" spans="1:16" ht="15.75" thickBot="1">
      <c r="C267" s="423"/>
      <c r="D267" s="593"/>
      <c r="E267" s="570"/>
      <c r="F267" s="570"/>
      <c r="G267" s="570"/>
      <c r="H267" s="1276"/>
      <c r="I267" s="1276"/>
      <c r="J267" s="1277"/>
      <c r="K267" s="1276"/>
      <c r="L267" s="1276"/>
      <c r="M267" s="1276"/>
      <c r="N267" s="1276"/>
      <c r="O267" s="570"/>
    </row>
    <row r="268" spans="1:16" ht="15.75">
      <c r="C268" s="626" t="s">
        <v>293</v>
      </c>
      <c r="D268" s="593"/>
      <c r="E268" s="570"/>
      <c r="F268" s="570"/>
      <c r="G268" s="1278"/>
      <c r="H268" s="570" t="s">
        <v>272</v>
      </c>
      <c r="I268" s="570"/>
      <c r="J268" s="618"/>
      <c r="K268" s="708" t="s">
        <v>297</v>
      </c>
      <c r="L268" s="709"/>
      <c r="M268" s="710"/>
      <c r="N268" s="1279">
        <f>VLOOKUP(I274,C281:O340,5)</f>
        <v>2278397.9465958402</v>
      </c>
      <c r="O268" s="570"/>
    </row>
    <row r="269" spans="1:16" ht="15.75">
      <c r="C269" s="626"/>
      <c r="D269" s="593"/>
      <c r="E269" s="570"/>
      <c r="F269" s="570"/>
      <c r="G269" s="570"/>
      <c r="H269" s="1280"/>
      <c r="I269" s="1280"/>
      <c r="J269" s="1281"/>
      <c r="K269" s="713" t="s">
        <v>298</v>
      </c>
      <c r="L269" s="1282"/>
      <c r="M269" s="618"/>
      <c r="N269" s="1283">
        <f>VLOOKUP(I274,C281:O340,6)</f>
        <v>2278397.9465958402</v>
      </c>
      <c r="O269" s="570"/>
    </row>
    <row r="270" spans="1:16" ht="13.5" thickBot="1">
      <c r="C270" s="714" t="s">
        <v>294</v>
      </c>
      <c r="D270" s="1508" t="s">
        <v>971</v>
      </c>
      <c r="E270" s="1508"/>
      <c r="F270" s="1508"/>
      <c r="G270" s="1508"/>
      <c r="H270" s="1508"/>
      <c r="I270" s="1508"/>
      <c r="J270" s="1277"/>
      <c r="K270" s="1284" t="s">
        <v>451</v>
      </c>
      <c r="L270" s="1285"/>
      <c r="M270" s="1285"/>
      <c r="N270" s="1286">
        <f>+N269-N268</f>
        <v>0</v>
      </c>
      <c r="O270" s="570"/>
    </row>
    <row r="271" spans="1:16">
      <c r="C271" s="716"/>
      <c r="D271" s="1508"/>
      <c r="E271" s="1508"/>
      <c r="F271" s="1508"/>
      <c r="G271" s="1508"/>
      <c r="H271" s="1508"/>
      <c r="I271" s="1508"/>
      <c r="J271" s="1277"/>
      <c r="K271" s="1276"/>
      <c r="L271" s="1276"/>
      <c r="M271" s="1276"/>
      <c r="N271" s="1276"/>
      <c r="O271" s="570"/>
    </row>
    <row r="272" spans="1:16" ht="13.5" thickBot="1">
      <c r="C272" s="719"/>
      <c r="D272" s="720"/>
      <c r="E272" s="718"/>
      <c r="F272" s="718"/>
      <c r="G272" s="718"/>
      <c r="H272" s="718"/>
      <c r="I272" s="718"/>
      <c r="J272" s="721"/>
      <c r="K272" s="718"/>
      <c r="L272" s="718"/>
      <c r="M272" s="718"/>
      <c r="N272" s="718"/>
      <c r="O272" s="606"/>
    </row>
    <row r="273" spans="1:15" ht="13.5" thickBot="1">
      <c r="C273" s="722" t="s">
        <v>295</v>
      </c>
      <c r="D273" s="723"/>
      <c r="E273" s="723"/>
      <c r="F273" s="723"/>
      <c r="G273" s="723"/>
      <c r="H273" s="723"/>
      <c r="I273" s="724"/>
      <c r="J273" s="725"/>
      <c r="K273" s="570"/>
      <c r="L273" s="570"/>
      <c r="M273" s="570"/>
      <c r="N273" s="570"/>
      <c r="O273" s="726"/>
    </row>
    <row r="274" spans="1:15" ht="15">
      <c r="C274" s="728" t="s">
        <v>273</v>
      </c>
      <c r="D274" s="1287">
        <v>21957101</v>
      </c>
      <c r="E274" s="685" t="s">
        <v>274</v>
      </c>
      <c r="G274" s="729"/>
      <c r="H274" s="729"/>
      <c r="I274" s="730">
        <f>I185</f>
        <v>2021</v>
      </c>
      <c r="J274" s="616"/>
      <c r="K274" s="1506" t="s">
        <v>460</v>
      </c>
      <c r="L274" s="1506"/>
      <c r="M274" s="1506"/>
      <c r="N274" s="1506"/>
      <c r="O274" s="1506"/>
    </row>
    <row r="275" spans="1:15">
      <c r="C275" s="728" t="s">
        <v>276</v>
      </c>
      <c r="D275" s="898">
        <v>2013</v>
      </c>
      <c r="E275" s="728" t="s">
        <v>277</v>
      </c>
      <c r="F275" s="729"/>
      <c r="H275" s="357"/>
      <c r="I275" s="901">
        <f>IF(G268="",0,$F$15)</f>
        <v>0</v>
      </c>
      <c r="J275" s="731"/>
      <c r="K275" s="1277" t="s">
        <v>460</v>
      </c>
    </row>
    <row r="276" spans="1:15">
      <c r="C276" s="728" t="s">
        <v>278</v>
      </c>
      <c r="D276" s="1287">
        <v>4</v>
      </c>
      <c r="E276" s="728" t="s">
        <v>279</v>
      </c>
      <c r="F276" s="729"/>
      <c r="H276" s="357"/>
      <c r="I276" s="732">
        <f>$G$70</f>
        <v>9.9118816841934854E-2</v>
      </c>
      <c r="J276" s="733"/>
      <c r="K276" s="357" t="str">
        <f>"          INPUT PROJECTED ARR (WITH &amp; WITHOUT INCENTIVES) FROM EACH PRIOR YEAR"</f>
        <v xml:space="preserve">          INPUT PROJECTED ARR (WITH &amp; WITHOUT INCENTIVES) FROM EACH PRIOR YEAR</v>
      </c>
    </row>
    <row r="277" spans="1:15">
      <c r="C277" s="728" t="s">
        <v>280</v>
      </c>
      <c r="D277" s="734">
        <f>G$79</f>
        <v>41</v>
      </c>
      <c r="E277" s="728" t="s">
        <v>281</v>
      </c>
      <c r="F277" s="729"/>
      <c r="H277" s="357"/>
      <c r="I277" s="732">
        <f>IF(G268="",I276,$G$67)</f>
        <v>9.9118816841934854E-2</v>
      </c>
      <c r="J277" s="735"/>
      <c r="K277" s="357" t="s">
        <v>358</v>
      </c>
    </row>
    <row r="278" spans="1:15" ht="13.5" thickBot="1">
      <c r="C278" s="728" t="s">
        <v>282</v>
      </c>
      <c r="D278" s="900" t="s">
        <v>967</v>
      </c>
      <c r="E278" s="736" t="s">
        <v>283</v>
      </c>
      <c r="F278" s="737"/>
      <c r="G278" s="738"/>
      <c r="H278" s="738"/>
      <c r="I278" s="1286">
        <f>IF(D274=0,0,D274/D277)</f>
        <v>535539.04878048785</v>
      </c>
      <c r="J278" s="1277"/>
      <c r="K278" s="1277" t="s">
        <v>364</v>
      </c>
      <c r="L278" s="1277"/>
      <c r="M278" s="1277"/>
      <c r="N278" s="1277"/>
      <c r="O278" s="618"/>
    </row>
    <row r="279" spans="1:15" ht="51">
      <c r="A279" s="557"/>
      <c r="B279" s="1288"/>
      <c r="C279" s="739" t="s">
        <v>273</v>
      </c>
      <c r="D279" s="1289" t="s">
        <v>284</v>
      </c>
      <c r="E279" s="1290" t="s">
        <v>285</v>
      </c>
      <c r="F279" s="1289" t="s">
        <v>286</v>
      </c>
      <c r="G279" s="1290" t="s">
        <v>357</v>
      </c>
      <c r="H279" s="1291" t="s">
        <v>357</v>
      </c>
      <c r="I279" s="739" t="s">
        <v>296</v>
      </c>
      <c r="J279" s="743"/>
      <c r="K279" s="1290" t="s">
        <v>366</v>
      </c>
      <c r="L279" s="1292"/>
      <c r="M279" s="1290" t="s">
        <v>366</v>
      </c>
      <c r="N279" s="1292"/>
      <c r="O279" s="1292"/>
    </row>
    <row r="280" spans="1:15" ht="13.5" thickBot="1">
      <c r="C280" s="745" t="s">
        <v>178</v>
      </c>
      <c r="D280" s="746" t="s">
        <v>179</v>
      </c>
      <c r="E280" s="745" t="s">
        <v>38</v>
      </c>
      <c r="F280" s="746" t="s">
        <v>179</v>
      </c>
      <c r="G280" s="1293" t="s">
        <v>299</v>
      </c>
      <c r="H280" s="1294" t="s">
        <v>301</v>
      </c>
      <c r="I280" s="749" t="s">
        <v>390</v>
      </c>
      <c r="J280" s="750"/>
      <c r="K280" s="1293" t="s">
        <v>288</v>
      </c>
      <c r="L280" s="1295"/>
      <c r="M280" s="1293" t="s">
        <v>301</v>
      </c>
      <c r="N280" s="1295"/>
      <c r="O280" s="1295"/>
    </row>
    <row r="281" spans="1:15">
      <c r="C281" s="751">
        <f>IF(D275= "","-",D275)</f>
        <v>2013</v>
      </c>
      <c r="D281" s="703">
        <f>+D274</f>
        <v>21957101</v>
      </c>
      <c r="E281" s="1296">
        <f>+I278/12*(12-D276)</f>
        <v>357026.03252032521</v>
      </c>
      <c r="F281" s="703">
        <f t="shared" ref="F281:F340" si="12">+D281-E281</f>
        <v>21600074.967479676</v>
      </c>
      <c r="G281" s="1297">
        <f>+$I$276*((D281+F281)/2)+E281</f>
        <v>2515693.9059565975</v>
      </c>
      <c r="H281" s="1298">
        <f>+$I$277*((D281+F281)/2)+E281</f>
        <v>2515693.9059565975</v>
      </c>
      <c r="I281" s="755">
        <f>+H281-G281</f>
        <v>0</v>
      </c>
      <c r="J281" s="755"/>
      <c r="K281" s="903">
        <v>1301059</v>
      </c>
      <c r="L281" s="757"/>
      <c r="M281" s="903">
        <v>1301059</v>
      </c>
      <c r="N281" s="757"/>
      <c r="O281" s="757"/>
    </row>
    <row r="282" spans="1:15">
      <c r="C282" s="751">
        <f>IF(D275="","-",+C281+1)</f>
        <v>2014</v>
      </c>
      <c r="D282" s="703">
        <f t="shared" ref="D282:D340" si="13">F281</f>
        <v>21600074.967479676</v>
      </c>
      <c r="E282" s="758">
        <f>IF(D282&gt;$I$278,$I$278,D282)</f>
        <v>535539.04878048785</v>
      </c>
      <c r="F282" s="703">
        <f t="shared" si="12"/>
        <v>21064535.91869919</v>
      </c>
      <c r="G282" s="1296">
        <f t="shared" ref="G282:G340" si="14">+$I$276*((D282+F282)/2)+E282</f>
        <v>2649971.9248102792</v>
      </c>
      <c r="H282" s="1299">
        <f t="shared" ref="H282:H340" si="15">+$I$277*((D282+F282)/2)+E282</f>
        <v>2649971.9248102792</v>
      </c>
      <c r="I282" s="755">
        <f t="shared" ref="I282:I340" si="16">+H282-G282</f>
        <v>0</v>
      </c>
      <c r="J282" s="755"/>
      <c r="K282" s="903">
        <v>3243481</v>
      </c>
      <c r="L282" s="761"/>
      <c r="M282" s="903">
        <v>3243481</v>
      </c>
      <c r="N282" s="761"/>
      <c r="O282" s="761"/>
    </row>
    <row r="283" spans="1:15">
      <c r="C283" s="751">
        <f>IF(D275="","-",+C282+1)</f>
        <v>2015</v>
      </c>
      <c r="D283" s="703">
        <f t="shared" si="13"/>
        <v>21064535.91869919</v>
      </c>
      <c r="E283" s="758">
        <f t="shared" ref="E283:E340" si="17">IF(D283&gt;$I$278,$I$278,D283)</f>
        <v>535539.04878048785</v>
      </c>
      <c r="F283" s="703">
        <f t="shared" si="12"/>
        <v>20528996.869918704</v>
      </c>
      <c r="G283" s="1296">
        <f t="shared" si="14"/>
        <v>2596889.9279225022</v>
      </c>
      <c r="H283" s="1299">
        <f t="shared" si="15"/>
        <v>2596889.9279225022</v>
      </c>
      <c r="I283" s="755">
        <f t="shared" si="16"/>
        <v>0</v>
      </c>
      <c r="J283" s="755"/>
      <c r="K283" s="903">
        <v>3604460</v>
      </c>
      <c r="L283" s="761"/>
      <c r="M283" s="903">
        <v>3604460</v>
      </c>
      <c r="N283" s="761"/>
      <c r="O283" s="761"/>
    </row>
    <row r="284" spans="1:15">
      <c r="C284" s="751">
        <f>IF(D275="","-",+C283+1)</f>
        <v>2016</v>
      </c>
      <c r="D284" s="703">
        <f t="shared" si="13"/>
        <v>20528996.869918704</v>
      </c>
      <c r="E284" s="758">
        <f t="shared" si="17"/>
        <v>535539.04878048785</v>
      </c>
      <c r="F284" s="703">
        <f t="shared" si="12"/>
        <v>19993457.821138218</v>
      </c>
      <c r="G284" s="1296">
        <f t="shared" si="14"/>
        <v>2543807.9310347252</v>
      </c>
      <c r="H284" s="1299">
        <f t="shared" si="15"/>
        <v>2543807.9310347252</v>
      </c>
      <c r="I284" s="755">
        <f t="shared" si="16"/>
        <v>0</v>
      </c>
      <c r="J284" s="755"/>
      <c r="K284" s="903">
        <v>3506792</v>
      </c>
      <c r="L284" s="761"/>
      <c r="M284" s="903">
        <v>3506792</v>
      </c>
      <c r="N284" s="761"/>
      <c r="O284" s="761"/>
    </row>
    <row r="285" spans="1:15">
      <c r="C285" s="751">
        <f>IF(D275="","-",+C284+1)</f>
        <v>2017</v>
      </c>
      <c r="D285" s="703">
        <f t="shared" si="13"/>
        <v>19993457.821138218</v>
      </c>
      <c r="E285" s="758">
        <f t="shared" si="17"/>
        <v>535539.04878048785</v>
      </c>
      <c r="F285" s="703">
        <f t="shared" si="12"/>
        <v>19457918.772357732</v>
      </c>
      <c r="G285" s="1296">
        <f t="shared" si="14"/>
        <v>2490725.9341469482</v>
      </c>
      <c r="H285" s="1299">
        <f t="shared" si="15"/>
        <v>2490725.9341469482</v>
      </c>
      <c r="I285" s="755">
        <f t="shared" si="16"/>
        <v>0</v>
      </c>
      <c r="J285" s="755"/>
      <c r="K285" s="903">
        <v>3162406</v>
      </c>
      <c r="L285" s="761"/>
      <c r="M285" s="903">
        <v>3162406</v>
      </c>
      <c r="N285" s="761"/>
      <c r="O285" s="761"/>
    </row>
    <row r="286" spans="1:15">
      <c r="C286" s="1313">
        <f>IF(D275="","-",+C285+1)</f>
        <v>2018</v>
      </c>
      <c r="D286" s="1301">
        <f t="shared" si="13"/>
        <v>19457918.772357732</v>
      </c>
      <c r="E286" s="1302">
        <f t="shared" si="17"/>
        <v>535539.04878048785</v>
      </c>
      <c r="F286" s="1301">
        <f t="shared" si="12"/>
        <v>18922379.723577246</v>
      </c>
      <c r="G286" s="1303">
        <f t="shared" si="14"/>
        <v>2437643.9372591712</v>
      </c>
      <c r="H286" s="1304">
        <f t="shared" si="15"/>
        <v>2437643.9372591712</v>
      </c>
      <c r="I286" s="1305">
        <f t="shared" si="16"/>
        <v>0</v>
      </c>
      <c r="J286" s="755"/>
      <c r="K286" s="903">
        <v>2623914</v>
      </c>
      <c r="L286" s="761"/>
      <c r="M286" s="903">
        <v>2623914</v>
      </c>
      <c r="N286" s="761"/>
      <c r="O286" s="761"/>
    </row>
    <row r="287" spans="1:15">
      <c r="C287" s="751">
        <f>IF(D275="","-",+C286+1)</f>
        <v>2019</v>
      </c>
      <c r="D287" s="703">
        <f t="shared" si="13"/>
        <v>18922379.723577246</v>
      </c>
      <c r="E287" s="758">
        <f t="shared" si="17"/>
        <v>535539.04878048785</v>
      </c>
      <c r="F287" s="703">
        <f t="shared" si="12"/>
        <v>18386840.67479676</v>
      </c>
      <c r="G287" s="1296">
        <f t="shared" si="14"/>
        <v>2384561.9403713942</v>
      </c>
      <c r="H287" s="1299">
        <f t="shared" si="15"/>
        <v>2384561.9403713942</v>
      </c>
      <c r="I287" s="755">
        <f t="shared" si="16"/>
        <v>0</v>
      </c>
      <c r="J287" s="755"/>
      <c r="K287" s="903">
        <v>2433872.9423121419</v>
      </c>
      <c r="L287" s="761"/>
      <c r="M287" s="903">
        <v>2433872.9423121419</v>
      </c>
      <c r="N287" s="761"/>
      <c r="O287" s="761"/>
    </row>
    <row r="288" spans="1:15">
      <c r="C288" s="751">
        <f>IF(D275="","-",+C287+1)</f>
        <v>2020</v>
      </c>
      <c r="D288" s="703">
        <f t="shared" si="13"/>
        <v>18386840.67479676</v>
      </c>
      <c r="E288" s="758">
        <f t="shared" si="17"/>
        <v>535539.04878048785</v>
      </c>
      <c r="F288" s="703">
        <f t="shared" si="12"/>
        <v>17851301.626016274</v>
      </c>
      <c r="G288" s="1296">
        <f t="shared" si="14"/>
        <v>2331479.9434836172</v>
      </c>
      <c r="H288" s="1299">
        <f t="shared" si="15"/>
        <v>2331479.9434836172</v>
      </c>
      <c r="I288" s="755">
        <f t="shared" si="16"/>
        <v>0</v>
      </c>
      <c r="J288" s="755"/>
      <c r="K288" s="903">
        <v>2310007.1446601301</v>
      </c>
      <c r="L288" s="761"/>
      <c r="M288" s="903">
        <v>2310007.1446601301</v>
      </c>
      <c r="N288" s="761"/>
      <c r="O288" s="761"/>
    </row>
    <row r="289" spans="3:15">
      <c r="C289" s="751">
        <f>IF(D275="","-",+C288+1)</f>
        <v>2021</v>
      </c>
      <c r="D289" s="703">
        <f t="shared" si="13"/>
        <v>17851301.626016274</v>
      </c>
      <c r="E289" s="758">
        <f t="shared" si="17"/>
        <v>535539.04878048785</v>
      </c>
      <c r="F289" s="703">
        <f t="shared" si="12"/>
        <v>17315762.577235788</v>
      </c>
      <c r="G289" s="1296">
        <f t="shared" si="14"/>
        <v>2278397.9465958402</v>
      </c>
      <c r="H289" s="1299">
        <f t="shared" si="15"/>
        <v>2278397.9465958402</v>
      </c>
      <c r="I289" s="755">
        <f t="shared" si="16"/>
        <v>0</v>
      </c>
      <c r="J289" s="755"/>
      <c r="K289" s="903"/>
      <c r="L289" s="761"/>
      <c r="M289" s="903"/>
      <c r="N289" s="761"/>
      <c r="O289" s="761"/>
    </row>
    <row r="290" spans="3:15">
      <c r="C290" s="751">
        <f>IF(D275="","-",+C289+1)</f>
        <v>2022</v>
      </c>
      <c r="D290" s="703">
        <f t="shared" si="13"/>
        <v>17315762.577235788</v>
      </c>
      <c r="E290" s="758">
        <f t="shared" si="17"/>
        <v>535539.04878048785</v>
      </c>
      <c r="F290" s="703">
        <f t="shared" si="12"/>
        <v>16780223.528455302</v>
      </c>
      <c r="G290" s="1296">
        <f t="shared" si="14"/>
        <v>2225315.9497080632</v>
      </c>
      <c r="H290" s="1299">
        <f t="shared" si="15"/>
        <v>2225315.9497080632</v>
      </c>
      <c r="I290" s="755">
        <f t="shared" si="16"/>
        <v>0</v>
      </c>
      <c r="J290" s="755"/>
      <c r="K290" s="903"/>
      <c r="L290" s="761"/>
      <c r="M290" s="903"/>
      <c r="N290" s="761"/>
      <c r="O290" s="761"/>
    </row>
    <row r="291" spans="3:15">
      <c r="C291" s="751">
        <f>IF(D275="","-",+C290+1)</f>
        <v>2023</v>
      </c>
      <c r="D291" s="703">
        <f t="shared" si="13"/>
        <v>16780223.528455302</v>
      </c>
      <c r="E291" s="758">
        <f t="shared" si="17"/>
        <v>535539.04878048785</v>
      </c>
      <c r="F291" s="703">
        <f t="shared" si="12"/>
        <v>16244684.479674814</v>
      </c>
      <c r="G291" s="1296">
        <f t="shared" si="14"/>
        <v>2172233.9528202862</v>
      </c>
      <c r="H291" s="1299">
        <f t="shared" si="15"/>
        <v>2172233.9528202862</v>
      </c>
      <c r="I291" s="755">
        <f t="shared" si="16"/>
        <v>0</v>
      </c>
      <c r="J291" s="755"/>
      <c r="K291" s="903"/>
      <c r="L291" s="761"/>
      <c r="M291" s="903"/>
      <c r="N291" s="761"/>
      <c r="O291" s="761"/>
    </row>
    <row r="292" spans="3:15">
      <c r="C292" s="751">
        <f>IF(D275="","-",+C291+1)</f>
        <v>2024</v>
      </c>
      <c r="D292" s="703">
        <f t="shared" si="13"/>
        <v>16244684.479674814</v>
      </c>
      <c r="E292" s="758">
        <f t="shared" si="17"/>
        <v>535539.04878048785</v>
      </c>
      <c r="F292" s="703">
        <f t="shared" si="12"/>
        <v>15709145.430894326</v>
      </c>
      <c r="G292" s="1296">
        <f t="shared" si="14"/>
        <v>2119151.9559325092</v>
      </c>
      <c r="H292" s="1299">
        <f t="shared" si="15"/>
        <v>2119151.9559325092</v>
      </c>
      <c r="I292" s="755">
        <f t="shared" si="16"/>
        <v>0</v>
      </c>
      <c r="J292" s="755"/>
      <c r="K292" s="903"/>
      <c r="L292" s="761"/>
      <c r="M292" s="903"/>
      <c r="N292" s="761"/>
      <c r="O292" s="761"/>
    </row>
    <row r="293" spans="3:15">
      <c r="C293" s="751">
        <f>IF(D275="","-",+C292+1)</f>
        <v>2025</v>
      </c>
      <c r="D293" s="703">
        <f t="shared" si="13"/>
        <v>15709145.430894326</v>
      </c>
      <c r="E293" s="758">
        <f t="shared" si="17"/>
        <v>535539.04878048785</v>
      </c>
      <c r="F293" s="703">
        <f t="shared" si="12"/>
        <v>15173606.382113839</v>
      </c>
      <c r="G293" s="1296">
        <f t="shared" si="14"/>
        <v>2066069.9590447319</v>
      </c>
      <c r="H293" s="1299">
        <f t="shared" si="15"/>
        <v>2066069.9590447319</v>
      </c>
      <c r="I293" s="755">
        <f t="shared" si="16"/>
        <v>0</v>
      </c>
      <c r="J293" s="755"/>
      <c r="K293" s="903"/>
      <c r="L293" s="761"/>
      <c r="M293" s="903"/>
      <c r="N293" s="761"/>
      <c r="O293" s="761"/>
    </row>
    <row r="294" spans="3:15">
      <c r="C294" s="751">
        <f>IF(D275="","-",+C293+1)</f>
        <v>2026</v>
      </c>
      <c r="D294" s="703">
        <f t="shared" si="13"/>
        <v>15173606.382113839</v>
      </c>
      <c r="E294" s="758">
        <f t="shared" si="17"/>
        <v>535539.04878048785</v>
      </c>
      <c r="F294" s="703">
        <f t="shared" si="12"/>
        <v>14638067.333333351</v>
      </c>
      <c r="G294" s="1296">
        <f t="shared" si="14"/>
        <v>2012987.9621569545</v>
      </c>
      <c r="H294" s="1299">
        <f t="shared" si="15"/>
        <v>2012987.9621569545</v>
      </c>
      <c r="I294" s="755">
        <f t="shared" si="16"/>
        <v>0</v>
      </c>
      <c r="J294" s="755"/>
      <c r="K294" s="903"/>
      <c r="L294" s="761"/>
      <c r="M294" s="903"/>
      <c r="N294" s="761"/>
      <c r="O294" s="761"/>
    </row>
    <row r="295" spans="3:15">
      <c r="C295" s="751">
        <f>IF(D275="","-",+C294+1)</f>
        <v>2027</v>
      </c>
      <c r="D295" s="703">
        <f t="shared" si="13"/>
        <v>14638067.333333351</v>
      </c>
      <c r="E295" s="758">
        <f t="shared" si="17"/>
        <v>535539.04878048785</v>
      </c>
      <c r="F295" s="703">
        <f t="shared" si="12"/>
        <v>14102528.284552863</v>
      </c>
      <c r="G295" s="1296">
        <f t="shared" si="14"/>
        <v>1959905.9652691775</v>
      </c>
      <c r="H295" s="1299">
        <f t="shared" si="15"/>
        <v>1959905.9652691775</v>
      </c>
      <c r="I295" s="755">
        <f t="shared" si="16"/>
        <v>0</v>
      </c>
      <c r="J295" s="755"/>
      <c r="K295" s="903"/>
      <c r="L295" s="761"/>
      <c r="M295" s="903"/>
      <c r="N295" s="761"/>
      <c r="O295" s="761"/>
    </row>
    <row r="296" spans="3:15">
      <c r="C296" s="751">
        <f>IF(D275="","-",+C295+1)</f>
        <v>2028</v>
      </c>
      <c r="D296" s="703">
        <f t="shared" si="13"/>
        <v>14102528.284552863</v>
      </c>
      <c r="E296" s="758">
        <f t="shared" si="17"/>
        <v>535539.04878048785</v>
      </c>
      <c r="F296" s="703">
        <f t="shared" si="12"/>
        <v>13566989.235772375</v>
      </c>
      <c r="G296" s="1296">
        <f t="shared" si="14"/>
        <v>1906823.9683814002</v>
      </c>
      <c r="H296" s="1299">
        <f t="shared" si="15"/>
        <v>1906823.9683814002</v>
      </c>
      <c r="I296" s="755">
        <f t="shared" si="16"/>
        <v>0</v>
      </c>
      <c r="J296" s="755"/>
      <c r="K296" s="903"/>
      <c r="L296" s="761"/>
      <c r="M296" s="903"/>
      <c r="N296" s="761"/>
      <c r="O296" s="761"/>
    </row>
    <row r="297" spans="3:15">
      <c r="C297" s="751">
        <f>IF(D275="","-",+C296+1)</f>
        <v>2029</v>
      </c>
      <c r="D297" s="703">
        <f t="shared" si="13"/>
        <v>13566989.235772375</v>
      </c>
      <c r="E297" s="758">
        <f t="shared" si="17"/>
        <v>535539.04878048785</v>
      </c>
      <c r="F297" s="703">
        <f t="shared" si="12"/>
        <v>13031450.186991887</v>
      </c>
      <c r="G297" s="1296">
        <f t="shared" si="14"/>
        <v>1853741.971493623</v>
      </c>
      <c r="H297" s="1299">
        <f t="shared" si="15"/>
        <v>1853741.971493623</v>
      </c>
      <c r="I297" s="755">
        <f t="shared" si="16"/>
        <v>0</v>
      </c>
      <c r="J297" s="755"/>
      <c r="K297" s="903"/>
      <c r="L297" s="761"/>
      <c r="M297" s="903"/>
      <c r="N297" s="761"/>
      <c r="O297" s="761"/>
    </row>
    <row r="298" spans="3:15">
      <c r="C298" s="751">
        <f>IF(D275="","-",+C297+1)</f>
        <v>2030</v>
      </c>
      <c r="D298" s="703">
        <f t="shared" si="13"/>
        <v>13031450.186991887</v>
      </c>
      <c r="E298" s="758">
        <f t="shared" si="17"/>
        <v>535539.04878048785</v>
      </c>
      <c r="F298" s="703">
        <f t="shared" si="12"/>
        <v>12495911.138211399</v>
      </c>
      <c r="G298" s="1296">
        <f t="shared" si="14"/>
        <v>1800659.9746058458</v>
      </c>
      <c r="H298" s="1299">
        <f t="shared" si="15"/>
        <v>1800659.9746058458</v>
      </c>
      <c r="I298" s="755">
        <f t="shared" si="16"/>
        <v>0</v>
      </c>
      <c r="J298" s="755"/>
      <c r="K298" s="903"/>
      <c r="L298" s="761"/>
      <c r="M298" s="903"/>
      <c r="N298" s="761"/>
      <c r="O298" s="761"/>
    </row>
    <row r="299" spans="3:15">
      <c r="C299" s="751">
        <f>IF(D275="","-",+C298+1)</f>
        <v>2031</v>
      </c>
      <c r="D299" s="703">
        <f t="shared" si="13"/>
        <v>12495911.138211399</v>
      </c>
      <c r="E299" s="758">
        <f t="shared" si="17"/>
        <v>535539.04878048785</v>
      </c>
      <c r="F299" s="703">
        <f t="shared" si="12"/>
        <v>11960372.089430911</v>
      </c>
      <c r="G299" s="1296">
        <f t="shared" si="14"/>
        <v>1747577.9777180688</v>
      </c>
      <c r="H299" s="1299">
        <f t="shared" si="15"/>
        <v>1747577.9777180688</v>
      </c>
      <c r="I299" s="755">
        <f t="shared" si="16"/>
        <v>0</v>
      </c>
      <c r="J299" s="755"/>
      <c r="K299" s="903"/>
      <c r="L299" s="761"/>
      <c r="M299" s="903"/>
      <c r="N299" s="761"/>
      <c r="O299" s="761"/>
    </row>
    <row r="300" spans="3:15">
      <c r="C300" s="751">
        <f>IF(D275="","-",+C299+1)</f>
        <v>2032</v>
      </c>
      <c r="D300" s="703">
        <f t="shared" si="13"/>
        <v>11960372.089430911</v>
      </c>
      <c r="E300" s="758">
        <f t="shared" si="17"/>
        <v>535539.04878048785</v>
      </c>
      <c r="F300" s="703">
        <f t="shared" si="12"/>
        <v>11424833.040650424</v>
      </c>
      <c r="G300" s="1296">
        <f t="shared" si="14"/>
        <v>1694495.9808302913</v>
      </c>
      <c r="H300" s="1299">
        <f t="shared" si="15"/>
        <v>1694495.9808302913</v>
      </c>
      <c r="I300" s="755">
        <f t="shared" si="16"/>
        <v>0</v>
      </c>
      <c r="J300" s="755"/>
      <c r="K300" s="903"/>
      <c r="L300" s="761"/>
      <c r="M300" s="903"/>
      <c r="N300" s="761"/>
      <c r="O300" s="761"/>
    </row>
    <row r="301" spans="3:15">
      <c r="C301" s="751">
        <f>IF(D275="","-",+C300+1)</f>
        <v>2033</v>
      </c>
      <c r="D301" s="703">
        <f t="shared" si="13"/>
        <v>11424833.040650424</v>
      </c>
      <c r="E301" s="758">
        <f t="shared" si="17"/>
        <v>535539.04878048785</v>
      </c>
      <c r="F301" s="703">
        <f t="shared" si="12"/>
        <v>10889293.991869936</v>
      </c>
      <c r="G301" s="1296">
        <f t="shared" si="14"/>
        <v>1641413.9839425143</v>
      </c>
      <c r="H301" s="1299">
        <f t="shared" si="15"/>
        <v>1641413.9839425143</v>
      </c>
      <c r="I301" s="755">
        <f t="shared" si="16"/>
        <v>0</v>
      </c>
      <c r="J301" s="755"/>
      <c r="K301" s="903"/>
      <c r="L301" s="761"/>
      <c r="M301" s="903"/>
      <c r="N301" s="761"/>
      <c r="O301" s="761"/>
    </row>
    <row r="302" spans="3:15">
      <c r="C302" s="751">
        <f>IF(D275="","-",+C301+1)</f>
        <v>2034</v>
      </c>
      <c r="D302" s="703">
        <f t="shared" si="13"/>
        <v>10889293.991869936</v>
      </c>
      <c r="E302" s="758">
        <f t="shared" si="17"/>
        <v>535539.04878048785</v>
      </c>
      <c r="F302" s="703">
        <f t="shared" si="12"/>
        <v>10353754.943089448</v>
      </c>
      <c r="G302" s="1296">
        <f t="shared" si="14"/>
        <v>1588331.9870547371</v>
      </c>
      <c r="H302" s="1299">
        <f t="shared" si="15"/>
        <v>1588331.9870547371</v>
      </c>
      <c r="I302" s="755">
        <f t="shared" si="16"/>
        <v>0</v>
      </c>
      <c r="J302" s="755"/>
      <c r="K302" s="903"/>
      <c r="L302" s="761"/>
      <c r="M302" s="903"/>
      <c r="N302" s="761"/>
      <c r="O302" s="761"/>
    </row>
    <row r="303" spans="3:15">
      <c r="C303" s="751">
        <f>IF(D275="","-",+C302+1)</f>
        <v>2035</v>
      </c>
      <c r="D303" s="703">
        <f t="shared" si="13"/>
        <v>10353754.943089448</v>
      </c>
      <c r="E303" s="758">
        <f t="shared" si="17"/>
        <v>535539.04878048785</v>
      </c>
      <c r="F303" s="703">
        <f t="shared" si="12"/>
        <v>9818215.8943089601</v>
      </c>
      <c r="G303" s="1296">
        <f t="shared" si="14"/>
        <v>1535249.9901669598</v>
      </c>
      <c r="H303" s="1299">
        <f t="shared" si="15"/>
        <v>1535249.9901669598</v>
      </c>
      <c r="I303" s="755">
        <f t="shared" si="16"/>
        <v>0</v>
      </c>
      <c r="J303" s="755"/>
      <c r="K303" s="903"/>
      <c r="L303" s="761"/>
      <c r="M303" s="903"/>
      <c r="N303" s="761"/>
      <c r="O303" s="761"/>
    </row>
    <row r="304" spans="3:15">
      <c r="C304" s="751">
        <f>IF(D275="","-",+C303+1)</f>
        <v>2036</v>
      </c>
      <c r="D304" s="703">
        <f t="shared" si="13"/>
        <v>9818215.8943089601</v>
      </c>
      <c r="E304" s="758">
        <f t="shared" si="17"/>
        <v>535539.04878048785</v>
      </c>
      <c r="F304" s="703">
        <f t="shared" si="12"/>
        <v>9282676.8455284722</v>
      </c>
      <c r="G304" s="1296">
        <f t="shared" si="14"/>
        <v>1482167.9932791826</v>
      </c>
      <c r="H304" s="1299">
        <f t="shared" si="15"/>
        <v>1482167.9932791826</v>
      </c>
      <c r="I304" s="755">
        <f t="shared" si="16"/>
        <v>0</v>
      </c>
      <c r="J304" s="755"/>
      <c r="K304" s="903"/>
      <c r="L304" s="761"/>
      <c r="M304" s="903"/>
      <c r="N304" s="761"/>
      <c r="O304" s="761"/>
    </row>
    <row r="305" spans="3:15">
      <c r="C305" s="751">
        <f>IF(D275="","-",+C304+1)</f>
        <v>2037</v>
      </c>
      <c r="D305" s="703">
        <f t="shared" si="13"/>
        <v>9282676.8455284722</v>
      </c>
      <c r="E305" s="758">
        <f t="shared" si="17"/>
        <v>535539.04878048785</v>
      </c>
      <c r="F305" s="703">
        <f t="shared" si="12"/>
        <v>8747137.7967479844</v>
      </c>
      <c r="G305" s="1296">
        <f t="shared" si="14"/>
        <v>1429085.9963914056</v>
      </c>
      <c r="H305" s="1299">
        <f t="shared" si="15"/>
        <v>1429085.9963914056</v>
      </c>
      <c r="I305" s="755">
        <f t="shared" si="16"/>
        <v>0</v>
      </c>
      <c r="J305" s="755"/>
      <c r="K305" s="903"/>
      <c r="L305" s="761"/>
      <c r="M305" s="903"/>
      <c r="N305" s="761"/>
      <c r="O305" s="761"/>
    </row>
    <row r="306" spans="3:15">
      <c r="C306" s="751">
        <f>IF(D275="","-",+C305+1)</f>
        <v>2038</v>
      </c>
      <c r="D306" s="703">
        <f t="shared" si="13"/>
        <v>8747137.7967479844</v>
      </c>
      <c r="E306" s="758">
        <f t="shared" si="17"/>
        <v>535539.04878048785</v>
      </c>
      <c r="F306" s="703">
        <f t="shared" si="12"/>
        <v>8211598.7479674965</v>
      </c>
      <c r="G306" s="1296">
        <f t="shared" si="14"/>
        <v>1376003.9995036284</v>
      </c>
      <c r="H306" s="1299">
        <f t="shared" si="15"/>
        <v>1376003.9995036284</v>
      </c>
      <c r="I306" s="755">
        <f t="shared" si="16"/>
        <v>0</v>
      </c>
      <c r="J306" s="755"/>
      <c r="K306" s="903"/>
      <c r="L306" s="761"/>
      <c r="M306" s="903"/>
      <c r="N306" s="761"/>
      <c r="O306" s="761"/>
    </row>
    <row r="307" spans="3:15">
      <c r="C307" s="751">
        <f>IF(D275="","-",+C306+1)</f>
        <v>2039</v>
      </c>
      <c r="D307" s="703">
        <f t="shared" si="13"/>
        <v>8211598.7479674965</v>
      </c>
      <c r="E307" s="758">
        <f t="shared" si="17"/>
        <v>535539.04878048785</v>
      </c>
      <c r="F307" s="703">
        <f t="shared" si="12"/>
        <v>7676059.6991870087</v>
      </c>
      <c r="G307" s="1296">
        <f t="shared" si="14"/>
        <v>1322922.0026158511</v>
      </c>
      <c r="H307" s="1299">
        <f t="shared" si="15"/>
        <v>1322922.0026158511</v>
      </c>
      <c r="I307" s="755">
        <f t="shared" si="16"/>
        <v>0</v>
      </c>
      <c r="J307" s="755"/>
      <c r="K307" s="903"/>
      <c r="L307" s="761"/>
      <c r="M307" s="903"/>
      <c r="N307" s="761"/>
      <c r="O307" s="761"/>
    </row>
    <row r="308" spans="3:15">
      <c r="C308" s="751">
        <f>IF(D275="","-",+C307+1)</f>
        <v>2040</v>
      </c>
      <c r="D308" s="703">
        <f t="shared" si="13"/>
        <v>7676059.6991870087</v>
      </c>
      <c r="E308" s="758">
        <f t="shared" si="17"/>
        <v>535539.04878048785</v>
      </c>
      <c r="F308" s="703">
        <f t="shared" si="12"/>
        <v>7140520.6504065208</v>
      </c>
      <c r="G308" s="1296">
        <f t="shared" si="14"/>
        <v>1269840.0057280739</v>
      </c>
      <c r="H308" s="1299">
        <f t="shared" si="15"/>
        <v>1269840.0057280739</v>
      </c>
      <c r="I308" s="755">
        <f t="shared" si="16"/>
        <v>0</v>
      </c>
      <c r="J308" s="755"/>
      <c r="K308" s="903"/>
      <c r="L308" s="761"/>
      <c r="M308" s="903"/>
      <c r="N308" s="761"/>
      <c r="O308" s="761"/>
    </row>
    <row r="309" spans="3:15">
      <c r="C309" s="751">
        <f>IF(D275="","-",+C308+1)</f>
        <v>2041</v>
      </c>
      <c r="D309" s="703">
        <f t="shared" si="13"/>
        <v>7140520.6504065208</v>
      </c>
      <c r="E309" s="758">
        <f t="shared" si="17"/>
        <v>535539.04878048785</v>
      </c>
      <c r="F309" s="703">
        <f t="shared" si="12"/>
        <v>6604981.601626033</v>
      </c>
      <c r="G309" s="1306">
        <f t="shared" si="14"/>
        <v>1216758.0088402969</v>
      </c>
      <c r="H309" s="1299">
        <f t="shared" si="15"/>
        <v>1216758.0088402969</v>
      </c>
      <c r="I309" s="755">
        <f t="shared" si="16"/>
        <v>0</v>
      </c>
      <c r="J309" s="755"/>
      <c r="K309" s="903"/>
      <c r="L309" s="761"/>
      <c r="M309" s="903"/>
      <c r="N309" s="761"/>
      <c r="O309" s="761"/>
    </row>
    <row r="310" spans="3:15">
      <c r="C310" s="751">
        <f>IF(D275="","-",+C309+1)</f>
        <v>2042</v>
      </c>
      <c r="D310" s="703">
        <f t="shared" si="13"/>
        <v>6604981.601626033</v>
      </c>
      <c r="E310" s="758">
        <f t="shared" si="17"/>
        <v>535539.04878048785</v>
      </c>
      <c r="F310" s="703">
        <f t="shared" si="12"/>
        <v>6069442.5528455451</v>
      </c>
      <c r="G310" s="1296">
        <f t="shared" si="14"/>
        <v>1163676.0119525194</v>
      </c>
      <c r="H310" s="1299">
        <f t="shared" si="15"/>
        <v>1163676.0119525194</v>
      </c>
      <c r="I310" s="755">
        <f t="shared" si="16"/>
        <v>0</v>
      </c>
      <c r="J310" s="755"/>
      <c r="K310" s="903"/>
      <c r="L310" s="761"/>
      <c r="M310" s="903"/>
      <c r="N310" s="761"/>
      <c r="O310" s="761"/>
    </row>
    <row r="311" spans="3:15">
      <c r="C311" s="751">
        <f>IF(D275="","-",+C310+1)</f>
        <v>2043</v>
      </c>
      <c r="D311" s="703">
        <f t="shared" si="13"/>
        <v>6069442.5528455451</v>
      </c>
      <c r="E311" s="758">
        <f t="shared" si="17"/>
        <v>535539.04878048785</v>
      </c>
      <c r="F311" s="703">
        <f t="shared" si="12"/>
        <v>5533903.5040650573</v>
      </c>
      <c r="G311" s="1296">
        <f t="shared" si="14"/>
        <v>1110594.0150647424</v>
      </c>
      <c r="H311" s="1299">
        <f t="shared" si="15"/>
        <v>1110594.0150647424</v>
      </c>
      <c r="I311" s="755">
        <f t="shared" si="16"/>
        <v>0</v>
      </c>
      <c r="J311" s="755"/>
      <c r="K311" s="903"/>
      <c r="L311" s="761"/>
      <c r="M311" s="903"/>
      <c r="N311" s="761"/>
      <c r="O311" s="761"/>
    </row>
    <row r="312" spans="3:15">
      <c r="C312" s="751">
        <f>IF(D275="","-",+C311+1)</f>
        <v>2044</v>
      </c>
      <c r="D312" s="703">
        <f t="shared" si="13"/>
        <v>5533903.5040650573</v>
      </c>
      <c r="E312" s="758">
        <f t="shared" si="17"/>
        <v>535539.04878048785</v>
      </c>
      <c r="F312" s="703">
        <f t="shared" si="12"/>
        <v>4998364.4552845694</v>
      </c>
      <c r="G312" s="1296">
        <f t="shared" si="14"/>
        <v>1057512.0181769652</v>
      </c>
      <c r="H312" s="1299">
        <f t="shared" si="15"/>
        <v>1057512.0181769652</v>
      </c>
      <c r="I312" s="755">
        <f t="shared" si="16"/>
        <v>0</v>
      </c>
      <c r="J312" s="755"/>
      <c r="K312" s="903"/>
      <c r="L312" s="761"/>
      <c r="M312" s="903"/>
      <c r="N312" s="761"/>
      <c r="O312" s="761"/>
    </row>
    <row r="313" spans="3:15">
      <c r="C313" s="751">
        <f>IF(D275="","-",+C312+1)</f>
        <v>2045</v>
      </c>
      <c r="D313" s="703">
        <f t="shared" si="13"/>
        <v>4998364.4552845694</v>
      </c>
      <c r="E313" s="758">
        <f t="shared" si="17"/>
        <v>535539.04878048785</v>
      </c>
      <c r="F313" s="703">
        <f t="shared" si="12"/>
        <v>4462825.4065040816</v>
      </c>
      <c r="G313" s="1296">
        <f t="shared" si="14"/>
        <v>1004430.0212891879</v>
      </c>
      <c r="H313" s="1299">
        <f t="shared" si="15"/>
        <v>1004430.0212891879</v>
      </c>
      <c r="I313" s="755">
        <f t="shared" si="16"/>
        <v>0</v>
      </c>
      <c r="J313" s="755"/>
      <c r="K313" s="903"/>
      <c r="L313" s="761"/>
      <c r="M313" s="903"/>
      <c r="N313" s="761"/>
      <c r="O313" s="761"/>
    </row>
    <row r="314" spans="3:15">
      <c r="C314" s="751">
        <f>IF(D275="","-",+C313+1)</f>
        <v>2046</v>
      </c>
      <c r="D314" s="703">
        <f t="shared" si="13"/>
        <v>4462825.4065040816</v>
      </c>
      <c r="E314" s="758">
        <f t="shared" si="17"/>
        <v>535539.04878048785</v>
      </c>
      <c r="F314" s="703">
        <f t="shared" si="12"/>
        <v>3927286.3577235937</v>
      </c>
      <c r="G314" s="1296">
        <f t="shared" si="14"/>
        <v>951348.02440141072</v>
      </c>
      <c r="H314" s="1299">
        <f t="shared" si="15"/>
        <v>951348.02440141072</v>
      </c>
      <c r="I314" s="755">
        <f t="shared" si="16"/>
        <v>0</v>
      </c>
      <c r="J314" s="755"/>
      <c r="K314" s="903"/>
      <c r="L314" s="761"/>
      <c r="M314" s="903"/>
      <c r="N314" s="761"/>
      <c r="O314" s="761"/>
    </row>
    <row r="315" spans="3:15">
      <c r="C315" s="751">
        <f>IF(D275="","-",+C314+1)</f>
        <v>2047</v>
      </c>
      <c r="D315" s="703">
        <f t="shared" si="13"/>
        <v>3927286.3577235937</v>
      </c>
      <c r="E315" s="758">
        <f t="shared" si="17"/>
        <v>535539.04878048785</v>
      </c>
      <c r="F315" s="703">
        <f t="shared" si="12"/>
        <v>3391747.3089431059</v>
      </c>
      <c r="G315" s="1296">
        <f t="shared" si="14"/>
        <v>898266.0275136336</v>
      </c>
      <c r="H315" s="1299">
        <f t="shared" si="15"/>
        <v>898266.0275136336</v>
      </c>
      <c r="I315" s="755">
        <f t="shared" si="16"/>
        <v>0</v>
      </c>
      <c r="J315" s="755"/>
      <c r="K315" s="903"/>
      <c r="L315" s="761"/>
      <c r="M315" s="903"/>
      <c r="N315" s="761"/>
      <c r="O315" s="761"/>
    </row>
    <row r="316" spans="3:15">
      <c r="C316" s="751">
        <f>IF(D275="","-",+C315+1)</f>
        <v>2048</v>
      </c>
      <c r="D316" s="703">
        <f t="shared" si="13"/>
        <v>3391747.3089431059</v>
      </c>
      <c r="E316" s="758">
        <f t="shared" si="17"/>
        <v>535539.04878048785</v>
      </c>
      <c r="F316" s="703">
        <f t="shared" si="12"/>
        <v>2856208.260162618</v>
      </c>
      <c r="G316" s="1296">
        <f t="shared" si="14"/>
        <v>845184.03062585637</v>
      </c>
      <c r="H316" s="1299">
        <f t="shared" si="15"/>
        <v>845184.03062585637</v>
      </c>
      <c r="I316" s="755">
        <f t="shared" si="16"/>
        <v>0</v>
      </c>
      <c r="J316" s="755"/>
      <c r="K316" s="903"/>
      <c r="L316" s="761"/>
      <c r="M316" s="903"/>
      <c r="N316" s="761"/>
      <c r="O316" s="761"/>
    </row>
    <row r="317" spans="3:15">
      <c r="C317" s="751">
        <f>IF(D275="","-",+C316+1)</f>
        <v>2049</v>
      </c>
      <c r="D317" s="703">
        <f t="shared" si="13"/>
        <v>2856208.260162618</v>
      </c>
      <c r="E317" s="758">
        <f t="shared" si="17"/>
        <v>535539.04878048785</v>
      </c>
      <c r="F317" s="703">
        <f t="shared" si="12"/>
        <v>2320669.2113821302</v>
      </c>
      <c r="G317" s="1296">
        <f t="shared" si="14"/>
        <v>792102.03373807925</v>
      </c>
      <c r="H317" s="1299">
        <f t="shared" si="15"/>
        <v>792102.03373807925</v>
      </c>
      <c r="I317" s="755">
        <f t="shared" si="16"/>
        <v>0</v>
      </c>
      <c r="J317" s="755"/>
      <c r="K317" s="903"/>
      <c r="L317" s="761"/>
      <c r="M317" s="903"/>
      <c r="N317" s="761"/>
      <c r="O317" s="761"/>
    </row>
    <row r="318" spans="3:15">
      <c r="C318" s="751">
        <f>IF(D275="","-",+C317+1)</f>
        <v>2050</v>
      </c>
      <c r="D318" s="703">
        <f t="shared" si="13"/>
        <v>2320669.2113821302</v>
      </c>
      <c r="E318" s="758">
        <f t="shared" si="17"/>
        <v>535539.04878048785</v>
      </c>
      <c r="F318" s="703">
        <f t="shared" si="12"/>
        <v>1785130.1626016423</v>
      </c>
      <c r="G318" s="1296">
        <f t="shared" si="14"/>
        <v>739020.03685030201</v>
      </c>
      <c r="H318" s="1299">
        <f t="shared" si="15"/>
        <v>739020.03685030201</v>
      </c>
      <c r="I318" s="755">
        <f t="shared" si="16"/>
        <v>0</v>
      </c>
      <c r="J318" s="755"/>
      <c r="K318" s="903"/>
      <c r="L318" s="761"/>
      <c r="M318" s="903"/>
      <c r="N318" s="761"/>
      <c r="O318" s="761"/>
    </row>
    <row r="319" spans="3:15">
      <c r="C319" s="751">
        <f>IF(D275="","-",+C318+1)</f>
        <v>2051</v>
      </c>
      <c r="D319" s="703">
        <f t="shared" si="13"/>
        <v>1785130.1626016423</v>
      </c>
      <c r="E319" s="758">
        <f t="shared" si="17"/>
        <v>535539.04878048785</v>
      </c>
      <c r="F319" s="703">
        <f t="shared" si="12"/>
        <v>1249591.1138211545</v>
      </c>
      <c r="G319" s="1296">
        <f t="shared" si="14"/>
        <v>685938.03996252478</v>
      </c>
      <c r="H319" s="1299">
        <f t="shared" si="15"/>
        <v>685938.03996252478</v>
      </c>
      <c r="I319" s="755">
        <f t="shared" si="16"/>
        <v>0</v>
      </c>
      <c r="J319" s="755"/>
      <c r="K319" s="903"/>
      <c r="L319" s="761"/>
      <c r="M319" s="903"/>
      <c r="N319" s="761"/>
      <c r="O319" s="761"/>
    </row>
    <row r="320" spans="3:15">
      <c r="C320" s="751">
        <f>IF(D275="","-",+C319+1)</f>
        <v>2052</v>
      </c>
      <c r="D320" s="703">
        <f t="shared" si="13"/>
        <v>1249591.1138211545</v>
      </c>
      <c r="E320" s="758">
        <f t="shared" si="17"/>
        <v>535539.04878048785</v>
      </c>
      <c r="F320" s="703">
        <f t="shared" si="12"/>
        <v>714052.06504066661</v>
      </c>
      <c r="G320" s="1296">
        <f t="shared" si="14"/>
        <v>632856.04307474766</v>
      </c>
      <c r="H320" s="1299">
        <f t="shared" si="15"/>
        <v>632856.04307474766</v>
      </c>
      <c r="I320" s="755">
        <f t="shared" si="16"/>
        <v>0</v>
      </c>
      <c r="J320" s="755"/>
      <c r="K320" s="903"/>
      <c r="L320" s="761"/>
      <c r="M320" s="903"/>
      <c r="N320" s="761"/>
      <c r="O320" s="761"/>
    </row>
    <row r="321" spans="3:15">
      <c r="C321" s="751">
        <f>IF(D275="","-",+C320+1)</f>
        <v>2053</v>
      </c>
      <c r="D321" s="703">
        <f t="shared" si="13"/>
        <v>714052.06504066661</v>
      </c>
      <c r="E321" s="758">
        <f t="shared" si="17"/>
        <v>535539.04878048785</v>
      </c>
      <c r="F321" s="703">
        <f t="shared" si="12"/>
        <v>178513.01626017876</v>
      </c>
      <c r="G321" s="1296">
        <f t="shared" si="14"/>
        <v>579774.04618697043</v>
      </c>
      <c r="H321" s="1299">
        <f t="shared" si="15"/>
        <v>579774.04618697043</v>
      </c>
      <c r="I321" s="755">
        <f t="shared" si="16"/>
        <v>0</v>
      </c>
      <c r="J321" s="755"/>
      <c r="K321" s="903"/>
      <c r="L321" s="761"/>
      <c r="M321" s="903"/>
      <c r="N321" s="761"/>
      <c r="O321" s="761"/>
    </row>
    <row r="322" spans="3:15">
      <c r="C322" s="751">
        <f>IF(D275="","-",+C321+1)</f>
        <v>2054</v>
      </c>
      <c r="D322" s="703">
        <f t="shared" si="13"/>
        <v>178513.01626017876</v>
      </c>
      <c r="E322" s="758">
        <f t="shared" si="17"/>
        <v>178513.01626017876</v>
      </c>
      <c r="F322" s="703">
        <f t="shared" si="12"/>
        <v>0</v>
      </c>
      <c r="G322" s="1296">
        <f t="shared" si="14"/>
        <v>187360.01574147577</v>
      </c>
      <c r="H322" s="1299">
        <f t="shared" si="15"/>
        <v>187360.01574147577</v>
      </c>
      <c r="I322" s="755">
        <f t="shared" si="16"/>
        <v>0</v>
      </c>
      <c r="J322" s="755"/>
      <c r="K322" s="903"/>
      <c r="L322" s="761"/>
      <c r="M322" s="903"/>
      <c r="N322" s="761"/>
      <c r="O322" s="761"/>
    </row>
    <row r="323" spans="3:15">
      <c r="C323" s="751">
        <f>IF(D275="","-",+C322+1)</f>
        <v>2055</v>
      </c>
      <c r="D323" s="703">
        <f t="shared" si="13"/>
        <v>0</v>
      </c>
      <c r="E323" s="758">
        <f t="shared" si="17"/>
        <v>0</v>
      </c>
      <c r="F323" s="703">
        <f t="shared" si="12"/>
        <v>0</v>
      </c>
      <c r="G323" s="1296">
        <f t="shared" si="14"/>
        <v>0</v>
      </c>
      <c r="H323" s="1299">
        <f t="shared" si="15"/>
        <v>0</v>
      </c>
      <c r="I323" s="755">
        <f t="shared" si="16"/>
        <v>0</v>
      </c>
      <c r="J323" s="755"/>
      <c r="K323" s="903"/>
      <c r="L323" s="761"/>
      <c r="M323" s="903"/>
      <c r="N323" s="761"/>
      <c r="O323" s="761"/>
    </row>
    <row r="324" spans="3:15">
      <c r="C324" s="751">
        <f>IF(D275="","-",+C323+1)</f>
        <v>2056</v>
      </c>
      <c r="D324" s="703">
        <f t="shared" si="13"/>
        <v>0</v>
      </c>
      <c r="E324" s="758">
        <f t="shared" si="17"/>
        <v>0</v>
      </c>
      <c r="F324" s="703">
        <f t="shared" si="12"/>
        <v>0</v>
      </c>
      <c r="G324" s="1296">
        <f t="shared" si="14"/>
        <v>0</v>
      </c>
      <c r="H324" s="1299">
        <f t="shared" si="15"/>
        <v>0</v>
      </c>
      <c r="I324" s="755">
        <f t="shared" si="16"/>
        <v>0</v>
      </c>
      <c r="J324" s="755"/>
      <c r="K324" s="903"/>
      <c r="L324" s="761"/>
      <c r="M324" s="903"/>
      <c r="N324" s="761"/>
      <c r="O324" s="761"/>
    </row>
    <row r="325" spans="3:15">
      <c r="C325" s="751">
        <f>IF(D275="","-",+C324+1)</f>
        <v>2057</v>
      </c>
      <c r="D325" s="703">
        <f t="shared" si="13"/>
        <v>0</v>
      </c>
      <c r="E325" s="758">
        <f t="shared" si="17"/>
        <v>0</v>
      </c>
      <c r="F325" s="703">
        <f t="shared" si="12"/>
        <v>0</v>
      </c>
      <c r="G325" s="1296">
        <f t="shared" si="14"/>
        <v>0</v>
      </c>
      <c r="H325" s="1299">
        <f t="shared" si="15"/>
        <v>0</v>
      </c>
      <c r="I325" s="755">
        <f t="shared" si="16"/>
        <v>0</v>
      </c>
      <c r="J325" s="755"/>
      <c r="K325" s="903"/>
      <c r="L325" s="761"/>
      <c r="M325" s="903"/>
      <c r="N325" s="761"/>
      <c r="O325" s="761"/>
    </row>
    <row r="326" spans="3:15">
      <c r="C326" s="751">
        <f>IF(D275="","-",+C325+1)</f>
        <v>2058</v>
      </c>
      <c r="D326" s="703">
        <f t="shared" si="13"/>
        <v>0</v>
      </c>
      <c r="E326" s="758">
        <f t="shared" si="17"/>
        <v>0</v>
      </c>
      <c r="F326" s="703">
        <f t="shared" si="12"/>
        <v>0</v>
      </c>
      <c r="G326" s="1296">
        <f t="shared" si="14"/>
        <v>0</v>
      </c>
      <c r="H326" s="1299">
        <f t="shared" si="15"/>
        <v>0</v>
      </c>
      <c r="I326" s="755">
        <f t="shared" si="16"/>
        <v>0</v>
      </c>
      <c r="J326" s="755"/>
      <c r="K326" s="903"/>
      <c r="L326" s="761"/>
      <c r="M326" s="903"/>
      <c r="N326" s="761"/>
      <c r="O326" s="761"/>
    </row>
    <row r="327" spans="3:15">
      <c r="C327" s="751">
        <f>IF(D275="","-",+C326+1)</f>
        <v>2059</v>
      </c>
      <c r="D327" s="703">
        <f t="shared" si="13"/>
        <v>0</v>
      </c>
      <c r="E327" s="758">
        <f t="shared" si="17"/>
        <v>0</v>
      </c>
      <c r="F327" s="703">
        <f t="shared" si="12"/>
        <v>0</v>
      </c>
      <c r="G327" s="1296">
        <f t="shared" si="14"/>
        <v>0</v>
      </c>
      <c r="H327" s="1299">
        <f t="shared" si="15"/>
        <v>0</v>
      </c>
      <c r="I327" s="755">
        <f t="shared" si="16"/>
        <v>0</v>
      </c>
      <c r="J327" s="755"/>
      <c r="K327" s="903"/>
      <c r="L327" s="761"/>
      <c r="M327" s="903"/>
      <c r="N327" s="761"/>
      <c r="O327" s="761"/>
    </row>
    <row r="328" spans="3:15">
      <c r="C328" s="751">
        <f>IF(D275="","-",+C327+1)</f>
        <v>2060</v>
      </c>
      <c r="D328" s="703">
        <f t="shared" si="13"/>
        <v>0</v>
      </c>
      <c r="E328" s="758">
        <f t="shared" si="17"/>
        <v>0</v>
      </c>
      <c r="F328" s="703">
        <f t="shared" si="12"/>
        <v>0</v>
      </c>
      <c r="G328" s="1296">
        <f t="shared" si="14"/>
        <v>0</v>
      </c>
      <c r="H328" s="1299">
        <f t="shared" si="15"/>
        <v>0</v>
      </c>
      <c r="I328" s="755">
        <f t="shared" si="16"/>
        <v>0</v>
      </c>
      <c r="J328" s="755"/>
      <c r="K328" s="903"/>
      <c r="L328" s="761"/>
      <c r="M328" s="903"/>
      <c r="N328" s="761"/>
      <c r="O328" s="761"/>
    </row>
    <row r="329" spans="3:15">
      <c r="C329" s="751">
        <f>IF(D275="","-",+C328+1)</f>
        <v>2061</v>
      </c>
      <c r="D329" s="703">
        <f t="shared" si="13"/>
        <v>0</v>
      </c>
      <c r="E329" s="758">
        <f t="shared" si="17"/>
        <v>0</v>
      </c>
      <c r="F329" s="703">
        <f t="shared" si="12"/>
        <v>0</v>
      </c>
      <c r="G329" s="1296">
        <f t="shared" si="14"/>
        <v>0</v>
      </c>
      <c r="H329" s="1299">
        <f t="shared" si="15"/>
        <v>0</v>
      </c>
      <c r="I329" s="755">
        <f t="shared" si="16"/>
        <v>0</v>
      </c>
      <c r="J329" s="755"/>
      <c r="K329" s="903"/>
      <c r="L329" s="761"/>
      <c r="M329" s="903"/>
      <c r="N329" s="761"/>
      <c r="O329" s="761"/>
    </row>
    <row r="330" spans="3:15">
      <c r="C330" s="751">
        <f>IF(D275="","-",+C329+1)</f>
        <v>2062</v>
      </c>
      <c r="D330" s="703">
        <f t="shared" si="13"/>
        <v>0</v>
      </c>
      <c r="E330" s="758">
        <f t="shared" si="17"/>
        <v>0</v>
      </c>
      <c r="F330" s="703">
        <f t="shared" si="12"/>
        <v>0</v>
      </c>
      <c r="G330" s="1296">
        <f t="shared" si="14"/>
        <v>0</v>
      </c>
      <c r="H330" s="1299">
        <f t="shared" si="15"/>
        <v>0</v>
      </c>
      <c r="I330" s="755">
        <f t="shared" si="16"/>
        <v>0</v>
      </c>
      <c r="J330" s="755"/>
      <c r="K330" s="903"/>
      <c r="L330" s="761"/>
      <c r="M330" s="903"/>
      <c r="N330" s="761"/>
      <c r="O330" s="761"/>
    </row>
    <row r="331" spans="3:15">
      <c r="C331" s="751">
        <f>IF(D275="","-",+C330+1)</f>
        <v>2063</v>
      </c>
      <c r="D331" s="703">
        <f t="shared" si="13"/>
        <v>0</v>
      </c>
      <c r="E331" s="758">
        <f t="shared" si="17"/>
        <v>0</v>
      </c>
      <c r="F331" s="703">
        <f t="shared" si="12"/>
        <v>0</v>
      </c>
      <c r="G331" s="1296">
        <f t="shared" si="14"/>
        <v>0</v>
      </c>
      <c r="H331" s="1299">
        <f t="shared" si="15"/>
        <v>0</v>
      </c>
      <c r="I331" s="755">
        <f t="shared" si="16"/>
        <v>0</v>
      </c>
      <c r="J331" s="755"/>
      <c r="K331" s="903"/>
      <c r="L331" s="761"/>
      <c r="M331" s="903"/>
      <c r="N331" s="761"/>
      <c r="O331" s="761"/>
    </row>
    <row r="332" spans="3:15">
      <c r="C332" s="751">
        <f>IF(D275="","-",+C331+1)</f>
        <v>2064</v>
      </c>
      <c r="D332" s="703">
        <f t="shared" si="13"/>
        <v>0</v>
      </c>
      <c r="E332" s="758">
        <f t="shared" si="17"/>
        <v>0</v>
      </c>
      <c r="F332" s="703">
        <f t="shared" si="12"/>
        <v>0</v>
      </c>
      <c r="G332" s="1296">
        <f t="shared" si="14"/>
        <v>0</v>
      </c>
      <c r="H332" s="1299">
        <f t="shared" si="15"/>
        <v>0</v>
      </c>
      <c r="I332" s="755">
        <f t="shared" si="16"/>
        <v>0</v>
      </c>
      <c r="J332" s="755"/>
      <c r="K332" s="903"/>
      <c r="L332" s="761"/>
      <c r="M332" s="903"/>
      <c r="N332" s="761"/>
      <c r="O332" s="761"/>
    </row>
    <row r="333" spans="3:15">
      <c r="C333" s="751">
        <f>IF(D275="","-",+C332+1)</f>
        <v>2065</v>
      </c>
      <c r="D333" s="703">
        <f t="shared" si="13"/>
        <v>0</v>
      </c>
      <c r="E333" s="758">
        <f t="shared" si="17"/>
        <v>0</v>
      </c>
      <c r="F333" s="703">
        <f t="shared" si="12"/>
        <v>0</v>
      </c>
      <c r="G333" s="1296">
        <f t="shared" si="14"/>
        <v>0</v>
      </c>
      <c r="H333" s="1299">
        <f t="shared" si="15"/>
        <v>0</v>
      </c>
      <c r="I333" s="755">
        <f t="shared" si="16"/>
        <v>0</v>
      </c>
      <c r="J333" s="755"/>
      <c r="K333" s="903"/>
      <c r="L333" s="761"/>
      <c r="M333" s="903"/>
      <c r="N333" s="761"/>
      <c r="O333" s="761"/>
    </row>
    <row r="334" spans="3:15">
      <c r="C334" s="751">
        <f>IF(D275="","-",+C333+1)</f>
        <v>2066</v>
      </c>
      <c r="D334" s="703">
        <f t="shared" si="13"/>
        <v>0</v>
      </c>
      <c r="E334" s="758">
        <f t="shared" si="17"/>
        <v>0</v>
      </c>
      <c r="F334" s="703">
        <f t="shared" si="12"/>
        <v>0</v>
      </c>
      <c r="G334" s="1296">
        <f t="shared" si="14"/>
        <v>0</v>
      </c>
      <c r="H334" s="1299">
        <f t="shared" si="15"/>
        <v>0</v>
      </c>
      <c r="I334" s="755">
        <f t="shared" si="16"/>
        <v>0</v>
      </c>
      <c r="J334" s="755"/>
      <c r="K334" s="903"/>
      <c r="L334" s="761"/>
      <c r="M334" s="903"/>
      <c r="N334" s="761"/>
      <c r="O334" s="761"/>
    </row>
    <row r="335" spans="3:15">
      <c r="C335" s="751">
        <f>IF(D275="","-",+C334+1)</f>
        <v>2067</v>
      </c>
      <c r="D335" s="703">
        <f t="shared" si="13"/>
        <v>0</v>
      </c>
      <c r="E335" s="758">
        <f t="shared" si="17"/>
        <v>0</v>
      </c>
      <c r="F335" s="703">
        <f t="shared" si="12"/>
        <v>0</v>
      </c>
      <c r="G335" s="1296">
        <f t="shared" si="14"/>
        <v>0</v>
      </c>
      <c r="H335" s="1299">
        <f t="shared" si="15"/>
        <v>0</v>
      </c>
      <c r="I335" s="755">
        <f t="shared" si="16"/>
        <v>0</v>
      </c>
      <c r="J335" s="755"/>
      <c r="K335" s="903"/>
      <c r="L335" s="761"/>
      <c r="M335" s="903"/>
      <c r="N335" s="761"/>
      <c r="O335" s="761"/>
    </row>
    <row r="336" spans="3:15">
      <c r="C336" s="751">
        <f>IF(D275="","-",+C335+1)</f>
        <v>2068</v>
      </c>
      <c r="D336" s="703">
        <f t="shared" si="13"/>
        <v>0</v>
      </c>
      <c r="E336" s="758">
        <f t="shared" si="17"/>
        <v>0</v>
      </c>
      <c r="F336" s="703">
        <f t="shared" si="12"/>
        <v>0</v>
      </c>
      <c r="G336" s="1296">
        <f t="shared" si="14"/>
        <v>0</v>
      </c>
      <c r="H336" s="1299">
        <f t="shared" si="15"/>
        <v>0</v>
      </c>
      <c r="I336" s="755">
        <f t="shared" si="16"/>
        <v>0</v>
      </c>
      <c r="J336" s="755"/>
      <c r="K336" s="903"/>
      <c r="L336" s="761"/>
      <c r="M336" s="903"/>
      <c r="N336" s="761"/>
      <c r="O336" s="761"/>
    </row>
    <row r="337" spans="1:16">
      <c r="C337" s="751">
        <f>IF(D275="","-",+C336+1)</f>
        <v>2069</v>
      </c>
      <c r="D337" s="703">
        <f t="shared" si="13"/>
        <v>0</v>
      </c>
      <c r="E337" s="758">
        <f t="shared" si="17"/>
        <v>0</v>
      </c>
      <c r="F337" s="703">
        <f t="shared" si="12"/>
        <v>0</v>
      </c>
      <c r="G337" s="1296">
        <f t="shared" si="14"/>
        <v>0</v>
      </c>
      <c r="H337" s="1299">
        <f t="shared" si="15"/>
        <v>0</v>
      </c>
      <c r="I337" s="755">
        <f t="shared" si="16"/>
        <v>0</v>
      </c>
      <c r="J337" s="755"/>
      <c r="K337" s="903"/>
      <c r="L337" s="761"/>
      <c r="M337" s="903"/>
      <c r="N337" s="761"/>
      <c r="O337" s="761"/>
    </row>
    <row r="338" spans="1:16">
      <c r="C338" s="751">
        <f>IF(D275="","-",+C337+1)</f>
        <v>2070</v>
      </c>
      <c r="D338" s="703">
        <f t="shared" si="13"/>
        <v>0</v>
      </c>
      <c r="E338" s="758">
        <f t="shared" si="17"/>
        <v>0</v>
      </c>
      <c r="F338" s="703">
        <f t="shared" si="12"/>
        <v>0</v>
      </c>
      <c r="G338" s="1296">
        <f t="shared" si="14"/>
        <v>0</v>
      </c>
      <c r="H338" s="1299">
        <f t="shared" si="15"/>
        <v>0</v>
      </c>
      <c r="I338" s="755">
        <f t="shared" si="16"/>
        <v>0</v>
      </c>
      <c r="J338" s="755"/>
      <c r="K338" s="903"/>
      <c r="L338" s="761"/>
      <c r="M338" s="903"/>
      <c r="N338" s="761"/>
      <c r="O338" s="761"/>
    </row>
    <row r="339" spans="1:16">
      <c r="C339" s="751">
        <f>IF(D275="","-",+C338+1)</f>
        <v>2071</v>
      </c>
      <c r="D339" s="703">
        <f t="shared" si="13"/>
        <v>0</v>
      </c>
      <c r="E339" s="758">
        <f t="shared" si="17"/>
        <v>0</v>
      </c>
      <c r="F339" s="703">
        <f t="shared" si="12"/>
        <v>0</v>
      </c>
      <c r="G339" s="1296">
        <f t="shared" si="14"/>
        <v>0</v>
      </c>
      <c r="H339" s="1299">
        <f t="shared" si="15"/>
        <v>0</v>
      </c>
      <c r="I339" s="755">
        <f t="shared" si="16"/>
        <v>0</v>
      </c>
      <c r="J339" s="755"/>
      <c r="K339" s="903"/>
      <c r="L339" s="761"/>
      <c r="M339" s="903"/>
      <c r="N339" s="761"/>
      <c r="O339" s="761"/>
    </row>
    <row r="340" spans="1:16" ht="13.5" thickBot="1">
      <c r="C340" s="762">
        <f>IF(D275="","-",+C339+1)</f>
        <v>2072</v>
      </c>
      <c r="D340" s="763">
        <f t="shared" si="13"/>
        <v>0</v>
      </c>
      <c r="E340" s="764">
        <f t="shared" si="17"/>
        <v>0</v>
      </c>
      <c r="F340" s="763">
        <f t="shared" si="12"/>
        <v>0</v>
      </c>
      <c r="G340" s="1307">
        <f t="shared" si="14"/>
        <v>0</v>
      </c>
      <c r="H340" s="1307">
        <f t="shared" si="15"/>
        <v>0</v>
      </c>
      <c r="I340" s="766">
        <f t="shared" si="16"/>
        <v>0</v>
      </c>
      <c r="J340" s="755"/>
      <c r="K340" s="904"/>
      <c r="L340" s="768"/>
      <c r="M340" s="904"/>
      <c r="N340" s="768"/>
      <c r="O340" s="768"/>
    </row>
    <row r="341" spans="1:16">
      <c r="C341" s="703" t="s">
        <v>289</v>
      </c>
      <c r="D341" s="1277"/>
      <c r="E341" s="1277">
        <f>SUM(E281:E340)</f>
        <v>21957101</v>
      </c>
      <c r="F341" s="1277"/>
      <c r="G341" s="1277">
        <f>SUM(G281:G340)</f>
        <v>67297973.34164311</v>
      </c>
      <c r="H341" s="1277">
        <f>SUM(H281:H340)</f>
        <v>67297973.34164311</v>
      </c>
      <c r="I341" s="1277">
        <f>SUM(I281:I340)</f>
        <v>0</v>
      </c>
      <c r="J341" s="1277"/>
      <c r="K341" s="1277"/>
      <c r="L341" s="1277"/>
      <c r="M341" s="1277"/>
      <c r="N341" s="1277"/>
      <c r="O341" s="570"/>
    </row>
    <row r="342" spans="1:16">
      <c r="D342" s="593"/>
      <c r="E342" s="570"/>
      <c r="F342" s="570"/>
      <c r="G342" s="570"/>
      <c r="H342" s="1276"/>
      <c r="I342" s="1276"/>
      <c r="J342" s="1277"/>
      <c r="K342" s="1276"/>
      <c r="L342" s="1276"/>
      <c r="M342" s="1276"/>
      <c r="N342" s="1276"/>
      <c r="O342" s="570"/>
    </row>
    <row r="343" spans="1:16">
      <c r="C343" s="1308" t="s">
        <v>968</v>
      </c>
      <c r="D343" s="593"/>
      <c r="E343" s="570"/>
      <c r="F343" s="570"/>
      <c r="G343" s="570"/>
      <c r="H343" s="1276"/>
      <c r="I343" s="1276"/>
      <c r="J343" s="1277"/>
      <c r="K343" s="1276"/>
      <c r="L343" s="1276"/>
      <c r="M343" s="1276"/>
      <c r="N343" s="1276"/>
      <c r="O343" s="570"/>
    </row>
    <row r="344" spans="1:16">
      <c r="D344" s="593"/>
      <c r="E344" s="570"/>
      <c r="F344" s="570"/>
      <c r="G344" s="570"/>
      <c r="H344" s="1276"/>
      <c r="I344" s="1276"/>
      <c r="J344" s="1277"/>
      <c r="K344" s="1276"/>
      <c r="L344" s="1276"/>
      <c r="M344" s="1276"/>
      <c r="N344" s="1276"/>
      <c r="O344" s="570"/>
    </row>
    <row r="345" spans="1:16">
      <c r="C345" s="716" t="s">
        <v>969</v>
      </c>
      <c r="D345" s="703"/>
      <c r="E345" s="703"/>
      <c r="F345" s="703"/>
      <c r="G345" s="1277"/>
      <c r="H345" s="1277"/>
      <c r="I345" s="704"/>
      <c r="J345" s="704"/>
      <c r="K345" s="704"/>
      <c r="L345" s="704"/>
      <c r="M345" s="704"/>
      <c r="N345" s="704"/>
      <c r="O345" s="570"/>
    </row>
    <row r="346" spans="1:16">
      <c r="C346" s="702" t="s">
        <v>477</v>
      </c>
      <c r="D346" s="703"/>
      <c r="E346" s="703"/>
      <c r="F346" s="703"/>
      <c r="G346" s="1277"/>
      <c r="H346" s="1277"/>
      <c r="I346" s="704"/>
      <c r="J346" s="704"/>
      <c r="K346" s="704"/>
      <c r="L346" s="704"/>
      <c r="M346" s="704"/>
      <c r="N346" s="704"/>
      <c r="O346" s="570"/>
    </row>
    <row r="347" spans="1:16">
      <c r="C347" s="702" t="s">
        <v>290</v>
      </c>
      <c r="D347" s="703"/>
      <c r="E347" s="703"/>
      <c r="F347" s="703"/>
      <c r="G347" s="1277"/>
      <c r="H347" s="1277"/>
      <c r="I347" s="704"/>
      <c r="J347" s="704"/>
      <c r="K347" s="704"/>
      <c r="L347" s="704"/>
      <c r="M347" s="704"/>
      <c r="N347" s="704"/>
      <c r="O347" s="570"/>
    </row>
    <row r="348" spans="1:16">
      <c r="C348" s="702"/>
      <c r="D348" s="703"/>
      <c r="E348" s="703"/>
      <c r="F348" s="703"/>
      <c r="G348" s="1277"/>
      <c r="H348" s="1277"/>
      <c r="I348" s="704"/>
      <c r="J348" s="704"/>
      <c r="K348" s="704"/>
      <c r="L348" s="704"/>
      <c r="M348" s="704"/>
      <c r="N348" s="704"/>
      <c r="O348" s="570"/>
    </row>
    <row r="349" spans="1:16">
      <c r="C349" s="1507" t="s">
        <v>461</v>
      </c>
      <c r="D349" s="1507"/>
      <c r="E349" s="1507"/>
      <c r="F349" s="1507"/>
      <c r="G349" s="1507"/>
      <c r="H349" s="1507"/>
      <c r="I349" s="1507"/>
      <c r="J349" s="1507"/>
      <c r="K349" s="1507"/>
      <c r="L349" s="1507"/>
      <c r="M349" s="1507"/>
      <c r="N349" s="1507"/>
      <c r="O349" s="1507"/>
    </row>
    <row r="350" spans="1:16">
      <c r="C350" s="1507"/>
      <c r="D350" s="1507"/>
      <c r="E350" s="1507"/>
      <c r="F350" s="1507"/>
      <c r="G350" s="1507"/>
      <c r="H350" s="1507"/>
      <c r="I350" s="1507"/>
      <c r="J350" s="1507"/>
      <c r="K350" s="1507"/>
      <c r="L350" s="1507"/>
      <c r="M350" s="1507"/>
      <c r="N350" s="1507"/>
      <c r="O350" s="1507"/>
    </row>
    <row r="351" spans="1:16" ht="20.25">
      <c r="A351" s="705" t="s">
        <v>965</v>
      </c>
      <c r="B351" s="606"/>
      <c r="C351" s="685"/>
      <c r="D351" s="593"/>
      <c r="E351" s="570"/>
      <c r="F351" s="675"/>
      <c r="G351" s="570"/>
      <c r="H351" s="1276"/>
      <c r="K351" s="706"/>
      <c r="L351" s="706"/>
      <c r="M351" s="706"/>
      <c r="N351" s="621" t="str">
        <f>"Page "&amp;P1489&amp;" of "</f>
        <v xml:space="preserve">Page  of </v>
      </c>
      <c r="O351" s="622">
        <f>COUNT(P$6:P$59527)</f>
        <v>10</v>
      </c>
      <c r="P351" s="570">
        <v>5</v>
      </c>
    </row>
    <row r="352" spans="1:16">
      <c r="B352" s="606"/>
      <c r="C352" s="570"/>
      <c r="D352" s="593"/>
      <c r="E352" s="570"/>
      <c r="F352" s="570"/>
      <c r="G352" s="570"/>
      <c r="H352" s="1276"/>
      <c r="I352" s="570"/>
      <c r="J352" s="618"/>
      <c r="K352" s="570"/>
      <c r="L352" s="570"/>
      <c r="M352" s="570"/>
      <c r="N352" s="570"/>
      <c r="O352" s="570"/>
    </row>
    <row r="353" spans="1:15" ht="18">
      <c r="B353" s="625" t="s">
        <v>175</v>
      </c>
      <c r="C353" s="707" t="s">
        <v>291</v>
      </c>
      <c r="D353" s="593"/>
      <c r="E353" s="570"/>
      <c r="F353" s="570"/>
      <c r="G353" s="570"/>
      <c r="H353" s="1276"/>
      <c r="I353" s="1276"/>
      <c r="J353" s="1277"/>
      <c r="K353" s="1276"/>
      <c r="L353" s="1276"/>
      <c r="M353" s="1276"/>
      <c r="N353" s="1276"/>
      <c r="O353" s="570"/>
    </row>
    <row r="354" spans="1:15" ht="18.75">
      <c r="B354" s="625"/>
      <c r="C354" s="624"/>
      <c r="D354" s="593"/>
      <c r="E354" s="570"/>
      <c r="F354" s="570"/>
      <c r="G354" s="570"/>
      <c r="H354" s="1276"/>
      <c r="I354" s="1276"/>
      <c r="J354" s="1277"/>
      <c r="K354" s="1276"/>
      <c r="L354" s="1276"/>
      <c r="M354" s="1276"/>
      <c r="N354" s="1276"/>
      <c r="O354" s="570"/>
    </row>
    <row r="355" spans="1:15" ht="18.75">
      <c r="B355" s="625"/>
      <c r="C355" s="624" t="s">
        <v>292</v>
      </c>
      <c r="D355" s="593"/>
      <c r="E355" s="570"/>
      <c r="F355" s="570"/>
      <c r="G355" s="570"/>
      <c r="H355" s="1276"/>
      <c r="I355" s="1276"/>
      <c r="J355" s="1277"/>
      <c r="K355" s="1276"/>
      <c r="L355" s="1276"/>
      <c r="M355" s="1276"/>
      <c r="N355" s="1276"/>
      <c r="O355" s="570"/>
    </row>
    <row r="356" spans="1:15" ht="15.75" thickBot="1">
      <c r="C356" s="423"/>
      <c r="D356" s="593"/>
      <c r="E356" s="570"/>
      <c r="F356" s="570"/>
      <c r="G356" s="570"/>
      <c r="H356" s="1276"/>
      <c r="I356" s="1276"/>
      <c r="J356" s="1277"/>
      <c r="K356" s="1276"/>
      <c r="L356" s="1276"/>
      <c r="M356" s="1276"/>
      <c r="N356" s="1276"/>
      <c r="O356" s="570"/>
    </row>
    <row r="357" spans="1:15" ht="15.75">
      <c r="C357" s="626" t="s">
        <v>293</v>
      </c>
      <c r="D357" s="593"/>
      <c r="E357" s="570"/>
      <c r="F357" s="570"/>
      <c r="G357" s="1278"/>
      <c r="H357" s="570" t="s">
        <v>272</v>
      </c>
      <c r="I357" s="570"/>
      <c r="J357" s="618"/>
      <c r="K357" s="708" t="s">
        <v>297</v>
      </c>
      <c r="L357" s="709"/>
      <c r="M357" s="710"/>
      <c r="N357" s="1279">
        <f>VLOOKUP(I363,C370:O429,5)</f>
        <v>124826.21130812721</v>
      </c>
      <c r="O357" s="570"/>
    </row>
    <row r="358" spans="1:15" ht="15.75">
      <c r="C358" s="626"/>
      <c r="D358" s="593"/>
      <c r="E358" s="570"/>
      <c r="F358" s="570"/>
      <c r="G358" s="570"/>
      <c r="H358" s="1280"/>
      <c r="I358" s="1280"/>
      <c r="J358" s="1281"/>
      <c r="K358" s="713" t="s">
        <v>298</v>
      </c>
      <c r="L358" s="1282"/>
      <c r="M358" s="618"/>
      <c r="N358" s="1283">
        <f>VLOOKUP(I363,C370:O429,6)</f>
        <v>124826.21130812721</v>
      </c>
      <c r="O358" s="570"/>
    </row>
    <row r="359" spans="1:15" ht="13.5" thickBot="1">
      <c r="C359" s="714" t="s">
        <v>294</v>
      </c>
      <c r="D359" s="1508" t="s">
        <v>972</v>
      </c>
      <c r="E359" s="1509"/>
      <c r="F359" s="1509"/>
      <c r="G359" s="1509"/>
      <c r="H359" s="1509"/>
      <c r="I359" s="1509"/>
      <c r="J359" s="1277"/>
      <c r="K359" s="1284" t="s">
        <v>451</v>
      </c>
      <c r="L359" s="1285"/>
      <c r="M359" s="1285"/>
      <c r="N359" s="1286">
        <f>+N358-N357</f>
        <v>0</v>
      </c>
      <c r="O359" s="570"/>
    </row>
    <row r="360" spans="1:15">
      <c r="C360" s="716"/>
      <c r="D360" s="1509"/>
      <c r="E360" s="1509"/>
      <c r="F360" s="1509"/>
      <c r="G360" s="1509"/>
      <c r="H360" s="1509"/>
      <c r="I360" s="1509"/>
      <c r="J360" s="1277"/>
      <c r="K360" s="1276"/>
      <c r="L360" s="1276"/>
      <c r="M360" s="1276"/>
      <c r="N360" s="1276"/>
      <c r="O360" s="570"/>
    </row>
    <row r="361" spans="1:15" ht="13.5" thickBot="1">
      <c r="C361" s="719"/>
      <c r="D361" s="720"/>
      <c r="E361" s="718"/>
      <c r="F361" s="718"/>
      <c r="G361" s="718"/>
      <c r="H361" s="718"/>
      <c r="I361" s="718"/>
      <c r="J361" s="721"/>
      <c r="K361" s="718"/>
      <c r="L361" s="718"/>
      <c r="M361" s="718"/>
      <c r="N361" s="718"/>
      <c r="O361" s="606"/>
    </row>
    <row r="362" spans="1:15" ht="13.5" thickBot="1">
      <c r="C362" s="722" t="s">
        <v>295</v>
      </c>
      <c r="D362" s="723"/>
      <c r="E362" s="723"/>
      <c r="F362" s="723"/>
      <c r="G362" s="723"/>
      <c r="H362" s="723"/>
      <c r="I362" s="724"/>
      <c r="J362" s="725"/>
      <c r="K362" s="570"/>
      <c r="L362" s="570"/>
      <c r="M362" s="570"/>
      <c r="N362" s="570"/>
      <c r="O362" s="726"/>
    </row>
    <row r="363" spans="1:15" ht="15">
      <c r="C363" s="728" t="s">
        <v>273</v>
      </c>
      <c r="D363" s="1287">
        <v>1112263</v>
      </c>
      <c r="E363" s="685" t="s">
        <v>274</v>
      </c>
      <c r="G363" s="729"/>
      <c r="H363" s="729"/>
      <c r="I363" s="730">
        <f>I274</f>
        <v>2021</v>
      </c>
      <c r="J363" s="616"/>
      <c r="K363" s="1506" t="s">
        <v>460</v>
      </c>
      <c r="L363" s="1506"/>
      <c r="M363" s="1506"/>
      <c r="N363" s="1506"/>
      <c r="O363" s="1506"/>
    </row>
    <row r="364" spans="1:15">
      <c r="C364" s="728" t="s">
        <v>276</v>
      </c>
      <c r="D364" s="898">
        <v>2016</v>
      </c>
      <c r="E364" s="728" t="s">
        <v>277</v>
      </c>
      <c r="F364" s="729"/>
      <c r="H364" s="357"/>
      <c r="I364" s="901">
        <f>IF(G357="",0,$F$15)</f>
        <v>0</v>
      </c>
      <c r="J364" s="731"/>
      <c r="K364" s="1277" t="s">
        <v>460</v>
      </c>
    </row>
    <row r="365" spans="1:15">
      <c r="C365" s="728" t="s">
        <v>278</v>
      </c>
      <c r="D365" s="1287">
        <v>10</v>
      </c>
      <c r="E365" s="728" t="s">
        <v>279</v>
      </c>
      <c r="F365" s="729"/>
      <c r="H365" s="357"/>
      <c r="I365" s="732">
        <f>$G$70</f>
        <v>9.9118816841934854E-2</v>
      </c>
      <c r="J365" s="733"/>
      <c r="K365" s="357" t="str">
        <f>"          INPUT PROJECTED ARR (WITH &amp; WITHOUT INCENTIVES) FROM EACH PRIOR YEAR"</f>
        <v xml:space="preserve">          INPUT PROJECTED ARR (WITH &amp; WITHOUT INCENTIVES) FROM EACH PRIOR YEAR</v>
      </c>
    </row>
    <row r="366" spans="1:15">
      <c r="C366" s="728" t="s">
        <v>280</v>
      </c>
      <c r="D366" s="734">
        <f>G$79</f>
        <v>41</v>
      </c>
      <c r="E366" s="728" t="s">
        <v>281</v>
      </c>
      <c r="F366" s="729"/>
      <c r="H366" s="357"/>
      <c r="I366" s="732">
        <f>IF(G357="",I365,$G$67)</f>
        <v>9.9118816841934854E-2</v>
      </c>
      <c r="J366" s="735"/>
      <c r="K366" s="357" t="s">
        <v>358</v>
      </c>
    </row>
    <row r="367" spans="1:15" ht="13.5" thickBot="1">
      <c r="C367" s="728" t="s">
        <v>282</v>
      </c>
      <c r="D367" s="900" t="s">
        <v>967</v>
      </c>
      <c r="E367" s="736" t="s">
        <v>283</v>
      </c>
      <c r="F367" s="737"/>
      <c r="G367" s="738"/>
      <c r="H367" s="738"/>
      <c r="I367" s="1286">
        <f>IF(D363=0,0,D363/D366)</f>
        <v>27128.365853658535</v>
      </c>
      <c r="J367" s="1277"/>
      <c r="K367" s="1277" t="s">
        <v>364</v>
      </c>
      <c r="L367" s="1277"/>
      <c r="M367" s="1277"/>
      <c r="N367" s="1277"/>
      <c r="O367" s="618"/>
    </row>
    <row r="368" spans="1:15" ht="51">
      <c r="A368" s="557"/>
      <c r="B368" s="1288"/>
      <c r="C368" s="739" t="s">
        <v>273</v>
      </c>
      <c r="D368" s="1289" t="s">
        <v>284</v>
      </c>
      <c r="E368" s="1290" t="s">
        <v>285</v>
      </c>
      <c r="F368" s="1289" t="s">
        <v>286</v>
      </c>
      <c r="G368" s="1290" t="s">
        <v>357</v>
      </c>
      <c r="H368" s="1291" t="s">
        <v>357</v>
      </c>
      <c r="I368" s="739" t="s">
        <v>296</v>
      </c>
      <c r="J368" s="743"/>
      <c r="K368" s="1290" t="s">
        <v>366</v>
      </c>
      <c r="L368" s="1292"/>
      <c r="M368" s="1290" t="s">
        <v>366</v>
      </c>
      <c r="N368" s="1292"/>
      <c r="O368" s="1292"/>
    </row>
    <row r="369" spans="3:15" ht="13.5" thickBot="1">
      <c r="C369" s="745" t="s">
        <v>178</v>
      </c>
      <c r="D369" s="746" t="s">
        <v>179</v>
      </c>
      <c r="E369" s="745" t="s">
        <v>38</v>
      </c>
      <c r="F369" s="746" t="s">
        <v>179</v>
      </c>
      <c r="G369" s="1293" t="s">
        <v>299</v>
      </c>
      <c r="H369" s="1294" t="s">
        <v>301</v>
      </c>
      <c r="I369" s="749" t="s">
        <v>390</v>
      </c>
      <c r="J369" s="750"/>
      <c r="K369" s="1293" t="s">
        <v>288</v>
      </c>
      <c r="L369" s="1295"/>
      <c r="M369" s="1293" t="s">
        <v>301</v>
      </c>
      <c r="N369" s="1295"/>
      <c r="O369" s="1295"/>
    </row>
    <row r="370" spans="3:15">
      <c r="C370" s="751">
        <f>IF(D364= "","-",D364)</f>
        <v>2016</v>
      </c>
      <c r="D370" s="703">
        <f>+D363</f>
        <v>1112263</v>
      </c>
      <c r="E370" s="1296">
        <f>+I367/12*(12-D365)</f>
        <v>4521.3943089430895</v>
      </c>
      <c r="F370" s="703">
        <f t="shared" ref="F370:F429" si="18">+D370-E370</f>
        <v>1107741.6056910569</v>
      </c>
      <c r="G370" s="1297">
        <f>+$I$365*((D370+F370)/2)+E370</f>
        <v>114543.50925881491</v>
      </c>
      <c r="H370" s="1298">
        <f>+$I$366*((D370+F370)/2)+E370</f>
        <v>114543.50925881491</v>
      </c>
      <c r="I370" s="755">
        <f>+H370-G370</f>
        <v>0</v>
      </c>
      <c r="J370" s="755"/>
      <c r="K370" s="903">
        <v>226163</v>
      </c>
      <c r="L370" s="757"/>
      <c r="M370" s="903">
        <v>226163</v>
      </c>
      <c r="N370" s="757"/>
      <c r="O370" s="757"/>
    </row>
    <row r="371" spans="3:15">
      <c r="C371" s="751">
        <f>IF(D364="","-",+C370+1)</f>
        <v>2017</v>
      </c>
      <c r="D371" s="703">
        <f t="shared" ref="D371:D429" si="19">F370</f>
        <v>1107741.6056910569</v>
      </c>
      <c r="E371" s="758">
        <f>IF(D371&gt;$I$367,$I$367,D371)</f>
        <v>27128.365853658535</v>
      </c>
      <c r="F371" s="703">
        <f t="shared" si="18"/>
        <v>1080613.2398373983</v>
      </c>
      <c r="G371" s="1296">
        <f t="shared" ref="G371:G429" si="20">+$I$365*((D371+F371)/2)+E371</f>
        <v>135581.93741320635</v>
      </c>
      <c r="H371" s="1299">
        <f t="shared" ref="H371:H429" si="21">+$I$366*((D371+F371)/2)+E371</f>
        <v>135581.93741320635</v>
      </c>
      <c r="I371" s="755">
        <f t="shared" ref="I371:I429" si="22">+H371-G371</f>
        <v>0</v>
      </c>
      <c r="J371" s="755"/>
      <c r="K371" s="903">
        <v>7946</v>
      </c>
      <c r="L371" s="761"/>
      <c r="M371" s="903">
        <v>7946</v>
      </c>
      <c r="N371" s="761"/>
      <c r="O371" s="761"/>
    </row>
    <row r="372" spans="3:15">
      <c r="C372" s="1313">
        <f>IF(D364="","-",+C371+1)</f>
        <v>2018</v>
      </c>
      <c r="D372" s="1301">
        <f t="shared" si="19"/>
        <v>1080613.2398373983</v>
      </c>
      <c r="E372" s="1302">
        <f t="shared" ref="E372:E429" si="23">IF(D372&gt;$I$367,$I$367,D372)</f>
        <v>27128.365853658535</v>
      </c>
      <c r="F372" s="1301">
        <f t="shared" si="18"/>
        <v>1053484.8739837396</v>
      </c>
      <c r="G372" s="1303">
        <f t="shared" si="20"/>
        <v>132893.00588693653</v>
      </c>
      <c r="H372" s="1304">
        <f t="shared" si="21"/>
        <v>132893.00588693653</v>
      </c>
      <c r="I372" s="1305">
        <f t="shared" si="22"/>
        <v>0</v>
      </c>
      <c r="J372" s="755"/>
      <c r="K372" s="903">
        <v>18182</v>
      </c>
      <c r="L372" s="761"/>
      <c r="M372" s="903">
        <v>18182</v>
      </c>
      <c r="N372" s="761"/>
      <c r="O372" s="761"/>
    </row>
    <row r="373" spans="3:15">
      <c r="C373" s="751">
        <f>IF(D364="","-",+C372+1)</f>
        <v>2019</v>
      </c>
      <c r="D373" s="703">
        <f t="shared" si="19"/>
        <v>1053484.8739837396</v>
      </c>
      <c r="E373" s="758">
        <f t="shared" si="23"/>
        <v>27128.365853658535</v>
      </c>
      <c r="F373" s="703">
        <f t="shared" si="18"/>
        <v>1026356.5081300811</v>
      </c>
      <c r="G373" s="1296">
        <f t="shared" si="20"/>
        <v>130204.07436066677</v>
      </c>
      <c r="H373" s="1299">
        <f t="shared" si="21"/>
        <v>130204.07436066677</v>
      </c>
      <c r="I373" s="755">
        <f t="shared" si="22"/>
        <v>0</v>
      </c>
      <c r="J373" s="755"/>
      <c r="K373" s="903">
        <v>125630.51777107318</v>
      </c>
      <c r="L373" s="761"/>
      <c r="M373" s="903">
        <v>125630.51777107318</v>
      </c>
      <c r="N373" s="761"/>
      <c r="O373" s="761"/>
    </row>
    <row r="374" spans="3:15">
      <c r="C374" s="751">
        <f>IF(D364="","-",+C373+1)</f>
        <v>2020</v>
      </c>
      <c r="D374" s="703">
        <f t="shared" si="19"/>
        <v>1026356.5081300811</v>
      </c>
      <c r="E374" s="758">
        <f t="shared" si="23"/>
        <v>27128.365853658535</v>
      </c>
      <c r="F374" s="703">
        <f t="shared" si="18"/>
        <v>999228.14227642259</v>
      </c>
      <c r="G374" s="1296">
        <f t="shared" si="20"/>
        <v>127515.14283439697</v>
      </c>
      <c r="H374" s="1299">
        <f t="shared" si="21"/>
        <v>127515.14283439697</v>
      </c>
      <c r="I374" s="755">
        <f t="shared" si="22"/>
        <v>0</v>
      </c>
      <c r="J374" s="755"/>
      <c r="K374" s="903">
        <v>125733.2854472154</v>
      </c>
      <c r="L374" s="761"/>
      <c r="M374" s="903">
        <v>125733.2854472154</v>
      </c>
      <c r="N374" s="761"/>
      <c r="O374" s="761"/>
    </row>
    <row r="375" spans="3:15">
      <c r="C375" s="751">
        <f>IF(D364="","-",+C374+1)</f>
        <v>2021</v>
      </c>
      <c r="D375" s="703">
        <f t="shared" si="19"/>
        <v>999228.14227642259</v>
      </c>
      <c r="E375" s="758">
        <f t="shared" si="23"/>
        <v>27128.365853658535</v>
      </c>
      <c r="F375" s="703">
        <f t="shared" si="18"/>
        <v>972099.77642276406</v>
      </c>
      <c r="G375" s="1296">
        <f t="shared" si="20"/>
        <v>124826.21130812721</v>
      </c>
      <c r="H375" s="1299">
        <f t="shared" si="21"/>
        <v>124826.21130812721</v>
      </c>
      <c r="I375" s="755">
        <f t="shared" si="22"/>
        <v>0</v>
      </c>
      <c r="J375" s="755"/>
      <c r="K375" s="903"/>
      <c r="L375" s="761"/>
      <c r="M375" s="903"/>
      <c r="N375" s="761"/>
      <c r="O375" s="761"/>
    </row>
    <row r="376" spans="3:15">
      <c r="C376" s="751">
        <f>IF(D364="","-",+C375+1)</f>
        <v>2022</v>
      </c>
      <c r="D376" s="703">
        <f t="shared" si="19"/>
        <v>972099.77642276406</v>
      </c>
      <c r="E376" s="758">
        <f t="shared" si="23"/>
        <v>27128.365853658535</v>
      </c>
      <c r="F376" s="703">
        <f t="shared" si="18"/>
        <v>944971.41056910553</v>
      </c>
      <c r="G376" s="1296">
        <f t="shared" si="20"/>
        <v>122137.27978185742</v>
      </c>
      <c r="H376" s="1299">
        <f t="shared" si="21"/>
        <v>122137.27978185742</v>
      </c>
      <c r="I376" s="755">
        <f t="shared" si="22"/>
        <v>0</v>
      </c>
      <c r="J376" s="755"/>
      <c r="K376" s="903"/>
      <c r="L376" s="761"/>
      <c r="M376" s="903"/>
      <c r="N376" s="761"/>
      <c r="O376" s="761"/>
    </row>
    <row r="377" spans="3:15">
      <c r="C377" s="751">
        <f>IF(D364="","-",+C376+1)</f>
        <v>2023</v>
      </c>
      <c r="D377" s="703">
        <f t="shared" si="19"/>
        <v>944971.41056910553</v>
      </c>
      <c r="E377" s="758">
        <f t="shared" si="23"/>
        <v>27128.365853658535</v>
      </c>
      <c r="F377" s="703">
        <f t="shared" si="18"/>
        <v>917843.044715447</v>
      </c>
      <c r="G377" s="1296">
        <f t="shared" si="20"/>
        <v>119448.34825558765</v>
      </c>
      <c r="H377" s="1299">
        <f t="shared" si="21"/>
        <v>119448.34825558765</v>
      </c>
      <c r="I377" s="755">
        <f t="shared" si="22"/>
        <v>0</v>
      </c>
      <c r="J377" s="755"/>
      <c r="K377" s="903"/>
      <c r="L377" s="761"/>
      <c r="M377" s="903"/>
      <c r="N377" s="761"/>
      <c r="O377" s="761"/>
    </row>
    <row r="378" spans="3:15">
      <c r="C378" s="751">
        <f>IF(D364="","-",+C377+1)</f>
        <v>2024</v>
      </c>
      <c r="D378" s="703">
        <f t="shared" si="19"/>
        <v>917843.044715447</v>
      </c>
      <c r="E378" s="758">
        <f t="shared" si="23"/>
        <v>27128.365853658535</v>
      </c>
      <c r="F378" s="703">
        <f t="shared" si="18"/>
        <v>890714.67886178847</v>
      </c>
      <c r="G378" s="1296">
        <f t="shared" si="20"/>
        <v>116759.41672931786</v>
      </c>
      <c r="H378" s="1299">
        <f t="shared" si="21"/>
        <v>116759.41672931786</v>
      </c>
      <c r="I378" s="755">
        <f t="shared" si="22"/>
        <v>0</v>
      </c>
      <c r="J378" s="755"/>
      <c r="K378" s="903"/>
      <c r="L378" s="761"/>
      <c r="M378" s="903"/>
      <c r="N378" s="761"/>
      <c r="O378" s="761"/>
    </row>
    <row r="379" spans="3:15">
      <c r="C379" s="751">
        <f>IF(D364="","-",+C378+1)</f>
        <v>2025</v>
      </c>
      <c r="D379" s="703">
        <f t="shared" si="19"/>
        <v>890714.67886178847</v>
      </c>
      <c r="E379" s="758">
        <f t="shared" si="23"/>
        <v>27128.365853658535</v>
      </c>
      <c r="F379" s="703">
        <f t="shared" si="18"/>
        <v>863586.31300812995</v>
      </c>
      <c r="G379" s="1296">
        <f t="shared" si="20"/>
        <v>114070.4852030481</v>
      </c>
      <c r="H379" s="1299">
        <f t="shared" si="21"/>
        <v>114070.4852030481</v>
      </c>
      <c r="I379" s="755">
        <f t="shared" si="22"/>
        <v>0</v>
      </c>
      <c r="J379" s="755"/>
      <c r="K379" s="903"/>
      <c r="L379" s="761"/>
      <c r="M379" s="903"/>
      <c r="N379" s="761"/>
      <c r="O379" s="761"/>
    </row>
    <row r="380" spans="3:15">
      <c r="C380" s="751">
        <f>IF(D364="","-",+C379+1)</f>
        <v>2026</v>
      </c>
      <c r="D380" s="703">
        <f t="shared" si="19"/>
        <v>863586.31300812995</v>
      </c>
      <c r="E380" s="758">
        <f t="shared" si="23"/>
        <v>27128.365853658535</v>
      </c>
      <c r="F380" s="703">
        <f t="shared" si="18"/>
        <v>836457.94715447142</v>
      </c>
      <c r="G380" s="1296">
        <f t="shared" si="20"/>
        <v>111381.55367677831</v>
      </c>
      <c r="H380" s="1299">
        <f t="shared" si="21"/>
        <v>111381.55367677831</v>
      </c>
      <c r="I380" s="755">
        <f t="shared" si="22"/>
        <v>0</v>
      </c>
      <c r="J380" s="755"/>
      <c r="K380" s="903"/>
      <c r="L380" s="761"/>
      <c r="M380" s="903"/>
      <c r="N380" s="761"/>
      <c r="O380" s="761"/>
    </row>
    <row r="381" spans="3:15">
      <c r="C381" s="751">
        <f>IF(D364="","-",+C380+1)</f>
        <v>2027</v>
      </c>
      <c r="D381" s="703">
        <f t="shared" si="19"/>
        <v>836457.94715447142</v>
      </c>
      <c r="E381" s="758">
        <f t="shared" si="23"/>
        <v>27128.365853658535</v>
      </c>
      <c r="F381" s="703">
        <f t="shared" si="18"/>
        <v>809329.58130081289</v>
      </c>
      <c r="G381" s="1296">
        <f t="shared" si="20"/>
        <v>108692.62215050851</v>
      </c>
      <c r="H381" s="1299">
        <f t="shared" si="21"/>
        <v>108692.62215050851</v>
      </c>
      <c r="I381" s="755">
        <f t="shared" si="22"/>
        <v>0</v>
      </c>
      <c r="J381" s="755"/>
      <c r="K381" s="903"/>
      <c r="L381" s="761"/>
      <c r="M381" s="903"/>
      <c r="N381" s="761"/>
      <c r="O381" s="761"/>
    </row>
    <row r="382" spans="3:15">
      <c r="C382" s="751">
        <f>IF(D364="","-",+C381+1)</f>
        <v>2028</v>
      </c>
      <c r="D382" s="703">
        <f t="shared" si="19"/>
        <v>809329.58130081289</v>
      </c>
      <c r="E382" s="758">
        <f t="shared" si="23"/>
        <v>27128.365853658535</v>
      </c>
      <c r="F382" s="703">
        <f t="shared" si="18"/>
        <v>782201.21544715436</v>
      </c>
      <c r="G382" s="1296">
        <f t="shared" si="20"/>
        <v>106003.69062423875</v>
      </c>
      <c r="H382" s="1299">
        <f t="shared" si="21"/>
        <v>106003.69062423875</v>
      </c>
      <c r="I382" s="755">
        <f t="shared" si="22"/>
        <v>0</v>
      </c>
      <c r="J382" s="755"/>
      <c r="K382" s="903"/>
      <c r="L382" s="761"/>
      <c r="M382" s="903"/>
      <c r="N382" s="761"/>
      <c r="O382" s="761"/>
    </row>
    <row r="383" spans="3:15">
      <c r="C383" s="751">
        <f>IF(D364="","-",+C382+1)</f>
        <v>2029</v>
      </c>
      <c r="D383" s="703">
        <f t="shared" si="19"/>
        <v>782201.21544715436</v>
      </c>
      <c r="E383" s="758">
        <f t="shared" si="23"/>
        <v>27128.365853658535</v>
      </c>
      <c r="F383" s="703">
        <f t="shared" si="18"/>
        <v>755072.84959349583</v>
      </c>
      <c r="G383" s="1296">
        <f t="shared" si="20"/>
        <v>103314.75909796896</v>
      </c>
      <c r="H383" s="1299">
        <f t="shared" si="21"/>
        <v>103314.75909796896</v>
      </c>
      <c r="I383" s="755">
        <f t="shared" si="22"/>
        <v>0</v>
      </c>
      <c r="J383" s="755"/>
      <c r="K383" s="903"/>
      <c r="L383" s="761"/>
      <c r="M383" s="903"/>
      <c r="N383" s="761"/>
      <c r="O383" s="761"/>
    </row>
    <row r="384" spans="3:15">
      <c r="C384" s="751">
        <f>IF(D364="","-",+C383+1)</f>
        <v>2030</v>
      </c>
      <c r="D384" s="703">
        <f t="shared" si="19"/>
        <v>755072.84959349583</v>
      </c>
      <c r="E384" s="758">
        <f t="shared" si="23"/>
        <v>27128.365853658535</v>
      </c>
      <c r="F384" s="703">
        <f t="shared" si="18"/>
        <v>727944.48373983731</v>
      </c>
      <c r="G384" s="1296">
        <f t="shared" si="20"/>
        <v>100625.82757169916</v>
      </c>
      <c r="H384" s="1299">
        <f t="shared" si="21"/>
        <v>100625.82757169916</v>
      </c>
      <c r="I384" s="755">
        <f t="shared" si="22"/>
        <v>0</v>
      </c>
      <c r="J384" s="755"/>
      <c r="K384" s="903"/>
      <c r="L384" s="761"/>
      <c r="M384" s="903"/>
      <c r="N384" s="761"/>
      <c r="O384" s="761"/>
    </row>
    <row r="385" spans="3:15">
      <c r="C385" s="751">
        <f>IF(D364="","-",+C384+1)</f>
        <v>2031</v>
      </c>
      <c r="D385" s="703">
        <f t="shared" si="19"/>
        <v>727944.48373983731</v>
      </c>
      <c r="E385" s="758">
        <f t="shared" si="23"/>
        <v>27128.365853658535</v>
      </c>
      <c r="F385" s="703">
        <f t="shared" si="18"/>
        <v>700816.11788617878</v>
      </c>
      <c r="G385" s="1296">
        <f t="shared" si="20"/>
        <v>97936.896045429399</v>
      </c>
      <c r="H385" s="1299">
        <f t="shared" si="21"/>
        <v>97936.896045429399</v>
      </c>
      <c r="I385" s="755">
        <f t="shared" si="22"/>
        <v>0</v>
      </c>
      <c r="J385" s="755"/>
      <c r="K385" s="903"/>
      <c r="L385" s="761"/>
      <c r="M385" s="903"/>
      <c r="N385" s="761"/>
      <c r="O385" s="761"/>
    </row>
    <row r="386" spans="3:15">
      <c r="C386" s="751">
        <f>IF(D364="","-",+C385+1)</f>
        <v>2032</v>
      </c>
      <c r="D386" s="703">
        <f t="shared" si="19"/>
        <v>700816.11788617878</v>
      </c>
      <c r="E386" s="758">
        <f t="shared" si="23"/>
        <v>27128.365853658535</v>
      </c>
      <c r="F386" s="703">
        <f t="shared" si="18"/>
        <v>673687.75203252025</v>
      </c>
      <c r="G386" s="1296">
        <f t="shared" si="20"/>
        <v>95247.964519159606</v>
      </c>
      <c r="H386" s="1299">
        <f t="shared" si="21"/>
        <v>95247.964519159606</v>
      </c>
      <c r="I386" s="755">
        <f t="shared" si="22"/>
        <v>0</v>
      </c>
      <c r="J386" s="755"/>
      <c r="K386" s="903"/>
      <c r="L386" s="761"/>
      <c r="M386" s="903"/>
      <c r="N386" s="761"/>
      <c r="O386" s="761"/>
    </row>
    <row r="387" spans="3:15">
      <c r="C387" s="751">
        <f>IF(D364="","-",+C386+1)</f>
        <v>2033</v>
      </c>
      <c r="D387" s="703">
        <f t="shared" si="19"/>
        <v>673687.75203252025</v>
      </c>
      <c r="E387" s="758">
        <f t="shared" si="23"/>
        <v>27128.365853658535</v>
      </c>
      <c r="F387" s="703">
        <f t="shared" si="18"/>
        <v>646559.38617886172</v>
      </c>
      <c r="G387" s="1296">
        <f t="shared" si="20"/>
        <v>92559.032992889843</v>
      </c>
      <c r="H387" s="1299">
        <f t="shared" si="21"/>
        <v>92559.032992889843</v>
      </c>
      <c r="I387" s="755">
        <f t="shared" si="22"/>
        <v>0</v>
      </c>
      <c r="J387" s="755"/>
      <c r="K387" s="903"/>
      <c r="L387" s="761"/>
      <c r="M387" s="903"/>
      <c r="N387" s="761"/>
      <c r="O387" s="761"/>
    </row>
    <row r="388" spans="3:15">
      <c r="C388" s="751">
        <f>IF(D364="","-",+C387+1)</f>
        <v>2034</v>
      </c>
      <c r="D388" s="703">
        <f t="shared" si="19"/>
        <v>646559.38617886172</v>
      </c>
      <c r="E388" s="758">
        <f t="shared" si="23"/>
        <v>27128.365853658535</v>
      </c>
      <c r="F388" s="703">
        <f t="shared" si="18"/>
        <v>619431.02032520319</v>
      </c>
      <c r="G388" s="1296">
        <f t="shared" si="20"/>
        <v>89870.10146662005</v>
      </c>
      <c r="H388" s="1299">
        <f t="shared" si="21"/>
        <v>89870.10146662005</v>
      </c>
      <c r="I388" s="755">
        <f t="shared" si="22"/>
        <v>0</v>
      </c>
      <c r="J388" s="755"/>
      <c r="K388" s="903"/>
      <c r="L388" s="761"/>
      <c r="M388" s="903"/>
      <c r="N388" s="761"/>
      <c r="O388" s="761"/>
    </row>
    <row r="389" spans="3:15">
      <c r="C389" s="751">
        <f>IF(D364="","-",+C388+1)</f>
        <v>2035</v>
      </c>
      <c r="D389" s="703">
        <f t="shared" si="19"/>
        <v>619431.02032520319</v>
      </c>
      <c r="E389" s="758">
        <f t="shared" si="23"/>
        <v>27128.365853658535</v>
      </c>
      <c r="F389" s="703">
        <f t="shared" si="18"/>
        <v>592302.65447154467</v>
      </c>
      <c r="G389" s="1296">
        <f t="shared" si="20"/>
        <v>87181.169940350286</v>
      </c>
      <c r="H389" s="1299">
        <f t="shared" si="21"/>
        <v>87181.169940350286</v>
      </c>
      <c r="I389" s="755">
        <f t="shared" si="22"/>
        <v>0</v>
      </c>
      <c r="J389" s="755"/>
      <c r="K389" s="903"/>
      <c r="L389" s="761"/>
      <c r="M389" s="903"/>
      <c r="N389" s="761"/>
      <c r="O389" s="761"/>
    </row>
    <row r="390" spans="3:15">
      <c r="C390" s="751">
        <f>IF(D364="","-",+C389+1)</f>
        <v>2036</v>
      </c>
      <c r="D390" s="703">
        <f t="shared" si="19"/>
        <v>592302.65447154467</v>
      </c>
      <c r="E390" s="758">
        <f t="shared" si="23"/>
        <v>27128.365853658535</v>
      </c>
      <c r="F390" s="703">
        <f t="shared" si="18"/>
        <v>565174.28861788614</v>
      </c>
      <c r="G390" s="1296">
        <f t="shared" si="20"/>
        <v>84492.238414080493</v>
      </c>
      <c r="H390" s="1299">
        <f t="shared" si="21"/>
        <v>84492.238414080493</v>
      </c>
      <c r="I390" s="755">
        <f t="shared" si="22"/>
        <v>0</v>
      </c>
      <c r="J390" s="755"/>
      <c r="K390" s="903"/>
      <c r="L390" s="761"/>
      <c r="M390" s="903"/>
      <c r="N390" s="761"/>
      <c r="O390" s="761"/>
    </row>
    <row r="391" spans="3:15">
      <c r="C391" s="751">
        <f>IF(D364="","-",+C390+1)</f>
        <v>2037</v>
      </c>
      <c r="D391" s="703">
        <f t="shared" si="19"/>
        <v>565174.28861788614</v>
      </c>
      <c r="E391" s="758">
        <f t="shared" si="23"/>
        <v>27128.365853658535</v>
      </c>
      <c r="F391" s="703">
        <f t="shared" si="18"/>
        <v>538045.92276422761</v>
      </c>
      <c r="G391" s="1296">
        <f t="shared" si="20"/>
        <v>81803.30688781073</v>
      </c>
      <c r="H391" s="1299">
        <f t="shared" si="21"/>
        <v>81803.30688781073</v>
      </c>
      <c r="I391" s="755">
        <f t="shared" si="22"/>
        <v>0</v>
      </c>
      <c r="J391" s="755"/>
      <c r="K391" s="903"/>
      <c r="L391" s="761"/>
      <c r="M391" s="903"/>
      <c r="N391" s="761"/>
      <c r="O391" s="761"/>
    </row>
    <row r="392" spans="3:15">
      <c r="C392" s="751">
        <f>IF(D364="","-",+C391+1)</f>
        <v>2038</v>
      </c>
      <c r="D392" s="703">
        <f t="shared" si="19"/>
        <v>538045.92276422761</v>
      </c>
      <c r="E392" s="758">
        <f t="shared" si="23"/>
        <v>27128.365853658535</v>
      </c>
      <c r="F392" s="703">
        <f t="shared" si="18"/>
        <v>510917.55691056908</v>
      </c>
      <c r="G392" s="1296">
        <f t="shared" si="20"/>
        <v>79114.375361540937</v>
      </c>
      <c r="H392" s="1299">
        <f t="shared" si="21"/>
        <v>79114.375361540937</v>
      </c>
      <c r="I392" s="755">
        <f t="shared" si="22"/>
        <v>0</v>
      </c>
      <c r="J392" s="755"/>
      <c r="K392" s="903"/>
      <c r="L392" s="761"/>
      <c r="M392" s="903"/>
      <c r="N392" s="761"/>
      <c r="O392" s="761"/>
    </row>
    <row r="393" spans="3:15">
      <c r="C393" s="751">
        <f>IF(D364="","-",+C392+1)</f>
        <v>2039</v>
      </c>
      <c r="D393" s="703">
        <f t="shared" si="19"/>
        <v>510917.55691056908</v>
      </c>
      <c r="E393" s="758">
        <f t="shared" si="23"/>
        <v>27128.365853658535</v>
      </c>
      <c r="F393" s="703">
        <f t="shared" si="18"/>
        <v>483789.19105691055</v>
      </c>
      <c r="G393" s="1296">
        <f t="shared" si="20"/>
        <v>76425.443835271173</v>
      </c>
      <c r="H393" s="1299">
        <f t="shared" si="21"/>
        <v>76425.443835271173</v>
      </c>
      <c r="I393" s="755">
        <f t="shared" si="22"/>
        <v>0</v>
      </c>
      <c r="J393" s="755"/>
      <c r="K393" s="903"/>
      <c r="L393" s="761"/>
      <c r="M393" s="903"/>
      <c r="N393" s="761"/>
      <c r="O393" s="761"/>
    </row>
    <row r="394" spans="3:15">
      <c r="C394" s="751">
        <f>IF(D364="","-",+C393+1)</f>
        <v>2040</v>
      </c>
      <c r="D394" s="703">
        <f t="shared" si="19"/>
        <v>483789.19105691055</v>
      </c>
      <c r="E394" s="758">
        <f t="shared" si="23"/>
        <v>27128.365853658535</v>
      </c>
      <c r="F394" s="703">
        <f t="shared" si="18"/>
        <v>456660.82520325202</v>
      </c>
      <c r="G394" s="1296">
        <f t="shared" si="20"/>
        <v>73736.51230900138</v>
      </c>
      <c r="H394" s="1299">
        <f t="shared" si="21"/>
        <v>73736.51230900138</v>
      </c>
      <c r="I394" s="755">
        <f t="shared" si="22"/>
        <v>0</v>
      </c>
      <c r="J394" s="755"/>
      <c r="K394" s="903"/>
      <c r="L394" s="761"/>
      <c r="M394" s="903"/>
      <c r="N394" s="761"/>
      <c r="O394" s="761"/>
    </row>
    <row r="395" spans="3:15">
      <c r="C395" s="751">
        <f>IF(D364="","-",+C394+1)</f>
        <v>2041</v>
      </c>
      <c r="D395" s="703">
        <f t="shared" si="19"/>
        <v>456660.82520325202</v>
      </c>
      <c r="E395" s="758">
        <f t="shared" si="23"/>
        <v>27128.365853658535</v>
      </c>
      <c r="F395" s="703">
        <f t="shared" si="18"/>
        <v>429532.4593495935</v>
      </c>
      <c r="G395" s="1296">
        <f t="shared" si="20"/>
        <v>71047.580782731617</v>
      </c>
      <c r="H395" s="1299">
        <f t="shared" si="21"/>
        <v>71047.580782731617</v>
      </c>
      <c r="I395" s="755">
        <f t="shared" si="22"/>
        <v>0</v>
      </c>
      <c r="J395" s="755"/>
      <c r="K395" s="903"/>
      <c r="L395" s="761"/>
      <c r="M395" s="903"/>
      <c r="N395" s="761"/>
      <c r="O395" s="761"/>
    </row>
    <row r="396" spans="3:15">
      <c r="C396" s="751">
        <f>IF(D364="","-",+C395+1)</f>
        <v>2042</v>
      </c>
      <c r="D396" s="703">
        <f t="shared" si="19"/>
        <v>429532.4593495935</v>
      </c>
      <c r="E396" s="758">
        <f t="shared" si="23"/>
        <v>27128.365853658535</v>
      </c>
      <c r="F396" s="703">
        <f t="shared" si="18"/>
        <v>402404.09349593497</v>
      </c>
      <c r="G396" s="1296">
        <f t="shared" si="20"/>
        <v>68358.649256461824</v>
      </c>
      <c r="H396" s="1299">
        <f t="shared" si="21"/>
        <v>68358.649256461824</v>
      </c>
      <c r="I396" s="755">
        <f t="shared" si="22"/>
        <v>0</v>
      </c>
      <c r="J396" s="755"/>
      <c r="K396" s="903"/>
      <c r="L396" s="761"/>
      <c r="M396" s="903"/>
      <c r="N396" s="761"/>
      <c r="O396" s="761"/>
    </row>
    <row r="397" spans="3:15">
      <c r="C397" s="751">
        <f>IF(D364="","-",+C396+1)</f>
        <v>2043</v>
      </c>
      <c r="D397" s="703">
        <f t="shared" si="19"/>
        <v>402404.09349593497</v>
      </c>
      <c r="E397" s="758">
        <f t="shared" si="23"/>
        <v>27128.365853658535</v>
      </c>
      <c r="F397" s="703">
        <f t="shared" si="18"/>
        <v>375275.72764227644</v>
      </c>
      <c r="G397" s="1296">
        <f t="shared" si="20"/>
        <v>65669.71773019206</v>
      </c>
      <c r="H397" s="1299">
        <f t="shared" si="21"/>
        <v>65669.71773019206</v>
      </c>
      <c r="I397" s="755">
        <f t="shared" si="22"/>
        <v>0</v>
      </c>
      <c r="J397" s="755"/>
      <c r="K397" s="903"/>
      <c r="L397" s="761"/>
      <c r="M397" s="903"/>
      <c r="N397" s="761"/>
      <c r="O397" s="761"/>
    </row>
    <row r="398" spans="3:15">
      <c r="C398" s="751">
        <f>IF(D364="","-",+C397+1)</f>
        <v>2044</v>
      </c>
      <c r="D398" s="703">
        <f t="shared" si="19"/>
        <v>375275.72764227644</v>
      </c>
      <c r="E398" s="758">
        <f t="shared" si="23"/>
        <v>27128.365853658535</v>
      </c>
      <c r="F398" s="703">
        <f t="shared" si="18"/>
        <v>348147.36178861791</v>
      </c>
      <c r="G398" s="1306">
        <f t="shared" si="20"/>
        <v>62980.786203922275</v>
      </c>
      <c r="H398" s="1299">
        <f t="shared" si="21"/>
        <v>62980.786203922275</v>
      </c>
      <c r="I398" s="755">
        <f t="shared" si="22"/>
        <v>0</v>
      </c>
      <c r="J398" s="755"/>
      <c r="K398" s="903"/>
      <c r="L398" s="761"/>
      <c r="M398" s="903"/>
      <c r="N398" s="761"/>
      <c r="O398" s="761"/>
    </row>
    <row r="399" spans="3:15">
      <c r="C399" s="751">
        <f>IF(D364="","-",+C398+1)</f>
        <v>2045</v>
      </c>
      <c r="D399" s="703">
        <f t="shared" si="19"/>
        <v>348147.36178861791</v>
      </c>
      <c r="E399" s="758">
        <f t="shared" si="23"/>
        <v>27128.365853658535</v>
      </c>
      <c r="F399" s="703">
        <f t="shared" si="18"/>
        <v>321018.99593495938</v>
      </c>
      <c r="G399" s="1296">
        <f t="shared" si="20"/>
        <v>60291.854677652496</v>
      </c>
      <c r="H399" s="1299">
        <f t="shared" si="21"/>
        <v>60291.854677652496</v>
      </c>
      <c r="I399" s="755">
        <f t="shared" si="22"/>
        <v>0</v>
      </c>
      <c r="J399" s="755"/>
      <c r="K399" s="903"/>
      <c r="L399" s="761"/>
      <c r="M399" s="903"/>
      <c r="N399" s="761"/>
      <c r="O399" s="761"/>
    </row>
    <row r="400" spans="3:15">
      <c r="C400" s="751">
        <f>IF(D364="","-",+C399+1)</f>
        <v>2046</v>
      </c>
      <c r="D400" s="703">
        <f t="shared" si="19"/>
        <v>321018.99593495938</v>
      </c>
      <c r="E400" s="758">
        <f t="shared" si="23"/>
        <v>27128.365853658535</v>
      </c>
      <c r="F400" s="703">
        <f t="shared" si="18"/>
        <v>293890.63008130086</v>
      </c>
      <c r="G400" s="1296">
        <f t="shared" si="20"/>
        <v>57602.923151382711</v>
      </c>
      <c r="H400" s="1299">
        <f t="shared" si="21"/>
        <v>57602.923151382711</v>
      </c>
      <c r="I400" s="755">
        <f t="shared" si="22"/>
        <v>0</v>
      </c>
      <c r="J400" s="755"/>
      <c r="K400" s="903"/>
      <c r="L400" s="761"/>
      <c r="M400" s="903"/>
      <c r="N400" s="761"/>
      <c r="O400" s="761"/>
    </row>
    <row r="401" spans="3:15">
      <c r="C401" s="751">
        <f>IF(D364="","-",+C400+1)</f>
        <v>2047</v>
      </c>
      <c r="D401" s="703">
        <f t="shared" si="19"/>
        <v>293890.63008130086</v>
      </c>
      <c r="E401" s="758">
        <f t="shared" si="23"/>
        <v>27128.365853658535</v>
      </c>
      <c r="F401" s="703">
        <f t="shared" si="18"/>
        <v>266762.26422764233</v>
      </c>
      <c r="G401" s="1296">
        <f t="shared" si="20"/>
        <v>54913.991625112933</v>
      </c>
      <c r="H401" s="1299">
        <f t="shared" si="21"/>
        <v>54913.991625112933</v>
      </c>
      <c r="I401" s="755">
        <f t="shared" si="22"/>
        <v>0</v>
      </c>
      <c r="J401" s="755"/>
      <c r="K401" s="903"/>
      <c r="L401" s="761"/>
      <c r="M401" s="903"/>
      <c r="N401" s="761"/>
      <c r="O401" s="761"/>
    </row>
    <row r="402" spans="3:15">
      <c r="C402" s="751">
        <f>IF(D364="","-",+C401+1)</f>
        <v>2048</v>
      </c>
      <c r="D402" s="703">
        <f t="shared" si="19"/>
        <v>266762.26422764233</v>
      </c>
      <c r="E402" s="758">
        <f t="shared" si="23"/>
        <v>27128.365853658535</v>
      </c>
      <c r="F402" s="703">
        <f t="shared" si="18"/>
        <v>239633.8983739838</v>
      </c>
      <c r="G402" s="1296">
        <f t="shared" si="20"/>
        <v>52225.060098843154</v>
      </c>
      <c r="H402" s="1299">
        <f t="shared" si="21"/>
        <v>52225.060098843154</v>
      </c>
      <c r="I402" s="755">
        <f t="shared" si="22"/>
        <v>0</v>
      </c>
      <c r="J402" s="755"/>
      <c r="K402" s="903"/>
      <c r="L402" s="761"/>
      <c r="M402" s="903"/>
      <c r="N402" s="761"/>
      <c r="O402" s="761"/>
    </row>
    <row r="403" spans="3:15">
      <c r="C403" s="751">
        <f>IF(D364="","-",+C402+1)</f>
        <v>2049</v>
      </c>
      <c r="D403" s="703">
        <f t="shared" si="19"/>
        <v>239633.8983739838</v>
      </c>
      <c r="E403" s="758">
        <f t="shared" si="23"/>
        <v>27128.365853658535</v>
      </c>
      <c r="F403" s="703">
        <f t="shared" si="18"/>
        <v>212505.53252032527</v>
      </c>
      <c r="G403" s="1296">
        <f t="shared" si="20"/>
        <v>49536.128572573376</v>
      </c>
      <c r="H403" s="1299">
        <f t="shared" si="21"/>
        <v>49536.128572573376</v>
      </c>
      <c r="I403" s="755">
        <f t="shared" si="22"/>
        <v>0</v>
      </c>
      <c r="J403" s="755"/>
      <c r="K403" s="903"/>
      <c r="L403" s="761"/>
      <c r="M403" s="903"/>
      <c r="N403" s="761"/>
      <c r="O403" s="761"/>
    </row>
    <row r="404" spans="3:15">
      <c r="C404" s="751">
        <f>IF(D364="","-",+C403+1)</f>
        <v>2050</v>
      </c>
      <c r="D404" s="703">
        <f t="shared" si="19"/>
        <v>212505.53252032527</v>
      </c>
      <c r="E404" s="758">
        <f t="shared" si="23"/>
        <v>27128.365853658535</v>
      </c>
      <c r="F404" s="703">
        <f t="shared" si="18"/>
        <v>185377.16666666674</v>
      </c>
      <c r="G404" s="1296">
        <f t="shared" si="20"/>
        <v>46847.197046303598</v>
      </c>
      <c r="H404" s="1299">
        <f t="shared" si="21"/>
        <v>46847.197046303598</v>
      </c>
      <c r="I404" s="755">
        <f t="shared" si="22"/>
        <v>0</v>
      </c>
      <c r="J404" s="755"/>
      <c r="K404" s="903"/>
      <c r="L404" s="761"/>
      <c r="M404" s="903"/>
      <c r="N404" s="761"/>
      <c r="O404" s="761"/>
    </row>
    <row r="405" spans="3:15">
      <c r="C405" s="751">
        <f>IF(D364="","-",+C404+1)</f>
        <v>2051</v>
      </c>
      <c r="D405" s="703">
        <f t="shared" si="19"/>
        <v>185377.16666666674</v>
      </c>
      <c r="E405" s="758">
        <f t="shared" si="23"/>
        <v>27128.365853658535</v>
      </c>
      <c r="F405" s="703">
        <f t="shared" si="18"/>
        <v>158248.80081300822</v>
      </c>
      <c r="G405" s="1296">
        <f t="shared" si="20"/>
        <v>44158.265520033819</v>
      </c>
      <c r="H405" s="1299">
        <f t="shared" si="21"/>
        <v>44158.265520033819</v>
      </c>
      <c r="I405" s="755">
        <f t="shared" si="22"/>
        <v>0</v>
      </c>
      <c r="J405" s="755"/>
      <c r="K405" s="903"/>
      <c r="L405" s="761"/>
      <c r="M405" s="903"/>
      <c r="N405" s="761"/>
      <c r="O405" s="761"/>
    </row>
    <row r="406" spans="3:15">
      <c r="C406" s="751">
        <f>IF(D364="","-",+C405+1)</f>
        <v>2052</v>
      </c>
      <c r="D406" s="703">
        <f t="shared" si="19"/>
        <v>158248.80081300822</v>
      </c>
      <c r="E406" s="758">
        <f t="shared" si="23"/>
        <v>27128.365853658535</v>
      </c>
      <c r="F406" s="703">
        <f t="shared" si="18"/>
        <v>131120.43495934969</v>
      </c>
      <c r="G406" s="1296">
        <f t="shared" si="20"/>
        <v>41469.333993764041</v>
      </c>
      <c r="H406" s="1299">
        <f t="shared" si="21"/>
        <v>41469.333993764041</v>
      </c>
      <c r="I406" s="755">
        <f t="shared" si="22"/>
        <v>0</v>
      </c>
      <c r="J406" s="755"/>
      <c r="K406" s="903"/>
      <c r="L406" s="761"/>
      <c r="M406" s="903"/>
      <c r="N406" s="761"/>
      <c r="O406" s="761"/>
    </row>
    <row r="407" spans="3:15">
      <c r="C407" s="751">
        <f>IF(D364="","-",+C406+1)</f>
        <v>2053</v>
      </c>
      <c r="D407" s="703">
        <f t="shared" si="19"/>
        <v>131120.43495934969</v>
      </c>
      <c r="E407" s="758">
        <f t="shared" si="23"/>
        <v>27128.365853658535</v>
      </c>
      <c r="F407" s="703">
        <f t="shared" si="18"/>
        <v>103992.06910569116</v>
      </c>
      <c r="G407" s="1296">
        <f t="shared" si="20"/>
        <v>38780.402467494263</v>
      </c>
      <c r="H407" s="1299">
        <f t="shared" si="21"/>
        <v>38780.402467494263</v>
      </c>
      <c r="I407" s="755">
        <f t="shared" si="22"/>
        <v>0</v>
      </c>
      <c r="J407" s="755"/>
      <c r="K407" s="903"/>
      <c r="L407" s="761"/>
      <c r="M407" s="903"/>
      <c r="N407" s="761"/>
      <c r="O407" s="761"/>
    </row>
    <row r="408" spans="3:15">
      <c r="C408" s="751">
        <f>IF(D364="","-",+C407+1)</f>
        <v>2054</v>
      </c>
      <c r="D408" s="703">
        <f t="shared" si="19"/>
        <v>103992.06910569116</v>
      </c>
      <c r="E408" s="758">
        <f t="shared" si="23"/>
        <v>27128.365853658535</v>
      </c>
      <c r="F408" s="703">
        <f t="shared" si="18"/>
        <v>76863.703252032632</v>
      </c>
      <c r="G408" s="1296">
        <f t="shared" si="20"/>
        <v>36091.470941224477</v>
      </c>
      <c r="H408" s="1299">
        <f t="shared" si="21"/>
        <v>36091.470941224477</v>
      </c>
      <c r="I408" s="755">
        <f t="shared" si="22"/>
        <v>0</v>
      </c>
      <c r="J408" s="755"/>
      <c r="K408" s="903"/>
      <c r="L408" s="761"/>
      <c r="M408" s="903"/>
      <c r="N408" s="761"/>
      <c r="O408" s="761"/>
    </row>
    <row r="409" spans="3:15">
      <c r="C409" s="751">
        <f>IF(D364="","-",+C408+1)</f>
        <v>2055</v>
      </c>
      <c r="D409" s="703">
        <f t="shared" si="19"/>
        <v>76863.703252032632</v>
      </c>
      <c r="E409" s="758">
        <f t="shared" si="23"/>
        <v>27128.365853658535</v>
      </c>
      <c r="F409" s="703">
        <f t="shared" si="18"/>
        <v>49735.337398374097</v>
      </c>
      <c r="G409" s="1296">
        <f t="shared" si="20"/>
        <v>33402.539414954699</v>
      </c>
      <c r="H409" s="1299">
        <f t="shared" si="21"/>
        <v>33402.539414954699</v>
      </c>
      <c r="I409" s="755">
        <f t="shared" si="22"/>
        <v>0</v>
      </c>
      <c r="J409" s="755"/>
      <c r="K409" s="903"/>
      <c r="L409" s="761"/>
      <c r="M409" s="903"/>
      <c r="N409" s="761"/>
      <c r="O409" s="761"/>
    </row>
    <row r="410" spans="3:15">
      <c r="C410" s="751">
        <f>IF(D364="","-",+C409+1)</f>
        <v>2056</v>
      </c>
      <c r="D410" s="703">
        <f t="shared" si="19"/>
        <v>49735.337398374097</v>
      </c>
      <c r="E410" s="758">
        <f t="shared" si="23"/>
        <v>27128.365853658535</v>
      </c>
      <c r="F410" s="703">
        <f t="shared" si="18"/>
        <v>22606.971544715561</v>
      </c>
      <c r="G410" s="1296">
        <f t="shared" si="20"/>
        <v>30713.607888684921</v>
      </c>
      <c r="H410" s="1299">
        <f t="shared" si="21"/>
        <v>30713.607888684921</v>
      </c>
      <c r="I410" s="755">
        <f t="shared" si="22"/>
        <v>0</v>
      </c>
      <c r="J410" s="755"/>
      <c r="K410" s="903"/>
      <c r="L410" s="761"/>
      <c r="M410" s="903"/>
      <c r="N410" s="761"/>
      <c r="O410" s="761"/>
    </row>
    <row r="411" spans="3:15">
      <c r="C411" s="751">
        <f>IF(D364="","-",+C410+1)</f>
        <v>2057</v>
      </c>
      <c r="D411" s="703">
        <f t="shared" si="19"/>
        <v>22606.971544715561</v>
      </c>
      <c r="E411" s="758">
        <f t="shared" si="23"/>
        <v>22606.971544715561</v>
      </c>
      <c r="F411" s="703">
        <f t="shared" si="18"/>
        <v>0</v>
      </c>
      <c r="G411" s="1296">
        <f t="shared" si="20"/>
        <v>23727.35968066131</v>
      </c>
      <c r="H411" s="1299">
        <f t="shared" si="21"/>
        <v>23727.35968066131</v>
      </c>
      <c r="I411" s="755">
        <f t="shared" si="22"/>
        <v>0</v>
      </c>
      <c r="J411" s="755"/>
      <c r="K411" s="903"/>
      <c r="L411" s="761"/>
      <c r="M411" s="903"/>
      <c r="N411" s="761"/>
      <c r="O411" s="761"/>
    </row>
    <row r="412" spans="3:15">
      <c r="C412" s="751">
        <f>IF(D364="","-",+C411+1)</f>
        <v>2058</v>
      </c>
      <c r="D412" s="703">
        <f t="shared" si="19"/>
        <v>0</v>
      </c>
      <c r="E412" s="758">
        <f t="shared" si="23"/>
        <v>0</v>
      </c>
      <c r="F412" s="703">
        <f t="shared" si="18"/>
        <v>0</v>
      </c>
      <c r="G412" s="1296">
        <f t="shared" si="20"/>
        <v>0</v>
      </c>
      <c r="H412" s="1299">
        <f t="shared" si="21"/>
        <v>0</v>
      </c>
      <c r="I412" s="755">
        <f t="shared" si="22"/>
        <v>0</v>
      </c>
      <c r="J412" s="755"/>
      <c r="K412" s="903"/>
      <c r="L412" s="761"/>
      <c r="M412" s="903"/>
      <c r="N412" s="761"/>
      <c r="O412" s="761"/>
    </row>
    <row r="413" spans="3:15">
      <c r="C413" s="751">
        <f>IF(D364="","-",+C412+1)</f>
        <v>2059</v>
      </c>
      <c r="D413" s="703">
        <f t="shared" si="19"/>
        <v>0</v>
      </c>
      <c r="E413" s="758">
        <f t="shared" si="23"/>
        <v>0</v>
      </c>
      <c r="F413" s="703">
        <f t="shared" si="18"/>
        <v>0</v>
      </c>
      <c r="G413" s="1296">
        <f t="shared" si="20"/>
        <v>0</v>
      </c>
      <c r="H413" s="1299">
        <f t="shared" si="21"/>
        <v>0</v>
      </c>
      <c r="I413" s="755">
        <f t="shared" si="22"/>
        <v>0</v>
      </c>
      <c r="J413" s="755"/>
      <c r="K413" s="903"/>
      <c r="L413" s="761"/>
      <c r="M413" s="903"/>
      <c r="N413" s="761"/>
      <c r="O413" s="761"/>
    </row>
    <row r="414" spans="3:15">
      <c r="C414" s="751">
        <f>IF(D364="","-",+C413+1)</f>
        <v>2060</v>
      </c>
      <c r="D414" s="703">
        <f t="shared" si="19"/>
        <v>0</v>
      </c>
      <c r="E414" s="758">
        <f t="shared" si="23"/>
        <v>0</v>
      </c>
      <c r="F414" s="703">
        <f t="shared" si="18"/>
        <v>0</v>
      </c>
      <c r="G414" s="1296">
        <f t="shared" si="20"/>
        <v>0</v>
      </c>
      <c r="H414" s="1299">
        <f t="shared" si="21"/>
        <v>0</v>
      </c>
      <c r="I414" s="755">
        <f t="shared" si="22"/>
        <v>0</v>
      </c>
      <c r="J414" s="755"/>
      <c r="K414" s="903"/>
      <c r="L414" s="761"/>
      <c r="M414" s="903"/>
      <c r="N414" s="761"/>
      <c r="O414" s="761"/>
    </row>
    <row r="415" spans="3:15">
      <c r="C415" s="751">
        <f>IF(D364="","-",+C414+1)</f>
        <v>2061</v>
      </c>
      <c r="D415" s="703">
        <f t="shared" si="19"/>
        <v>0</v>
      </c>
      <c r="E415" s="758">
        <f t="shared" si="23"/>
        <v>0</v>
      </c>
      <c r="F415" s="703">
        <f t="shared" si="18"/>
        <v>0</v>
      </c>
      <c r="G415" s="1296">
        <f t="shared" si="20"/>
        <v>0</v>
      </c>
      <c r="H415" s="1299">
        <f t="shared" si="21"/>
        <v>0</v>
      </c>
      <c r="I415" s="755">
        <f t="shared" si="22"/>
        <v>0</v>
      </c>
      <c r="J415" s="755"/>
      <c r="K415" s="903"/>
      <c r="L415" s="761"/>
      <c r="M415" s="903"/>
      <c r="N415" s="761"/>
      <c r="O415" s="761"/>
    </row>
    <row r="416" spans="3:15">
      <c r="C416" s="751">
        <f>IF(D364="","-",+C415+1)</f>
        <v>2062</v>
      </c>
      <c r="D416" s="703">
        <f t="shared" si="19"/>
        <v>0</v>
      </c>
      <c r="E416" s="758">
        <f t="shared" si="23"/>
        <v>0</v>
      </c>
      <c r="F416" s="703">
        <f t="shared" si="18"/>
        <v>0</v>
      </c>
      <c r="G416" s="1296">
        <f t="shared" si="20"/>
        <v>0</v>
      </c>
      <c r="H416" s="1299">
        <f t="shared" si="21"/>
        <v>0</v>
      </c>
      <c r="I416" s="755">
        <f t="shared" si="22"/>
        <v>0</v>
      </c>
      <c r="J416" s="755"/>
      <c r="K416" s="903"/>
      <c r="L416" s="761"/>
      <c r="M416" s="903"/>
      <c r="N416" s="761"/>
      <c r="O416" s="761"/>
    </row>
    <row r="417" spans="3:15">
      <c r="C417" s="751">
        <f>IF(D364="","-",+C416+1)</f>
        <v>2063</v>
      </c>
      <c r="D417" s="703">
        <f t="shared" si="19"/>
        <v>0</v>
      </c>
      <c r="E417" s="758">
        <f t="shared" si="23"/>
        <v>0</v>
      </c>
      <c r="F417" s="703">
        <f t="shared" si="18"/>
        <v>0</v>
      </c>
      <c r="G417" s="1296">
        <f t="shared" si="20"/>
        <v>0</v>
      </c>
      <c r="H417" s="1299">
        <f t="shared" si="21"/>
        <v>0</v>
      </c>
      <c r="I417" s="755">
        <f t="shared" si="22"/>
        <v>0</v>
      </c>
      <c r="J417" s="755"/>
      <c r="K417" s="903"/>
      <c r="L417" s="761"/>
      <c r="M417" s="903"/>
      <c r="N417" s="761"/>
      <c r="O417" s="761"/>
    </row>
    <row r="418" spans="3:15">
      <c r="C418" s="751">
        <f>IF(D364="","-",+C417+1)</f>
        <v>2064</v>
      </c>
      <c r="D418" s="703">
        <f t="shared" si="19"/>
        <v>0</v>
      </c>
      <c r="E418" s="758">
        <f t="shared" si="23"/>
        <v>0</v>
      </c>
      <c r="F418" s="703">
        <f t="shared" si="18"/>
        <v>0</v>
      </c>
      <c r="G418" s="1296">
        <f t="shared" si="20"/>
        <v>0</v>
      </c>
      <c r="H418" s="1299">
        <f t="shared" si="21"/>
        <v>0</v>
      </c>
      <c r="I418" s="755">
        <f t="shared" si="22"/>
        <v>0</v>
      </c>
      <c r="J418" s="755"/>
      <c r="K418" s="903"/>
      <c r="L418" s="761"/>
      <c r="M418" s="903"/>
      <c r="N418" s="761"/>
      <c r="O418" s="761"/>
    </row>
    <row r="419" spans="3:15">
      <c r="C419" s="751">
        <f>IF(D364="","-",+C418+1)</f>
        <v>2065</v>
      </c>
      <c r="D419" s="703">
        <f t="shared" si="19"/>
        <v>0</v>
      </c>
      <c r="E419" s="758">
        <f t="shared" si="23"/>
        <v>0</v>
      </c>
      <c r="F419" s="703">
        <f t="shared" si="18"/>
        <v>0</v>
      </c>
      <c r="G419" s="1296">
        <f t="shared" si="20"/>
        <v>0</v>
      </c>
      <c r="H419" s="1299">
        <f t="shared" si="21"/>
        <v>0</v>
      </c>
      <c r="I419" s="755">
        <f t="shared" si="22"/>
        <v>0</v>
      </c>
      <c r="J419" s="755"/>
      <c r="K419" s="903"/>
      <c r="L419" s="761"/>
      <c r="M419" s="903"/>
      <c r="N419" s="761"/>
      <c r="O419" s="761"/>
    </row>
    <row r="420" spans="3:15">
      <c r="C420" s="751">
        <f>IF(D364="","-",+C419+1)</f>
        <v>2066</v>
      </c>
      <c r="D420" s="703">
        <f t="shared" si="19"/>
        <v>0</v>
      </c>
      <c r="E420" s="758">
        <f t="shared" si="23"/>
        <v>0</v>
      </c>
      <c r="F420" s="703">
        <f t="shared" si="18"/>
        <v>0</v>
      </c>
      <c r="G420" s="1296">
        <f t="shared" si="20"/>
        <v>0</v>
      </c>
      <c r="H420" s="1299">
        <f t="shared" si="21"/>
        <v>0</v>
      </c>
      <c r="I420" s="755">
        <f t="shared" si="22"/>
        <v>0</v>
      </c>
      <c r="J420" s="755"/>
      <c r="K420" s="903"/>
      <c r="L420" s="761"/>
      <c r="M420" s="903"/>
      <c r="N420" s="761"/>
      <c r="O420" s="761"/>
    </row>
    <row r="421" spans="3:15">
      <c r="C421" s="751">
        <f>IF(D364="","-",+C420+1)</f>
        <v>2067</v>
      </c>
      <c r="D421" s="703">
        <f t="shared" si="19"/>
        <v>0</v>
      </c>
      <c r="E421" s="758">
        <f t="shared" si="23"/>
        <v>0</v>
      </c>
      <c r="F421" s="703">
        <f t="shared" si="18"/>
        <v>0</v>
      </c>
      <c r="G421" s="1296">
        <f t="shared" si="20"/>
        <v>0</v>
      </c>
      <c r="H421" s="1299">
        <f t="shared" si="21"/>
        <v>0</v>
      </c>
      <c r="I421" s="755">
        <f t="shared" si="22"/>
        <v>0</v>
      </c>
      <c r="J421" s="755"/>
      <c r="K421" s="903"/>
      <c r="L421" s="761"/>
      <c r="M421" s="903"/>
      <c r="N421" s="761"/>
      <c r="O421" s="761"/>
    </row>
    <row r="422" spans="3:15">
      <c r="C422" s="751">
        <f>IF(D364="","-",+C421+1)</f>
        <v>2068</v>
      </c>
      <c r="D422" s="703">
        <f t="shared" si="19"/>
        <v>0</v>
      </c>
      <c r="E422" s="758">
        <f t="shared" si="23"/>
        <v>0</v>
      </c>
      <c r="F422" s="703">
        <f t="shared" si="18"/>
        <v>0</v>
      </c>
      <c r="G422" s="1296">
        <f t="shared" si="20"/>
        <v>0</v>
      </c>
      <c r="H422" s="1299">
        <f t="shared" si="21"/>
        <v>0</v>
      </c>
      <c r="I422" s="755">
        <f t="shared" si="22"/>
        <v>0</v>
      </c>
      <c r="J422" s="755"/>
      <c r="K422" s="903"/>
      <c r="L422" s="761"/>
      <c r="M422" s="903"/>
      <c r="N422" s="761"/>
      <c r="O422" s="761"/>
    </row>
    <row r="423" spans="3:15">
      <c r="C423" s="751">
        <f>IF(D364="","-",+C422+1)</f>
        <v>2069</v>
      </c>
      <c r="D423" s="703">
        <f t="shared" si="19"/>
        <v>0</v>
      </c>
      <c r="E423" s="758">
        <f t="shared" si="23"/>
        <v>0</v>
      </c>
      <c r="F423" s="703">
        <f t="shared" si="18"/>
        <v>0</v>
      </c>
      <c r="G423" s="1296">
        <f t="shared" si="20"/>
        <v>0</v>
      </c>
      <c r="H423" s="1299">
        <f t="shared" si="21"/>
        <v>0</v>
      </c>
      <c r="I423" s="755">
        <f t="shared" si="22"/>
        <v>0</v>
      </c>
      <c r="J423" s="755"/>
      <c r="K423" s="903"/>
      <c r="L423" s="761"/>
      <c r="M423" s="903"/>
      <c r="N423" s="761"/>
      <c r="O423" s="761"/>
    </row>
    <row r="424" spans="3:15">
      <c r="C424" s="751">
        <f>IF(D364="","-",+C423+1)</f>
        <v>2070</v>
      </c>
      <c r="D424" s="703">
        <f t="shared" si="19"/>
        <v>0</v>
      </c>
      <c r="E424" s="758">
        <f t="shared" si="23"/>
        <v>0</v>
      </c>
      <c r="F424" s="703">
        <f t="shared" si="18"/>
        <v>0</v>
      </c>
      <c r="G424" s="1296">
        <f t="shared" si="20"/>
        <v>0</v>
      </c>
      <c r="H424" s="1299">
        <f t="shared" si="21"/>
        <v>0</v>
      </c>
      <c r="I424" s="755">
        <f t="shared" si="22"/>
        <v>0</v>
      </c>
      <c r="J424" s="755"/>
      <c r="K424" s="903"/>
      <c r="L424" s="761"/>
      <c r="M424" s="903"/>
      <c r="N424" s="761"/>
      <c r="O424" s="761"/>
    </row>
    <row r="425" spans="3:15">
      <c r="C425" s="751">
        <f>IF(D364="","-",+C424+1)</f>
        <v>2071</v>
      </c>
      <c r="D425" s="703">
        <f t="shared" si="19"/>
        <v>0</v>
      </c>
      <c r="E425" s="758">
        <f t="shared" si="23"/>
        <v>0</v>
      </c>
      <c r="F425" s="703">
        <f t="shared" si="18"/>
        <v>0</v>
      </c>
      <c r="G425" s="1296">
        <f t="shared" si="20"/>
        <v>0</v>
      </c>
      <c r="H425" s="1299">
        <f t="shared" si="21"/>
        <v>0</v>
      </c>
      <c r="I425" s="755">
        <f t="shared" si="22"/>
        <v>0</v>
      </c>
      <c r="J425" s="755"/>
      <c r="K425" s="903"/>
      <c r="L425" s="761"/>
      <c r="M425" s="903"/>
      <c r="N425" s="761"/>
      <c r="O425" s="761"/>
    </row>
    <row r="426" spans="3:15">
      <c r="C426" s="751">
        <f>IF(D364="","-",+C425+1)</f>
        <v>2072</v>
      </c>
      <c r="D426" s="703">
        <f t="shared" si="19"/>
        <v>0</v>
      </c>
      <c r="E426" s="758">
        <f t="shared" si="23"/>
        <v>0</v>
      </c>
      <c r="F426" s="703">
        <f t="shared" si="18"/>
        <v>0</v>
      </c>
      <c r="G426" s="1296">
        <f t="shared" si="20"/>
        <v>0</v>
      </c>
      <c r="H426" s="1299">
        <f t="shared" si="21"/>
        <v>0</v>
      </c>
      <c r="I426" s="755">
        <f t="shared" si="22"/>
        <v>0</v>
      </c>
      <c r="J426" s="755"/>
      <c r="K426" s="903"/>
      <c r="L426" s="761"/>
      <c r="M426" s="903"/>
      <c r="N426" s="761"/>
      <c r="O426" s="761"/>
    </row>
    <row r="427" spans="3:15">
      <c r="C427" s="751">
        <f>IF(D364="","-",+C426+1)</f>
        <v>2073</v>
      </c>
      <c r="D427" s="703">
        <f t="shared" si="19"/>
        <v>0</v>
      </c>
      <c r="E427" s="758">
        <f t="shared" si="23"/>
        <v>0</v>
      </c>
      <c r="F427" s="703">
        <f t="shared" si="18"/>
        <v>0</v>
      </c>
      <c r="G427" s="1296">
        <f t="shared" si="20"/>
        <v>0</v>
      </c>
      <c r="H427" s="1299">
        <f t="shared" si="21"/>
        <v>0</v>
      </c>
      <c r="I427" s="755">
        <f t="shared" si="22"/>
        <v>0</v>
      </c>
      <c r="J427" s="755"/>
      <c r="K427" s="903"/>
      <c r="L427" s="761"/>
      <c r="M427" s="903"/>
      <c r="N427" s="761"/>
      <c r="O427" s="761"/>
    </row>
    <row r="428" spans="3:15">
      <c r="C428" s="751">
        <f>IF(D364="","-",+C427+1)</f>
        <v>2074</v>
      </c>
      <c r="D428" s="703">
        <f t="shared" si="19"/>
        <v>0</v>
      </c>
      <c r="E428" s="758">
        <f t="shared" si="23"/>
        <v>0</v>
      </c>
      <c r="F428" s="703">
        <f t="shared" si="18"/>
        <v>0</v>
      </c>
      <c r="G428" s="1296">
        <f t="shared" si="20"/>
        <v>0</v>
      </c>
      <c r="H428" s="1299">
        <f t="shared" si="21"/>
        <v>0</v>
      </c>
      <c r="I428" s="755">
        <f t="shared" si="22"/>
        <v>0</v>
      </c>
      <c r="J428" s="755"/>
      <c r="K428" s="903"/>
      <c r="L428" s="761"/>
      <c r="M428" s="903"/>
      <c r="N428" s="761"/>
      <c r="O428" s="761"/>
    </row>
    <row r="429" spans="3:15" ht="13.5" thickBot="1">
      <c r="C429" s="762">
        <f>IF(D364="","-",+C428+1)</f>
        <v>2075</v>
      </c>
      <c r="D429" s="763">
        <f t="shared" si="19"/>
        <v>0</v>
      </c>
      <c r="E429" s="764">
        <f t="shared" si="23"/>
        <v>0</v>
      </c>
      <c r="F429" s="763">
        <f t="shared" si="18"/>
        <v>0</v>
      </c>
      <c r="G429" s="1307">
        <f t="shared" si="20"/>
        <v>0</v>
      </c>
      <c r="H429" s="1307">
        <f t="shared" si="21"/>
        <v>0</v>
      </c>
      <c r="I429" s="766">
        <f t="shared" si="22"/>
        <v>0</v>
      </c>
      <c r="J429" s="755"/>
      <c r="K429" s="904"/>
      <c r="L429" s="768"/>
      <c r="M429" s="904"/>
      <c r="N429" s="768"/>
      <c r="O429" s="768"/>
    </row>
    <row r="430" spans="3:15">
      <c r="C430" s="703" t="s">
        <v>289</v>
      </c>
      <c r="D430" s="1277"/>
      <c r="E430" s="1277">
        <f>SUM(E370:E429)</f>
        <v>1112263</v>
      </c>
      <c r="F430" s="1277"/>
      <c r="G430" s="1277">
        <f>SUM(G370:G429)</f>
        <v>3464181.7749773008</v>
      </c>
      <c r="H430" s="1277">
        <f>SUM(H370:H429)</f>
        <v>3464181.7749773008</v>
      </c>
      <c r="I430" s="1277">
        <f>SUM(I370:I429)</f>
        <v>0</v>
      </c>
      <c r="J430" s="1277"/>
      <c r="K430" s="1277"/>
      <c r="L430" s="1277"/>
      <c r="M430" s="1277"/>
      <c r="N430" s="1277"/>
      <c r="O430" s="570"/>
    </row>
    <row r="431" spans="3:15">
      <c r="D431" s="593"/>
      <c r="E431" s="570"/>
      <c r="F431" s="570"/>
      <c r="G431" s="570"/>
      <c r="H431" s="1276"/>
      <c r="I431" s="1276"/>
      <c r="J431" s="1277"/>
      <c r="K431" s="1276"/>
      <c r="L431" s="1276"/>
      <c r="M431" s="1276"/>
      <c r="N431" s="1276"/>
      <c r="O431" s="570"/>
    </row>
    <row r="432" spans="3:15">
      <c r="C432" s="1308" t="s">
        <v>968</v>
      </c>
      <c r="D432" s="593"/>
      <c r="E432" s="570"/>
      <c r="F432" s="570"/>
      <c r="G432" s="570"/>
      <c r="H432" s="1276"/>
      <c r="I432" s="1276"/>
      <c r="J432" s="1277"/>
      <c r="K432" s="1276"/>
      <c r="L432" s="1276"/>
      <c r="M432" s="1276"/>
      <c r="N432" s="1276"/>
      <c r="O432" s="570"/>
    </row>
    <row r="433" spans="1:16">
      <c r="D433" s="593"/>
      <c r="E433" s="570"/>
      <c r="F433" s="570"/>
      <c r="G433" s="570"/>
      <c r="H433" s="1276"/>
      <c r="I433" s="1276"/>
      <c r="J433" s="1277"/>
      <c r="K433" s="1276"/>
      <c r="L433" s="1276"/>
      <c r="M433" s="1276"/>
      <c r="N433" s="1276"/>
      <c r="O433" s="570"/>
    </row>
    <row r="434" spans="1:16">
      <c r="C434" s="716" t="s">
        <v>969</v>
      </c>
      <c r="D434" s="703"/>
      <c r="E434" s="703"/>
      <c r="F434" s="703"/>
      <c r="G434" s="1277"/>
      <c r="H434" s="1277"/>
      <c r="I434" s="704"/>
      <c r="J434" s="704"/>
      <c r="K434" s="704"/>
      <c r="L434" s="704"/>
      <c r="M434" s="704"/>
      <c r="N434" s="704"/>
      <c r="O434" s="570"/>
    </row>
    <row r="435" spans="1:16">
      <c r="C435" s="702" t="s">
        <v>477</v>
      </c>
      <c r="D435" s="703"/>
      <c r="E435" s="703"/>
      <c r="F435" s="703"/>
      <c r="G435" s="1277"/>
      <c r="H435" s="1277"/>
      <c r="I435" s="704"/>
      <c r="J435" s="704"/>
      <c r="K435" s="704"/>
      <c r="L435" s="704"/>
      <c r="M435" s="704"/>
      <c r="N435" s="704"/>
      <c r="O435" s="570"/>
    </row>
    <row r="436" spans="1:16">
      <c r="C436" s="702" t="s">
        <v>290</v>
      </c>
      <c r="D436" s="703"/>
      <c r="E436" s="703"/>
      <c r="F436" s="703"/>
      <c r="G436" s="1277"/>
      <c r="H436" s="1277"/>
      <c r="I436" s="704"/>
      <c r="J436" s="704"/>
      <c r="K436" s="704"/>
      <c r="L436" s="704"/>
      <c r="M436" s="704"/>
      <c r="N436" s="704"/>
      <c r="O436" s="570"/>
    </row>
    <row r="437" spans="1:16">
      <c r="C437" s="702"/>
      <c r="D437" s="703"/>
      <c r="E437" s="703"/>
      <c r="F437" s="703"/>
      <c r="G437" s="1277"/>
      <c r="H437" s="1277"/>
      <c r="I437" s="704"/>
      <c r="J437" s="704"/>
      <c r="K437" s="704"/>
      <c r="L437" s="704"/>
      <c r="M437" s="704"/>
      <c r="N437" s="704"/>
      <c r="O437" s="570"/>
    </row>
    <row r="438" spans="1:16">
      <c r="C438" s="1507" t="s">
        <v>461</v>
      </c>
      <c r="D438" s="1507"/>
      <c r="E438" s="1507"/>
      <c r="F438" s="1507"/>
      <c r="G438" s="1507"/>
      <c r="H438" s="1507"/>
      <c r="I438" s="1507"/>
      <c r="J438" s="1507"/>
      <c r="K438" s="1507"/>
      <c r="L438" s="1507"/>
      <c r="M438" s="1507"/>
      <c r="N438" s="1507"/>
      <c r="O438" s="1507"/>
    </row>
    <row r="439" spans="1:16">
      <c r="C439" s="1507"/>
      <c r="D439" s="1507"/>
      <c r="E439" s="1507"/>
      <c r="F439" s="1507"/>
      <c r="G439" s="1507"/>
      <c r="H439" s="1507"/>
      <c r="I439" s="1507"/>
      <c r="J439" s="1507"/>
      <c r="K439" s="1507"/>
      <c r="L439" s="1507"/>
      <c r="M439" s="1507"/>
      <c r="N439" s="1507"/>
      <c r="O439" s="1507"/>
    </row>
    <row r="440" spans="1:16" ht="20.25">
      <c r="A440" s="705" t="s">
        <v>965</v>
      </c>
      <c r="B440" s="606"/>
      <c r="C440" s="685"/>
      <c r="D440" s="593"/>
      <c r="E440" s="570"/>
      <c r="F440" s="675"/>
      <c r="G440" s="570"/>
      <c r="H440" s="1276"/>
      <c r="K440" s="706"/>
      <c r="L440" s="706"/>
      <c r="M440" s="706"/>
      <c r="N440" s="621" t="str">
        <f>"Page "&amp;P440&amp;" of "</f>
        <v xml:space="preserve">Page 6 of </v>
      </c>
      <c r="O440" s="622">
        <f>COUNT(P$6:P$59527)</f>
        <v>10</v>
      </c>
      <c r="P440" s="570">
        <v>6</v>
      </c>
    </row>
    <row r="441" spans="1:16">
      <c r="B441" s="606"/>
      <c r="C441" s="570"/>
      <c r="D441" s="593"/>
      <c r="E441" s="570"/>
      <c r="F441" s="570"/>
      <c r="G441" s="570"/>
      <c r="H441" s="1276"/>
      <c r="I441" s="570"/>
      <c r="J441" s="618"/>
      <c r="K441" s="570"/>
      <c r="L441" s="570"/>
      <c r="M441" s="570"/>
      <c r="N441" s="570"/>
      <c r="O441" s="570"/>
    </row>
    <row r="442" spans="1:16" ht="18">
      <c r="B442" s="625" t="s">
        <v>175</v>
      </c>
      <c r="C442" s="707" t="s">
        <v>291</v>
      </c>
      <c r="D442" s="593"/>
      <c r="E442" s="570"/>
      <c r="F442" s="570"/>
      <c r="G442" s="570"/>
      <c r="H442" s="1276"/>
      <c r="I442" s="1276"/>
      <c r="J442" s="1277"/>
      <c r="K442" s="1276"/>
      <c r="L442" s="1276"/>
      <c r="M442" s="1276"/>
      <c r="N442" s="1276"/>
      <c r="O442" s="570"/>
    </row>
    <row r="443" spans="1:16" ht="18.75">
      <c r="B443" s="625"/>
      <c r="C443" s="624"/>
      <c r="D443" s="593"/>
      <c r="E443" s="570"/>
      <c r="F443" s="570"/>
      <c r="G443" s="570"/>
      <c r="H443" s="1276"/>
      <c r="I443" s="1276"/>
      <c r="J443" s="1277"/>
      <c r="K443" s="1276"/>
      <c r="L443" s="1276"/>
      <c r="M443" s="1276"/>
      <c r="N443" s="1276"/>
      <c r="O443" s="570"/>
    </row>
    <row r="444" spans="1:16" ht="18.75">
      <c r="B444" s="625"/>
      <c r="C444" s="624" t="s">
        <v>292</v>
      </c>
      <c r="D444" s="593"/>
      <c r="E444" s="570"/>
      <c r="F444" s="570"/>
      <c r="G444" s="570"/>
      <c r="H444" s="1276"/>
      <c r="I444" s="1276"/>
      <c r="J444" s="1277"/>
      <c r="K444" s="1276"/>
      <c r="L444" s="1276"/>
      <c r="M444" s="1276"/>
      <c r="N444" s="1276"/>
      <c r="O444" s="570"/>
    </row>
    <row r="445" spans="1:16" ht="15.75" thickBot="1">
      <c r="C445" s="423"/>
      <c r="D445" s="593"/>
      <c r="E445" s="570"/>
      <c r="F445" s="570"/>
      <c r="G445" s="570"/>
      <c r="H445" s="1276"/>
      <c r="I445" s="1276"/>
      <c r="J445" s="1277"/>
      <c r="K445" s="1276"/>
      <c r="L445" s="1276"/>
      <c r="M445" s="1276"/>
      <c r="N445" s="1276"/>
      <c r="O445" s="570"/>
    </row>
    <row r="446" spans="1:16" ht="15.75">
      <c r="C446" s="626" t="s">
        <v>293</v>
      </c>
      <c r="D446" s="593"/>
      <c r="E446" s="570"/>
      <c r="F446" s="570"/>
      <c r="G446" s="1278"/>
      <c r="H446" s="570" t="s">
        <v>272</v>
      </c>
      <c r="I446" s="570"/>
      <c r="J446" s="618"/>
      <c r="K446" s="708" t="s">
        <v>297</v>
      </c>
      <c r="L446" s="709"/>
      <c r="M446" s="710"/>
      <c r="N446" s="1279">
        <f>VLOOKUP(I452,C459:O518,5)</f>
        <v>86202.751114463812</v>
      </c>
      <c r="O446" s="570"/>
    </row>
    <row r="447" spans="1:16" ht="15.75">
      <c r="C447" s="626"/>
      <c r="D447" s="593"/>
      <c r="E447" s="570"/>
      <c r="F447" s="570"/>
      <c r="G447" s="570"/>
      <c r="H447" s="1280"/>
      <c r="I447" s="1280"/>
      <c r="J447" s="1281"/>
      <c r="K447" s="713" t="s">
        <v>298</v>
      </c>
      <c r="L447" s="1282"/>
      <c r="M447" s="618"/>
      <c r="N447" s="1283">
        <f>VLOOKUP(I452,C459:O518,6)</f>
        <v>86202.751114463812</v>
      </c>
      <c r="O447" s="570"/>
    </row>
    <row r="448" spans="1:16" ht="13.5" thickBot="1">
      <c r="C448" s="714" t="s">
        <v>294</v>
      </c>
      <c r="D448" s="1508" t="s">
        <v>973</v>
      </c>
      <c r="E448" s="1509"/>
      <c r="F448" s="1509"/>
      <c r="G448" s="1509"/>
      <c r="H448" s="1509"/>
      <c r="I448" s="1509"/>
      <c r="J448" s="1277"/>
      <c r="K448" s="1284" t="s">
        <v>451</v>
      </c>
      <c r="L448" s="1285"/>
      <c r="M448" s="1285"/>
      <c r="N448" s="1286">
        <f>+N447-N446</f>
        <v>0</v>
      </c>
      <c r="O448" s="570"/>
    </row>
    <row r="449" spans="1:15">
      <c r="C449" s="716"/>
      <c r="D449" s="1509"/>
      <c r="E449" s="1509"/>
      <c r="F449" s="1509"/>
      <c r="G449" s="1509"/>
      <c r="H449" s="1509"/>
      <c r="I449" s="1509"/>
      <c r="J449" s="1277"/>
      <c r="K449" s="1276"/>
      <c r="L449" s="1276"/>
      <c r="M449" s="1276"/>
      <c r="N449" s="1276"/>
      <c r="O449" s="570"/>
    </row>
    <row r="450" spans="1:15" ht="13.5" thickBot="1">
      <c r="C450" s="719"/>
      <c r="D450" s="720"/>
      <c r="E450" s="718"/>
      <c r="F450" s="718"/>
      <c r="G450" s="718"/>
      <c r="H450" s="718"/>
      <c r="I450" s="718"/>
      <c r="J450" s="721"/>
      <c r="K450" s="718"/>
      <c r="L450" s="718"/>
      <c r="M450" s="718"/>
      <c r="N450" s="718"/>
      <c r="O450" s="606"/>
    </row>
    <row r="451" spans="1:15" ht="13.5" thickBot="1">
      <c r="C451" s="722" t="s">
        <v>295</v>
      </c>
      <c r="D451" s="723"/>
      <c r="E451" s="723"/>
      <c r="F451" s="723"/>
      <c r="G451" s="723"/>
      <c r="H451" s="723"/>
      <c r="I451" s="724"/>
      <c r="J451" s="725"/>
      <c r="K451" s="570"/>
      <c r="L451" s="570"/>
      <c r="M451" s="570"/>
      <c r="N451" s="570"/>
      <c r="O451" s="726"/>
    </row>
    <row r="452" spans="1:15" ht="15">
      <c r="C452" s="728" t="s">
        <v>273</v>
      </c>
      <c r="D452" s="1287">
        <v>818037</v>
      </c>
      <c r="E452" s="685" t="s">
        <v>274</v>
      </c>
      <c r="G452" s="729"/>
      <c r="H452" s="729"/>
      <c r="I452" s="730">
        <f>I363</f>
        <v>2021</v>
      </c>
      <c r="J452" s="616"/>
      <c r="K452" s="1506" t="s">
        <v>460</v>
      </c>
      <c r="L452" s="1506"/>
      <c r="M452" s="1506"/>
      <c r="N452" s="1506"/>
      <c r="O452" s="1506"/>
    </row>
    <row r="453" spans="1:15">
      <c r="C453" s="728" t="s">
        <v>276</v>
      </c>
      <c r="D453" s="898">
        <v>2013</v>
      </c>
      <c r="E453" s="728" t="s">
        <v>277</v>
      </c>
      <c r="F453" s="729"/>
      <c r="H453" s="357"/>
      <c r="I453" s="901">
        <f>IF(G446="",0,$F$15)</f>
        <v>0</v>
      </c>
      <c r="J453" s="731"/>
      <c r="K453" s="1277" t="s">
        <v>460</v>
      </c>
    </row>
    <row r="454" spans="1:15">
      <c r="C454" s="728" t="s">
        <v>278</v>
      </c>
      <c r="D454" s="1287">
        <v>12</v>
      </c>
      <c r="E454" s="728" t="s">
        <v>279</v>
      </c>
      <c r="F454" s="729"/>
      <c r="H454" s="357"/>
      <c r="I454" s="732">
        <f>$G$70</f>
        <v>9.9118816841934854E-2</v>
      </c>
      <c r="J454" s="733"/>
      <c r="K454" s="357" t="str">
        <f>"          INPUT PROJECTED ARR (WITH &amp; WITHOUT INCENTIVES) FROM EACH PRIOR YEAR"</f>
        <v xml:space="preserve">          INPUT PROJECTED ARR (WITH &amp; WITHOUT INCENTIVES) FROM EACH PRIOR YEAR</v>
      </c>
    </row>
    <row r="455" spans="1:15">
      <c r="C455" s="728" t="s">
        <v>280</v>
      </c>
      <c r="D455" s="734">
        <f>G$79</f>
        <v>41</v>
      </c>
      <c r="E455" s="728" t="s">
        <v>281</v>
      </c>
      <c r="F455" s="729"/>
      <c r="H455" s="357"/>
      <c r="I455" s="732">
        <f>IF(G446="",I454,$G$67)</f>
        <v>9.9118816841934854E-2</v>
      </c>
      <c r="J455" s="735"/>
      <c r="K455" s="357" t="s">
        <v>358</v>
      </c>
    </row>
    <row r="456" spans="1:15" ht="13.5" thickBot="1">
      <c r="C456" s="728" t="s">
        <v>282</v>
      </c>
      <c r="D456" s="900" t="s">
        <v>967</v>
      </c>
      <c r="E456" s="736" t="s">
        <v>283</v>
      </c>
      <c r="F456" s="737"/>
      <c r="G456" s="738"/>
      <c r="H456" s="738"/>
      <c r="I456" s="1286">
        <f>IF(D452=0,0,D452/D455)</f>
        <v>19952.121951219513</v>
      </c>
      <c r="J456" s="1277"/>
      <c r="K456" s="1277" t="s">
        <v>364</v>
      </c>
      <c r="L456" s="1277"/>
      <c r="M456" s="1277"/>
      <c r="N456" s="1277"/>
      <c r="O456" s="618"/>
    </row>
    <row r="457" spans="1:15" ht="51">
      <c r="A457" s="557"/>
      <c r="B457" s="1288"/>
      <c r="C457" s="739" t="s">
        <v>273</v>
      </c>
      <c r="D457" s="1289" t="s">
        <v>284</v>
      </c>
      <c r="E457" s="1290" t="s">
        <v>285</v>
      </c>
      <c r="F457" s="1289" t="s">
        <v>286</v>
      </c>
      <c r="G457" s="1290" t="s">
        <v>357</v>
      </c>
      <c r="H457" s="1291" t="s">
        <v>357</v>
      </c>
      <c r="I457" s="739" t="s">
        <v>296</v>
      </c>
      <c r="J457" s="743"/>
      <c r="K457" s="1290" t="s">
        <v>366</v>
      </c>
      <c r="L457" s="1292"/>
      <c r="M457" s="1290" t="s">
        <v>366</v>
      </c>
      <c r="N457" s="1292"/>
      <c r="O457" s="1292"/>
    </row>
    <row r="458" spans="1:15" ht="13.5" thickBot="1">
      <c r="C458" s="745" t="s">
        <v>178</v>
      </c>
      <c r="D458" s="746" t="s">
        <v>179</v>
      </c>
      <c r="E458" s="745" t="s">
        <v>38</v>
      </c>
      <c r="F458" s="746" t="s">
        <v>179</v>
      </c>
      <c r="G458" s="1293" t="s">
        <v>299</v>
      </c>
      <c r="H458" s="1294" t="s">
        <v>301</v>
      </c>
      <c r="I458" s="749" t="s">
        <v>390</v>
      </c>
      <c r="J458" s="750"/>
      <c r="K458" s="1293" t="s">
        <v>288</v>
      </c>
      <c r="L458" s="1295"/>
      <c r="M458" s="1293" t="s">
        <v>301</v>
      </c>
      <c r="N458" s="1295"/>
      <c r="O458" s="1295"/>
    </row>
    <row r="459" spans="1:15">
      <c r="C459" s="751">
        <f>IF(D453= "","-",D453)</f>
        <v>2013</v>
      </c>
      <c r="D459" s="703">
        <f>+D452</f>
        <v>818037</v>
      </c>
      <c r="E459" s="1296">
        <f>+I456/12*(12-D454)</f>
        <v>0</v>
      </c>
      <c r="F459" s="703">
        <f t="shared" ref="F459:F518" si="24">+D459-E459</f>
        <v>818037</v>
      </c>
      <c r="G459" s="1297">
        <f>+$I$454*((D459+F459)/2)+E459</f>
        <v>81082.859572925867</v>
      </c>
      <c r="H459" s="1298">
        <f>+$I$455*((D459+F459)/2)+E459</f>
        <v>81082.859572925867</v>
      </c>
      <c r="I459" s="755">
        <f>+H459-G459</f>
        <v>0</v>
      </c>
      <c r="J459" s="755"/>
      <c r="K459" s="903">
        <v>0</v>
      </c>
      <c r="L459" s="757"/>
      <c r="M459" s="903">
        <v>0</v>
      </c>
      <c r="N459" s="757"/>
      <c r="O459" s="757"/>
    </row>
    <row r="460" spans="1:15">
      <c r="C460" s="751">
        <f>IF(D453="","-",+C459+1)</f>
        <v>2014</v>
      </c>
      <c r="D460" s="703">
        <f t="shared" ref="D460:D518" si="25">F459</f>
        <v>818037</v>
      </c>
      <c r="E460" s="758">
        <f>IF(D460&gt;$I$456,$I$456,D460)</f>
        <v>19952.121951219513</v>
      </c>
      <c r="F460" s="703">
        <f t="shared" si="24"/>
        <v>798084.87804878049</v>
      </c>
      <c r="G460" s="1296">
        <f t="shared" ref="G460:G518" si="26">+$I$454*((D460+F460)/2)+E460</f>
        <v>100046.16616349993</v>
      </c>
      <c r="H460" s="1299">
        <f t="shared" ref="H460:H518" si="27">+$I$455*((D460+F460)/2)+E460</f>
        <v>100046.16616349993</v>
      </c>
      <c r="I460" s="755">
        <f t="shared" ref="I460:I518" si="28">+H460-G460</f>
        <v>0</v>
      </c>
      <c r="J460" s="755"/>
      <c r="K460" s="903">
        <v>139756</v>
      </c>
      <c r="L460" s="761"/>
      <c r="M460" s="903">
        <v>139756</v>
      </c>
      <c r="N460" s="761"/>
      <c r="O460" s="761"/>
    </row>
    <row r="461" spans="1:15">
      <c r="C461" s="751">
        <f>IF(D453="","-",+C460+1)</f>
        <v>2015</v>
      </c>
      <c r="D461" s="703">
        <f t="shared" si="25"/>
        <v>798084.87804878049</v>
      </c>
      <c r="E461" s="758">
        <f t="shared" ref="E461:E518" si="29">IF(D461&gt;$I$456,$I$456,D461)</f>
        <v>19952.121951219513</v>
      </c>
      <c r="F461" s="703">
        <f t="shared" si="24"/>
        <v>778132.75609756098</v>
      </c>
      <c r="G461" s="1296">
        <f t="shared" si="26"/>
        <v>98068.53544220906</v>
      </c>
      <c r="H461" s="1299">
        <f t="shared" si="27"/>
        <v>98068.53544220906</v>
      </c>
      <c r="I461" s="755">
        <f t="shared" si="28"/>
        <v>0</v>
      </c>
      <c r="J461" s="755"/>
      <c r="K461" s="903">
        <v>133078</v>
      </c>
      <c r="L461" s="761"/>
      <c r="M461" s="903">
        <v>133078</v>
      </c>
      <c r="N461" s="761"/>
      <c r="O461" s="761"/>
    </row>
    <row r="462" spans="1:15">
      <c r="C462" s="751">
        <f>IF(D453="","-",+C461+1)</f>
        <v>2016</v>
      </c>
      <c r="D462" s="703">
        <f t="shared" si="25"/>
        <v>778132.75609756098</v>
      </c>
      <c r="E462" s="758">
        <f t="shared" si="29"/>
        <v>19952.121951219513</v>
      </c>
      <c r="F462" s="703">
        <f t="shared" si="24"/>
        <v>758180.63414634147</v>
      </c>
      <c r="G462" s="1296">
        <f t="shared" si="26"/>
        <v>96090.904720918174</v>
      </c>
      <c r="H462" s="1299">
        <f t="shared" si="27"/>
        <v>96090.904720918174</v>
      </c>
      <c r="I462" s="755">
        <f t="shared" si="28"/>
        <v>0</v>
      </c>
      <c r="J462" s="755"/>
      <c r="K462" s="903">
        <v>132118</v>
      </c>
      <c r="L462" s="761"/>
      <c r="M462" s="903">
        <v>132118</v>
      </c>
      <c r="N462" s="761"/>
      <c r="O462" s="761"/>
    </row>
    <row r="463" spans="1:15">
      <c r="C463" s="751">
        <f>IF(D453="","-",+C462+1)</f>
        <v>2017</v>
      </c>
      <c r="D463" s="703">
        <f t="shared" si="25"/>
        <v>758180.63414634147</v>
      </c>
      <c r="E463" s="758">
        <f t="shared" si="29"/>
        <v>19952.121951219513</v>
      </c>
      <c r="F463" s="703">
        <f t="shared" si="24"/>
        <v>738228.51219512196</v>
      </c>
      <c r="G463" s="1296">
        <f t="shared" si="26"/>
        <v>94113.273999627316</v>
      </c>
      <c r="H463" s="1299">
        <f t="shared" si="27"/>
        <v>94113.273999627316</v>
      </c>
      <c r="I463" s="755">
        <f t="shared" si="28"/>
        <v>0</v>
      </c>
      <c r="J463" s="755"/>
      <c r="K463" s="903">
        <v>119121</v>
      </c>
      <c r="L463" s="761"/>
      <c r="M463" s="903">
        <v>119121</v>
      </c>
      <c r="N463" s="761"/>
      <c r="O463" s="761"/>
    </row>
    <row r="464" spans="1:15">
      <c r="C464" s="751">
        <f>IF(D453="","-",+C463+1)</f>
        <v>2018</v>
      </c>
      <c r="D464" s="703">
        <f t="shared" si="25"/>
        <v>738228.51219512196</v>
      </c>
      <c r="E464" s="758">
        <f t="shared" si="29"/>
        <v>19952.121951219513</v>
      </c>
      <c r="F464" s="703">
        <f t="shared" si="24"/>
        <v>718276.39024390245</v>
      </c>
      <c r="G464" s="1296">
        <f t="shared" si="26"/>
        <v>92135.643278336429</v>
      </c>
      <c r="H464" s="1299">
        <f t="shared" si="27"/>
        <v>92135.643278336429</v>
      </c>
      <c r="I464" s="755">
        <f t="shared" si="28"/>
        <v>0</v>
      </c>
      <c r="J464" s="755"/>
      <c r="K464" s="903">
        <v>98812</v>
      </c>
      <c r="L464" s="761"/>
      <c r="M464" s="903">
        <v>98812</v>
      </c>
      <c r="N464" s="761"/>
      <c r="O464" s="761"/>
    </row>
    <row r="465" spans="3:15">
      <c r="C465" s="751">
        <f>IF(D453="","-",+C464+1)</f>
        <v>2019</v>
      </c>
      <c r="D465" s="703">
        <f t="shared" si="25"/>
        <v>718276.39024390245</v>
      </c>
      <c r="E465" s="758">
        <f t="shared" si="29"/>
        <v>19952.121951219513</v>
      </c>
      <c r="F465" s="703">
        <f t="shared" si="24"/>
        <v>698324.26829268294</v>
      </c>
      <c r="G465" s="1296">
        <f t="shared" si="26"/>
        <v>90158.012557045571</v>
      </c>
      <c r="H465" s="1299">
        <f t="shared" si="27"/>
        <v>90158.012557045571</v>
      </c>
      <c r="I465" s="755">
        <f t="shared" si="28"/>
        <v>0</v>
      </c>
      <c r="J465" s="755"/>
      <c r="K465" s="903">
        <v>90111.589443632678</v>
      </c>
      <c r="L465" s="761"/>
      <c r="M465" s="903">
        <v>90111.589443632678</v>
      </c>
      <c r="N465" s="761"/>
      <c r="O465" s="761"/>
    </row>
    <row r="466" spans="3:15">
      <c r="C466" s="751">
        <f>IF(D453="","-",+C465+1)</f>
        <v>2020</v>
      </c>
      <c r="D466" s="703">
        <f t="shared" si="25"/>
        <v>698324.26829268294</v>
      </c>
      <c r="E466" s="758">
        <f t="shared" si="29"/>
        <v>19952.121951219513</v>
      </c>
      <c r="F466" s="703">
        <f t="shared" si="24"/>
        <v>678372.14634146343</v>
      </c>
      <c r="G466" s="1296">
        <f t="shared" si="26"/>
        <v>88180.381835754684</v>
      </c>
      <c r="H466" s="1299">
        <f t="shared" si="27"/>
        <v>88180.381835754684</v>
      </c>
      <c r="I466" s="755">
        <f t="shared" si="28"/>
        <v>0</v>
      </c>
      <c r="J466" s="755"/>
      <c r="K466" s="903">
        <v>87283.147997198728</v>
      </c>
      <c r="L466" s="761"/>
      <c r="M466" s="903">
        <v>87283.147997198728</v>
      </c>
      <c r="N466" s="761"/>
      <c r="O466" s="761"/>
    </row>
    <row r="467" spans="3:15">
      <c r="C467" s="751">
        <f>IF(D453="","-",+C466+1)</f>
        <v>2021</v>
      </c>
      <c r="D467" s="703">
        <f t="shared" si="25"/>
        <v>678372.14634146343</v>
      </c>
      <c r="E467" s="758">
        <f t="shared" si="29"/>
        <v>19952.121951219513</v>
      </c>
      <c r="F467" s="703">
        <f t="shared" si="24"/>
        <v>658420.02439024393</v>
      </c>
      <c r="G467" s="1296">
        <f t="shared" si="26"/>
        <v>86202.751114463812</v>
      </c>
      <c r="H467" s="1299">
        <f t="shared" si="27"/>
        <v>86202.751114463812</v>
      </c>
      <c r="I467" s="755">
        <f t="shared" si="28"/>
        <v>0</v>
      </c>
      <c r="J467" s="755"/>
      <c r="K467" s="903"/>
      <c r="L467" s="761"/>
      <c r="M467" s="903"/>
      <c r="N467" s="761"/>
      <c r="O467" s="761"/>
    </row>
    <row r="468" spans="3:15">
      <c r="C468" s="751">
        <f>IF(D453="","-",+C467+1)</f>
        <v>2022</v>
      </c>
      <c r="D468" s="703">
        <f t="shared" si="25"/>
        <v>658420.02439024393</v>
      </c>
      <c r="E468" s="758">
        <f t="shared" si="29"/>
        <v>19952.121951219513</v>
      </c>
      <c r="F468" s="703">
        <f t="shared" si="24"/>
        <v>638467.90243902442</v>
      </c>
      <c r="G468" s="1296">
        <f t="shared" si="26"/>
        <v>84225.12039317294</v>
      </c>
      <c r="H468" s="1299">
        <f t="shared" si="27"/>
        <v>84225.12039317294</v>
      </c>
      <c r="I468" s="755">
        <f t="shared" si="28"/>
        <v>0</v>
      </c>
      <c r="J468" s="755"/>
      <c r="K468" s="903"/>
      <c r="L468" s="761"/>
      <c r="M468" s="903"/>
      <c r="N468" s="761"/>
      <c r="O468" s="761"/>
    </row>
    <row r="469" spans="3:15">
      <c r="C469" s="751">
        <f>IF(D453="","-",+C468+1)</f>
        <v>2023</v>
      </c>
      <c r="D469" s="703">
        <f t="shared" si="25"/>
        <v>638467.90243902442</v>
      </c>
      <c r="E469" s="758">
        <f t="shared" si="29"/>
        <v>19952.121951219513</v>
      </c>
      <c r="F469" s="703">
        <f t="shared" si="24"/>
        <v>618515.78048780491</v>
      </c>
      <c r="G469" s="1296">
        <f t="shared" si="26"/>
        <v>82247.489671882067</v>
      </c>
      <c r="H469" s="1299">
        <f t="shared" si="27"/>
        <v>82247.489671882067</v>
      </c>
      <c r="I469" s="755">
        <f t="shared" si="28"/>
        <v>0</v>
      </c>
      <c r="J469" s="755"/>
      <c r="K469" s="903"/>
      <c r="L469" s="761"/>
      <c r="M469" s="903"/>
      <c r="N469" s="761"/>
      <c r="O469" s="761"/>
    </row>
    <row r="470" spans="3:15">
      <c r="C470" s="751">
        <f>IF(D453="","-",+C469+1)</f>
        <v>2024</v>
      </c>
      <c r="D470" s="703">
        <f t="shared" si="25"/>
        <v>618515.78048780491</v>
      </c>
      <c r="E470" s="758">
        <f t="shared" si="29"/>
        <v>19952.121951219513</v>
      </c>
      <c r="F470" s="703">
        <f t="shared" si="24"/>
        <v>598563.6585365854</v>
      </c>
      <c r="G470" s="1296">
        <f t="shared" si="26"/>
        <v>80269.858950591195</v>
      </c>
      <c r="H470" s="1299">
        <f t="shared" si="27"/>
        <v>80269.858950591195</v>
      </c>
      <c r="I470" s="755">
        <f t="shared" si="28"/>
        <v>0</v>
      </c>
      <c r="J470" s="755"/>
      <c r="K470" s="903"/>
      <c r="L470" s="761"/>
      <c r="M470" s="903"/>
      <c r="N470" s="761"/>
      <c r="O470" s="761"/>
    </row>
    <row r="471" spans="3:15">
      <c r="C471" s="751">
        <f>IF(D453="","-",+C470+1)</f>
        <v>2025</v>
      </c>
      <c r="D471" s="703">
        <f t="shared" si="25"/>
        <v>598563.6585365854</v>
      </c>
      <c r="E471" s="758">
        <f t="shared" si="29"/>
        <v>19952.121951219513</v>
      </c>
      <c r="F471" s="703">
        <f t="shared" si="24"/>
        <v>578611.53658536589</v>
      </c>
      <c r="G471" s="1296">
        <f t="shared" si="26"/>
        <v>78292.228229300323</v>
      </c>
      <c r="H471" s="1299">
        <f t="shared" si="27"/>
        <v>78292.228229300323</v>
      </c>
      <c r="I471" s="755">
        <f t="shared" si="28"/>
        <v>0</v>
      </c>
      <c r="J471" s="755"/>
      <c r="K471" s="903"/>
      <c r="L471" s="761"/>
      <c r="M471" s="903"/>
      <c r="N471" s="761"/>
      <c r="O471" s="761"/>
    </row>
    <row r="472" spans="3:15">
      <c r="C472" s="751">
        <f>IF(D453="","-",+C471+1)</f>
        <v>2026</v>
      </c>
      <c r="D472" s="703">
        <f t="shared" si="25"/>
        <v>578611.53658536589</v>
      </c>
      <c r="E472" s="758">
        <f t="shared" si="29"/>
        <v>19952.121951219513</v>
      </c>
      <c r="F472" s="703">
        <f t="shared" si="24"/>
        <v>558659.41463414638</v>
      </c>
      <c r="G472" s="1296">
        <f t="shared" si="26"/>
        <v>76314.597508009436</v>
      </c>
      <c r="H472" s="1299">
        <f t="shared" si="27"/>
        <v>76314.597508009436</v>
      </c>
      <c r="I472" s="755">
        <f t="shared" si="28"/>
        <v>0</v>
      </c>
      <c r="J472" s="755"/>
      <c r="K472" s="903"/>
      <c r="L472" s="761"/>
      <c r="M472" s="903"/>
      <c r="N472" s="761"/>
      <c r="O472" s="761"/>
    </row>
    <row r="473" spans="3:15">
      <c r="C473" s="751">
        <f>IF(D453="","-",+C472+1)</f>
        <v>2027</v>
      </c>
      <c r="D473" s="703">
        <f t="shared" si="25"/>
        <v>558659.41463414638</v>
      </c>
      <c r="E473" s="758">
        <f t="shared" si="29"/>
        <v>19952.121951219513</v>
      </c>
      <c r="F473" s="703">
        <f t="shared" si="24"/>
        <v>538707.29268292687</v>
      </c>
      <c r="G473" s="1296">
        <f t="shared" si="26"/>
        <v>74336.966786718578</v>
      </c>
      <c r="H473" s="1299">
        <f t="shared" si="27"/>
        <v>74336.966786718578</v>
      </c>
      <c r="I473" s="755">
        <f t="shared" si="28"/>
        <v>0</v>
      </c>
      <c r="J473" s="755"/>
      <c r="K473" s="903"/>
      <c r="L473" s="761"/>
      <c r="M473" s="903"/>
      <c r="N473" s="761"/>
      <c r="O473" s="761"/>
    </row>
    <row r="474" spans="3:15">
      <c r="C474" s="751">
        <f>IF(D453="","-",+C473+1)</f>
        <v>2028</v>
      </c>
      <c r="D474" s="703">
        <f t="shared" si="25"/>
        <v>538707.29268292687</v>
      </c>
      <c r="E474" s="758">
        <f t="shared" si="29"/>
        <v>19952.121951219513</v>
      </c>
      <c r="F474" s="703">
        <f t="shared" si="24"/>
        <v>518755.17073170736</v>
      </c>
      <c r="G474" s="1296">
        <f t="shared" si="26"/>
        <v>72359.336065427691</v>
      </c>
      <c r="H474" s="1299">
        <f t="shared" si="27"/>
        <v>72359.336065427691</v>
      </c>
      <c r="I474" s="755">
        <f t="shared" si="28"/>
        <v>0</v>
      </c>
      <c r="J474" s="755"/>
      <c r="K474" s="903"/>
      <c r="L474" s="761"/>
      <c r="M474" s="903"/>
      <c r="N474" s="761"/>
      <c r="O474" s="761"/>
    </row>
    <row r="475" spans="3:15">
      <c r="C475" s="751">
        <f>IF(D453="","-",+C474+1)</f>
        <v>2029</v>
      </c>
      <c r="D475" s="703">
        <f t="shared" si="25"/>
        <v>518755.17073170736</v>
      </c>
      <c r="E475" s="758">
        <f t="shared" si="29"/>
        <v>19952.121951219513</v>
      </c>
      <c r="F475" s="703">
        <f t="shared" si="24"/>
        <v>498803.04878048785</v>
      </c>
      <c r="G475" s="1296">
        <f t="shared" si="26"/>
        <v>70381.705344136819</v>
      </c>
      <c r="H475" s="1299">
        <f t="shared" si="27"/>
        <v>70381.705344136819</v>
      </c>
      <c r="I475" s="755">
        <f t="shared" si="28"/>
        <v>0</v>
      </c>
      <c r="J475" s="755"/>
      <c r="K475" s="903"/>
      <c r="L475" s="761"/>
      <c r="M475" s="903"/>
      <c r="N475" s="761"/>
      <c r="O475" s="761"/>
    </row>
    <row r="476" spans="3:15">
      <c r="C476" s="751">
        <f>IF(D453="","-",+C475+1)</f>
        <v>2030</v>
      </c>
      <c r="D476" s="703">
        <f t="shared" si="25"/>
        <v>498803.04878048785</v>
      </c>
      <c r="E476" s="758">
        <f t="shared" si="29"/>
        <v>19952.121951219513</v>
      </c>
      <c r="F476" s="703">
        <f t="shared" si="24"/>
        <v>478850.92682926834</v>
      </c>
      <c r="G476" s="1296">
        <f t="shared" si="26"/>
        <v>68404.074622845947</v>
      </c>
      <c r="H476" s="1299">
        <f t="shared" si="27"/>
        <v>68404.074622845947</v>
      </c>
      <c r="I476" s="755">
        <f t="shared" si="28"/>
        <v>0</v>
      </c>
      <c r="J476" s="755"/>
      <c r="K476" s="903"/>
      <c r="L476" s="761"/>
      <c r="M476" s="903"/>
      <c r="N476" s="761"/>
      <c r="O476" s="761"/>
    </row>
    <row r="477" spans="3:15">
      <c r="C477" s="751">
        <f>IF(D453="","-",+C476+1)</f>
        <v>2031</v>
      </c>
      <c r="D477" s="703">
        <f t="shared" si="25"/>
        <v>478850.92682926834</v>
      </c>
      <c r="E477" s="758">
        <f t="shared" si="29"/>
        <v>19952.121951219513</v>
      </c>
      <c r="F477" s="703">
        <f t="shared" si="24"/>
        <v>458898.80487804883</v>
      </c>
      <c r="G477" s="1296">
        <f t="shared" si="26"/>
        <v>66426.443901555074</v>
      </c>
      <c r="H477" s="1299">
        <f t="shared" si="27"/>
        <v>66426.443901555074</v>
      </c>
      <c r="I477" s="755">
        <f t="shared" si="28"/>
        <v>0</v>
      </c>
      <c r="J477" s="755"/>
      <c r="K477" s="903"/>
      <c r="L477" s="761"/>
      <c r="M477" s="903"/>
      <c r="N477" s="761"/>
      <c r="O477" s="761"/>
    </row>
    <row r="478" spans="3:15">
      <c r="C478" s="751">
        <f>IF(D453="","-",+C477+1)</f>
        <v>2032</v>
      </c>
      <c r="D478" s="703">
        <f t="shared" si="25"/>
        <v>458898.80487804883</v>
      </c>
      <c r="E478" s="758">
        <f t="shared" si="29"/>
        <v>19952.121951219513</v>
      </c>
      <c r="F478" s="703">
        <f t="shared" si="24"/>
        <v>438946.68292682932</v>
      </c>
      <c r="G478" s="1296">
        <f t="shared" si="26"/>
        <v>64448.813180264202</v>
      </c>
      <c r="H478" s="1299">
        <f t="shared" si="27"/>
        <v>64448.813180264202</v>
      </c>
      <c r="I478" s="755">
        <f t="shared" si="28"/>
        <v>0</v>
      </c>
      <c r="J478" s="755"/>
      <c r="K478" s="903"/>
      <c r="L478" s="761"/>
      <c r="M478" s="903"/>
      <c r="N478" s="761"/>
      <c r="O478" s="761"/>
    </row>
    <row r="479" spans="3:15">
      <c r="C479" s="751">
        <f>IF(D453="","-",+C478+1)</f>
        <v>2033</v>
      </c>
      <c r="D479" s="703">
        <f t="shared" si="25"/>
        <v>438946.68292682932</v>
      </c>
      <c r="E479" s="758">
        <f t="shared" si="29"/>
        <v>19952.121951219513</v>
      </c>
      <c r="F479" s="703">
        <f t="shared" si="24"/>
        <v>418994.56097560981</v>
      </c>
      <c r="G479" s="1296">
        <f t="shared" si="26"/>
        <v>62471.18245897333</v>
      </c>
      <c r="H479" s="1299">
        <f t="shared" si="27"/>
        <v>62471.18245897333</v>
      </c>
      <c r="I479" s="755">
        <f t="shared" si="28"/>
        <v>0</v>
      </c>
      <c r="J479" s="755"/>
      <c r="K479" s="903"/>
      <c r="L479" s="761"/>
      <c r="M479" s="903"/>
      <c r="N479" s="761"/>
      <c r="O479" s="761"/>
    </row>
    <row r="480" spans="3:15">
      <c r="C480" s="751">
        <f>IF(D453="","-",+C479+1)</f>
        <v>2034</v>
      </c>
      <c r="D480" s="703">
        <f t="shared" si="25"/>
        <v>418994.56097560981</v>
      </c>
      <c r="E480" s="758">
        <f t="shared" si="29"/>
        <v>19952.121951219513</v>
      </c>
      <c r="F480" s="703">
        <f t="shared" si="24"/>
        <v>399042.4390243903</v>
      </c>
      <c r="G480" s="1296">
        <f t="shared" si="26"/>
        <v>60493.551737682443</v>
      </c>
      <c r="H480" s="1299">
        <f t="shared" si="27"/>
        <v>60493.551737682443</v>
      </c>
      <c r="I480" s="755">
        <f t="shared" si="28"/>
        <v>0</v>
      </c>
      <c r="J480" s="755"/>
      <c r="K480" s="903"/>
      <c r="L480" s="761"/>
      <c r="M480" s="903"/>
      <c r="N480" s="761"/>
      <c r="O480" s="761"/>
    </row>
    <row r="481" spans="3:15">
      <c r="C481" s="751">
        <f>IF(D453="","-",+C480+1)</f>
        <v>2035</v>
      </c>
      <c r="D481" s="703">
        <f t="shared" si="25"/>
        <v>399042.4390243903</v>
      </c>
      <c r="E481" s="758">
        <f t="shared" si="29"/>
        <v>19952.121951219513</v>
      </c>
      <c r="F481" s="703">
        <f t="shared" si="24"/>
        <v>379090.31707317079</v>
      </c>
      <c r="G481" s="1296">
        <f t="shared" si="26"/>
        <v>58515.92101639157</v>
      </c>
      <c r="H481" s="1299">
        <f t="shared" si="27"/>
        <v>58515.92101639157</v>
      </c>
      <c r="I481" s="755">
        <f t="shared" si="28"/>
        <v>0</v>
      </c>
      <c r="J481" s="755"/>
      <c r="K481" s="903"/>
      <c r="L481" s="761"/>
      <c r="M481" s="903"/>
      <c r="N481" s="761"/>
      <c r="O481" s="761"/>
    </row>
    <row r="482" spans="3:15">
      <c r="C482" s="751">
        <f>IF(D453="","-",+C481+1)</f>
        <v>2036</v>
      </c>
      <c r="D482" s="703">
        <f t="shared" si="25"/>
        <v>379090.31707317079</v>
      </c>
      <c r="E482" s="758">
        <f t="shared" si="29"/>
        <v>19952.121951219513</v>
      </c>
      <c r="F482" s="703">
        <f t="shared" si="24"/>
        <v>359138.19512195128</v>
      </c>
      <c r="G482" s="1296">
        <f t="shared" si="26"/>
        <v>56538.290295100698</v>
      </c>
      <c r="H482" s="1299">
        <f t="shared" si="27"/>
        <v>56538.290295100698</v>
      </c>
      <c r="I482" s="755">
        <f t="shared" si="28"/>
        <v>0</v>
      </c>
      <c r="J482" s="755"/>
      <c r="K482" s="903"/>
      <c r="L482" s="761"/>
      <c r="M482" s="903"/>
      <c r="N482" s="761"/>
      <c r="O482" s="761"/>
    </row>
    <row r="483" spans="3:15">
      <c r="C483" s="751">
        <f>IF(D453="","-",+C482+1)</f>
        <v>2037</v>
      </c>
      <c r="D483" s="703">
        <f t="shared" si="25"/>
        <v>359138.19512195128</v>
      </c>
      <c r="E483" s="758">
        <f t="shared" si="29"/>
        <v>19952.121951219513</v>
      </c>
      <c r="F483" s="703">
        <f t="shared" si="24"/>
        <v>339186.07317073178</v>
      </c>
      <c r="G483" s="1296">
        <f t="shared" si="26"/>
        <v>54560.659573809826</v>
      </c>
      <c r="H483" s="1299">
        <f t="shared" si="27"/>
        <v>54560.659573809826</v>
      </c>
      <c r="I483" s="755">
        <f t="shared" si="28"/>
        <v>0</v>
      </c>
      <c r="J483" s="755"/>
      <c r="K483" s="903"/>
      <c r="L483" s="761"/>
      <c r="M483" s="903"/>
      <c r="N483" s="761"/>
      <c r="O483" s="761"/>
    </row>
    <row r="484" spans="3:15">
      <c r="C484" s="751">
        <f>IF(D453="","-",+C483+1)</f>
        <v>2038</v>
      </c>
      <c r="D484" s="703">
        <f t="shared" si="25"/>
        <v>339186.07317073178</v>
      </c>
      <c r="E484" s="758">
        <f t="shared" si="29"/>
        <v>19952.121951219513</v>
      </c>
      <c r="F484" s="703">
        <f t="shared" si="24"/>
        <v>319233.95121951227</v>
      </c>
      <c r="G484" s="1296">
        <f t="shared" si="26"/>
        <v>52583.028852518953</v>
      </c>
      <c r="H484" s="1299">
        <f t="shared" si="27"/>
        <v>52583.028852518953</v>
      </c>
      <c r="I484" s="755">
        <f t="shared" si="28"/>
        <v>0</v>
      </c>
      <c r="J484" s="755"/>
      <c r="K484" s="903"/>
      <c r="L484" s="761"/>
      <c r="M484" s="903"/>
      <c r="N484" s="761"/>
      <c r="O484" s="761"/>
    </row>
    <row r="485" spans="3:15">
      <c r="C485" s="751">
        <f>IF(D453="","-",+C484+1)</f>
        <v>2039</v>
      </c>
      <c r="D485" s="703">
        <f t="shared" si="25"/>
        <v>319233.95121951227</v>
      </c>
      <c r="E485" s="758">
        <f t="shared" si="29"/>
        <v>19952.121951219513</v>
      </c>
      <c r="F485" s="703">
        <f t="shared" si="24"/>
        <v>299281.82926829276</v>
      </c>
      <c r="G485" s="1296">
        <f t="shared" si="26"/>
        <v>50605.398131228081</v>
      </c>
      <c r="H485" s="1299">
        <f t="shared" si="27"/>
        <v>50605.398131228081</v>
      </c>
      <c r="I485" s="755">
        <f t="shared" si="28"/>
        <v>0</v>
      </c>
      <c r="J485" s="755"/>
      <c r="K485" s="903"/>
      <c r="L485" s="761"/>
      <c r="M485" s="903"/>
      <c r="N485" s="761"/>
      <c r="O485" s="761"/>
    </row>
    <row r="486" spans="3:15">
      <c r="C486" s="751">
        <f>IF(D453="","-",+C485+1)</f>
        <v>2040</v>
      </c>
      <c r="D486" s="703">
        <f t="shared" si="25"/>
        <v>299281.82926829276</v>
      </c>
      <c r="E486" s="758">
        <f t="shared" si="29"/>
        <v>19952.121951219513</v>
      </c>
      <c r="F486" s="703">
        <f t="shared" si="24"/>
        <v>279329.70731707325</v>
      </c>
      <c r="G486" s="1296">
        <f t="shared" si="26"/>
        <v>48627.767409937202</v>
      </c>
      <c r="H486" s="1299">
        <f t="shared" si="27"/>
        <v>48627.767409937202</v>
      </c>
      <c r="I486" s="755">
        <f t="shared" si="28"/>
        <v>0</v>
      </c>
      <c r="J486" s="755"/>
      <c r="K486" s="903"/>
      <c r="L486" s="761"/>
      <c r="M486" s="903"/>
      <c r="N486" s="761"/>
      <c r="O486" s="761"/>
    </row>
    <row r="487" spans="3:15">
      <c r="C487" s="751">
        <f>IF(D453="","-",+C486+1)</f>
        <v>2041</v>
      </c>
      <c r="D487" s="703">
        <f t="shared" si="25"/>
        <v>279329.70731707325</v>
      </c>
      <c r="E487" s="758">
        <f t="shared" si="29"/>
        <v>19952.121951219513</v>
      </c>
      <c r="F487" s="703">
        <f t="shared" si="24"/>
        <v>259377.58536585374</v>
      </c>
      <c r="G487" s="1306">
        <f t="shared" si="26"/>
        <v>46650.136688646329</v>
      </c>
      <c r="H487" s="1299">
        <f t="shared" si="27"/>
        <v>46650.136688646329</v>
      </c>
      <c r="I487" s="755">
        <f t="shared" si="28"/>
        <v>0</v>
      </c>
      <c r="J487" s="755"/>
      <c r="K487" s="903"/>
      <c r="L487" s="761"/>
      <c r="M487" s="903"/>
      <c r="N487" s="761"/>
      <c r="O487" s="761"/>
    </row>
    <row r="488" spans="3:15">
      <c r="C488" s="751">
        <f>IF(D453="","-",+C487+1)</f>
        <v>2042</v>
      </c>
      <c r="D488" s="703">
        <f t="shared" si="25"/>
        <v>259377.58536585374</v>
      </c>
      <c r="E488" s="758">
        <f t="shared" si="29"/>
        <v>19952.121951219513</v>
      </c>
      <c r="F488" s="703">
        <f t="shared" si="24"/>
        <v>239425.46341463423</v>
      </c>
      <c r="G488" s="1296">
        <f t="shared" si="26"/>
        <v>44672.50596735545</v>
      </c>
      <c r="H488" s="1299">
        <f t="shared" si="27"/>
        <v>44672.50596735545</v>
      </c>
      <c r="I488" s="755">
        <f t="shared" si="28"/>
        <v>0</v>
      </c>
      <c r="J488" s="755"/>
      <c r="K488" s="903"/>
      <c r="L488" s="761"/>
      <c r="M488" s="903"/>
      <c r="N488" s="761"/>
      <c r="O488" s="761"/>
    </row>
    <row r="489" spans="3:15">
      <c r="C489" s="751">
        <f>IF(D453="","-",+C488+1)</f>
        <v>2043</v>
      </c>
      <c r="D489" s="703">
        <f t="shared" si="25"/>
        <v>239425.46341463423</v>
      </c>
      <c r="E489" s="758">
        <f t="shared" si="29"/>
        <v>19952.121951219513</v>
      </c>
      <c r="F489" s="703">
        <f t="shared" si="24"/>
        <v>219473.34146341472</v>
      </c>
      <c r="G489" s="1296">
        <f t="shared" si="26"/>
        <v>42694.875246064577</v>
      </c>
      <c r="H489" s="1299">
        <f t="shared" si="27"/>
        <v>42694.875246064577</v>
      </c>
      <c r="I489" s="755">
        <f t="shared" si="28"/>
        <v>0</v>
      </c>
      <c r="J489" s="755"/>
      <c r="K489" s="903"/>
      <c r="L489" s="761"/>
      <c r="M489" s="903"/>
      <c r="N489" s="761"/>
      <c r="O489" s="761"/>
    </row>
    <row r="490" spans="3:15">
      <c r="C490" s="751">
        <f>IF(D453="","-",+C489+1)</f>
        <v>2044</v>
      </c>
      <c r="D490" s="703">
        <f t="shared" si="25"/>
        <v>219473.34146341472</v>
      </c>
      <c r="E490" s="758">
        <f t="shared" si="29"/>
        <v>19952.121951219513</v>
      </c>
      <c r="F490" s="703">
        <f t="shared" si="24"/>
        <v>199521.21951219521</v>
      </c>
      <c r="G490" s="1296">
        <f t="shared" si="26"/>
        <v>40717.244524773705</v>
      </c>
      <c r="H490" s="1299">
        <f t="shared" si="27"/>
        <v>40717.244524773705</v>
      </c>
      <c r="I490" s="755">
        <f t="shared" si="28"/>
        <v>0</v>
      </c>
      <c r="J490" s="755"/>
      <c r="K490" s="903"/>
      <c r="L490" s="761"/>
      <c r="M490" s="903"/>
      <c r="N490" s="761"/>
      <c r="O490" s="761"/>
    </row>
    <row r="491" spans="3:15">
      <c r="C491" s="751">
        <f>IF(D453="","-",+C490+1)</f>
        <v>2045</v>
      </c>
      <c r="D491" s="703">
        <f t="shared" si="25"/>
        <v>199521.21951219521</v>
      </c>
      <c r="E491" s="758">
        <f t="shared" si="29"/>
        <v>19952.121951219513</v>
      </c>
      <c r="F491" s="703">
        <f t="shared" si="24"/>
        <v>179569.0975609757</v>
      </c>
      <c r="G491" s="1296">
        <f t="shared" si="26"/>
        <v>38739.613803482833</v>
      </c>
      <c r="H491" s="1299">
        <f t="shared" si="27"/>
        <v>38739.613803482833</v>
      </c>
      <c r="I491" s="755">
        <f t="shared" si="28"/>
        <v>0</v>
      </c>
      <c r="J491" s="755"/>
      <c r="K491" s="903"/>
      <c r="L491" s="761"/>
      <c r="M491" s="903"/>
      <c r="N491" s="761"/>
      <c r="O491" s="761"/>
    </row>
    <row r="492" spans="3:15">
      <c r="C492" s="751">
        <f>IF(D453="","-",+C491+1)</f>
        <v>2046</v>
      </c>
      <c r="D492" s="703">
        <f t="shared" si="25"/>
        <v>179569.0975609757</v>
      </c>
      <c r="E492" s="758">
        <f t="shared" si="29"/>
        <v>19952.121951219513</v>
      </c>
      <c r="F492" s="703">
        <f t="shared" si="24"/>
        <v>159616.97560975619</v>
      </c>
      <c r="G492" s="1296">
        <f t="shared" si="26"/>
        <v>36761.98308219196</v>
      </c>
      <c r="H492" s="1299">
        <f t="shared" si="27"/>
        <v>36761.98308219196</v>
      </c>
      <c r="I492" s="755">
        <f t="shared" si="28"/>
        <v>0</v>
      </c>
      <c r="J492" s="755"/>
      <c r="K492" s="903"/>
      <c r="L492" s="761"/>
      <c r="M492" s="903"/>
      <c r="N492" s="761"/>
      <c r="O492" s="761"/>
    </row>
    <row r="493" spans="3:15">
      <c r="C493" s="751">
        <f>IF(D453="","-",+C492+1)</f>
        <v>2047</v>
      </c>
      <c r="D493" s="703">
        <f t="shared" si="25"/>
        <v>159616.97560975619</v>
      </c>
      <c r="E493" s="758">
        <f t="shared" si="29"/>
        <v>19952.121951219513</v>
      </c>
      <c r="F493" s="703">
        <f t="shared" si="24"/>
        <v>139664.85365853668</v>
      </c>
      <c r="G493" s="1296">
        <f t="shared" si="26"/>
        <v>34784.352360901081</v>
      </c>
      <c r="H493" s="1299">
        <f t="shared" si="27"/>
        <v>34784.352360901081</v>
      </c>
      <c r="I493" s="755">
        <f t="shared" si="28"/>
        <v>0</v>
      </c>
      <c r="J493" s="755"/>
      <c r="K493" s="903"/>
      <c r="L493" s="761"/>
      <c r="M493" s="903"/>
      <c r="N493" s="761"/>
      <c r="O493" s="761"/>
    </row>
    <row r="494" spans="3:15">
      <c r="C494" s="751">
        <f>IF(D453="","-",+C493+1)</f>
        <v>2048</v>
      </c>
      <c r="D494" s="703">
        <f t="shared" si="25"/>
        <v>139664.85365853668</v>
      </c>
      <c r="E494" s="758">
        <f t="shared" si="29"/>
        <v>19952.121951219513</v>
      </c>
      <c r="F494" s="703">
        <f t="shared" si="24"/>
        <v>119712.73170731717</v>
      </c>
      <c r="G494" s="1296">
        <f t="shared" si="26"/>
        <v>32806.721639610209</v>
      </c>
      <c r="H494" s="1299">
        <f t="shared" si="27"/>
        <v>32806.721639610209</v>
      </c>
      <c r="I494" s="755">
        <f t="shared" si="28"/>
        <v>0</v>
      </c>
      <c r="J494" s="755"/>
      <c r="K494" s="903"/>
      <c r="L494" s="761"/>
      <c r="M494" s="903"/>
      <c r="N494" s="761"/>
      <c r="O494" s="761"/>
    </row>
    <row r="495" spans="3:15">
      <c r="C495" s="751">
        <f>IF(D453="","-",+C494+1)</f>
        <v>2049</v>
      </c>
      <c r="D495" s="703">
        <f t="shared" si="25"/>
        <v>119712.73170731717</v>
      </c>
      <c r="E495" s="758">
        <f t="shared" si="29"/>
        <v>19952.121951219513</v>
      </c>
      <c r="F495" s="703">
        <f t="shared" si="24"/>
        <v>99760.609756097663</v>
      </c>
      <c r="G495" s="1296">
        <f t="shared" si="26"/>
        <v>30829.090918319336</v>
      </c>
      <c r="H495" s="1299">
        <f t="shared" si="27"/>
        <v>30829.090918319336</v>
      </c>
      <c r="I495" s="755">
        <f t="shared" si="28"/>
        <v>0</v>
      </c>
      <c r="J495" s="755"/>
      <c r="K495" s="903"/>
      <c r="L495" s="761"/>
      <c r="M495" s="903"/>
      <c r="N495" s="761"/>
      <c r="O495" s="761"/>
    </row>
    <row r="496" spans="3:15">
      <c r="C496" s="751">
        <f>IF(D453="","-",+C495+1)</f>
        <v>2050</v>
      </c>
      <c r="D496" s="703">
        <f t="shared" si="25"/>
        <v>99760.609756097663</v>
      </c>
      <c r="E496" s="758">
        <f t="shared" si="29"/>
        <v>19952.121951219513</v>
      </c>
      <c r="F496" s="703">
        <f t="shared" si="24"/>
        <v>79808.487804878154</v>
      </c>
      <c r="G496" s="1296">
        <f t="shared" si="26"/>
        <v>28851.460197028457</v>
      </c>
      <c r="H496" s="1299">
        <f t="shared" si="27"/>
        <v>28851.460197028457</v>
      </c>
      <c r="I496" s="755">
        <f t="shared" si="28"/>
        <v>0</v>
      </c>
      <c r="J496" s="755"/>
      <c r="K496" s="903"/>
      <c r="L496" s="761"/>
      <c r="M496" s="903"/>
      <c r="N496" s="761"/>
      <c r="O496" s="761"/>
    </row>
    <row r="497" spans="3:15">
      <c r="C497" s="751">
        <f>IF(D453="","-",+C496+1)</f>
        <v>2051</v>
      </c>
      <c r="D497" s="703">
        <f t="shared" si="25"/>
        <v>79808.487804878154</v>
      </c>
      <c r="E497" s="758">
        <f t="shared" si="29"/>
        <v>19952.121951219513</v>
      </c>
      <c r="F497" s="703">
        <f t="shared" si="24"/>
        <v>59856.365853658644</v>
      </c>
      <c r="G497" s="1296">
        <f t="shared" si="26"/>
        <v>26873.829475737584</v>
      </c>
      <c r="H497" s="1299">
        <f t="shared" si="27"/>
        <v>26873.829475737584</v>
      </c>
      <c r="I497" s="755">
        <f t="shared" si="28"/>
        <v>0</v>
      </c>
      <c r="J497" s="755"/>
      <c r="K497" s="903"/>
      <c r="L497" s="761"/>
      <c r="M497" s="903"/>
      <c r="N497" s="761"/>
      <c r="O497" s="761"/>
    </row>
    <row r="498" spans="3:15">
      <c r="C498" s="751">
        <f>IF(D453="","-",+C497+1)</f>
        <v>2052</v>
      </c>
      <c r="D498" s="703">
        <f t="shared" si="25"/>
        <v>59856.365853658644</v>
      </c>
      <c r="E498" s="758">
        <f t="shared" si="29"/>
        <v>19952.121951219513</v>
      </c>
      <c r="F498" s="703">
        <f t="shared" si="24"/>
        <v>39904.243902439135</v>
      </c>
      <c r="G498" s="1296">
        <f t="shared" si="26"/>
        <v>24896.198754446712</v>
      </c>
      <c r="H498" s="1299">
        <f t="shared" si="27"/>
        <v>24896.198754446712</v>
      </c>
      <c r="I498" s="755">
        <f t="shared" si="28"/>
        <v>0</v>
      </c>
      <c r="J498" s="755"/>
      <c r="K498" s="903"/>
      <c r="L498" s="761"/>
      <c r="M498" s="903"/>
      <c r="N498" s="761"/>
      <c r="O498" s="761"/>
    </row>
    <row r="499" spans="3:15">
      <c r="C499" s="751">
        <f>IF(D453="","-",+C498+1)</f>
        <v>2053</v>
      </c>
      <c r="D499" s="703">
        <f t="shared" si="25"/>
        <v>39904.243902439135</v>
      </c>
      <c r="E499" s="758">
        <f t="shared" si="29"/>
        <v>19952.121951219513</v>
      </c>
      <c r="F499" s="703">
        <f t="shared" si="24"/>
        <v>19952.121951219622</v>
      </c>
      <c r="G499" s="1296">
        <f t="shared" si="26"/>
        <v>22918.568033155836</v>
      </c>
      <c r="H499" s="1299">
        <f t="shared" si="27"/>
        <v>22918.568033155836</v>
      </c>
      <c r="I499" s="755">
        <f t="shared" si="28"/>
        <v>0</v>
      </c>
      <c r="J499" s="755"/>
      <c r="K499" s="903"/>
      <c r="L499" s="761"/>
      <c r="M499" s="903"/>
      <c r="N499" s="761"/>
      <c r="O499" s="761"/>
    </row>
    <row r="500" spans="3:15">
      <c r="C500" s="751">
        <f>IF(D453="","-",+C499+1)</f>
        <v>2054</v>
      </c>
      <c r="D500" s="703">
        <f t="shared" si="25"/>
        <v>19952.121951219622</v>
      </c>
      <c r="E500" s="758">
        <f t="shared" si="29"/>
        <v>19952.121951219513</v>
      </c>
      <c r="F500" s="703">
        <f t="shared" si="24"/>
        <v>1.0913936421275139E-10</v>
      </c>
      <c r="G500" s="1296">
        <f t="shared" si="26"/>
        <v>20940.93731186496</v>
      </c>
      <c r="H500" s="1299">
        <f t="shared" si="27"/>
        <v>20940.93731186496</v>
      </c>
      <c r="I500" s="755">
        <f t="shared" si="28"/>
        <v>0</v>
      </c>
      <c r="J500" s="755"/>
      <c r="K500" s="903"/>
      <c r="L500" s="761"/>
      <c r="M500" s="903"/>
      <c r="N500" s="761"/>
      <c r="O500" s="761"/>
    </row>
    <row r="501" spans="3:15">
      <c r="C501" s="751">
        <f>IF(D453="","-",+C500+1)</f>
        <v>2055</v>
      </c>
      <c r="D501" s="703">
        <f t="shared" si="25"/>
        <v>1.0913936421275139E-10</v>
      </c>
      <c r="E501" s="758">
        <f t="shared" si="29"/>
        <v>1.0913936421275139E-10</v>
      </c>
      <c r="F501" s="703">
        <f t="shared" si="24"/>
        <v>0</v>
      </c>
      <c r="G501" s="1296">
        <f t="shared" si="26"/>
        <v>1.1454824653857585E-10</v>
      </c>
      <c r="H501" s="1299">
        <f t="shared" si="27"/>
        <v>1.1454824653857585E-10</v>
      </c>
      <c r="I501" s="755">
        <f t="shared" si="28"/>
        <v>0</v>
      </c>
      <c r="J501" s="755"/>
      <c r="K501" s="903"/>
      <c r="L501" s="761"/>
      <c r="M501" s="903"/>
      <c r="N501" s="761"/>
      <c r="O501" s="761"/>
    </row>
    <row r="502" spans="3:15">
      <c r="C502" s="751">
        <f>IF(D453="","-",+C501+1)</f>
        <v>2056</v>
      </c>
      <c r="D502" s="703">
        <f t="shared" si="25"/>
        <v>0</v>
      </c>
      <c r="E502" s="758">
        <f t="shared" si="29"/>
        <v>0</v>
      </c>
      <c r="F502" s="703">
        <f t="shared" si="24"/>
        <v>0</v>
      </c>
      <c r="G502" s="1296">
        <f t="shared" si="26"/>
        <v>0</v>
      </c>
      <c r="H502" s="1299">
        <f t="shared" si="27"/>
        <v>0</v>
      </c>
      <c r="I502" s="755">
        <f t="shared" si="28"/>
        <v>0</v>
      </c>
      <c r="J502" s="755"/>
      <c r="K502" s="903"/>
      <c r="L502" s="761"/>
      <c r="M502" s="903"/>
      <c r="N502" s="761"/>
      <c r="O502" s="761"/>
    </row>
    <row r="503" spans="3:15">
      <c r="C503" s="751">
        <f>IF(D453="","-",+C502+1)</f>
        <v>2057</v>
      </c>
      <c r="D503" s="703">
        <f t="shared" si="25"/>
        <v>0</v>
      </c>
      <c r="E503" s="758">
        <f t="shared" si="29"/>
        <v>0</v>
      </c>
      <c r="F503" s="703">
        <f t="shared" si="24"/>
        <v>0</v>
      </c>
      <c r="G503" s="1296">
        <f t="shared" si="26"/>
        <v>0</v>
      </c>
      <c r="H503" s="1299">
        <f t="shared" si="27"/>
        <v>0</v>
      </c>
      <c r="I503" s="755">
        <f t="shared" si="28"/>
        <v>0</v>
      </c>
      <c r="J503" s="755"/>
      <c r="K503" s="903"/>
      <c r="L503" s="761"/>
      <c r="M503" s="903"/>
      <c r="N503" s="761"/>
      <c r="O503" s="761"/>
    </row>
    <row r="504" spans="3:15">
      <c r="C504" s="751">
        <f>IF(D453="","-",+C503+1)</f>
        <v>2058</v>
      </c>
      <c r="D504" s="703">
        <f t="shared" si="25"/>
        <v>0</v>
      </c>
      <c r="E504" s="758">
        <f t="shared" si="29"/>
        <v>0</v>
      </c>
      <c r="F504" s="703">
        <f t="shared" si="24"/>
        <v>0</v>
      </c>
      <c r="G504" s="1296">
        <f t="shared" si="26"/>
        <v>0</v>
      </c>
      <c r="H504" s="1299">
        <f t="shared" si="27"/>
        <v>0</v>
      </c>
      <c r="I504" s="755">
        <f t="shared" si="28"/>
        <v>0</v>
      </c>
      <c r="J504" s="755"/>
      <c r="K504" s="903"/>
      <c r="L504" s="761"/>
      <c r="M504" s="903"/>
      <c r="N504" s="761"/>
      <c r="O504" s="761"/>
    </row>
    <row r="505" spans="3:15">
      <c r="C505" s="751">
        <f>IF(D453="","-",+C504+1)</f>
        <v>2059</v>
      </c>
      <c r="D505" s="703">
        <f t="shared" si="25"/>
        <v>0</v>
      </c>
      <c r="E505" s="758">
        <f t="shared" si="29"/>
        <v>0</v>
      </c>
      <c r="F505" s="703">
        <f t="shared" si="24"/>
        <v>0</v>
      </c>
      <c r="G505" s="1296">
        <f t="shared" si="26"/>
        <v>0</v>
      </c>
      <c r="H505" s="1299">
        <f t="shared" si="27"/>
        <v>0</v>
      </c>
      <c r="I505" s="755">
        <f t="shared" si="28"/>
        <v>0</v>
      </c>
      <c r="J505" s="755"/>
      <c r="K505" s="903"/>
      <c r="L505" s="761"/>
      <c r="M505" s="903"/>
      <c r="N505" s="761"/>
      <c r="O505" s="761"/>
    </row>
    <row r="506" spans="3:15">
      <c r="C506" s="751">
        <f>IF(D453="","-",+C505+1)</f>
        <v>2060</v>
      </c>
      <c r="D506" s="703">
        <f t="shared" si="25"/>
        <v>0</v>
      </c>
      <c r="E506" s="758">
        <f t="shared" si="29"/>
        <v>0</v>
      </c>
      <c r="F506" s="703">
        <f t="shared" si="24"/>
        <v>0</v>
      </c>
      <c r="G506" s="1296">
        <f t="shared" si="26"/>
        <v>0</v>
      </c>
      <c r="H506" s="1299">
        <f t="shared" si="27"/>
        <v>0</v>
      </c>
      <c r="I506" s="755">
        <f t="shared" si="28"/>
        <v>0</v>
      </c>
      <c r="J506" s="755"/>
      <c r="K506" s="903"/>
      <c r="L506" s="761"/>
      <c r="M506" s="903"/>
      <c r="N506" s="761"/>
      <c r="O506" s="761"/>
    </row>
    <row r="507" spans="3:15">
      <c r="C507" s="751">
        <f>IF(D453="","-",+C506+1)</f>
        <v>2061</v>
      </c>
      <c r="D507" s="703">
        <f t="shared" si="25"/>
        <v>0</v>
      </c>
      <c r="E507" s="758">
        <f t="shared" si="29"/>
        <v>0</v>
      </c>
      <c r="F507" s="703">
        <f t="shared" si="24"/>
        <v>0</v>
      </c>
      <c r="G507" s="1296">
        <f t="shared" si="26"/>
        <v>0</v>
      </c>
      <c r="H507" s="1299">
        <f t="shared" si="27"/>
        <v>0</v>
      </c>
      <c r="I507" s="755">
        <f t="shared" si="28"/>
        <v>0</v>
      </c>
      <c r="J507" s="755"/>
      <c r="K507" s="903"/>
      <c r="L507" s="761"/>
      <c r="M507" s="903"/>
      <c r="N507" s="761"/>
      <c r="O507" s="761"/>
    </row>
    <row r="508" spans="3:15">
      <c r="C508" s="751">
        <f>IF(D453="","-",+C507+1)</f>
        <v>2062</v>
      </c>
      <c r="D508" s="703">
        <f t="shared" si="25"/>
        <v>0</v>
      </c>
      <c r="E508" s="758">
        <f t="shared" si="29"/>
        <v>0</v>
      </c>
      <c r="F508" s="703">
        <f t="shared" si="24"/>
        <v>0</v>
      </c>
      <c r="G508" s="1296">
        <f t="shared" si="26"/>
        <v>0</v>
      </c>
      <c r="H508" s="1299">
        <f t="shared" si="27"/>
        <v>0</v>
      </c>
      <c r="I508" s="755">
        <f t="shared" si="28"/>
        <v>0</v>
      </c>
      <c r="J508" s="755"/>
      <c r="K508" s="903"/>
      <c r="L508" s="761"/>
      <c r="M508" s="903"/>
      <c r="N508" s="761"/>
      <c r="O508" s="761"/>
    </row>
    <row r="509" spans="3:15">
      <c r="C509" s="751">
        <f>IF(D453="","-",+C508+1)</f>
        <v>2063</v>
      </c>
      <c r="D509" s="703">
        <f t="shared" si="25"/>
        <v>0</v>
      </c>
      <c r="E509" s="758">
        <f t="shared" si="29"/>
        <v>0</v>
      </c>
      <c r="F509" s="703">
        <f t="shared" si="24"/>
        <v>0</v>
      </c>
      <c r="G509" s="1296">
        <f t="shared" si="26"/>
        <v>0</v>
      </c>
      <c r="H509" s="1299">
        <f t="shared" si="27"/>
        <v>0</v>
      </c>
      <c r="I509" s="755">
        <f t="shared" si="28"/>
        <v>0</v>
      </c>
      <c r="J509" s="755"/>
      <c r="K509" s="903"/>
      <c r="L509" s="761"/>
      <c r="M509" s="903"/>
      <c r="N509" s="761"/>
      <c r="O509" s="761"/>
    </row>
    <row r="510" spans="3:15">
      <c r="C510" s="751">
        <f>IF(D453="","-",+C509+1)</f>
        <v>2064</v>
      </c>
      <c r="D510" s="703">
        <f t="shared" si="25"/>
        <v>0</v>
      </c>
      <c r="E510" s="758">
        <f t="shared" si="29"/>
        <v>0</v>
      </c>
      <c r="F510" s="703">
        <f t="shared" si="24"/>
        <v>0</v>
      </c>
      <c r="G510" s="1296">
        <f t="shared" si="26"/>
        <v>0</v>
      </c>
      <c r="H510" s="1299">
        <f t="shared" si="27"/>
        <v>0</v>
      </c>
      <c r="I510" s="755">
        <f t="shared" si="28"/>
        <v>0</v>
      </c>
      <c r="J510" s="755"/>
      <c r="K510" s="903"/>
      <c r="L510" s="761"/>
      <c r="M510" s="903"/>
      <c r="N510" s="761"/>
      <c r="O510" s="761"/>
    </row>
    <row r="511" spans="3:15">
      <c r="C511" s="751">
        <f>IF(D453="","-",+C510+1)</f>
        <v>2065</v>
      </c>
      <c r="D511" s="703">
        <f t="shared" si="25"/>
        <v>0</v>
      </c>
      <c r="E511" s="758">
        <f t="shared" si="29"/>
        <v>0</v>
      </c>
      <c r="F511" s="703">
        <f t="shared" si="24"/>
        <v>0</v>
      </c>
      <c r="G511" s="1296">
        <f t="shared" si="26"/>
        <v>0</v>
      </c>
      <c r="H511" s="1299">
        <f t="shared" si="27"/>
        <v>0</v>
      </c>
      <c r="I511" s="755">
        <f t="shared" si="28"/>
        <v>0</v>
      </c>
      <c r="J511" s="755"/>
      <c r="K511" s="903"/>
      <c r="L511" s="761"/>
      <c r="M511" s="903"/>
      <c r="N511" s="761"/>
      <c r="O511" s="761"/>
    </row>
    <row r="512" spans="3:15">
      <c r="C512" s="751">
        <f>IF(D453="","-",+C511+1)</f>
        <v>2066</v>
      </c>
      <c r="D512" s="703">
        <f t="shared" si="25"/>
        <v>0</v>
      </c>
      <c r="E512" s="758">
        <f t="shared" si="29"/>
        <v>0</v>
      </c>
      <c r="F512" s="703">
        <f t="shared" si="24"/>
        <v>0</v>
      </c>
      <c r="G512" s="1296">
        <f t="shared" si="26"/>
        <v>0</v>
      </c>
      <c r="H512" s="1299">
        <f t="shared" si="27"/>
        <v>0</v>
      </c>
      <c r="I512" s="755">
        <f t="shared" si="28"/>
        <v>0</v>
      </c>
      <c r="J512" s="755"/>
      <c r="K512" s="903"/>
      <c r="L512" s="761"/>
      <c r="M512" s="903"/>
      <c r="N512" s="761"/>
      <c r="O512" s="761"/>
    </row>
    <row r="513" spans="3:15">
      <c r="C513" s="751">
        <f>IF(D453="","-",+C512+1)</f>
        <v>2067</v>
      </c>
      <c r="D513" s="703">
        <f t="shared" si="25"/>
        <v>0</v>
      </c>
      <c r="E513" s="758">
        <f t="shared" si="29"/>
        <v>0</v>
      </c>
      <c r="F513" s="703">
        <f t="shared" si="24"/>
        <v>0</v>
      </c>
      <c r="G513" s="1296">
        <f t="shared" si="26"/>
        <v>0</v>
      </c>
      <c r="H513" s="1299">
        <f t="shared" si="27"/>
        <v>0</v>
      </c>
      <c r="I513" s="755">
        <f t="shared" si="28"/>
        <v>0</v>
      </c>
      <c r="J513" s="755"/>
      <c r="K513" s="903"/>
      <c r="L513" s="761"/>
      <c r="M513" s="903"/>
      <c r="N513" s="761"/>
      <c r="O513" s="761"/>
    </row>
    <row r="514" spans="3:15">
      <c r="C514" s="751">
        <f>IF(D453="","-",+C513+1)</f>
        <v>2068</v>
      </c>
      <c r="D514" s="703">
        <f t="shared" si="25"/>
        <v>0</v>
      </c>
      <c r="E514" s="758">
        <f t="shared" si="29"/>
        <v>0</v>
      </c>
      <c r="F514" s="703">
        <f t="shared" si="24"/>
        <v>0</v>
      </c>
      <c r="G514" s="1296">
        <f t="shared" si="26"/>
        <v>0</v>
      </c>
      <c r="H514" s="1299">
        <f t="shared" si="27"/>
        <v>0</v>
      </c>
      <c r="I514" s="755">
        <f t="shared" si="28"/>
        <v>0</v>
      </c>
      <c r="J514" s="755"/>
      <c r="K514" s="903"/>
      <c r="L514" s="761"/>
      <c r="M514" s="903"/>
      <c r="N514" s="761"/>
      <c r="O514" s="761"/>
    </row>
    <row r="515" spans="3:15">
      <c r="C515" s="751">
        <f>IF(D453="","-",+C514+1)</f>
        <v>2069</v>
      </c>
      <c r="D515" s="703">
        <f t="shared" si="25"/>
        <v>0</v>
      </c>
      <c r="E515" s="758">
        <f t="shared" si="29"/>
        <v>0</v>
      </c>
      <c r="F515" s="703">
        <f t="shared" si="24"/>
        <v>0</v>
      </c>
      <c r="G515" s="1296">
        <f t="shared" si="26"/>
        <v>0</v>
      </c>
      <c r="H515" s="1299">
        <f t="shared" si="27"/>
        <v>0</v>
      </c>
      <c r="I515" s="755">
        <f t="shared" si="28"/>
        <v>0</v>
      </c>
      <c r="J515" s="755"/>
      <c r="K515" s="903"/>
      <c r="L515" s="761"/>
      <c r="M515" s="903"/>
      <c r="N515" s="761"/>
      <c r="O515" s="761"/>
    </row>
    <row r="516" spans="3:15">
      <c r="C516" s="751">
        <f>IF(D453="","-",+C515+1)</f>
        <v>2070</v>
      </c>
      <c r="D516" s="703">
        <f t="shared" si="25"/>
        <v>0</v>
      </c>
      <c r="E516" s="758">
        <f t="shared" si="29"/>
        <v>0</v>
      </c>
      <c r="F516" s="703">
        <f t="shared" si="24"/>
        <v>0</v>
      </c>
      <c r="G516" s="1296">
        <f t="shared" si="26"/>
        <v>0</v>
      </c>
      <c r="H516" s="1299">
        <f t="shared" si="27"/>
        <v>0</v>
      </c>
      <c r="I516" s="755">
        <f t="shared" si="28"/>
        <v>0</v>
      </c>
      <c r="J516" s="755"/>
      <c r="K516" s="903"/>
      <c r="L516" s="761"/>
      <c r="M516" s="903"/>
      <c r="N516" s="761"/>
      <c r="O516" s="761"/>
    </row>
    <row r="517" spans="3:15">
      <c r="C517" s="751">
        <f>IF(D453="","-",+C516+1)</f>
        <v>2071</v>
      </c>
      <c r="D517" s="703">
        <f t="shared" si="25"/>
        <v>0</v>
      </c>
      <c r="E517" s="758">
        <f t="shared" si="29"/>
        <v>0</v>
      </c>
      <c r="F517" s="703">
        <f t="shared" si="24"/>
        <v>0</v>
      </c>
      <c r="G517" s="1296">
        <f t="shared" si="26"/>
        <v>0</v>
      </c>
      <c r="H517" s="1299">
        <f t="shared" si="27"/>
        <v>0</v>
      </c>
      <c r="I517" s="755">
        <f t="shared" si="28"/>
        <v>0</v>
      </c>
      <c r="J517" s="755"/>
      <c r="K517" s="903"/>
      <c r="L517" s="761"/>
      <c r="M517" s="903"/>
      <c r="N517" s="761"/>
      <c r="O517" s="761"/>
    </row>
    <row r="518" spans="3:15" ht="13.5" thickBot="1">
      <c r="C518" s="762">
        <f>IF(D453="","-",+C517+1)</f>
        <v>2072</v>
      </c>
      <c r="D518" s="763">
        <f t="shared" si="25"/>
        <v>0</v>
      </c>
      <c r="E518" s="764">
        <f t="shared" si="29"/>
        <v>0</v>
      </c>
      <c r="F518" s="763">
        <f t="shared" si="24"/>
        <v>0</v>
      </c>
      <c r="G518" s="1307">
        <f t="shared" si="26"/>
        <v>0</v>
      </c>
      <c r="H518" s="1307">
        <f t="shared" si="27"/>
        <v>0</v>
      </c>
      <c r="I518" s="766">
        <f t="shared" si="28"/>
        <v>0</v>
      </c>
      <c r="J518" s="755"/>
      <c r="K518" s="904"/>
      <c r="L518" s="768"/>
      <c r="M518" s="904"/>
      <c r="N518" s="768"/>
      <c r="O518" s="768"/>
    </row>
    <row r="519" spans="3:15">
      <c r="C519" s="703" t="s">
        <v>289</v>
      </c>
      <c r="D519" s="1277"/>
      <c r="E519" s="1277">
        <f>SUM(E459:E518)</f>
        <v>818037.00000000012</v>
      </c>
      <c r="F519" s="1277"/>
      <c r="G519" s="1277">
        <f>SUM(G459:G518)</f>
        <v>2561318.4808179056</v>
      </c>
      <c r="H519" s="1277">
        <f>SUM(H459:H518)</f>
        <v>2561318.4808179056</v>
      </c>
      <c r="I519" s="1277">
        <f>SUM(I459:I518)</f>
        <v>0</v>
      </c>
      <c r="J519" s="1277"/>
      <c r="K519" s="1277"/>
      <c r="L519" s="1277"/>
      <c r="M519" s="1277"/>
      <c r="N519" s="1277"/>
      <c r="O519" s="570"/>
    </row>
    <row r="520" spans="3:15">
      <c r="D520" s="593"/>
      <c r="E520" s="570"/>
      <c r="F520" s="570"/>
      <c r="G520" s="570"/>
      <c r="H520" s="1276"/>
      <c r="I520" s="1276"/>
      <c r="J520" s="1277"/>
      <c r="K520" s="1276"/>
      <c r="L520" s="1276"/>
      <c r="M520" s="1276"/>
      <c r="N520" s="1276"/>
      <c r="O520" s="570"/>
    </row>
    <row r="521" spans="3:15">
      <c r="C521" s="1308" t="s">
        <v>968</v>
      </c>
      <c r="D521" s="593"/>
      <c r="E521" s="570"/>
      <c r="F521" s="570"/>
      <c r="G521" s="570"/>
      <c r="H521" s="1276"/>
      <c r="I521" s="1276"/>
      <c r="J521" s="1277"/>
      <c r="K521" s="1276"/>
      <c r="L521" s="1276"/>
      <c r="M521" s="1276"/>
      <c r="N521" s="1276"/>
      <c r="O521" s="570"/>
    </row>
    <row r="522" spans="3:15">
      <c r="D522" s="593"/>
      <c r="E522" s="570"/>
      <c r="F522" s="570"/>
      <c r="G522" s="570"/>
      <c r="H522" s="1276"/>
      <c r="I522" s="1276"/>
      <c r="J522" s="1277"/>
      <c r="K522" s="1276"/>
      <c r="L522" s="1276"/>
      <c r="M522" s="1276"/>
      <c r="N522" s="1276"/>
      <c r="O522" s="570"/>
    </row>
    <row r="523" spans="3:15">
      <c r="C523" s="716" t="s">
        <v>969</v>
      </c>
      <c r="D523" s="703"/>
      <c r="E523" s="703"/>
      <c r="F523" s="703"/>
      <c r="G523" s="1277"/>
      <c r="H523" s="1277"/>
      <c r="I523" s="704"/>
      <c r="J523" s="704"/>
      <c r="K523" s="704"/>
      <c r="L523" s="704"/>
      <c r="M523" s="704"/>
      <c r="N523" s="704"/>
      <c r="O523" s="570"/>
    </row>
    <row r="524" spans="3:15">
      <c r="C524" s="702" t="s">
        <v>477</v>
      </c>
      <c r="D524" s="703"/>
      <c r="E524" s="703"/>
      <c r="F524" s="703"/>
      <c r="G524" s="1277"/>
      <c r="H524" s="1277"/>
      <c r="I524" s="704"/>
      <c r="J524" s="704"/>
      <c r="K524" s="704"/>
      <c r="L524" s="704"/>
      <c r="M524" s="704"/>
      <c r="N524" s="704"/>
      <c r="O524" s="570"/>
    </row>
    <row r="525" spans="3:15">
      <c r="C525" s="702" t="s">
        <v>290</v>
      </c>
      <c r="D525" s="703"/>
      <c r="E525" s="703"/>
      <c r="F525" s="703"/>
      <c r="G525" s="1277"/>
      <c r="H525" s="1277"/>
      <c r="I525" s="704"/>
      <c r="J525" s="704"/>
      <c r="K525" s="704"/>
      <c r="L525" s="704"/>
      <c r="M525" s="704"/>
      <c r="N525" s="704"/>
      <c r="O525" s="570"/>
    </row>
    <row r="526" spans="3:15">
      <c r="C526" s="702"/>
      <c r="D526" s="703"/>
      <c r="E526" s="703"/>
      <c r="F526" s="703"/>
      <c r="G526" s="1277"/>
      <c r="H526" s="1277"/>
      <c r="I526" s="704"/>
      <c r="J526" s="704"/>
      <c r="K526" s="704"/>
      <c r="L526" s="704"/>
      <c r="M526" s="704"/>
      <c r="N526" s="704"/>
      <c r="O526" s="570"/>
    </row>
    <row r="527" spans="3:15">
      <c r="C527" s="1507" t="s">
        <v>461</v>
      </c>
      <c r="D527" s="1507"/>
      <c r="E527" s="1507"/>
      <c r="F527" s="1507"/>
      <c r="G527" s="1507"/>
      <c r="H527" s="1507"/>
      <c r="I527" s="1507"/>
      <c r="J527" s="1507"/>
      <c r="K527" s="1507"/>
      <c r="L527" s="1507"/>
      <c r="M527" s="1507"/>
      <c r="N527" s="1507"/>
      <c r="O527" s="1507"/>
    </row>
    <row r="528" spans="3:15">
      <c r="C528" s="1507"/>
      <c r="D528" s="1507"/>
      <c r="E528" s="1507"/>
      <c r="F528" s="1507"/>
      <c r="G528" s="1507"/>
      <c r="H528" s="1507"/>
      <c r="I528" s="1507"/>
      <c r="J528" s="1507"/>
      <c r="K528" s="1507"/>
      <c r="L528" s="1507"/>
      <c r="M528" s="1507"/>
      <c r="N528" s="1507"/>
      <c r="O528" s="1507"/>
    </row>
    <row r="529" spans="1:16" ht="20.25">
      <c r="A529" s="705" t="s">
        <v>965</v>
      </c>
      <c r="B529" s="606"/>
      <c r="C529" s="685"/>
      <c r="D529" s="593"/>
      <c r="E529" s="570"/>
      <c r="F529" s="675"/>
      <c r="G529" s="570"/>
      <c r="H529" s="1276"/>
      <c r="K529" s="706"/>
      <c r="L529" s="706"/>
      <c r="M529" s="706"/>
      <c r="N529" s="621" t="str">
        <f>"Page "&amp;P529&amp;" of "</f>
        <v xml:space="preserve">Page 7 of </v>
      </c>
      <c r="O529" s="622">
        <f>COUNT(P$6:P$59527)</f>
        <v>10</v>
      </c>
      <c r="P529" s="570">
        <v>7</v>
      </c>
    </row>
    <row r="530" spans="1:16">
      <c r="B530" s="606"/>
      <c r="C530" s="570"/>
      <c r="D530" s="593"/>
      <c r="E530" s="570"/>
      <c r="F530" s="570"/>
      <c r="G530" s="570"/>
      <c r="H530" s="1276"/>
      <c r="I530" s="570"/>
      <c r="J530" s="618"/>
      <c r="K530" s="570"/>
      <c r="L530" s="570"/>
      <c r="M530" s="570"/>
      <c r="N530" s="570"/>
      <c r="O530" s="570"/>
    </row>
    <row r="531" spans="1:16" ht="18">
      <c r="B531" s="625" t="s">
        <v>175</v>
      </c>
      <c r="C531" s="707" t="s">
        <v>291</v>
      </c>
      <c r="D531" s="593"/>
      <c r="E531" s="570"/>
      <c r="F531" s="570"/>
      <c r="G531" s="570"/>
      <c r="H531" s="1276"/>
      <c r="I531" s="1276"/>
      <c r="J531" s="1277"/>
      <c r="K531" s="1276"/>
      <c r="L531" s="1276"/>
      <c r="M531" s="1276"/>
      <c r="N531" s="1276"/>
      <c r="O531" s="570"/>
    </row>
    <row r="532" spans="1:16" ht="18.75">
      <c r="B532" s="625"/>
      <c r="C532" s="624"/>
      <c r="D532" s="593"/>
      <c r="E532" s="570"/>
      <c r="F532" s="570"/>
      <c r="G532" s="570"/>
      <c r="H532" s="1276"/>
      <c r="I532" s="1276"/>
      <c r="J532" s="1277"/>
      <c r="K532" s="1276"/>
      <c r="L532" s="1276"/>
      <c r="M532" s="1276"/>
      <c r="N532" s="1276"/>
      <c r="O532" s="570"/>
    </row>
    <row r="533" spans="1:16" ht="18.75">
      <c r="B533" s="625"/>
      <c r="C533" s="624" t="s">
        <v>292</v>
      </c>
      <c r="D533" s="593"/>
      <c r="E533" s="570"/>
      <c r="F533" s="570"/>
      <c r="G533" s="570"/>
      <c r="H533" s="1276"/>
      <c r="I533" s="1276"/>
      <c r="J533" s="1277"/>
      <c r="K533" s="1276"/>
      <c r="L533" s="1276"/>
      <c r="M533" s="1276"/>
      <c r="N533" s="1276"/>
      <c r="O533" s="570"/>
    </row>
    <row r="534" spans="1:16" ht="15.75" thickBot="1">
      <c r="C534" s="423"/>
      <c r="D534" s="593"/>
      <c r="E534" s="570"/>
      <c r="F534" s="570"/>
      <c r="G534" s="570"/>
      <c r="H534" s="1276"/>
      <c r="I534" s="1276"/>
      <c r="J534" s="1277"/>
      <c r="K534" s="1276"/>
      <c r="L534" s="1276"/>
      <c r="M534" s="1276"/>
      <c r="N534" s="1276"/>
      <c r="O534" s="570"/>
    </row>
    <row r="535" spans="1:16" ht="15.75">
      <c r="C535" s="626" t="s">
        <v>293</v>
      </c>
      <c r="D535" s="593"/>
      <c r="E535" s="570"/>
      <c r="F535" s="570"/>
      <c r="G535" s="1278"/>
      <c r="H535" s="570" t="s">
        <v>272</v>
      </c>
      <c r="I535" s="570"/>
      <c r="J535" s="618"/>
      <c r="K535" s="708" t="s">
        <v>297</v>
      </c>
      <c r="L535" s="709"/>
      <c r="M535" s="710"/>
      <c r="N535" s="1279">
        <f>VLOOKUP(I541,C548:O607,5)</f>
        <v>1397055.7879787525</v>
      </c>
      <c r="O535" s="570"/>
    </row>
    <row r="536" spans="1:16" ht="15.75">
      <c r="C536" s="626"/>
      <c r="D536" s="593"/>
      <c r="E536" s="570"/>
      <c r="F536" s="570"/>
      <c r="G536" s="570"/>
      <c r="H536" s="1280"/>
      <c r="I536" s="1280"/>
      <c r="J536" s="1281"/>
      <c r="K536" s="713" t="s">
        <v>298</v>
      </c>
      <c r="L536" s="1282"/>
      <c r="M536" s="618"/>
      <c r="N536" s="1283">
        <f>VLOOKUP(I541,C548:O607,6)</f>
        <v>1397055.7879787525</v>
      </c>
      <c r="O536" s="570"/>
    </row>
    <row r="537" spans="1:16" ht="13.5" thickBot="1">
      <c r="C537" s="714" t="s">
        <v>294</v>
      </c>
      <c r="D537" s="1510" t="s">
        <v>974</v>
      </c>
      <c r="E537" s="1511"/>
      <c r="F537" s="1511"/>
      <c r="G537" s="1511"/>
      <c r="H537" s="1511"/>
      <c r="I537" s="1511"/>
      <c r="J537" s="1277"/>
      <c r="K537" s="1284" t="s">
        <v>451</v>
      </c>
      <c r="L537" s="1285"/>
      <c r="M537" s="1285"/>
      <c r="N537" s="1286">
        <f>+N536-N535</f>
        <v>0</v>
      </c>
      <c r="O537" s="570"/>
    </row>
    <row r="538" spans="1:16">
      <c r="C538" s="716"/>
      <c r="D538" s="1511"/>
      <c r="E538" s="1511"/>
      <c r="F538" s="1511"/>
      <c r="G538" s="1511"/>
      <c r="H538" s="1511"/>
      <c r="I538" s="1511"/>
      <c r="J538" s="1277"/>
      <c r="K538" s="1276"/>
      <c r="L538" s="1276"/>
      <c r="M538" s="1276"/>
      <c r="N538" s="1276"/>
      <c r="O538" s="570"/>
    </row>
    <row r="539" spans="1:16" ht="13.5" thickBot="1">
      <c r="C539" s="719"/>
      <c r="D539" s="720"/>
      <c r="E539" s="718"/>
      <c r="F539" s="718"/>
      <c r="G539" s="718"/>
      <c r="H539" s="718"/>
      <c r="I539" s="718"/>
      <c r="J539" s="721"/>
      <c r="K539" s="718"/>
      <c r="L539" s="718"/>
      <c r="M539" s="718"/>
      <c r="N539" s="718"/>
      <c r="O539" s="606"/>
    </row>
    <row r="540" spans="1:16" ht="13.5" thickBot="1">
      <c r="C540" s="722" t="s">
        <v>295</v>
      </c>
      <c r="D540" s="723"/>
      <c r="E540" s="723"/>
      <c r="F540" s="723"/>
      <c r="G540" s="723"/>
      <c r="H540" s="723"/>
      <c r="I540" s="724"/>
      <c r="J540" s="725"/>
      <c r="K540" s="570"/>
      <c r="L540" s="570"/>
      <c r="M540" s="570"/>
      <c r="N540" s="570"/>
      <c r="O540" s="726"/>
    </row>
    <row r="541" spans="1:16" ht="15">
      <c r="C541" s="728" t="s">
        <v>273</v>
      </c>
      <c r="D541" s="1287">
        <v>13008915.440000001</v>
      </c>
      <c r="E541" s="685" t="s">
        <v>274</v>
      </c>
      <c r="G541" s="729"/>
      <c r="H541" s="729"/>
      <c r="I541" s="730">
        <f>I452</f>
        <v>2021</v>
      </c>
      <c r="J541" s="616"/>
      <c r="K541" s="1506" t="s">
        <v>460</v>
      </c>
      <c r="L541" s="1506"/>
      <c r="M541" s="1506"/>
      <c r="N541" s="1506"/>
      <c r="O541" s="1506"/>
    </row>
    <row r="542" spans="1:16">
      <c r="C542" s="728" t="s">
        <v>276</v>
      </c>
      <c r="D542" s="898">
        <v>2014</v>
      </c>
      <c r="E542" s="728" t="s">
        <v>277</v>
      </c>
      <c r="F542" s="729"/>
      <c r="H542" s="357"/>
      <c r="I542" s="901">
        <f>IF(G535="",0,$F$15)</f>
        <v>0</v>
      </c>
      <c r="J542" s="731"/>
      <c r="K542" s="1277" t="s">
        <v>460</v>
      </c>
    </row>
    <row r="543" spans="1:16">
      <c r="C543" s="728" t="s">
        <v>278</v>
      </c>
      <c r="D543" s="1287">
        <v>10</v>
      </c>
      <c r="E543" s="728" t="s">
        <v>279</v>
      </c>
      <c r="F543" s="729"/>
      <c r="H543" s="357"/>
      <c r="I543" s="732">
        <f>$G$70</f>
        <v>9.9118816841934854E-2</v>
      </c>
      <c r="J543" s="733"/>
      <c r="K543" s="357" t="str">
        <f>"          INPUT PROJECTED ARR (WITH &amp; WITHOUT INCENTIVES) FROM EACH PRIOR YEAR"</f>
        <v xml:space="preserve">          INPUT PROJECTED ARR (WITH &amp; WITHOUT INCENTIVES) FROM EACH PRIOR YEAR</v>
      </c>
    </row>
    <row r="544" spans="1:16">
      <c r="C544" s="728" t="s">
        <v>280</v>
      </c>
      <c r="D544" s="734">
        <f>G$79</f>
        <v>41</v>
      </c>
      <c r="E544" s="728" t="s">
        <v>281</v>
      </c>
      <c r="F544" s="729"/>
      <c r="H544" s="357"/>
      <c r="I544" s="732">
        <f>IF(G535="",I543,$G$67)</f>
        <v>9.9118816841934854E-2</v>
      </c>
      <c r="J544" s="735"/>
      <c r="K544" s="357" t="s">
        <v>358</v>
      </c>
    </row>
    <row r="545" spans="1:15" ht="13.5" thickBot="1">
      <c r="C545" s="728" t="s">
        <v>282</v>
      </c>
      <c r="D545" s="900" t="s">
        <v>967</v>
      </c>
      <c r="E545" s="736" t="s">
        <v>283</v>
      </c>
      <c r="F545" s="737"/>
      <c r="G545" s="738"/>
      <c r="H545" s="738"/>
      <c r="I545" s="1286">
        <f>IF(D541=0,0,D541/D544)</f>
        <v>317290.62048780493</v>
      </c>
      <c r="J545" s="1277"/>
      <c r="K545" s="1277" t="s">
        <v>364</v>
      </c>
      <c r="L545" s="1277"/>
      <c r="M545" s="1277"/>
      <c r="N545" s="1277"/>
      <c r="O545" s="618"/>
    </row>
    <row r="546" spans="1:15" ht="51">
      <c r="A546" s="557"/>
      <c r="B546" s="1288"/>
      <c r="C546" s="739" t="s">
        <v>273</v>
      </c>
      <c r="D546" s="1289" t="s">
        <v>284</v>
      </c>
      <c r="E546" s="1290" t="s">
        <v>285</v>
      </c>
      <c r="F546" s="1289" t="s">
        <v>286</v>
      </c>
      <c r="G546" s="1290" t="s">
        <v>357</v>
      </c>
      <c r="H546" s="1291" t="s">
        <v>357</v>
      </c>
      <c r="I546" s="739" t="s">
        <v>296</v>
      </c>
      <c r="J546" s="743"/>
      <c r="K546" s="1290" t="s">
        <v>366</v>
      </c>
      <c r="L546" s="1292"/>
      <c r="M546" s="1290" t="s">
        <v>366</v>
      </c>
      <c r="N546" s="1292"/>
      <c r="O546" s="1292"/>
    </row>
    <row r="547" spans="1:15" ht="13.5" thickBot="1">
      <c r="C547" s="745" t="s">
        <v>178</v>
      </c>
      <c r="D547" s="746" t="s">
        <v>179</v>
      </c>
      <c r="E547" s="745" t="s">
        <v>38</v>
      </c>
      <c r="F547" s="746" t="s">
        <v>179</v>
      </c>
      <c r="G547" s="1293" t="s">
        <v>299</v>
      </c>
      <c r="H547" s="1294" t="s">
        <v>301</v>
      </c>
      <c r="I547" s="749" t="s">
        <v>390</v>
      </c>
      <c r="J547" s="750"/>
      <c r="K547" s="1293" t="s">
        <v>288</v>
      </c>
      <c r="L547" s="1295"/>
      <c r="M547" s="1293" t="s">
        <v>301</v>
      </c>
      <c r="N547" s="1295"/>
      <c r="O547" s="1295"/>
    </row>
    <row r="548" spans="1:15">
      <c r="C548" s="751">
        <f>IF(D542= "","-",D542)</f>
        <v>2014</v>
      </c>
      <c r="D548" s="703">
        <f>+D541</f>
        <v>13008915.440000001</v>
      </c>
      <c r="E548" s="1309">
        <f>+I545/12*(12-D543)</f>
        <v>52881.77008130082</v>
      </c>
      <c r="F548" s="703">
        <f t="shared" ref="F548:F607" si="30">+D548-E548</f>
        <v>12956033.669918701</v>
      </c>
      <c r="G548" s="1297">
        <f>+$I$543*((D548+F548)/2)+E548</f>
        <v>1339689.2876493963</v>
      </c>
      <c r="H548" s="1298">
        <f>+$I$544*((D548+F548)/2)+E548</f>
        <v>1339689.2876493963</v>
      </c>
      <c r="I548" s="755">
        <f>+H548-G548</f>
        <v>0</v>
      </c>
      <c r="J548" s="755"/>
      <c r="K548" s="903">
        <v>0</v>
      </c>
      <c r="L548" s="757"/>
      <c r="M548" s="903">
        <v>0</v>
      </c>
      <c r="N548" s="757"/>
      <c r="O548" s="757"/>
    </row>
    <row r="549" spans="1:15">
      <c r="C549" s="751">
        <f>IF(D542="","-",+C548+1)</f>
        <v>2015</v>
      </c>
      <c r="D549" s="703">
        <f t="shared" ref="D549:D607" si="31">F548</f>
        <v>12956033.669918701</v>
      </c>
      <c r="E549" s="758">
        <f>IF(D549&gt;$I$545,$I$545,D549)</f>
        <v>317290.62048780493</v>
      </c>
      <c r="F549" s="703">
        <f t="shared" si="30"/>
        <v>12638743.049430896</v>
      </c>
      <c r="G549" s="1296">
        <f t="shared" ref="G549:G607" si="32">+$I$543*((D549+F549)/2)+E549</f>
        <v>1585752.6133655205</v>
      </c>
      <c r="H549" s="1299">
        <f t="shared" ref="H549:H607" si="33">+$I$544*((D549+F549)/2)+E549</f>
        <v>1585752.6133655205</v>
      </c>
      <c r="I549" s="755">
        <f t="shared" ref="I549:I607" si="34">+H549-G549</f>
        <v>0</v>
      </c>
      <c r="J549" s="755"/>
      <c r="K549" s="903">
        <v>248467</v>
      </c>
      <c r="L549" s="761"/>
      <c r="M549" s="903">
        <v>248467</v>
      </c>
      <c r="N549" s="761"/>
      <c r="O549" s="761"/>
    </row>
    <row r="550" spans="1:15">
      <c r="C550" s="751">
        <f>IF(D542="","-",+C549+1)</f>
        <v>2016</v>
      </c>
      <c r="D550" s="703">
        <f t="shared" si="31"/>
        <v>12638743.049430896</v>
      </c>
      <c r="E550" s="758">
        <f t="shared" ref="E550:E607" si="35">IF(D550&gt;$I$545,$I$545,D550)</f>
        <v>317290.62048780493</v>
      </c>
      <c r="F550" s="703">
        <f t="shared" si="30"/>
        <v>12321452.42894309</v>
      </c>
      <c r="G550" s="1296">
        <f t="shared" si="32"/>
        <v>1554303.1424677258</v>
      </c>
      <c r="H550" s="1299">
        <f t="shared" si="33"/>
        <v>1554303.1424677258</v>
      </c>
      <c r="I550" s="755">
        <f t="shared" si="34"/>
        <v>0</v>
      </c>
      <c r="J550" s="755"/>
      <c r="K550" s="903">
        <v>562247</v>
      </c>
      <c r="L550" s="761"/>
      <c r="M550" s="903">
        <v>562247</v>
      </c>
      <c r="N550" s="761"/>
      <c r="O550" s="761"/>
    </row>
    <row r="551" spans="1:15">
      <c r="C551" s="751">
        <f>IF(D542="","-",+C550+1)</f>
        <v>2017</v>
      </c>
      <c r="D551" s="703">
        <f t="shared" si="31"/>
        <v>12321452.42894309</v>
      </c>
      <c r="E551" s="758">
        <f t="shared" si="35"/>
        <v>317290.62048780493</v>
      </c>
      <c r="F551" s="703">
        <f t="shared" si="30"/>
        <v>12004161.808455285</v>
      </c>
      <c r="G551" s="1296">
        <f t="shared" si="32"/>
        <v>1522853.6715699311</v>
      </c>
      <c r="H551" s="1299">
        <f t="shared" si="33"/>
        <v>1522853.6715699311</v>
      </c>
      <c r="I551" s="755">
        <f t="shared" si="34"/>
        <v>0</v>
      </c>
      <c r="J551" s="755"/>
      <c r="K551" s="903">
        <v>1427903</v>
      </c>
      <c r="L551" s="761"/>
      <c r="M551" s="903">
        <v>1427903</v>
      </c>
      <c r="N551" s="761"/>
      <c r="O551" s="761"/>
    </row>
    <row r="552" spans="1:15">
      <c r="C552" s="1313">
        <f>IF(D542="","-",+C551+1)</f>
        <v>2018</v>
      </c>
      <c r="D552" s="1301">
        <f t="shared" si="31"/>
        <v>12004161.808455285</v>
      </c>
      <c r="E552" s="1302">
        <f t="shared" si="35"/>
        <v>317290.62048780493</v>
      </c>
      <c r="F552" s="1301">
        <f t="shared" si="30"/>
        <v>11686871.187967479</v>
      </c>
      <c r="G552" s="1303">
        <f t="shared" si="32"/>
        <v>1491404.2006721364</v>
      </c>
      <c r="H552" s="1304">
        <f t="shared" si="33"/>
        <v>1491404.2006721364</v>
      </c>
      <c r="I552" s="1305">
        <f t="shared" si="34"/>
        <v>0</v>
      </c>
      <c r="J552" s="755"/>
      <c r="K552" s="903">
        <v>1271398</v>
      </c>
      <c r="L552" s="761"/>
      <c r="M552" s="903">
        <v>1271398</v>
      </c>
      <c r="N552" s="761"/>
      <c r="O552" s="761"/>
    </row>
    <row r="553" spans="1:15">
      <c r="C553" s="751">
        <f>IF(D542="","-",+C552+1)</f>
        <v>2019</v>
      </c>
      <c r="D553" s="703">
        <f t="shared" si="31"/>
        <v>11686871.187967479</v>
      </c>
      <c r="E553" s="758">
        <f t="shared" si="35"/>
        <v>317290.62048780493</v>
      </c>
      <c r="F553" s="703">
        <f t="shared" si="30"/>
        <v>11369580.567479674</v>
      </c>
      <c r="G553" s="1296">
        <f t="shared" si="32"/>
        <v>1459954.7297743419</v>
      </c>
      <c r="H553" s="1299">
        <f t="shared" si="33"/>
        <v>1459954.7297743419</v>
      </c>
      <c r="I553" s="755">
        <f t="shared" si="34"/>
        <v>0</v>
      </c>
      <c r="J553" s="755"/>
      <c r="K553" s="903">
        <v>1164195.9622976338</v>
      </c>
      <c r="L553" s="761"/>
      <c r="M553" s="903">
        <v>1164195.9622976338</v>
      </c>
      <c r="N553" s="761"/>
      <c r="O553" s="761"/>
    </row>
    <row r="554" spans="1:15">
      <c r="C554" s="751">
        <f>IF(D542="","-",+C553+1)</f>
        <v>2020</v>
      </c>
      <c r="D554" s="703">
        <f t="shared" si="31"/>
        <v>11369580.567479674</v>
      </c>
      <c r="E554" s="758">
        <f t="shared" si="35"/>
        <v>317290.62048780493</v>
      </c>
      <c r="F554" s="703">
        <f t="shared" si="30"/>
        <v>11052289.946991868</v>
      </c>
      <c r="G554" s="1296">
        <f t="shared" si="32"/>
        <v>1428505.2588765472</v>
      </c>
      <c r="H554" s="1299">
        <f t="shared" si="33"/>
        <v>1428505.2588765472</v>
      </c>
      <c r="I554" s="755">
        <f t="shared" si="34"/>
        <v>0</v>
      </c>
      <c r="J554" s="755"/>
      <c r="K554" s="903">
        <v>1113450.666948139</v>
      </c>
      <c r="L554" s="761"/>
      <c r="M554" s="903">
        <v>1113450.666948139</v>
      </c>
      <c r="N554" s="761"/>
      <c r="O554" s="761"/>
    </row>
    <row r="555" spans="1:15">
      <c r="C555" s="751">
        <f>IF(D542="","-",+C554+1)</f>
        <v>2021</v>
      </c>
      <c r="D555" s="703">
        <f t="shared" si="31"/>
        <v>11052289.946991868</v>
      </c>
      <c r="E555" s="758">
        <f t="shared" si="35"/>
        <v>317290.62048780493</v>
      </c>
      <c r="F555" s="703">
        <f t="shared" si="30"/>
        <v>10734999.326504063</v>
      </c>
      <c r="G555" s="1296">
        <f t="shared" si="32"/>
        <v>1397055.7879787525</v>
      </c>
      <c r="H555" s="1299">
        <f t="shared" si="33"/>
        <v>1397055.7879787525</v>
      </c>
      <c r="I555" s="755">
        <f t="shared" si="34"/>
        <v>0</v>
      </c>
      <c r="J555" s="755"/>
      <c r="K555" s="903"/>
      <c r="L555" s="761"/>
      <c r="M555" s="903"/>
      <c r="N555" s="761"/>
      <c r="O555" s="761"/>
    </row>
    <row r="556" spans="1:15">
      <c r="C556" s="751">
        <f>IF(D542="","-",+C555+1)</f>
        <v>2022</v>
      </c>
      <c r="D556" s="703">
        <f t="shared" si="31"/>
        <v>10734999.326504063</v>
      </c>
      <c r="E556" s="758">
        <f t="shared" si="35"/>
        <v>317290.62048780493</v>
      </c>
      <c r="F556" s="703">
        <f t="shared" si="30"/>
        <v>10417708.706016257</v>
      </c>
      <c r="G556" s="1296">
        <f t="shared" si="32"/>
        <v>1365606.3170809578</v>
      </c>
      <c r="H556" s="1299">
        <f t="shared" si="33"/>
        <v>1365606.3170809578</v>
      </c>
      <c r="I556" s="755">
        <f t="shared" si="34"/>
        <v>0</v>
      </c>
      <c r="J556" s="755"/>
      <c r="K556" s="903"/>
      <c r="L556" s="761"/>
      <c r="M556" s="903"/>
      <c r="N556" s="761"/>
      <c r="O556" s="761"/>
    </row>
    <row r="557" spans="1:15">
      <c r="C557" s="751">
        <f>IF(D542="","-",+C556+1)</f>
        <v>2023</v>
      </c>
      <c r="D557" s="703">
        <f t="shared" si="31"/>
        <v>10417708.706016257</v>
      </c>
      <c r="E557" s="758">
        <f t="shared" si="35"/>
        <v>317290.62048780493</v>
      </c>
      <c r="F557" s="703">
        <f t="shared" si="30"/>
        <v>10100418.085528452</v>
      </c>
      <c r="G557" s="1296">
        <f t="shared" si="32"/>
        <v>1334156.8461831631</v>
      </c>
      <c r="H557" s="1299">
        <f t="shared" si="33"/>
        <v>1334156.8461831631</v>
      </c>
      <c r="I557" s="755">
        <f t="shared" si="34"/>
        <v>0</v>
      </c>
      <c r="J557" s="755"/>
      <c r="K557" s="903"/>
      <c r="L557" s="761"/>
      <c r="M557" s="903"/>
      <c r="N557" s="761"/>
      <c r="O557" s="761"/>
    </row>
    <row r="558" spans="1:15">
      <c r="C558" s="751">
        <f>IF(D542="","-",+C557+1)</f>
        <v>2024</v>
      </c>
      <c r="D558" s="703">
        <f t="shared" si="31"/>
        <v>10100418.085528452</v>
      </c>
      <c r="E558" s="758">
        <f t="shared" si="35"/>
        <v>317290.62048780493</v>
      </c>
      <c r="F558" s="703">
        <f t="shared" si="30"/>
        <v>9783127.4650406465</v>
      </c>
      <c r="G558" s="1296">
        <f t="shared" si="32"/>
        <v>1302707.3752853684</v>
      </c>
      <c r="H558" s="1299">
        <f t="shared" si="33"/>
        <v>1302707.3752853684</v>
      </c>
      <c r="I558" s="755">
        <f t="shared" si="34"/>
        <v>0</v>
      </c>
      <c r="J558" s="755"/>
      <c r="K558" s="903"/>
      <c r="L558" s="761"/>
      <c r="M558" s="903"/>
      <c r="N558" s="761"/>
      <c r="O558" s="761"/>
    </row>
    <row r="559" spans="1:15">
      <c r="C559" s="751">
        <f>IF(D542="","-",+C558+1)</f>
        <v>2025</v>
      </c>
      <c r="D559" s="703">
        <f t="shared" si="31"/>
        <v>9783127.4650406465</v>
      </c>
      <c r="E559" s="758">
        <f t="shared" si="35"/>
        <v>317290.62048780493</v>
      </c>
      <c r="F559" s="703">
        <f t="shared" si="30"/>
        <v>9465836.844552841</v>
      </c>
      <c r="G559" s="1296">
        <f t="shared" si="32"/>
        <v>1271257.9043875739</v>
      </c>
      <c r="H559" s="1299">
        <f t="shared" si="33"/>
        <v>1271257.9043875739</v>
      </c>
      <c r="I559" s="755">
        <f t="shared" si="34"/>
        <v>0</v>
      </c>
      <c r="J559" s="755"/>
      <c r="K559" s="903"/>
      <c r="L559" s="761"/>
      <c r="M559" s="903"/>
      <c r="N559" s="761"/>
      <c r="O559" s="761"/>
    </row>
    <row r="560" spans="1:15">
      <c r="C560" s="751">
        <f>IF(D542="","-",+C559+1)</f>
        <v>2026</v>
      </c>
      <c r="D560" s="703">
        <f t="shared" si="31"/>
        <v>9465836.844552841</v>
      </c>
      <c r="E560" s="758">
        <f t="shared" si="35"/>
        <v>317290.62048780493</v>
      </c>
      <c r="F560" s="703">
        <f t="shared" si="30"/>
        <v>9148546.2240650356</v>
      </c>
      <c r="G560" s="1296">
        <f t="shared" si="32"/>
        <v>1239808.4334897792</v>
      </c>
      <c r="H560" s="1299">
        <f t="shared" si="33"/>
        <v>1239808.4334897792</v>
      </c>
      <c r="I560" s="755">
        <f t="shared" si="34"/>
        <v>0</v>
      </c>
      <c r="J560" s="755"/>
      <c r="K560" s="903"/>
      <c r="L560" s="761"/>
      <c r="M560" s="903"/>
      <c r="N560" s="761"/>
      <c r="O560" s="761"/>
    </row>
    <row r="561" spans="3:15">
      <c r="C561" s="751">
        <f>IF(D542="","-",+C560+1)</f>
        <v>2027</v>
      </c>
      <c r="D561" s="703">
        <f t="shared" si="31"/>
        <v>9148546.2240650356</v>
      </c>
      <c r="E561" s="758">
        <f t="shared" si="35"/>
        <v>317290.62048780493</v>
      </c>
      <c r="F561" s="703">
        <f t="shared" si="30"/>
        <v>8831255.6035772301</v>
      </c>
      <c r="G561" s="1296">
        <f t="shared" si="32"/>
        <v>1208358.9625919845</v>
      </c>
      <c r="H561" s="1299">
        <f t="shared" si="33"/>
        <v>1208358.9625919845</v>
      </c>
      <c r="I561" s="755">
        <f t="shared" si="34"/>
        <v>0</v>
      </c>
      <c r="J561" s="755"/>
      <c r="K561" s="903"/>
      <c r="L561" s="761"/>
      <c r="M561" s="903"/>
      <c r="N561" s="761"/>
      <c r="O561" s="761"/>
    </row>
    <row r="562" spans="3:15">
      <c r="C562" s="751">
        <f>IF(D542="","-",+C561+1)</f>
        <v>2028</v>
      </c>
      <c r="D562" s="703">
        <f t="shared" si="31"/>
        <v>8831255.6035772301</v>
      </c>
      <c r="E562" s="758">
        <f t="shared" si="35"/>
        <v>317290.62048780493</v>
      </c>
      <c r="F562" s="703">
        <f t="shared" si="30"/>
        <v>8513964.9830894247</v>
      </c>
      <c r="G562" s="1296">
        <f t="shared" si="32"/>
        <v>1176909.4916941898</v>
      </c>
      <c r="H562" s="1299">
        <f t="shared" si="33"/>
        <v>1176909.4916941898</v>
      </c>
      <c r="I562" s="755">
        <f t="shared" si="34"/>
        <v>0</v>
      </c>
      <c r="J562" s="755"/>
      <c r="K562" s="903"/>
      <c r="L562" s="761"/>
      <c r="M562" s="903"/>
      <c r="N562" s="761"/>
      <c r="O562" s="761"/>
    </row>
    <row r="563" spans="3:15">
      <c r="C563" s="751">
        <f>IF(D542="","-",+C562+1)</f>
        <v>2029</v>
      </c>
      <c r="D563" s="703">
        <f t="shared" si="31"/>
        <v>8513964.9830894247</v>
      </c>
      <c r="E563" s="758">
        <f t="shared" si="35"/>
        <v>317290.62048780493</v>
      </c>
      <c r="F563" s="703">
        <f t="shared" si="30"/>
        <v>8196674.3626016201</v>
      </c>
      <c r="G563" s="1296">
        <f t="shared" si="32"/>
        <v>1145460.0207963954</v>
      </c>
      <c r="H563" s="1299">
        <f t="shared" si="33"/>
        <v>1145460.0207963954</v>
      </c>
      <c r="I563" s="755">
        <f t="shared" si="34"/>
        <v>0</v>
      </c>
      <c r="J563" s="755"/>
      <c r="K563" s="903"/>
      <c r="L563" s="761"/>
      <c r="M563" s="903"/>
      <c r="N563" s="761"/>
      <c r="O563" s="761"/>
    </row>
    <row r="564" spans="3:15">
      <c r="C564" s="751">
        <f>IF(D542="","-",+C563+1)</f>
        <v>2030</v>
      </c>
      <c r="D564" s="703">
        <f t="shared" si="31"/>
        <v>8196674.3626016201</v>
      </c>
      <c r="E564" s="758">
        <f t="shared" si="35"/>
        <v>317290.62048780493</v>
      </c>
      <c r="F564" s="703">
        <f t="shared" si="30"/>
        <v>7879383.7421138156</v>
      </c>
      <c r="G564" s="1296">
        <f t="shared" si="32"/>
        <v>1114010.5498986009</v>
      </c>
      <c r="H564" s="1299">
        <f t="shared" si="33"/>
        <v>1114010.5498986009</v>
      </c>
      <c r="I564" s="755">
        <f t="shared" si="34"/>
        <v>0</v>
      </c>
      <c r="J564" s="755"/>
      <c r="K564" s="903"/>
      <c r="L564" s="761"/>
      <c r="M564" s="903"/>
      <c r="N564" s="761"/>
      <c r="O564" s="761"/>
    </row>
    <row r="565" spans="3:15">
      <c r="C565" s="751">
        <f>IF(D542="","-",+C564+1)</f>
        <v>2031</v>
      </c>
      <c r="D565" s="703">
        <f t="shared" si="31"/>
        <v>7879383.7421138156</v>
      </c>
      <c r="E565" s="758">
        <f t="shared" si="35"/>
        <v>317290.62048780493</v>
      </c>
      <c r="F565" s="703">
        <f t="shared" si="30"/>
        <v>7562093.1216260111</v>
      </c>
      <c r="G565" s="1296">
        <f t="shared" si="32"/>
        <v>1082561.0790008062</v>
      </c>
      <c r="H565" s="1299">
        <f t="shared" si="33"/>
        <v>1082561.0790008062</v>
      </c>
      <c r="I565" s="755">
        <f t="shared" si="34"/>
        <v>0</v>
      </c>
      <c r="J565" s="755"/>
      <c r="K565" s="903"/>
      <c r="L565" s="761"/>
      <c r="M565" s="903"/>
      <c r="N565" s="761"/>
      <c r="O565" s="761"/>
    </row>
    <row r="566" spans="3:15">
      <c r="C566" s="751">
        <f>IF(D542="","-",+C565+1)</f>
        <v>2032</v>
      </c>
      <c r="D566" s="703">
        <f t="shared" si="31"/>
        <v>7562093.1216260111</v>
      </c>
      <c r="E566" s="758">
        <f t="shared" si="35"/>
        <v>317290.62048780493</v>
      </c>
      <c r="F566" s="703">
        <f t="shared" si="30"/>
        <v>7244802.5011382066</v>
      </c>
      <c r="G566" s="1296">
        <f t="shared" si="32"/>
        <v>1051111.6081030117</v>
      </c>
      <c r="H566" s="1299">
        <f t="shared" si="33"/>
        <v>1051111.6081030117</v>
      </c>
      <c r="I566" s="755">
        <f t="shared" si="34"/>
        <v>0</v>
      </c>
      <c r="J566" s="755"/>
      <c r="K566" s="903"/>
      <c r="L566" s="761"/>
      <c r="M566" s="903"/>
      <c r="N566" s="761"/>
      <c r="O566" s="761"/>
    </row>
    <row r="567" spans="3:15">
      <c r="C567" s="751">
        <f>IF(D542="","-",+C566+1)</f>
        <v>2033</v>
      </c>
      <c r="D567" s="703">
        <f t="shared" si="31"/>
        <v>7244802.5011382066</v>
      </c>
      <c r="E567" s="758">
        <f t="shared" si="35"/>
        <v>317290.62048780493</v>
      </c>
      <c r="F567" s="703">
        <f t="shared" si="30"/>
        <v>6927511.880650402</v>
      </c>
      <c r="G567" s="1296">
        <f t="shared" si="32"/>
        <v>1019662.137205217</v>
      </c>
      <c r="H567" s="1299">
        <f t="shared" si="33"/>
        <v>1019662.137205217</v>
      </c>
      <c r="I567" s="755">
        <f t="shared" si="34"/>
        <v>0</v>
      </c>
      <c r="J567" s="755"/>
      <c r="K567" s="903"/>
      <c r="L567" s="761"/>
      <c r="M567" s="903"/>
      <c r="N567" s="761"/>
      <c r="O567" s="761"/>
    </row>
    <row r="568" spans="3:15">
      <c r="C568" s="751">
        <f>IF(D542="","-",+C567+1)</f>
        <v>2034</v>
      </c>
      <c r="D568" s="703">
        <f t="shared" si="31"/>
        <v>6927511.880650402</v>
      </c>
      <c r="E568" s="758">
        <f t="shared" si="35"/>
        <v>317290.62048780493</v>
      </c>
      <c r="F568" s="703">
        <f t="shared" si="30"/>
        <v>6610221.2601625975</v>
      </c>
      <c r="G568" s="1296">
        <f t="shared" si="32"/>
        <v>988212.66630742257</v>
      </c>
      <c r="H568" s="1299">
        <f t="shared" si="33"/>
        <v>988212.66630742257</v>
      </c>
      <c r="I568" s="755">
        <f t="shared" si="34"/>
        <v>0</v>
      </c>
      <c r="J568" s="755"/>
      <c r="K568" s="903"/>
      <c r="L568" s="761"/>
      <c r="M568" s="903"/>
      <c r="N568" s="761"/>
      <c r="O568" s="761"/>
    </row>
    <row r="569" spans="3:15">
      <c r="C569" s="751">
        <f>IF(D542="","-",+C568+1)</f>
        <v>2035</v>
      </c>
      <c r="D569" s="703">
        <f t="shared" si="31"/>
        <v>6610221.2601625975</v>
      </c>
      <c r="E569" s="758">
        <f t="shared" si="35"/>
        <v>317290.62048780493</v>
      </c>
      <c r="F569" s="703">
        <f t="shared" si="30"/>
        <v>6292930.639674793</v>
      </c>
      <c r="G569" s="1296">
        <f t="shared" si="32"/>
        <v>956763.19540962786</v>
      </c>
      <c r="H569" s="1299">
        <f t="shared" si="33"/>
        <v>956763.19540962786</v>
      </c>
      <c r="I569" s="755">
        <f t="shared" si="34"/>
        <v>0</v>
      </c>
      <c r="J569" s="755"/>
      <c r="K569" s="903"/>
      <c r="L569" s="761"/>
      <c r="M569" s="903"/>
      <c r="N569" s="761"/>
      <c r="O569" s="761"/>
    </row>
    <row r="570" spans="3:15">
      <c r="C570" s="751">
        <f>IF(D542="","-",+C569+1)</f>
        <v>2036</v>
      </c>
      <c r="D570" s="703">
        <f t="shared" si="31"/>
        <v>6292930.639674793</v>
      </c>
      <c r="E570" s="758">
        <f t="shared" si="35"/>
        <v>317290.62048780493</v>
      </c>
      <c r="F570" s="703">
        <f t="shared" si="30"/>
        <v>5975640.0191869885</v>
      </c>
      <c r="G570" s="1296">
        <f t="shared" si="32"/>
        <v>925313.7245118334</v>
      </c>
      <c r="H570" s="1299">
        <f t="shared" si="33"/>
        <v>925313.7245118334</v>
      </c>
      <c r="I570" s="755">
        <f t="shared" si="34"/>
        <v>0</v>
      </c>
      <c r="J570" s="755"/>
      <c r="K570" s="903"/>
      <c r="L570" s="761"/>
      <c r="M570" s="903"/>
      <c r="N570" s="761"/>
      <c r="O570" s="761"/>
    </row>
    <row r="571" spans="3:15">
      <c r="C571" s="751">
        <f>IF(D542="","-",+C570+1)</f>
        <v>2037</v>
      </c>
      <c r="D571" s="703">
        <f t="shared" si="31"/>
        <v>5975640.0191869885</v>
      </c>
      <c r="E571" s="758">
        <f t="shared" si="35"/>
        <v>317290.62048780493</v>
      </c>
      <c r="F571" s="703">
        <f t="shared" si="30"/>
        <v>5658349.3986991839</v>
      </c>
      <c r="G571" s="1296">
        <f t="shared" si="32"/>
        <v>893864.25361403869</v>
      </c>
      <c r="H571" s="1299">
        <f t="shared" si="33"/>
        <v>893864.25361403869</v>
      </c>
      <c r="I571" s="755">
        <f t="shared" si="34"/>
        <v>0</v>
      </c>
      <c r="J571" s="755"/>
      <c r="K571" s="903"/>
      <c r="L571" s="761"/>
      <c r="M571" s="903"/>
      <c r="N571" s="761"/>
      <c r="O571" s="761"/>
    </row>
    <row r="572" spans="3:15">
      <c r="C572" s="751">
        <f>IF(D542="","-",+C571+1)</f>
        <v>2038</v>
      </c>
      <c r="D572" s="703">
        <f t="shared" si="31"/>
        <v>5658349.3986991839</v>
      </c>
      <c r="E572" s="758">
        <f t="shared" si="35"/>
        <v>317290.62048780493</v>
      </c>
      <c r="F572" s="703">
        <f t="shared" si="30"/>
        <v>5341058.7782113794</v>
      </c>
      <c r="G572" s="1296">
        <f t="shared" si="32"/>
        <v>862414.78271624423</v>
      </c>
      <c r="H572" s="1299">
        <f t="shared" si="33"/>
        <v>862414.78271624423</v>
      </c>
      <c r="I572" s="755">
        <f t="shared" si="34"/>
        <v>0</v>
      </c>
      <c r="J572" s="755"/>
      <c r="K572" s="903"/>
      <c r="L572" s="761"/>
      <c r="M572" s="903"/>
      <c r="N572" s="761"/>
      <c r="O572" s="761"/>
    </row>
    <row r="573" spans="3:15">
      <c r="C573" s="751">
        <f>IF(D542="","-",+C572+1)</f>
        <v>2039</v>
      </c>
      <c r="D573" s="703">
        <f t="shared" si="31"/>
        <v>5341058.7782113794</v>
      </c>
      <c r="E573" s="758">
        <f t="shared" si="35"/>
        <v>317290.62048780493</v>
      </c>
      <c r="F573" s="703">
        <f t="shared" si="30"/>
        <v>5023768.1577235749</v>
      </c>
      <c r="G573" s="1296">
        <f t="shared" si="32"/>
        <v>830965.31181844976</v>
      </c>
      <c r="H573" s="1299">
        <f t="shared" si="33"/>
        <v>830965.31181844976</v>
      </c>
      <c r="I573" s="755">
        <f t="shared" si="34"/>
        <v>0</v>
      </c>
      <c r="J573" s="755"/>
      <c r="K573" s="903"/>
      <c r="L573" s="761"/>
      <c r="M573" s="903"/>
      <c r="N573" s="761"/>
      <c r="O573" s="761"/>
    </row>
    <row r="574" spans="3:15">
      <c r="C574" s="751">
        <f>IF(D542="","-",+C573+1)</f>
        <v>2040</v>
      </c>
      <c r="D574" s="703">
        <f t="shared" si="31"/>
        <v>5023768.1577235749</v>
      </c>
      <c r="E574" s="758">
        <f t="shared" si="35"/>
        <v>317290.62048780493</v>
      </c>
      <c r="F574" s="703">
        <f t="shared" si="30"/>
        <v>4706477.5372357704</v>
      </c>
      <c r="G574" s="1296">
        <f t="shared" si="32"/>
        <v>799515.84092065529</v>
      </c>
      <c r="H574" s="1299">
        <f t="shared" si="33"/>
        <v>799515.84092065529</v>
      </c>
      <c r="I574" s="755">
        <f t="shared" si="34"/>
        <v>0</v>
      </c>
      <c r="J574" s="755"/>
      <c r="K574" s="903"/>
      <c r="L574" s="761"/>
      <c r="M574" s="903"/>
      <c r="N574" s="761"/>
      <c r="O574" s="761"/>
    </row>
    <row r="575" spans="3:15">
      <c r="C575" s="751">
        <f>IF(D542="","-",+C574+1)</f>
        <v>2041</v>
      </c>
      <c r="D575" s="703">
        <f t="shared" si="31"/>
        <v>4706477.5372357704</v>
      </c>
      <c r="E575" s="758">
        <f t="shared" si="35"/>
        <v>317290.62048780493</v>
      </c>
      <c r="F575" s="703">
        <f t="shared" si="30"/>
        <v>4389186.9167479658</v>
      </c>
      <c r="G575" s="1296">
        <f t="shared" si="32"/>
        <v>768066.37002286059</v>
      </c>
      <c r="H575" s="1299">
        <f t="shared" si="33"/>
        <v>768066.37002286059</v>
      </c>
      <c r="I575" s="755">
        <f t="shared" si="34"/>
        <v>0</v>
      </c>
      <c r="J575" s="755"/>
      <c r="K575" s="903"/>
      <c r="L575" s="761"/>
      <c r="M575" s="903"/>
      <c r="N575" s="761"/>
      <c r="O575" s="761"/>
    </row>
    <row r="576" spans="3:15">
      <c r="C576" s="751">
        <f>IF(D542="","-",+C575+1)</f>
        <v>2042</v>
      </c>
      <c r="D576" s="703">
        <f t="shared" si="31"/>
        <v>4389186.9167479658</v>
      </c>
      <c r="E576" s="758">
        <f t="shared" si="35"/>
        <v>317290.62048780493</v>
      </c>
      <c r="F576" s="703">
        <f t="shared" si="30"/>
        <v>4071896.2962601609</v>
      </c>
      <c r="G576" s="1306">
        <f t="shared" si="32"/>
        <v>736616.899125066</v>
      </c>
      <c r="H576" s="1299">
        <f t="shared" si="33"/>
        <v>736616.899125066</v>
      </c>
      <c r="I576" s="755">
        <f t="shared" si="34"/>
        <v>0</v>
      </c>
      <c r="J576" s="755"/>
      <c r="K576" s="903"/>
      <c r="L576" s="761"/>
      <c r="M576" s="903"/>
      <c r="N576" s="761"/>
      <c r="O576" s="761"/>
    </row>
    <row r="577" spans="3:15">
      <c r="C577" s="751">
        <f>IF(D542="","-",+C576+1)</f>
        <v>2043</v>
      </c>
      <c r="D577" s="703">
        <f t="shared" si="31"/>
        <v>4071896.2962601609</v>
      </c>
      <c r="E577" s="758">
        <f t="shared" si="35"/>
        <v>317290.62048780493</v>
      </c>
      <c r="F577" s="703">
        <f t="shared" si="30"/>
        <v>3754605.6757723559</v>
      </c>
      <c r="G577" s="1296">
        <f t="shared" si="32"/>
        <v>705167.42822727142</v>
      </c>
      <c r="H577" s="1299">
        <f t="shared" si="33"/>
        <v>705167.42822727142</v>
      </c>
      <c r="I577" s="755">
        <f t="shared" si="34"/>
        <v>0</v>
      </c>
      <c r="J577" s="755"/>
      <c r="K577" s="903"/>
      <c r="L577" s="761"/>
      <c r="M577" s="903"/>
      <c r="N577" s="761"/>
      <c r="O577" s="761"/>
    </row>
    <row r="578" spans="3:15">
      <c r="C578" s="751">
        <f>IF(D542="","-",+C577+1)</f>
        <v>2044</v>
      </c>
      <c r="D578" s="703">
        <f t="shared" si="31"/>
        <v>3754605.6757723559</v>
      </c>
      <c r="E578" s="758">
        <f t="shared" si="35"/>
        <v>317290.62048780493</v>
      </c>
      <c r="F578" s="703">
        <f t="shared" si="30"/>
        <v>3437315.0552845509</v>
      </c>
      <c r="G578" s="1296">
        <f t="shared" si="32"/>
        <v>673717.95732947672</v>
      </c>
      <c r="H578" s="1299">
        <f t="shared" si="33"/>
        <v>673717.95732947672</v>
      </c>
      <c r="I578" s="755">
        <f t="shared" si="34"/>
        <v>0</v>
      </c>
      <c r="J578" s="755"/>
      <c r="K578" s="903"/>
      <c r="L578" s="761"/>
      <c r="M578" s="903"/>
      <c r="N578" s="761"/>
      <c r="O578" s="761"/>
    </row>
    <row r="579" spans="3:15">
      <c r="C579" s="751">
        <f>IF(D542="","-",+C578+1)</f>
        <v>2045</v>
      </c>
      <c r="D579" s="703">
        <f t="shared" si="31"/>
        <v>3437315.0552845509</v>
      </c>
      <c r="E579" s="758">
        <f t="shared" si="35"/>
        <v>317290.62048780493</v>
      </c>
      <c r="F579" s="703">
        <f t="shared" si="30"/>
        <v>3120024.4347967459</v>
      </c>
      <c r="G579" s="1296">
        <f t="shared" si="32"/>
        <v>642268.48643168225</v>
      </c>
      <c r="H579" s="1299">
        <f t="shared" si="33"/>
        <v>642268.48643168225</v>
      </c>
      <c r="I579" s="755">
        <f t="shared" si="34"/>
        <v>0</v>
      </c>
      <c r="J579" s="755"/>
      <c r="K579" s="903"/>
      <c r="L579" s="761"/>
      <c r="M579" s="903"/>
      <c r="N579" s="761"/>
      <c r="O579" s="761"/>
    </row>
    <row r="580" spans="3:15">
      <c r="C580" s="751">
        <f>IF(D542="","-",+C579+1)</f>
        <v>2046</v>
      </c>
      <c r="D580" s="703">
        <f t="shared" si="31"/>
        <v>3120024.4347967459</v>
      </c>
      <c r="E580" s="758">
        <f t="shared" si="35"/>
        <v>317290.62048780493</v>
      </c>
      <c r="F580" s="703">
        <f t="shared" si="30"/>
        <v>2802733.8143089409</v>
      </c>
      <c r="G580" s="1296">
        <f t="shared" si="32"/>
        <v>610819.01553388755</v>
      </c>
      <c r="H580" s="1299">
        <f t="shared" si="33"/>
        <v>610819.01553388755</v>
      </c>
      <c r="I580" s="755">
        <f t="shared" si="34"/>
        <v>0</v>
      </c>
      <c r="J580" s="755"/>
      <c r="K580" s="903"/>
      <c r="L580" s="761"/>
      <c r="M580" s="903"/>
      <c r="N580" s="761"/>
      <c r="O580" s="761"/>
    </row>
    <row r="581" spans="3:15">
      <c r="C581" s="751">
        <f>IF(D542="","-",+C580+1)</f>
        <v>2047</v>
      </c>
      <c r="D581" s="703">
        <f t="shared" si="31"/>
        <v>2802733.8143089409</v>
      </c>
      <c r="E581" s="758">
        <f t="shared" si="35"/>
        <v>317290.62048780493</v>
      </c>
      <c r="F581" s="703">
        <f t="shared" si="30"/>
        <v>2485443.1938211359</v>
      </c>
      <c r="G581" s="1296">
        <f t="shared" si="32"/>
        <v>579369.54463609308</v>
      </c>
      <c r="H581" s="1299">
        <f t="shared" si="33"/>
        <v>579369.54463609308</v>
      </c>
      <c r="I581" s="755">
        <f t="shared" si="34"/>
        <v>0</v>
      </c>
      <c r="J581" s="755"/>
      <c r="K581" s="903"/>
      <c r="L581" s="761"/>
      <c r="M581" s="903"/>
      <c r="N581" s="761"/>
      <c r="O581" s="761"/>
    </row>
    <row r="582" spans="3:15">
      <c r="C582" s="751">
        <f>IF(D542="","-",+C581+1)</f>
        <v>2048</v>
      </c>
      <c r="D582" s="703">
        <f t="shared" si="31"/>
        <v>2485443.1938211359</v>
      </c>
      <c r="E582" s="758">
        <f t="shared" si="35"/>
        <v>317290.62048780493</v>
      </c>
      <c r="F582" s="703">
        <f t="shared" si="30"/>
        <v>2168152.5733333309</v>
      </c>
      <c r="G582" s="1296">
        <f t="shared" si="32"/>
        <v>547920.07373829838</v>
      </c>
      <c r="H582" s="1299">
        <f t="shared" si="33"/>
        <v>547920.07373829838</v>
      </c>
      <c r="I582" s="755">
        <f t="shared" si="34"/>
        <v>0</v>
      </c>
      <c r="J582" s="755"/>
      <c r="K582" s="903"/>
      <c r="L582" s="761"/>
      <c r="M582" s="903"/>
      <c r="N582" s="761"/>
      <c r="O582" s="761"/>
    </row>
    <row r="583" spans="3:15">
      <c r="C583" s="751">
        <f>IF(D542="","-",+C582+1)</f>
        <v>2049</v>
      </c>
      <c r="D583" s="703">
        <f t="shared" si="31"/>
        <v>2168152.5733333309</v>
      </c>
      <c r="E583" s="758">
        <f t="shared" si="35"/>
        <v>317290.62048780493</v>
      </c>
      <c r="F583" s="703">
        <f t="shared" si="30"/>
        <v>1850861.9528455259</v>
      </c>
      <c r="G583" s="1296">
        <f t="shared" si="32"/>
        <v>516470.60284050379</v>
      </c>
      <c r="H583" s="1299">
        <f t="shared" si="33"/>
        <v>516470.60284050379</v>
      </c>
      <c r="I583" s="755">
        <f t="shared" si="34"/>
        <v>0</v>
      </c>
      <c r="J583" s="755"/>
      <c r="K583" s="903"/>
      <c r="L583" s="761"/>
      <c r="M583" s="903"/>
      <c r="N583" s="761"/>
      <c r="O583" s="761"/>
    </row>
    <row r="584" spans="3:15">
      <c r="C584" s="751">
        <f>IF(D542="","-",+C583+1)</f>
        <v>2050</v>
      </c>
      <c r="D584" s="703">
        <f t="shared" si="31"/>
        <v>1850861.9528455259</v>
      </c>
      <c r="E584" s="758">
        <f t="shared" si="35"/>
        <v>317290.62048780493</v>
      </c>
      <c r="F584" s="703">
        <f t="shared" si="30"/>
        <v>1533571.3323577209</v>
      </c>
      <c r="G584" s="1296">
        <f t="shared" si="32"/>
        <v>485021.13194270921</v>
      </c>
      <c r="H584" s="1299">
        <f t="shared" si="33"/>
        <v>485021.13194270921</v>
      </c>
      <c r="I584" s="755">
        <f t="shared" si="34"/>
        <v>0</v>
      </c>
      <c r="J584" s="755"/>
      <c r="K584" s="903"/>
      <c r="L584" s="761"/>
      <c r="M584" s="903"/>
      <c r="N584" s="761"/>
      <c r="O584" s="761"/>
    </row>
    <row r="585" spans="3:15">
      <c r="C585" s="751">
        <f>IF(D542="","-",+C584+1)</f>
        <v>2051</v>
      </c>
      <c r="D585" s="703">
        <f t="shared" si="31"/>
        <v>1533571.3323577209</v>
      </c>
      <c r="E585" s="758">
        <f t="shared" si="35"/>
        <v>317290.62048780493</v>
      </c>
      <c r="F585" s="703">
        <f t="shared" si="30"/>
        <v>1216280.7118699159</v>
      </c>
      <c r="G585" s="1296">
        <f t="shared" si="32"/>
        <v>453571.66104491457</v>
      </c>
      <c r="H585" s="1299">
        <f t="shared" si="33"/>
        <v>453571.66104491457</v>
      </c>
      <c r="I585" s="755">
        <f t="shared" si="34"/>
        <v>0</v>
      </c>
      <c r="J585" s="755"/>
      <c r="K585" s="903"/>
      <c r="L585" s="761"/>
      <c r="M585" s="903"/>
      <c r="N585" s="761"/>
      <c r="O585" s="761"/>
    </row>
    <row r="586" spans="3:15">
      <c r="C586" s="751">
        <f>IF(D542="","-",+C585+1)</f>
        <v>2052</v>
      </c>
      <c r="D586" s="703">
        <f t="shared" si="31"/>
        <v>1216280.7118699159</v>
      </c>
      <c r="E586" s="758">
        <f t="shared" si="35"/>
        <v>317290.62048780493</v>
      </c>
      <c r="F586" s="703">
        <f t="shared" si="30"/>
        <v>898990.09138211096</v>
      </c>
      <c r="G586" s="1296">
        <f t="shared" si="32"/>
        <v>422122.19014711998</v>
      </c>
      <c r="H586" s="1299">
        <f t="shared" si="33"/>
        <v>422122.19014711998</v>
      </c>
      <c r="I586" s="755">
        <f t="shared" si="34"/>
        <v>0</v>
      </c>
      <c r="J586" s="755"/>
      <c r="K586" s="903"/>
      <c r="L586" s="761"/>
      <c r="M586" s="903"/>
      <c r="N586" s="761"/>
      <c r="O586" s="761"/>
    </row>
    <row r="587" spans="3:15">
      <c r="C587" s="751">
        <f>IF(D542="","-",+C586+1)</f>
        <v>2053</v>
      </c>
      <c r="D587" s="703">
        <f t="shared" si="31"/>
        <v>898990.09138211096</v>
      </c>
      <c r="E587" s="758">
        <f t="shared" si="35"/>
        <v>317290.62048780493</v>
      </c>
      <c r="F587" s="703">
        <f t="shared" si="30"/>
        <v>581699.47089430597</v>
      </c>
      <c r="G587" s="1296">
        <f t="shared" si="32"/>
        <v>390672.71924932534</v>
      </c>
      <c r="H587" s="1299">
        <f t="shared" si="33"/>
        <v>390672.71924932534</v>
      </c>
      <c r="I587" s="755">
        <f t="shared" si="34"/>
        <v>0</v>
      </c>
      <c r="J587" s="755"/>
      <c r="K587" s="903"/>
      <c r="L587" s="761"/>
      <c r="M587" s="903"/>
      <c r="N587" s="761"/>
      <c r="O587" s="761"/>
    </row>
    <row r="588" spans="3:15">
      <c r="C588" s="751">
        <f>IF(D542="","-",+C587+1)</f>
        <v>2054</v>
      </c>
      <c r="D588" s="703">
        <f t="shared" si="31"/>
        <v>581699.47089430597</v>
      </c>
      <c r="E588" s="758">
        <f t="shared" si="35"/>
        <v>317290.62048780493</v>
      </c>
      <c r="F588" s="703">
        <f t="shared" si="30"/>
        <v>264408.85040650103</v>
      </c>
      <c r="G588" s="1296">
        <f t="shared" si="32"/>
        <v>359223.24835153075</v>
      </c>
      <c r="H588" s="1299">
        <f t="shared" si="33"/>
        <v>359223.24835153075</v>
      </c>
      <c r="I588" s="755">
        <f t="shared" si="34"/>
        <v>0</v>
      </c>
      <c r="J588" s="755"/>
      <c r="K588" s="903"/>
      <c r="L588" s="761"/>
      <c r="M588" s="903"/>
      <c r="N588" s="761"/>
      <c r="O588" s="761"/>
    </row>
    <row r="589" spans="3:15">
      <c r="C589" s="751">
        <f>IF(D542="","-",+C588+1)</f>
        <v>2055</v>
      </c>
      <c r="D589" s="703">
        <f t="shared" si="31"/>
        <v>264408.85040650103</v>
      </c>
      <c r="E589" s="758">
        <f t="shared" si="35"/>
        <v>264408.85040650103</v>
      </c>
      <c r="F589" s="703">
        <f t="shared" si="30"/>
        <v>0</v>
      </c>
      <c r="G589" s="1296">
        <f t="shared" si="32"/>
        <v>277512.7966139153</v>
      </c>
      <c r="H589" s="1299">
        <f t="shared" si="33"/>
        <v>277512.7966139153</v>
      </c>
      <c r="I589" s="755">
        <f t="shared" si="34"/>
        <v>0</v>
      </c>
      <c r="J589" s="755"/>
      <c r="K589" s="903"/>
      <c r="L589" s="761"/>
      <c r="M589" s="903"/>
      <c r="N589" s="761"/>
      <c r="O589" s="761"/>
    </row>
    <row r="590" spans="3:15">
      <c r="C590" s="751">
        <f>IF(D542="","-",+C589+1)</f>
        <v>2056</v>
      </c>
      <c r="D590" s="703">
        <f t="shared" si="31"/>
        <v>0</v>
      </c>
      <c r="E590" s="758">
        <f t="shared" si="35"/>
        <v>0</v>
      </c>
      <c r="F590" s="703">
        <f t="shared" si="30"/>
        <v>0</v>
      </c>
      <c r="G590" s="1296">
        <f t="shared" si="32"/>
        <v>0</v>
      </c>
      <c r="H590" s="1299">
        <f t="shared" si="33"/>
        <v>0</v>
      </c>
      <c r="I590" s="755">
        <f t="shared" si="34"/>
        <v>0</v>
      </c>
      <c r="J590" s="755"/>
      <c r="K590" s="903"/>
      <c r="L590" s="761"/>
      <c r="M590" s="903"/>
      <c r="N590" s="761"/>
      <c r="O590" s="761"/>
    </row>
    <row r="591" spans="3:15">
      <c r="C591" s="751">
        <f>IF(D542="","-",+C590+1)</f>
        <v>2057</v>
      </c>
      <c r="D591" s="703">
        <f t="shared" si="31"/>
        <v>0</v>
      </c>
      <c r="E591" s="758">
        <f t="shared" si="35"/>
        <v>0</v>
      </c>
      <c r="F591" s="703">
        <f t="shared" si="30"/>
        <v>0</v>
      </c>
      <c r="G591" s="1296">
        <f t="shared" si="32"/>
        <v>0</v>
      </c>
      <c r="H591" s="1299">
        <f t="shared" si="33"/>
        <v>0</v>
      </c>
      <c r="I591" s="755">
        <f t="shared" si="34"/>
        <v>0</v>
      </c>
      <c r="J591" s="755"/>
      <c r="K591" s="903"/>
      <c r="L591" s="761"/>
      <c r="M591" s="903"/>
      <c r="N591" s="761"/>
      <c r="O591" s="761"/>
    </row>
    <row r="592" spans="3:15">
      <c r="C592" s="751">
        <f>IF(D542="","-",+C591+1)</f>
        <v>2058</v>
      </c>
      <c r="D592" s="703">
        <f t="shared" si="31"/>
        <v>0</v>
      </c>
      <c r="E592" s="758">
        <f t="shared" si="35"/>
        <v>0</v>
      </c>
      <c r="F592" s="703">
        <f t="shared" si="30"/>
        <v>0</v>
      </c>
      <c r="G592" s="1296">
        <f t="shared" si="32"/>
        <v>0</v>
      </c>
      <c r="H592" s="1299">
        <f t="shared" si="33"/>
        <v>0</v>
      </c>
      <c r="I592" s="755">
        <f t="shared" si="34"/>
        <v>0</v>
      </c>
      <c r="J592" s="755"/>
      <c r="K592" s="903"/>
      <c r="L592" s="761"/>
      <c r="M592" s="903"/>
      <c r="N592" s="761"/>
      <c r="O592" s="761"/>
    </row>
    <row r="593" spans="3:15">
      <c r="C593" s="751">
        <f>IF(D542="","-",+C592+1)</f>
        <v>2059</v>
      </c>
      <c r="D593" s="703">
        <f t="shared" si="31"/>
        <v>0</v>
      </c>
      <c r="E593" s="758">
        <f t="shared" si="35"/>
        <v>0</v>
      </c>
      <c r="F593" s="703">
        <f t="shared" si="30"/>
        <v>0</v>
      </c>
      <c r="G593" s="1296">
        <f t="shared" si="32"/>
        <v>0</v>
      </c>
      <c r="H593" s="1299">
        <f t="shared" si="33"/>
        <v>0</v>
      </c>
      <c r="I593" s="755">
        <f t="shared" si="34"/>
        <v>0</v>
      </c>
      <c r="J593" s="755"/>
      <c r="K593" s="903"/>
      <c r="L593" s="761"/>
      <c r="M593" s="903"/>
      <c r="N593" s="761"/>
      <c r="O593" s="761"/>
    </row>
    <row r="594" spans="3:15">
      <c r="C594" s="751">
        <f>IF(D542="","-",+C593+1)</f>
        <v>2060</v>
      </c>
      <c r="D594" s="703">
        <f t="shared" si="31"/>
        <v>0</v>
      </c>
      <c r="E594" s="758">
        <f t="shared" si="35"/>
        <v>0</v>
      </c>
      <c r="F594" s="703">
        <f t="shared" si="30"/>
        <v>0</v>
      </c>
      <c r="G594" s="1296">
        <f t="shared" si="32"/>
        <v>0</v>
      </c>
      <c r="H594" s="1299">
        <f t="shared" si="33"/>
        <v>0</v>
      </c>
      <c r="I594" s="755">
        <f t="shared" si="34"/>
        <v>0</v>
      </c>
      <c r="J594" s="755"/>
      <c r="K594" s="903"/>
      <c r="L594" s="761"/>
      <c r="M594" s="903"/>
      <c r="N594" s="761"/>
      <c r="O594" s="761"/>
    </row>
    <row r="595" spans="3:15">
      <c r="C595" s="751">
        <f>IF(D542="","-",+C594+1)</f>
        <v>2061</v>
      </c>
      <c r="D595" s="703">
        <f t="shared" si="31"/>
        <v>0</v>
      </c>
      <c r="E595" s="758">
        <f t="shared" si="35"/>
        <v>0</v>
      </c>
      <c r="F595" s="703">
        <f t="shared" si="30"/>
        <v>0</v>
      </c>
      <c r="G595" s="1296">
        <f t="shared" si="32"/>
        <v>0</v>
      </c>
      <c r="H595" s="1299">
        <f t="shared" si="33"/>
        <v>0</v>
      </c>
      <c r="I595" s="755">
        <f t="shared" si="34"/>
        <v>0</v>
      </c>
      <c r="J595" s="755"/>
      <c r="K595" s="903"/>
      <c r="L595" s="761"/>
      <c r="M595" s="903"/>
      <c r="N595" s="761"/>
      <c r="O595" s="761"/>
    </row>
    <row r="596" spans="3:15">
      <c r="C596" s="751">
        <f>IF(D542="","-",+C595+1)</f>
        <v>2062</v>
      </c>
      <c r="D596" s="703">
        <f t="shared" si="31"/>
        <v>0</v>
      </c>
      <c r="E596" s="758">
        <f t="shared" si="35"/>
        <v>0</v>
      </c>
      <c r="F596" s="703">
        <f t="shared" si="30"/>
        <v>0</v>
      </c>
      <c r="G596" s="1296">
        <f t="shared" si="32"/>
        <v>0</v>
      </c>
      <c r="H596" s="1299">
        <f t="shared" si="33"/>
        <v>0</v>
      </c>
      <c r="I596" s="755">
        <f t="shared" si="34"/>
        <v>0</v>
      </c>
      <c r="J596" s="755"/>
      <c r="K596" s="903"/>
      <c r="L596" s="761"/>
      <c r="M596" s="903"/>
      <c r="N596" s="761"/>
      <c r="O596" s="761"/>
    </row>
    <row r="597" spans="3:15">
      <c r="C597" s="751">
        <f>IF(D542="","-",+C596+1)</f>
        <v>2063</v>
      </c>
      <c r="D597" s="703">
        <f t="shared" si="31"/>
        <v>0</v>
      </c>
      <c r="E597" s="758">
        <f t="shared" si="35"/>
        <v>0</v>
      </c>
      <c r="F597" s="703">
        <f t="shared" si="30"/>
        <v>0</v>
      </c>
      <c r="G597" s="1296">
        <f t="shared" si="32"/>
        <v>0</v>
      </c>
      <c r="H597" s="1299">
        <f t="shared" si="33"/>
        <v>0</v>
      </c>
      <c r="I597" s="755">
        <f t="shared" si="34"/>
        <v>0</v>
      </c>
      <c r="J597" s="755"/>
      <c r="K597" s="903"/>
      <c r="L597" s="761"/>
      <c r="M597" s="903"/>
      <c r="N597" s="761"/>
      <c r="O597" s="761"/>
    </row>
    <row r="598" spans="3:15">
      <c r="C598" s="751">
        <f>IF(D542="","-",+C597+1)</f>
        <v>2064</v>
      </c>
      <c r="D598" s="703">
        <f t="shared" si="31"/>
        <v>0</v>
      </c>
      <c r="E598" s="758">
        <f t="shared" si="35"/>
        <v>0</v>
      </c>
      <c r="F598" s="703">
        <f t="shared" si="30"/>
        <v>0</v>
      </c>
      <c r="G598" s="1296">
        <f t="shared" si="32"/>
        <v>0</v>
      </c>
      <c r="H598" s="1299">
        <f t="shared" si="33"/>
        <v>0</v>
      </c>
      <c r="I598" s="755">
        <f t="shared" si="34"/>
        <v>0</v>
      </c>
      <c r="J598" s="755"/>
      <c r="K598" s="903"/>
      <c r="L598" s="761"/>
      <c r="M598" s="903"/>
      <c r="N598" s="761"/>
      <c r="O598" s="761"/>
    </row>
    <row r="599" spans="3:15">
      <c r="C599" s="751">
        <f>IF(D542="","-",+C598+1)</f>
        <v>2065</v>
      </c>
      <c r="D599" s="703">
        <f t="shared" si="31"/>
        <v>0</v>
      </c>
      <c r="E599" s="758">
        <f t="shared" si="35"/>
        <v>0</v>
      </c>
      <c r="F599" s="703">
        <f t="shared" si="30"/>
        <v>0</v>
      </c>
      <c r="G599" s="1296">
        <f t="shared" si="32"/>
        <v>0</v>
      </c>
      <c r="H599" s="1299">
        <f t="shared" si="33"/>
        <v>0</v>
      </c>
      <c r="I599" s="755">
        <f t="shared" si="34"/>
        <v>0</v>
      </c>
      <c r="J599" s="755"/>
      <c r="K599" s="903"/>
      <c r="L599" s="761"/>
      <c r="M599" s="903"/>
      <c r="N599" s="761"/>
      <c r="O599" s="761"/>
    </row>
    <row r="600" spans="3:15">
      <c r="C600" s="751">
        <f>IF(D542="","-",+C599+1)</f>
        <v>2066</v>
      </c>
      <c r="D600" s="703">
        <f t="shared" si="31"/>
        <v>0</v>
      </c>
      <c r="E600" s="758">
        <f t="shared" si="35"/>
        <v>0</v>
      </c>
      <c r="F600" s="703">
        <f t="shared" si="30"/>
        <v>0</v>
      </c>
      <c r="G600" s="1296">
        <f t="shared" si="32"/>
        <v>0</v>
      </c>
      <c r="H600" s="1299">
        <f t="shared" si="33"/>
        <v>0</v>
      </c>
      <c r="I600" s="755">
        <f t="shared" si="34"/>
        <v>0</v>
      </c>
      <c r="J600" s="755"/>
      <c r="K600" s="903"/>
      <c r="L600" s="761"/>
      <c r="M600" s="903"/>
      <c r="N600" s="761"/>
      <c r="O600" s="761"/>
    </row>
    <row r="601" spans="3:15">
      <c r="C601" s="751">
        <f>IF(D542="","-",+C600+1)</f>
        <v>2067</v>
      </c>
      <c r="D601" s="703">
        <f t="shared" si="31"/>
        <v>0</v>
      </c>
      <c r="E601" s="758">
        <f t="shared" si="35"/>
        <v>0</v>
      </c>
      <c r="F601" s="703">
        <f t="shared" si="30"/>
        <v>0</v>
      </c>
      <c r="G601" s="1296">
        <f t="shared" si="32"/>
        <v>0</v>
      </c>
      <c r="H601" s="1299">
        <f t="shared" si="33"/>
        <v>0</v>
      </c>
      <c r="I601" s="755">
        <f t="shared" si="34"/>
        <v>0</v>
      </c>
      <c r="J601" s="755"/>
      <c r="K601" s="903"/>
      <c r="L601" s="761"/>
      <c r="M601" s="903"/>
      <c r="N601" s="761"/>
      <c r="O601" s="761"/>
    </row>
    <row r="602" spans="3:15">
      <c r="C602" s="751">
        <f>IF(D542="","-",+C601+1)</f>
        <v>2068</v>
      </c>
      <c r="D602" s="703">
        <f t="shared" si="31"/>
        <v>0</v>
      </c>
      <c r="E602" s="758">
        <f t="shared" si="35"/>
        <v>0</v>
      </c>
      <c r="F602" s="703">
        <f t="shared" si="30"/>
        <v>0</v>
      </c>
      <c r="G602" s="1296">
        <f t="shared" si="32"/>
        <v>0</v>
      </c>
      <c r="H602" s="1299">
        <f t="shared" si="33"/>
        <v>0</v>
      </c>
      <c r="I602" s="755">
        <f t="shared" si="34"/>
        <v>0</v>
      </c>
      <c r="J602" s="755"/>
      <c r="K602" s="903"/>
      <c r="L602" s="761"/>
      <c r="M602" s="903"/>
      <c r="N602" s="761"/>
      <c r="O602" s="761"/>
    </row>
    <row r="603" spans="3:15">
      <c r="C603" s="751">
        <f>IF(D542="","-",+C602+1)</f>
        <v>2069</v>
      </c>
      <c r="D603" s="703">
        <f t="shared" si="31"/>
        <v>0</v>
      </c>
      <c r="E603" s="758">
        <f t="shared" si="35"/>
        <v>0</v>
      </c>
      <c r="F603" s="703">
        <f t="shared" si="30"/>
        <v>0</v>
      </c>
      <c r="G603" s="1296">
        <f t="shared" si="32"/>
        <v>0</v>
      </c>
      <c r="H603" s="1299">
        <f t="shared" si="33"/>
        <v>0</v>
      </c>
      <c r="I603" s="755">
        <f t="shared" si="34"/>
        <v>0</v>
      </c>
      <c r="J603" s="755"/>
      <c r="K603" s="903"/>
      <c r="L603" s="761"/>
      <c r="M603" s="903"/>
      <c r="N603" s="761"/>
      <c r="O603" s="761"/>
    </row>
    <row r="604" spans="3:15">
      <c r="C604" s="751">
        <f>IF(D542="","-",+C603+1)</f>
        <v>2070</v>
      </c>
      <c r="D604" s="703">
        <f t="shared" si="31"/>
        <v>0</v>
      </c>
      <c r="E604" s="758">
        <f t="shared" si="35"/>
        <v>0</v>
      </c>
      <c r="F604" s="703">
        <f t="shared" si="30"/>
        <v>0</v>
      </c>
      <c r="G604" s="1296">
        <f t="shared" si="32"/>
        <v>0</v>
      </c>
      <c r="H604" s="1299">
        <f t="shared" si="33"/>
        <v>0</v>
      </c>
      <c r="I604" s="755">
        <f t="shared" si="34"/>
        <v>0</v>
      </c>
      <c r="J604" s="755"/>
      <c r="K604" s="903"/>
      <c r="L604" s="761"/>
      <c r="M604" s="903"/>
      <c r="N604" s="761"/>
      <c r="O604" s="761"/>
    </row>
    <row r="605" spans="3:15">
      <c r="C605" s="751">
        <f>IF(D542="","-",+C604+1)</f>
        <v>2071</v>
      </c>
      <c r="D605" s="703">
        <f t="shared" si="31"/>
        <v>0</v>
      </c>
      <c r="E605" s="758">
        <f t="shared" si="35"/>
        <v>0</v>
      </c>
      <c r="F605" s="703">
        <f t="shared" si="30"/>
        <v>0</v>
      </c>
      <c r="G605" s="1296">
        <f t="shared" si="32"/>
        <v>0</v>
      </c>
      <c r="H605" s="1299">
        <f t="shared" si="33"/>
        <v>0</v>
      </c>
      <c r="I605" s="755">
        <f t="shared" si="34"/>
        <v>0</v>
      </c>
      <c r="J605" s="755"/>
      <c r="K605" s="903"/>
      <c r="L605" s="761"/>
      <c r="M605" s="903"/>
      <c r="N605" s="761"/>
      <c r="O605" s="761"/>
    </row>
    <row r="606" spans="3:15">
      <c r="C606" s="751">
        <f>IF(D542="","-",+C605+1)</f>
        <v>2072</v>
      </c>
      <c r="D606" s="703">
        <f t="shared" si="31"/>
        <v>0</v>
      </c>
      <c r="E606" s="758">
        <f t="shared" si="35"/>
        <v>0</v>
      </c>
      <c r="F606" s="703">
        <f t="shared" si="30"/>
        <v>0</v>
      </c>
      <c r="G606" s="1296">
        <f t="shared" si="32"/>
        <v>0</v>
      </c>
      <c r="H606" s="1299">
        <f t="shared" si="33"/>
        <v>0</v>
      </c>
      <c r="I606" s="755">
        <f t="shared" si="34"/>
        <v>0</v>
      </c>
      <c r="J606" s="755"/>
      <c r="K606" s="903"/>
      <c r="L606" s="761"/>
      <c r="M606" s="903"/>
      <c r="N606" s="761"/>
      <c r="O606" s="761"/>
    </row>
    <row r="607" spans="3:15" ht="13.5" thickBot="1">
      <c r="C607" s="762">
        <f>IF(D542="","-",+C606+1)</f>
        <v>2073</v>
      </c>
      <c r="D607" s="763">
        <f t="shared" si="31"/>
        <v>0</v>
      </c>
      <c r="E607" s="764">
        <f t="shared" si="35"/>
        <v>0</v>
      </c>
      <c r="F607" s="763">
        <f t="shared" si="30"/>
        <v>0</v>
      </c>
      <c r="G607" s="1307">
        <f t="shared" si="32"/>
        <v>0</v>
      </c>
      <c r="H607" s="1307">
        <f t="shared" si="33"/>
        <v>0</v>
      </c>
      <c r="I607" s="766">
        <f t="shared" si="34"/>
        <v>0</v>
      </c>
      <c r="J607" s="755"/>
      <c r="K607" s="904"/>
      <c r="L607" s="768"/>
      <c r="M607" s="904"/>
      <c r="N607" s="768"/>
      <c r="O607" s="768"/>
    </row>
    <row r="608" spans="3:15">
      <c r="C608" s="703" t="s">
        <v>289</v>
      </c>
      <c r="D608" s="1277"/>
      <c r="E608" s="1277">
        <f>SUM(E548:E607)</f>
        <v>13008915.440000001</v>
      </c>
      <c r="F608" s="1277"/>
      <c r="G608" s="1277">
        <f>SUM(G548:G607)</f>
        <v>40516719.318604328</v>
      </c>
      <c r="H608" s="1277">
        <f>SUM(H548:H607)</f>
        <v>40516719.318604328</v>
      </c>
      <c r="I608" s="1277">
        <f>SUM(I548:I607)</f>
        <v>0</v>
      </c>
      <c r="J608" s="1277"/>
      <c r="K608" s="1277"/>
      <c r="L608" s="1277"/>
      <c r="M608" s="1277"/>
      <c r="N608" s="1277"/>
      <c r="O608" s="570"/>
    </row>
    <row r="609" spans="1:16">
      <c r="D609" s="593"/>
      <c r="E609" s="570"/>
      <c r="F609" s="570"/>
      <c r="G609" s="570"/>
      <c r="H609" s="1276"/>
      <c r="I609" s="1276"/>
      <c r="J609" s="1277"/>
      <c r="K609" s="1276"/>
      <c r="L609" s="1276"/>
      <c r="M609" s="1276"/>
      <c r="N609" s="1276"/>
      <c r="O609" s="570"/>
    </row>
    <row r="610" spans="1:16">
      <c r="C610" s="1308" t="s">
        <v>968</v>
      </c>
      <c r="D610" s="593"/>
      <c r="E610" s="570"/>
      <c r="F610" s="570"/>
      <c r="G610" s="570"/>
      <c r="H610" s="1276"/>
      <c r="I610" s="1276"/>
      <c r="J610" s="1277"/>
      <c r="K610" s="1276"/>
      <c r="L610" s="1276"/>
      <c r="M610" s="1276"/>
      <c r="N610" s="1276"/>
      <c r="O610" s="570"/>
    </row>
    <row r="611" spans="1:16">
      <c r="D611" s="593"/>
      <c r="E611" s="570"/>
      <c r="F611" s="570"/>
      <c r="G611" s="570"/>
      <c r="H611" s="1276"/>
      <c r="I611" s="1276"/>
      <c r="J611" s="1277"/>
      <c r="K611" s="1276"/>
      <c r="L611" s="1276"/>
      <c r="M611" s="1276"/>
      <c r="N611" s="1276"/>
      <c r="O611" s="570"/>
    </row>
    <row r="612" spans="1:16">
      <c r="C612" s="716" t="s">
        <v>969</v>
      </c>
      <c r="D612" s="703"/>
      <c r="E612" s="703"/>
      <c r="F612" s="703"/>
      <c r="G612" s="1277"/>
      <c r="H612" s="1277"/>
      <c r="I612" s="704"/>
      <c r="J612" s="704"/>
      <c r="K612" s="704"/>
      <c r="L612" s="704"/>
      <c r="M612" s="704"/>
      <c r="N612" s="704"/>
      <c r="O612" s="570"/>
    </row>
    <row r="613" spans="1:16">
      <c r="C613" s="702" t="s">
        <v>477</v>
      </c>
      <c r="D613" s="703"/>
      <c r="E613" s="703"/>
      <c r="F613" s="703"/>
      <c r="G613" s="1277"/>
      <c r="H613" s="1277"/>
      <c r="I613" s="704"/>
      <c r="J613" s="704"/>
      <c r="K613" s="704"/>
      <c r="L613" s="704"/>
      <c r="M613" s="704"/>
      <c r="N613" s="704"/>
      <c r="O613" s="570"/>
    </row>
    <row r="614" spans="1:16">
      <c r="C614" s="702" t="s">
        <v>290</v>
      </c>
      <c r="D614" s="703"/>
      <c r="E614" s="703"/>
      <c r="F614" s="703"/>
      <c r="G614" s="1277"/>
      <c r="H614" s="1277"/>
      <c r="I614" s="704"/>
      <c r="J614" s="704"/>
      <c r="K614" s="704"/>
      <c r="L614" s="704"/>
      <c r="M614" s="704"/>
      <c r="N614" s="704"/>
      <c r="O614" s="570"/>
    </row>
    <row r="615" spans="1:16">
      <c r="C615" s="702"/>
      <c r="D615" s="703"/>
      <c r="E615" s="703"/>
      <c r="F615" s="703"/>
      <c r="G615" s="1277"/>
      <c r="H615" s="1277"/>
      <c r="I615" s="704"/>
      <c r="J615" s="704"/>
      <c r="K615" s="704"/>
      <c r="L615" s="704"/>
      <c r="M615" s="704"/>
      <c r="N615" s="704"/>
      <c r="O615" s="570"/>
    </row>
    <row r="616" spans="1:16">
      <c r="C616" s="1507" t="s">
        <v>461</v>
      </c>
      <c r="D616" s="1507"/>
      <c r="E616" s="1507"/>
      <c r="F616" s="1507"/>
      <c r="G616" s="1507"/>
      <c r="H616" s="1507"/>
      <c r="I616" s="1507"/>
      <c r="J616" s="1507"/>
      <c r="K616" s="1507"/>
      <c r="L616" s="1507"/>
      <c r="M616" s="1507"/>
      <c r="N616" s="1507"/>
      <c r="O616" s="1507"/>
    </row>
    <row r="617" spans="1:16">
      <c r="C617" s="1507"/>
      <c r="D617" s="1507"/>
      <c r="E617" s="1507"/>
      <c r="F617" s="1507"/>
      <c r="G617" s="1507"/>
      <c r="H617" s="1507"/>
      <c r="I617" s="1507"/>
      <c r="J617" s="1507"/>
      <c r="K617" s="1507"/>
      <c r="L617" s="1507"/>
      <c r="M617" s="1507"/>
      <c r="N617" s="1507"/>
      <c r="O617" s="1507"/>
    </row>
    <row r="618" spans="1:16" ht="20.25">
      <c r="A618" s="705" t="s">
        <v>965</v>
      </c>
      <c r="B618" s="606"/>
      <c r="C618" s="685"/>
      <c r="D618" s="593"/>
      <c r="E618" s="570"/>
      <c r="F618" s="675"/>
      <c r="G618" s="570"/>
      <c r="H618" s="1276"/>
      <c r="K618" s="706"/>
      <c r="L618" s="706"/>
      <c r="M618" s="706"/>
      <c r="N618" s="621" t="str">
        <f>"Page "&amp;P618&amp;" of "</f>
        <v xml:space="preserve">Page 8 of </v>
      </c>
      <c r="O618" s="622">
        <f>COUNT(P$6:P$59527)</f>
        <v>10</v>
      </c>
      <c r="P618" s="570">
        <v>8</v>
      </c>
    </row>
    <row r="619" spans="1:16">
      <c r="B619" s="606"/>
      <c r="C619" s="570"/>
      <c r="D619" s="593"/>
      <c r="E619" s="570"/>
      <c r="F619" s="570"/>
      <c r="G619" s="570"/>
      <c r="H619" s="1276"/>
      <c r="I619" s="570"/>
      <c r="J619" s="618"/>
      <c r="K619" s="570"/>
      <c r="L619" s="570"/>
      <c r="M619" s="570"/>
      <c r="N619" s="570"/>
      <c r="O619" s="570"/>
    </row>
    <row r="620" spans="1:16" ht="18">
      <c r="B620" s="625" t="s">
        <v>175</v>
      </c>
      <c r="C620" s="707" t="s">
        <v>291</v>
      </c>
      <c r="D620" s="593"/>
      <c r="E620" s="570"/>
      <c r="F620" s="570"/>
      <c r="G620" s="570"/>
      <c r="H620" s="1276"/>
      <c r="I620" s="1276"/>
      <c r="J620" s="1277"/>
      <c r="K620" s="1276"/>
      <c r="L620" s="1276"/>
      <c r="M620" s="1276"/>
      <c r="N620" s="1276"/>
      <c r="O620" s="570"/>
    </row>
    <row r="621" spans="1:16" ht="18.75">
      <c r="B621" s="625"/>
      <c r="C621" s="624"/>
      <c r="D621" s="593"/>
      <c r="E621" s="570"/>
      <c r="F621" s="570"/>
      <c r="G621" s="570"/>
      <c r="H621" s="1276"/>
      <c r="I621" s="1276"/>
      <c r="J621" s="1277"/>
      <c r="K621" s="1276"/>
      <c r="L621" s="1276"/>
      <c r="M621" s="1276"/>
      <c r="N621" s="1276"/>
      <c r="O621" s="570"/>
    </row>
    <row r="622" spans="1:16" ht="18.75">
      <c r="B622" s="625"/>
      <c r="C622" s="624" t="s">
        <v>292</v>
      </c>
      <c r="D622" s="593"/>
      <c r="E622" s="570"/>
      <c r="F622" s="570"/>
      <c r="G622" s="570"/>
      <c r="H622" s="1276"/>
      <c r="I622" s="1276"/>
      <c r="J622" s="1277"/>
      <c r="K622" s="1276"/>
      <c r="L622" s="1276"/>
      <c r="M622" s="1276"/>
      <c r="N622" s="1276"/>
      <c r="O622" s="570"/>
    </row>
    <row r="623" spans="1:16" ht="15.75" thickBot="1">
      <c r="C623" s="423"/>
      <c r="D623" s="593"/>
      <c r="E623" s="570"/>
      <c r="F623" s="570"/>
      <c r="G623" s="570"/>
      <c r="H623" s="1276"/>
      <c r="I623" s="1276"/>
      <c r="J623" s="1277"/>
      <c r="K623" s="1276"/>
      <c r="L623" s="1276"/>
      <c r="M623" s="1276"/>
      <c r="N623" s="1276"/>
      <c r="O623" s="570"/>
    </row>
    <row r="624" spans="1:16" ht="15.75">
      <c r="C624" s="626" t="s">
        <v>293</v>
      </c>
      <c r="D624" s="593"/>
      <c r="E624" s="570"/>
      <c r="F624" s="570"/>
      <c r="G624" s="1278"/>
      <c r="H624" s="570" t="s">
        <v>272</v>
      </c>
      <c r="I624" s="570"/>
      <c r="J624" s="618"/>
      <c r="K624" s="708" t="s">
        <v>297</v>
      </c>
      <c r="L624" s="709"/>
      <c r="M624" s="710"/>
      <c r="N624" s="1279">
        <f>VLOOKUP(I630,C637:O696,5)</f>
        <v>373465.18715784856</v>
      </c>
      <c r="O624" s="570"/>
    </row>
    <row r="625" spans="1:15" ht="15.75">
      <c r="C625" s="626"/>
      <c r="D625" s="593"/>
      <c r="E625" s="570"/>
      <c r="F625" s="570"/>
      <c r="G625" s="570"/>
      <c r="H625" s="1280"/>
      <c r="I625" s="1280"/>
      <c r="J625" s="1281"/>
      <c r="K625" s="713" t="s">
        <v>298</v>
      </c>
      <c r="L625" s="1282"/>
      <c r="M625" s="618"/>
      <c r="N625" s="1283">
        <f>VLOOKUP(I630,C637:O696,6)</f>
        <v>373465.18715784856</v>
      </c>
      <c r="O625" s="570"/>
    </row>
    <row r="626" spans="1:15" ht="13.5" thickBot="1">
      <c r="C626" s="714" t="s">
        <v>294</v>
      </c>
      <c r="D626" s="1510" t="s">
        <v>975</v>
      </c>
      <c r="E626" s="1511"/>
      <c r="F626" s="1511"/>
      <c r="G626" s="1511"/>
      <c r="H626" s="1511"/>
      <c r="I626" s="1511"/>
      <c r="J626" s="1277"/>
      <c r="K626" s="1284" t="s">
        <v>451</v>
      </c>
      <c r="L626" s="1285"/>
      <c r="M626" s="1285"/>
      <c r="N626" s="1286">
        <f>+N625-N624</f>
        <v>0</v>
      </c>
      <c r="O626" s="570"/>
    </row>
    <row r="627" spans="1:15">
      <c r="C627" s="716"/>
      <c r="D627" s="1511"/>
      <c r="E627" s="1511"/>
      <c r="F627" s="1511"/>
      <c r="G627" s="1511"/>
      <c r="H627" s="1511"/>
      <c r="I627" s="1511"/>
      <c r="J627" s="1277"/>
      <c r="K627" s="1276"/>
      <c r="L627" s="1276"/>
      <c r="M627" s="1276"/>
      <c r="N627" s="1276"/>
      <c r="O627" s="570"/>
    </row>
    <row r="628" spans="1:15" ht="13.5" thickBot="1">
      <c r="C628" s="719"/>
      <c r="D628" s="720"/>
      <c r="E628" s="718"/>
      <c r="F628" s="718"/>
      <c r="G628" s="718"/>
      <c r="H628" s="718"/>
      <c r="I628" s="718"/>
      <c r="J628" s="721"/>
      <c r="K628" s="718"/>
      <c r="L628" s="718"/>
      <c r="M628" s="718"/>
      <c r="N628" s="718"/>
      <c r="O628" s="606"/>
    </row>
    <row r="629" spans="1:15" ht="13.5" thickBot="1">
      <c r="C629" s="722" t="s">
        <v>295</v>
      </c>
      <c r="D629" s="723"/>
      <c r="E629" s="723"/>
      <c r="F629" s="723"/>
      <c r="G629" s="723"/>
      <c r="H629" s="723"/>
      <c r="I629" s="724"/>
      <c r="J629" s="725"/>
      <c r="K629" s="570"/>
      <c r="L629" s="570"/>
      <c r="M629" s="570"/>
      <c r="N629" s="570"/>
      <c r="O629" s="726"/>
    </row>
    <row r="630" spans="1:15" ht="15">
      <c r="C630" s="728" t="s">
        <v>273</v>
      </c>
      <c r="D630" s="1287">
        <v>3315854</v>
      </c>
      <c r="E630" s="685" t="s">
        <v>274</v>
      </c>
      <c r="G630" s="729"/>
      <c r="H630" s="729"/>
      <c r="I630" s="730">
        <f>I541</f>
        <v>2021</v>
      </c>
      <c r="J630" s="616"/>
      <c r="K630" s="1506" t="s">
        <v>460</v>
      </c>
      <c r="L630" s="1506"/>
      <c r="M630" s="1506"/>
      <c r="N630" s="1506"/>
      <c r="O630" s="1506"/>
    </row>
    <row r="631" spans="1:15">
      <c r="C631" s="728" t="s">
        <v>276</v>
      </c>
      <c r="D631" s="898">
        <v>2016</v>
      </c>
      <c r="E631" s="728" t="s">
        <v>277</v>
      </c>
      <c r="F631" s="729"/>
      <c r="H631" s="357"/>
      <c r="I631" s="901">
        <f>IF(G624="",0,$F$15)</f>
        <v>0</v>
      </c>
      <c r="J631" s="731"/>
      <c r="K631" s="1277" t="s">
        <v>460</v>
      </c>
    </row>
    <row r="632" spans="1:15">
      <c r="C632" s="728" t="s">
        <v>278</v>
      </c>
      <c r="D632" s="1287">
        <v>12</v>
      </c>
      <c r="E632" s="728" t="s">
        <v>279</v>
      </c>
      <c r="F632" s="729"/>
      <c r="H632" s="357"/>
      <c r="I632" s="732">
        <f>$G$70</f>
        <v>9.9118816841934854E-2</v>
      </c>
      <c r="J632" s="733"/>
      <c r="K632" s="357" t="str">
        <f>"          INPUT PROJECTED ARR (WITH &amp; WITHOUT INCENTIVES) FROM EACH PRIOR YEAR"</f>
        <v xml:space="preserve">          INPUT PROJECTED ARR (WITH &amp; WITHOUT INCENTIVES) FROM EACH PRIOR YEAR</v>
      </c>
    </row>
    <row r="633" spans="1:15">
      <c r="C633" s="728" t="s">
        <v>280</v>
      </c>
      <c r="D633" s="734">
        <f>G$79</f>
        <v>41</v>
      </c>
      <c r="E633" s="728" t="s">
        <v>281</v>
      </c>
      <c r="F633" s="729"/>
      <c r="H633" s="357"/>
      <c r="I633" s="732">
        <f>IF(G624="",I632,$G$67)</f>
        <v>9.9118816841934854E-2</v>
      </c>
      <c r="J633" s="735"/>
      <c r="K633" s="357" t="s">
        <v>358</v>
      </c>
    </row>
    <row r="634" spans="1:15" ht="13.5" thickBot="1">
      <c r="C634" s="728" t="s">
        <v>282</v>
      </c>
      <c r="D634" s="900" t="s">
        <v>967</v>
      </c>
      <c r="E634" s="736" t="s">
        <v>283</v>
      </c>
      <c r="F634" s="737"/>
      <c r="G634" s="738"/>
      <c r="H634" s="738"/>
      <c r="I634" s="1286">
        <f>IF(D630=0,0,D630/D633)</f>
        <v>80874.487804878052</v>
      </c>
      <c r="J634" s="1277"/>
      <c r="K634" s="1277" t="s">
        <v>364</v>
      </c>
      <c r="L634" s="1277"/>
      <c r="M634" s="1277"/>
      <c r="N634" s="1277"/>
      <c r="O634" s="618"/>
    </row>
    <row r="635" spans="1:15" ht="51">
      <c r="A635" s="557"/>
      <c r="B635" s="1288"/>
      <c r="C635" s="739" t="s">
        <v>273</v>
      </c>
      <c r="D635" s="1289" t="s">
        <v>284</v>
      </c>
      <c r="E635" s="1290" t="s">
        <v>285</v>
      </c>
      <c r="F635" s="1289" t="s">
        <v>286</v>
      </c>
      <c r="G635" s="1290" t="s">
        <v>357</v>
      </c>
      <c r="H635" s="1291" t="s">
        <v>357</v>
      </c>
      <c r="I635" s="739" t="s">
        <v>296</v>
      </c>
      <c r="J635" s="743"/>
      <c r="K635" s="1290" t="s">
        <v>366</v>
      </c>
      <c r="L635" s="1292"/>
      <c r="M635" s="1290" t="s">
        <v>366</v>
      </c>
      <c r="N635" s="1292"/>
      <c r="O635" s="1292"/>
    </row>
    <row r="636" spans="1:15" ht="13.5" thickBot="1">
      <c r="C636" s="745" t="s">
        <v>178</v>
      </c>
      <c r="D636" s="746" t="s">
        <v>179</v>
      </c>
      <c r="E636" s="745" t="s">
        <v>38</v>
      </c>
      <c r="F636" s="746" t="s">
        <v>179</v>
      </c>
      <c r="G636" s="1293" t="s">
        <v>299</v>
      </c>
      <c r="H636" s="1294" t="s">
        <v>301</v>
      </c>
      <c r="I636" s="749" t="s">
        <v>390</v>
      </c>
      <c r="J636" s="750"/>
      <c r="K636" s="1293" t="s">
        <v>288</v>
      </c>
      <c r="L636" s="1295"/>
      <c r="M636" s="1293" t="s">
        <v>301</v>
      </c>
      <c r="N636" s="1295"/>
      <c r="O636" s="1295"/>
    </row>
    <row r="637" spans="1:15">
      <c r="C637" s="751">
        <f>IF(D631= "","-",D631)</f>
        <v>2016</v>
      </c>
      <c r="D637" s="703">
        <f>+D630</f>
        <v>3315854</v>
      </c>
      <c r="E637" s="1296">
        <f>+I634/12*(12-D632)</f>
        <v>0</v>
      </c>
      <c r="F637" s="703">
        <f t="shared" ref="F637:F696" si="36">+D637-E637</f>
        <v>3315854</v>
      </c>
      <c r="G637" s="1297">
        <f>+$I$632*((D637+F637)/2)+E637</f>
        <v>328663.52530059707</v>
      </c>
      <c r="H637" s="1298">
        <f>+$I$633*((D637+F637)/2)+E637</f>
        <v>328663.52530059707</v>
      </c>
      <c r="I637" s="755">
        <f>+H637-G637</f>
        <v>0</v>
      </c>
      <c r="J637" s="755"/>
      <c r="K637" s="903">
        <v>486138</v>
      </c>
      <c r="L637" s="757"/>
      <c r="M637" s="903">
        <v>486138</v>
      </c>
      <c r="N637" s="757"/>
      <c r="O637" s="757"/>
    </row>
    <row r="638" spans="1:15">
      <c r="C638" s="751">
        <f>IF(D631="","-",+C637+1)</f>
        <v>2017</v>
      </c>
      <c r="D638" s="703">
        <f t="shared" ref="D638:D696" si="37">F637</f>
        <v>3315854</v>
      </c>
      <c r="E638" s="758">
        <f>IF(D638&gt;$I$634,$I$634,D638)</f>
        <v>80874.487804878052</v>
      </c>
      <c r="F638" s="703">
        <f t="shared" si="36"/>
        <v>3234979.512195122</v>
      </c>
      <c r="G638" s="1296">
        <f t="shared" ref="G638:G696" si="38">+$I$632*((D638+F638)/2)+E638</f>
        <v>405529.92133351654</v>
      </c>
      <c r="H638" s="1299">
        <f t="shared" ref="H638:H696" si="39">+$I$633*((D638+F638)/2)+E638</f>
        <v>405529.92133351654</v>
      </c>
      <c r="I638" s="755">
        <f t="shared" ref="I638:I696" si="40">+H638-G638</f>
        <v>0</v>
      </c>
      <c r="J638" s="755"/>
      <c r="K638" s="903">
        <v>574408</v>
      </c>
      <c r="L638" s="761"/>
      <c r="M638" s="903">
        <v>574408</v>
      </c>
      <c r="N638" s="761"/>
      <c r="O638" s="761"/>
    </row>
    <row r="639" spans="1:15">
      <c r="C639" s="1313">
        <f>IF(D631="","-",+C638+1)</f>
        <v>2018</v>
      </c>
      <c r="D639" s="1301">
        <f t="shared" si="37"/>
        <v>3234979.512195122</v>
      </c>
      <c r="E639" s="1302">
        <f t="shared" ref="E639:E696" si="41">IF(D639&gt;$I$634,$I$634,D639)</f>
        <v>80874.487804878052</v>
      </c>
      <c r="F639" s="1301">
        <f t="shared" si="36"/>
        <v>3154105.0243902439</v>
      </c>
      <c r="G639" s="1303">
        <f t="shared" si="38"/>
        <v>397513.73778959963</v>
      </c>
      <c r="H639" s="1304">
        <f t="shared" si="39"/>
        <v>397513.73778959963</v>
      </c>
      <c r="I639" s="1305">
        <f t="shared" si="40"/>
        <v>0</v>
      </c>
      <c r="J639" s="755"/>
      <c r="K639" s="903">
        <v>355679</v>
      </c>
      <c r="L639" s="761"/>
      <c r="M639" s="903">
        <v>355679</v>
      </c>
      <c r="N639" s="761"/>
      <c r="O639" s="761"/>
    </row>
    <row r="640" spans="1:15">
      <c r="C640" s="751">
        <f>IF(D631="","-",+C639+1)</f>
        <v>2019</v>
      </c>
      <c r="D640" s="703">
        <f t="shared" si="37"/>
        <v>3154105.0243902439</v>
      </c>
      <c r="E640" s="758">
        <f t="shared" si="41"/>
        <v>80874.487804878052</v>
      </c>
      <c r="F640" s="703">
        <f t="shared" si="36"/>
        <v>3073230.5365853659</v>
      </c>
      <c r="G640" s="1296">
        <f t="shared" si="38"/>
        <v>389497.55424568255</v>
      </c>
      <c r="H640" s="1299">
        <f t="shared" si="39"/>
        <v>389497.55424568255</v>
      </c>
      <c r="I640" s="755">
        <f t="shared" si="40"/>
        <v>0</v>
      </c>
      <c r="J640" s="755"/>
      <c r="K640" s="903">
        <v>367592.21732732857</v>
      </c>
      <c r="L640" s="761"/>
      <c r="M640" s="903">
        <v>367592.21732732857</v>
      </c>
      <c r="N640" s="761"/>
      <c r="O640" s="761"/>
    </row>
    <row r="641" spans="3:15">
      <c r="C641" s="751">
        <f>IF(D631="","-",+C640+1)</f>
        <v>2020</v>
      </c>
      <c r="D641" s="703">
        <f t="shared" si="37"/>
        <v>3073230.5365853659</v>
      </c>
      <c r="E641" s="758">
        <f t="shared" si="41"/>
        <v>80874.487804878052</v>
      </c>
      <c r="F641" s="703">
        <f t="shared" si="36"/>
        <v>2992356.0487804879</v>
      </c>
      <c r="G641" s="1296">
        <f t="shared" si="38"/>
        <v>381481.37070176558</v>
      </c>
      <c r="H641" s="1299">
        <f t="shared" si="39"/>
        <v>381481.37070176558</v>
      </c>
      <c r="I641" s="755">
        <f t="shared" si="40"/>
        <v>0</v>
      </c>
      <c r="J641" s="755"/>
      <c r="K641" s="903">
        <v>376070.79773197492</v>
      </c>
      <c r="L641" s="761"/>
      <c r="M641" s="903">
        <v>376070.79773197492</v>
      </c>
      <c r="N641" s="761"/>
      <c r="O641" s="761"/>
    </row>
    <row r="642" spans="3:15">
      <c r="C642" s="751">
        <f>IF(D631="","-",+C641+1)</f>
        <v>2021</v>
      </c>
      <c r="D642" s="703">
        <f t="shared" si="37"/>
        <v>2992356.0487804879</v>
      </c>
      <c r="E642" s="758">
        <f t="shared" si="41"/>
        <v>80874.487804878052</v>
      </c>
      <c r="F642" s="703">
        <f t="shared" si="36"/>
        <v>2911481.5609756098</v>
      </c>
      <c r="G642" s="1296">
        <f t="shared" si="38"/>
        <v>373465.18715784856</v>
      </c>
      <c r="H642" s="1299">
        <f t="shared" si="39"/>
        <v>373465.18715784856</v>
      </c>
      <c r="I642" s="755">
        <f t="shared" si="40"/>
        <v>0</v>
      </c>
      <c r="J642" s="755"/>
      <c r="K642" s="903"/>
      <c r="L642" s="761"/>
      <c r="M642" s="903"/>
      <c r="N642" s="761"/>
      <c r="O642" s="761"/>
    </row>
    <row r="643" spans="3:15">
      <c r="C643" s="751">
        <f>IF(D631="","-",+C642+1)</f>
        <v>2022</v>
      </c>
      <c r="D643" s="703">
        <f t="shared" si="37"/>
        <v>2911481.5609756098</v>
      </c>
      <c r="E643" s="758">
        <f t="shared" si="41"/>
        <v>80874.487804878052</v>
      </c>
      <c r="F643" s="703">
        <f t="shared" si="36"/>
        <v>2830607.0731707318</v>
      </c>
      <c r="G643" s="1296">
        <f t="shared" si="38"/>
        <v>365449.00361393159</v>
      </c>
      <c r="H643" s="1299">
        <f t="shared" si="39"/>
        <v>365449.00361393159</v>
      </c>
      <c r="I643" s="755">
        <f t="shared" si="40"/>
        <v>0</v>
      </c>
      <c r="J643" s="755"/>
      <c r="K643" s="903"/>
      <c r="L643" s="761"/>
      <c r="M643" s="903"/>
      <c r="N643" s="761"/>
      <c r="O643" s="761"/>
    </row>
    <row r="644" spans="3:15">
      <c r="C644" s="751">
        <f>IF(D631="","-",+C643+1)</f>
        <v>2023</v>
      </c>
      <c r="D644" s="703">
        <f t="shared" si="37"/>
        <v>2830607.0731707318</v>
      </c>
      <c r="E644" s="758">
        <f t="shared" si="41"/>
        <v>80874.487804878052</v>
      </c>
      <c r="F644" s="703">
        <f t="shared" si="36"/>
        <v>2749732.5853658537</v>
      </c>
      <c r="G644" s="1296">
        <f t="shared" si="38"/>
        <v>357432.82007001457</v>
      </c>
      <c r="H644" s="1299">
        <f t="shared" si="39"/>
        <v>357432.82007001457</v>
      </c>
      <c r="I644" s="755">
        <f t="shared" si="40"/>
        <v>0</v>
      </c>
      <c r="J644" s="755"/>
      <c r="K644" s="903"/>
      <c r="L644" s="761"/>
      <c r="M644" s="903"/>
      <c r="N644" s="761"/>
      <c r="O644" s="761"/>
    </row>
    <row r="645" spans="3:15">
      <c r="C645" s="751">
        <f>IF(D631="","-",+C644+1)</f>
        <v>2024</v>
      </c>
      <c r="D645" s="703">
        <f t="shared" si="37"/>
        <v>2749732.5853658537</v>
      </c>
      <c r="E645" s="758">
        <f t="shared" si="41"/>
        <v>80874.487804878052</v>
      </c>
      <c r="F645" s="703">
        <f t="shared" si="36"/>
        <v>2668858.0975609757</v>
      </c>
      <c r="G645" s="1296">
        <f t="shared" si="38"/>
        <v>349416.6365260976</v>
      </c>
      <c r="H645" s="1299">
        <f t="shared" si="39"/>
        <v>349416.6365260976</v>
      </c>
      <c r="I645" s="755">
        <f t="shared" si="40"/>
        <v>0</v>
      </c>
      <c r="J645" s="755"/>
      <c r="K645" s="903"/>
      <c r="L645" s="761"/>
      <c r="M645" s="903"/>
      <c r="N645" s="761"/>
      <c r="O645" s="761"/>
    </row>
    <row r="646" spans="3:15">
      <c r="C646" s="751">
        <f>IF(D631="","-",+C645+1)</f>
        <v>2025</v>
      </c>
      <c r="D646" s="703">
        <f t="shared" si="37"/>
        <v>2668858.0975609757</v>
      </c>
      <c r="E646" s="758">
        <f t="shared" si="41"/>
        <v>80874.487804878052</v>
      </c>
      <c r="F646" s="703">
        <f t="shared" si="36"/>
        <v>2587983.6097560977</v>
      </c>
      <c r="G646" s="1296">
        <f t="shared" si="38"/>
        <v>341400.45298218058</v>
      </c>
      <c r="H646" s="1299">
        <f t="shared" si="39"/>
        <v>341400.45298218058</v>
      </c>
      <c r="I646" s="755">
        <f t="shared" si="40"/>
        <v>0</v>
      </c>
      <c r="J646" s="755"/>
      <c r="K646" s="903"/>
      <c r="L646" s="761"/>
      <c r="M646" s="903"/>
      <c r="N646" s="761"/>
      <c r="O646" s="761"/>
    </row>
    <row r="647" spans="3:15">
      <c r="C647" s="751">
        <f>IF(D631="","-",+C646+1)</f>
        <v>2026</v>
      </c>
      <c r="D647" s="703">
        <f t="shared" si="37"/>
        <v>2587983.6097560977</v>
      </c>
      <c r="E647" s="758">
        <f t="shared" si="41"/>
        <v>80874.487804878052</v>
      </c>
      <c r="F647" s="703">
        <f t="shared" si="36"/>
        <v>2507109.1219512196</v>
      </c>
      <c r="G647" s="1296">
        <f t="shared" si="38"/>
        <v>333384.26943826361</v>
      </c>
      <c r="H647" s="1299">
        <f t="shared" si="39"/>
        <v>333384.26943826361</v>
      </c>
      <c r="I647" s="755">
        <f t="shared" si="40"/>
        <v>0</v>
      </c>
      <c r="J647" s="755"/>
      <c r="K647" s="903"/>
      <c r="L647" s="761"/>
      <c r="M647" s="903"/>
      <c r="N647" s="761"/>
      <c r="O647" s="761"/>
    </row>
    <row r="648" spans="3:15">
      <c r="C648" s="751">
        <f>IF(D631="","-",+C647+1)</f>
        <v>2027</v>
      </c>
      <c r="D648" s="703">
        <f t="shared" si="37"/>
        <v>2507109.1219512196</v>
      </c>
      <c r="E648" s="758">
        <f t="shared" si="41"/>
        <v>80874.487804878052</v>
      </c>
      <c r="F648" s="703">
        <f t="shared" si="36"/>
        <v>2426234.6341463416</v>
      </c>
      <c r="G648" s="1296">
        <f t="shared" si="38"/>
        <v>325368.08589434659</v>
      </c>
      <c r="H648" s="1299">
        <f t="shared" si="39"/>
        <v>325368.08589434659</v>
      </c>
      <c r="I648" s="755">
        <f t="shared" si="40"/>
        <v>0</v>
      </c>
      <c r="J648" s="755"/>
      <c r="K648" s="903"/>
      <c r="L648" s="761"/>
      <c r="M648" s="903"/>
      <c r="N648" s="761"/>
      <c r="O648" s="761"/>
    </row>
    <row r="649" spans="3:15">
      <c r="C649" s="751">
        <f>IF(D631="","-",+C648+1)</f>
        <v>2028</v>
      </c>
      <c r="D649" s="703">
        <f t="shared" si="37"/>
        <v>2426234.6341463416</v>
      </c>
      <c r="E649" s="758">
        <f t="shared" si="41"/>
        <v>80874.487804878052</v>
      </c>
      <c r="F649" s="703">
        <f t="shared" si="36"/>
        <v>2345360.1463414636</v>
      </c>
      <c r="G649" s="1296">
        <f t="shared" si="38"/>
        <v>317351.90235042962</v>
      </c>
      <c r="H649" s="1299">
        <f t="shared" si="39"/>
        <v>317351.90235042962</v>
      </c>
      <c r="I649" s="755">
        <f t="shared" si="40"/>
        <v>0</v>
      </c>
      <c r="J649" s="755"/>
      <c r="K649" s="903"/>
      <c r="L649" s="761"/>
      <c r="M649" s="903"/>
      <c r="N649" s="761"/>
      <c r="O649" s="761"/>
    </row>
    <row r="650" spans="3:15">
      <c r="C650" s="751">
        <f>IF(D631="","-",+C649+1)</f>
        <v>2029</v>
      </c>
      <c r="D650" s="703">
        <f t="shared" si="37"/>
        <v>2345360.1463414636</v>
      </c>
      <c r="E650" s="758">
        <f t="shared" si="41"/>
        <v>80874.487804878052</v>
      </c>
      <c r="F650" s="703">
        <f t="shared" si="36"/>
        <v>2264485.6585365855</v>
      </c>
      <c r="G650" s="1296">
        <f t="shared" si="38"/>
        <v>309335.7188065126</v>
      </c>
      <c r="H650" s="1299">
        <f t="shared" si="39"/>
        <v>309335.7188065126</v>
      </c>
      <c r="I650" s="755">
        <f t="shared" si="40"/>
        <v>0</v>
      </c>
      <c r="J650" s="755"/>
      <c r="K650" s="903"/>
      <c r="L650" s="761"/>
      <c r="M650" s="903"/>
      <c r="N650" s="761"/>
      <c r="O650" s="761"/>
    </row>
    <row r="651" spans="3:15">
      <c r="C651" s="751">
        <f>IF(D631="","-",+C650+1)</f>
        <v>2030</v>
      </c>
      <c r="D651" s="703">
        <f t="shared" si="37"/>
        <v>2264485.6585365855</v>
      </c>
      <c r="E651" s="758">
        <f t="shared" si="41"/>
        <v>80874.487804878052</v>
      </c>
      <c r="F651" s="703">
        <f t="shared" si="36"/>
        <v>2183611.1707317075</v>
      </c>
      <c r="G651" s="1296">
        <f t="shared" si="38"/>
        <v>301319.53526259563</v>
      </c>
      <c r="H651" s="1299">
        <f t="shared" si="39"/>
        <v>301319.53526259563</v>
      </c>
      <c r="I651" s="755">
        <f t="shared" si="40"/>
        <v>0</v>
      </c>
      <c r="J651" s="755"/>
      <c r="K651" s="903"/>
      <c r="L651" s="761"/>
      <c r="M651" s="903"/>
      <c r="N651" s="761"/>
      <c r="O651" s="761"/>
    </row>
    <row r="652" spans="3:15">
      <c r="C652" s="751">
        <f>IF(D631="","-",+C651+1)</f>
        <v>2031</v>
      </c>
      <c r="D652" s="703">
        <f t="shared" si="37"/>
        <v>2183611.1707317075</v>
      </c>
      <c r="E652" s="758">
        <f t="shared" si="41"/>
        <v>80874.487804878052</v>
      </c>
      <c r="F652" s="703">
        <f t="shared" si="36"/>
        <v>2102736.6829268294</v>
      </c>
      <c r="G652" s="1296">
        <f t="shared" si="38"/>
        <v>293303.3517186786</v>
      </c>
      <c r="H652" s="1299">
        <f t="shared" si="39"/>
        <v>293303.3517186786</v>
      </c>
      <c r="I652" s="755">
        <f t="shared" si="40"/>
        <v>0</v>
      </c>
      <c r="J652" s="755"/>
      <c r="K652" s="903"/>
      <c r="L652" s="761"/>
      <c r="M652" s="903"/>
      <c r="N652" s="761"/>
      <c r="O652" s="761"/>
    </row>
    <row r="653" spans="3:15">
      <c r="C653" s="751">
        <f>IF(D631="","-",+C652+1)</f>
        <v>2032</v>
      </c>
      <c r="D653" s="703">
        <f t="shared" si="37"/>
        <v>2102736.6829268294</v>
      </c>
      <c r="E653" s="758">
        <f t="shared" si="41"/>
        <v>80874.487804878052</v>
      </c>
      <c r="F653" s="703">
        <f t="shared" si="36"/>
        <v>2021862.1951219514</v>
      </c>
      <c r="G653" s="1296">
        <f t="shared" si="38"/>
        <v>285287.16817476158</v>
      </c>
      <c r="H653" s="1299">
        <f t="shared" si="39"/>
        <v>285287.16817476158</v>
      </c>
      <c r="I653" s="755">
        <f t="shared" si="40"/>
        <v>0</v>
      </c>
      <c r="J653" s="755"/>
      <c r="K653" s="903"/>
      <c r="L653" s="761"/>
      <c r="M653" s="903"/>
      <c r="N653" s="761"/>
      <c r="O653" s="761"/>
    </row>
    <row r="654" spans="3:15">
      <c r="C654" s="751">
        <f>IF(D631="","-",+C653+1)</f>
        <v>2033</v>
      </c>
      <c r="D654" s="703">
        <f t="shared" si="37"/>
        <v>2021862.1951219514</v>
      </c>
      <c r="E654" s="758">
        <f t="shared" si="41"/>
        <v>80874.487804878052</v>
      </c>
      <c r="F654" s="703">
        <f t="shared" si="36"/>
        <v>1940987.7073170734</v>
      </c>
      <c r="G654" s="1296">
        <f t="shared" si="38"/>
        <v>277270.98463084461</v>
      </c>
      <c r="H654" s="1299">
        <f t="shared" si="39"/>
        <v>277270.98463084461</v>
      </c>
      <c r="I654" s="755">
        <f t="shared" si="40"/>
        <v>0</v>
      </c>
      <c r="J654" s="755"/>
      <c r="K654" s="903"/>
      <c r="L654" s="761"/>
      <c r="M654" s="903"/>
      <c r="N654" s="761"/>
      <c r="O654" s="761"/>
    </row>
    <row r="655" spans="3:15">
      <c r="C655" s="751">
        <f>IF(D631="","-",+C654+1)</f>
        <v>2034</v>
      </c>
      <c r="D655" s="703">
        <f t="shared" si="37"/>
        <v>1940987.7073170734</v>
      </c>
      <c r="E655" s="758">
        <f t="shared" si="41"/>
        <v>80874.487804878052</v>
      </c>
      <c r="F655" s="703">
        <f t="shared" si="36"/>
        <v>1860113.2195121953</v>
      </c>
      <c r="G655" s="1296">
        <f t="shared" si="38"/>
        <v>269254.80108692759</v>
      </c>
      <c r="H655" s="1299">
        <f t="shared" si="39"/>
        <v>269254.80108692759</v>
      </c>
      <c r="I655" s="755">
        <f t="shared" si="40"/>
        <v>0</v>
      </c>
      <c r="J655" s="755"/>
      <c r="K655" s="903"/>
      <c r="L655" s="761"/>
      <c r="M655" s="903"/>
      <c r="N655" s="761"/>
      <c r="O655" s="761"/>
    </row>
    <row r="656" spans="3:15">
      <c r="C656" s="751">
        <f>IF(D631="","-",+C655+1)</f>
        <v>2035</v>
      </c>
      <c r="D656" s="703">
        <f t="shared" si="37"/>
        <v>1860113.2195121953</v>
      </c>
      <c r="E656" s="758">
        <f t="shared" si="41"/>
        <v>80874.487804878052</v>
      </c>
      <c r="F656" s="703">
        <f t="shared" si="36"/>
        <v>1779238.7317073173</v>
      </c>
      <c r="G656" s="1296">
        <f t="shared" si="38"/>
        <v>261238.61754301062</v>
      </c>
      <c r="H656" s="1299">
        <f t="shared" si="39"/>
        <v>261238.61754301062</v>
      </c>
      <c r="I656" s="755">
        <f t="shared" si="40"/>
        <v>0</v>
      </c>
      <c r="J656" s="755"/>
      <c r="K656" s="903"/>
      <c r="L656" s="761"/>
      <c r="M656" s="903"/>
      <c r="N656" s="761"/>
      <c r="O656" s="761"/>
    </row>
    <row r="657" spans="3:15">
      <c r="C657" s="751">
        <f>IF(D631="","-",+C656+1)</f>
        <v>2036</v>
      </c>
      <c r="D657" s="703">
        <f t="shared" si="37"/>
        <v>1779238.7317073173</v>
      </c>
      <c r="E657" s="758">
        <f t="shared" si="41"/>
        <v>80874.487804878052</v>
      </c>
      <c r="F657" s="703">
        <f t="shared" si="36"/>
        <v>1698364.2439024393</v>
      </c>
      <c r="G657" s="1296">
        <f t="shared" si="38"/>
        <v>253222.4339990936</v>
      </c>
      <c r="H657" s="1299">
        <f t="shared" si="39"/>
        <v>253222.4339990936</v>
      </c>
      <c r="I657" s="755">
        <f t="shared" si="40"/>
        <v>0</v>
      </c>
      <c r="J657" s="755"/>
      <c r="K657" s="903"/>
      <c r="L657" s="761"/>
      <c r="M657" s="903"/>
      <c r="N657" s="761"/>
      <c r="O657" s="761"/>
    </row>
    <row r="658" spans="3:15">
      <c r="C658" s="751">
        <f>IF(D631="","-",+C657+1)</f>
        <v>2037</v>
      </c>
      <c r="D658" s="703">
        <f t="shared" si="37"/>
        <v>1698364.2439024393</v>
      </c>
      <c r="E658" s="758">
        <f t="shared" si="41"/>
        <v>80874.487804878052</v>
      </c>
      <c r="F658" s="703">
        <f t="shared" si="36"/>
        <v>1617489.7560975612</v>
      </c>
      <c r="G658" s="1296">
        <f t="shared" si="38"/>
        <v>245206.25045517657</v>
      </c>
      <c r="H658" s="1299">
        <f t="shared" si="39"/>
        <v>245206.25045517657</v>
      </c>
      <c r="I658" s="755">
        <f t="shared" si="40"/>
        <v>0</v>
      </c>
      <c r="J658" s="755"/>
      <c r="K658" s="903"/>
      <c r="L658" s="761"/>
      <c r="M658" s="903"/>
      <c r="N658" s="761"/>
      <c r="O658" s="761"/>
    </row>
    <row r="659" spans="3:15">
      <c r="C659" s="751">
        <f>IF(D631="","-",+C658+1)</f>
        <v>2038</v>
      </c>
      <c r="D659" s="703">
        <f t="shared" si="37"/>
        <v>1617489.7560975612</v>
      </c>
      <c r="E659" s="758">
        <f t="shared" si="41"/>
        <v>80874.487804878052</v>
      </c>
      <c r="F659" s="703">
        <f t="shared" si="36"/>
        <v>1536615.2682926832</v>
      </c>
      <c r="G659" s="1296">
        <f t="shared" si="38"/>
        <v>237190.06691125961</v>
      </c>
      <c r="H659" s="1299">
        <f t="shared" si="39"/>
        <v>237190.06691125961</v>
      </c>
      <c r="I659" s="755">
        <f t="shared" si="40"/>
        <v>0</v>
      </c>
      <c r="J659" s="755"/>
      <c r="K659" s="903"/>
      <c r="L659" s="761"/>
      <c r="M659" s="903"/>
      <c r="N659" s="761"/>
      <c r="O659" s="761"/>
    </row>
    <row r="660" spans="3:15">
      <c r="C660" s="751">
        <f>IF(D631="","-",+C659+1)</f>
        <v>2039</v>
      </c>
      <c r="D660" s="703">
        <f t="shared" si="37"/>
        <v>1536615.2682926832</v>
      </c>
      <c r="E660" s="758">
        <f t="shared" si="41"/>
        <v>80874.487804878052</v>
      </c>
      <c r="F660" s="703">
        <f t="shared" si="36"/>
        <v>1455740.7804878051</v>
      </c>
      <c r="G660" s="1296">
        <f t="shared" si="38"/>
        <v>229173.88336734258</v>
      </c>
      <c r="H660" s="1299">
        <f t="shared" si="39"/>
        <v>229173.88336734258</v>
      </c>
      <c r="I660" s="755">
        <f t="shared" si="40"/>
        <v>0</v>
      </c>
      <c r="J660" s="755"/>
      <c r="K660" s="903"/>
      <c r="L660" s="761"/>
      <c r="M660" s="903"/>
      <c r="N660" s="761"/>
      <c r="O660" s="761"/>
    </row>
    <row r="661" spans="3:15">
      <c r="C661" s="751">
        <f>IF(D631="","-",+C660+1)</f>
        <v>2040</v>
      </c>
      <c r="D661" s="703">
        <f t="shared" si="37"/>
        <v>1455740.7804878051</v>
      </c>
      <c r="E661" s="758">
        <f t="shared" si="41"/>
        <v>80874.487804878052</v>
      </c>
      <c r="F661" s="703">
        <f t="shared" si="36"/>
        <v>1374866.2926829271</v>
      </c>
      <c r="G661" s="1296">
        <f t="shared" si="38"/>
        <v>221157.69982342562</v>
      </c>
      <c r="H661" s="1299">
        <f t="shared" si="39"/>
        <v>221157.69982342562</v>
      </c>
      <c r="I661" s="755">
        <f t="shared" si="40"/>
        <v>0</v>
      </c>
      <c r="J661" s="755"/>
      <c r="K661" s="903"/>
      <c r="L661" s="761"/>
      <c r="M661" s="903"/>
      <c r="N661" s="761"/>
      <c r="O661" s="761"/>
    </row>
    <row r="662" spans="3:15">
      <c r="C662" s="751">
        <f>IF(D631="","-",+C661+1)</f>
        <v>2041</v>
      </c>
      <c r="D662" s="703">
        <f t="shared" si="37"/>
        <v>1374866.2926829271</v>
      </c>
      <c r="E662" s="758">
        <f t="shared" si="41"/>
        <v>80874.487804878052</v>
      </c>
      <c r="F662" s="703">
        <f t="shared" si="36"/>
        <v>1293991.8048780491</v>
      </c>
      <c r="G662" s="1296">
        <f t="shared" si="38"/>
        <v>213141.51627950859</v>
      </c>
      <c r="H662" s="1299">
        <f t="shared" si="39"/>
        <v>213141.51627950859</v>
      </c>
      <c r="I662" s="755">
        <f t="shared" si="40"/>
        <v>0</v>
      </c>
      <c r="J662" s="755"/>
      <c r="K662" s="903"/>
      <c r="L662" s="761"/>
      <c r="M662" s="903"/>
      <c r="N662" s="761"/>
      <c r="O662" s="761"/>
    </row>
    <row r="663" spans="3:15">
      <c r="C663" s="751">
        <f>IF(D631="","-",+C662+1)</f>
        <v>2042</v>
      </c>
      <c r="D663" s="703">
        <f t="shared" si="37"/>
        <v>1293991.8048780491</v>
      </c>
      <c r="E663" s="758">
        <f t="shared" si="41"/>
        <v>80874.487804878052</v>
      </c>
      <c r="F663" s="703">
        <f t="shared" si="36"/>
        <v>1213117.317073171</v>
      </c>
      <c r="G663" s="1296">
        <f t="shared" si="38"/>
        <v>205125.3327355916</v>
      </c>
      <c r="H663" s="1299">
        <f t="shared" si="39"/>
        <v>205125.3327355916</v>
      </c>
      <c r="I663" s="755">
        <f t="shared" si="40"/>
        <v>0</v>
      </c>
      <c r="J663" s="755"/>
      <c r="K663" s="903"/>
      <c r="L663" s="761"/>
      <c r="M663" s="903"/>
      <c r="N663" s="761"/>
      <c r="O663" s="761"/>
    </row>
    <row r="664" spans="3:15">
      <c r="C664" s="751">
        <f>IF(D631="","-",+C663+1)</f>
        <v>2043</v>
      </c>
      <c r="D664" s="703">
        <f t="shared" si="37"/>
        <v>1213117.317073171</v>
      </c>
      <c r="E664" s="758">
        <f t="shared" si="41"/>
        <v>80874.487804878052</v>
      </c>
      <c r="F664" s="703">
        <f t="shared" si="36"/>
        <v>1132242.829268293</v>
      </c>
      <c r="G664" s="1296">
        <f t="shared" si="38"/>
        <v>197109.1491916746</v>
      </c>
      <c r="H664" s="1299">
        <f t="shared" si="39"/>
        <v>197109.1491916746</v>
      </c>
      <c r="I664" s="755">
        <f t="shared" si="40"/>
        <v>0</v>
      </c>
      <c r="J664" s="755"/>
      <c r="K664" s="903"/>
      <c r="L664" s="761"/>
      <c r="M664" s="903"/>
      <c r="N664" s="761"/>
      <c r="O664" s="761"/>
    </row>
    <row r="665" spans="3:15">
      <c r="C665" s="751">
        <f>IF(D631="","-",+C664+1)</f>
        <v>2044</v>
      </c>
      <c r="D665" s="703">
        <f t="shared" si="37"/>
        <v>1132242.829268293</v>
      </c>
      <c r="E665" s="758">
        <f t="shared" si="41"/>
        <v>80874.487804878052</v>
      </c>
      <c r="F665" s="703">
        <f t="shared" si="36"/>
        <v>1051368.341463415</v>
      </c>
      <c r="G665" s="1306">
        <f t="shared" si="38"/>
        <v>189092.96564775761</v>
      </c>
      <c r="H665" s="1299">
        <f t="shared" si="39"/>
        <v>189092.96564775761</v>
      </c>
      <c r="I665" s="755">
        <f t="shared" si="40"/>
        <v>0</v>
      </c>
      <c r="J665" s="755"/>
      <c r="K665" s="903"/>
      <c r="L665" s="761"/>
      <c r="M665" s="903"/>
      <c r="N665" s="761"/>
      <c r="O665" s="761"/>
    </row>
    <row r="666" spans="3:15">
      <c r="C666" s="751">
        <f>IF(D631="","-",+C665+1)</f>
        <v>2045</v>
      </c>
      <c r="D666" s="703">
        <f t="shared" si="37"/>
        <v>1051368.341463415</v>
      </c>
      <c r="E666" s="758">
        <f t="shared" si="41"/>
        <v>80874.487804878052</v>
      </c>
      <c r="F666" s="703">
        <f t="shared" si="36"/>
        <v>970493.85365853691</v>
      </c>
      <c r="G666" s="1296">
        <f t="shared" si="38"/>
        <v>181076.78210384061</v>
      </c>
      <c r="H666" s="1299">
        <f t="shared" si="39"/>
        <v>181076.78210384061</v>
      </c>
      <c r="I666" s="755">
        <f t="shared" si="40"/>
        <v>0</v>
      </c>
      <c r="J666" s="755"/>
      <c r="K666" s="903"/>
      <c r="L666" s="761"/>
      <c r="M666" s="903"/>
      <c r="N666" s="761"/>
      <c r="O666" s="761"/>
    </row>
    <row r="667" spans="3:15">
      <c r="C667" s="751">
        <f>IF(D631="","-",+C666+1)</f>
        <v>2046</v>
      </c>
      <c r="D667" s="703">
        <f t="shared" si="37"/>
        <v>970493.85365853691</v>
      </c>
      <c r="E667" s="758">
        <f t="shared" si="41"/>
        <v>80874.487804878052</v>
      </c>
      <c r="F667" s="703">
        <f t="shared" si="36"/>
        <v>889619.36585365888</v>
      </c>
      <c r="G667" s="1296">
        <f t="shared" si="38"/>
        <v>173060.59855992359</v>
      </c>
      <c r="H667" s="1299">
        <f t="shared" si="39"/>
        <v>173060.59855992359</v>
      </c>
      <c r="I667" s="755">
        <f t="shared" si="40"/>
        <v>0</v>
      </c>
      <c r="J667" s="755"/>
      <c r="K667" s="903"/>
      <c r="L667" s="761"/>
      <c r="M667" s="903"/>
      <c r="N667" s="761"/>
      <c r="O667" s="761"/>
    </row>
    <row r="668" spans="3:15">
      <c r="C668" s="751">
        <f>IF(D631="","-",+C667+1)</f>
        <v>2047</v>
      </c>
      <c r="D668" s="703">
        <f t="shared" si="37"/>
        <v>889619.36585365888</v>
      </c>
      <c r="E668" s="758">
        <f t="shared" si="41"/>
        <v>80874.487804878052</v>
      </c>
      <c r="F668" s="703">
        <f t="shared" si="36"/>
        <v>808744.87804878084</v>
      </c>
      <c r="G668" s="1296">
        <f t="shared" si="38"/>
        <v>165044.41501600662</v>
      </c>
      <c r="H668" s="1299">
        <f t="shared" si="39"/>
        <v>165044.41501600662</v>
      </c>
      <c r="I668" s="755">
        <f t="shared" si="40"/>
        <v>0</v>
      </c>
      <c r="J668" s="755"/>
      <c r="K668" s="903"/>
      <c r="L668" s="761"/>
      <c r="M668" s="903"/>
      <c r="N668" s="761"/>
      <c r="O668" s="761"/>
    </row>
    <row r="669" spans="3:15">
      <c r="C669" s="751">
        <f>IF(D631="","-",+C668+1)</f>
        <v>2048</v>
      </c>
      <c r="D669" s="703">
        <f t="shared" si="37"/>
        <v>808744.87804878084</v>
      </c>
      <c r="E669" s="758">
        <f t="shared" si="41"/>
        <v>80874.487804878052</v>
      </c>
      <c r="F669" s="703">
        <f t="shared" si="36"/>
        <v>727870.3902439028</v>
      </c>
      <c r="G669" s="1296">
        <f t="shared" si="38"/>
        <v>157028.2314720896</v>
      </c>
      <c r="H669" s="1299">
        <f t="shared" si="39"/>
        <v>157028.2314720896</v>
      </c>
      <c r="I669" s="755">
        <f t="shared" si="40"/>
        <v>0</v>
      </c>
      <c r="J669" s="755"/>
      <c r="K669" s="903"/>
      <c r="L669" s="761"/>
      <c r="M669" s="903"/>
      <c r="N669" s="761"/>
      <c r="O669" s="761"/>
    </row>
    <row r="670" spans="3:15">
      <c r="C670" s="751">
        <f>IF(D631="","-",+C669+1)</f>
        <v>2049</v>
      </c>
      <c r="D670" s="703">
        <f t="shared" si="37"/>
        <v>727870.3902439028</v>
      </c>
      <c r="E670" s="758">
        <f t="shared" si="41"/>
        <v>80874.487804878052</v>
      </c>
      <c r="F670" s="703">
        <f t="shared" si="36"/>
        <v>646995.90243902477</v>
      </c>
      <c r="G670" s="1296">
        <f t="shared" si="38"/>
        <v>149012.0479281726</v>
      </c>
      <c r="H670" s="1299">
        <f t="shared" si="39"/>
        <v>149012.0479281726</v>
      </c>
      <c r="I670" s="755">
        <f t="shared" si="40"/>
        <v>0</v>
      </c>
      <c r="J670" s="755"/>
      <c r="K670" s="903"/>
      <c r="L670" s="761"/>
      <c r="M670" s="903"/>
      <c r="N670" s="761"/>
      <c r="O670" s="761"/>
    </row>
    <row r="671" spans="3:15">
      <c r="C671" s="751">
        <f>IF(D631="","-",+C670+1)</f>
        <v>2050</v>
      </c>
      <c r="D671" s="703">
        <f t="shared" si="37"/>
        <v>646995.90243902477</v>
      </c>
      <c r="E671" s="758">
        <f t="shared" si="41"/>
        <v>80874.487804878052</v>
      </c>
      <c r="F671" s="703">
        <f t="shared" si="36"/>
        <v>566121.41463414673</v>
      </c>
      <c r="G671" s="1296">
        <f t="shared" si="38"/>
        <v>140995.8643842556</v>
      </c>
      <c r="H671" s="1299">
        <f t="shared" si="39"/>
        <v>140995.8643842556</v>
      </c>
      <c r="I671" s="755">
        <f t="shared" si="40"/>
        <v>0</v>
      </c>
      <c r="J671" s="755"/>
      <c r="K671" s="903"/>
      <c r="L671" s="761"/>
      <c r="M671" s="903"/>
      <c r="N671" s="761"/>
      <c r="O671" s="761"/>
    </row>
    <row r="672" spans="3:15">
      <c r="C672" s="751">
        <f>IF(D631="","-",+C671+1)</f>
        <v>2051</v>
      </c>
      <c r="D672" s="703">
        <f t="shared" si="37"/>
        <v>566121.41463414673</v>
      </c>
      <c r="E672" s="758">
        <f t="shared" si="41"/>
        <v>80874.487804878052</v>
      </c>
      <c r="F672" s="703">
        <f t="shared" si="36"/>
        <v>485246.92682926869</v>
      </c>
      <c r="G672" s="1296">
        <f t="shared" si="38"/>
        <v>132979.68084033861</v>
      </c>
      <c r="H672" s="1299">
        <f t="shared" si="39"/>
        <v>132979.68084033861</v>
      </c>
      <c r="I672" s="755">
        <f t="shared" si="40"/>
        <v>0</v>
      </c>
      <c r="J672" s="755"/>
      <c r="K672" s="903"/>
      <c r="L672" s="761"/>
      <c r="M672" s="903"/>
      <c r="N672" s="761"/>
      <c r="O672" s="761"/>
    </row>
    <row r="673" spans="3:15">
      <c r="C673" s="751">
        <f>IF(D631="","-",+C672+1)</f>
        <v>2052</v>
      </c>
      <c r="D673" s="703">
        <f t="shared" si="37"/>
        <v>485246.92682926869</v>
      </c>
      <c r="E673" s="758">
        <f t="shared" si="41"/>
        <v>80874.487804878052</v>
      </c>
      <c r="F673" s="703">
        <f t="shared" si="36"/>
        <v>404372.43902439065</v>
      </c>
      <c r="G673" s="1296">
        <f t="shared" si="38"/>
        <v>124963.4972964216</v>
      </c>
      <c r="H673" s="1299">
        <f t="shared" si="39"/>
        <v>124963.4972964216</v>
      </c>
      <c r="I673" s="755">
        <f t="shared" si="40"/>
        <v>0</v>
      </c>
      <c r="J673" s="755"/>
      <c r="K673" s="903"/>
      <c r="L673" s="761"/>
      <c r="M673" s="903"/>
      <c r="N673" s="761"/>
      <c r="O673" s="761"/>
    </row>
    <row r="674" spans="3:15">
      <c r="C674" s="751">
        <f>IF(D631="","-",+C673+1)</f>
        <v>2053</v>
      </c>
      <c r="D674" s="703">
        <f t="shared" si="37"/>
        <v>404372.43902439065</v>
      </c>
      <c r="E674" s="758">
        <f t="shared" si="41"/>
        <v>80874.487804878052</v>
      </c>
      <c r="F674" s="703">
        <f t="shared" si="36"/>
        <v>323497.95121951262</v>
      </c>
      <c r="G674" s="1296">
        <f t="shared" si="38"/>
        <v>116947.31375250459</v>
      </c>
      <c r="H674" s="1299">
        <f t="shared" si="39"/>
        <v>116947.31375250459</v>
      </c>
      <c r="I674" s="755">
        <f t="shared" si="40"/>
        <v>0</v>
      </c>
      <c r="J674" s="755"/>
      <c r="K674" s="903"/>
      <c r="L674" s="761"/>
      <c r="M674" s="903"/>
      <c r="N674" s="761"/>
      <c r="O674" s="761"/>
    </row>
    <row r="675" spans="3:15">
      <c r="C675" s="751">
        <f>IF(D631="","-",+C674+1)</f>
        <v>2054</v>
      </c>
      <c r="D675" s="703">
        <f t="shared" si="37"/>
        <v>323497.95121951262</v>
      </c>
      <c r="E675" s="758">
        <f t="shared" si="41"/>
        <v>80874.487804878052</v>
      </c>
      <c r="F675" s="703">
        <f t="shared" si="36"/>
        <v>242623.46341463458</v>
      </c>
      <c r="G675" s="1296">
        <f t="shared" si="38"/>
        <v>108931.13020858759</v>
      </c>
      <c r="H675" s="1299">
        <f t="shared" si="39"/>
        <v>108931.13020858759</v>
      </c>
      <c r="I675" s="755">
        <f t="shared" si="40"/>
        <v>0</v>
      </c>
      <c r="J675" s="755"/>
      <c r="K675" s="903"/>
      <c r="L675" s="761"/>
      <c r="M675" s="903"/>
      <c r="N675" s="761"/>
      <c r="O675" s="761"/>
    </row>
    <row r="676" spans="3:15">
      <c r="C676" s="751">
        <f>IF(D631="","-",+C675+1)</f>
        <v>2055</v>
      </c>
      <c r="D676" s="703">
        <f t="shared" si="37"/>
        <v>242623.46341463458</v>
      </c>
      <c r="E676" s="758">
        <f t="shared" si="41"/>
        <v>80874.487804878052</v>
      </c>
      <c r="F676" s="703">
        <f t="shared" si="36"/>
        <v>161748.97560975654</v>
      </c>
      <c r="G676" s="1296">
        <f t="shared" si="38"/>
        <v>100914.9466646706</v>
      </c>
      <c r="H676" s="1299">
        <f t="shared" si="39"/>
        <v>100914.9466646706</v>
      </c>
      <c r="I676" s="755">
        <f t="shared" si="40"/>
        <v>0</v>
      </c>
      <c r="J676" s="755"/>
      <c r="K676" s="903"/>
      <c r="L676" s="761"/>
      <c r="M676" s="903"/>
      <c r="N676" s="761"/>
      <c r="O676" s="761"/>
    </row>
    <row r="677" spans="3:15">
      <c r="C677" s="751">
        <f>IF(D631="","-",+C676+1)</f>
        <v>2056</v>
      </c>
      <c r="D677" s="703">
        <f t="shared" si="37"/>
        <v>161748.97560975654</v>
      </c>
      <c r="E677" s="758">
        <f t="shared" si="41"/>
        <v>80874.487804878052</v>
      </c>
      <c r="F677" s="703">
        <f t="shared" si="36"/>
        <v>80874.487804878489</v>
      </c>
      <c r="G677" s="1296">
        <f t="shared" si="38"/>
        <v>92898.763120753603</v>
      </c>
      <c r="H677" s="1299">
        <f t="shared" si="39"/>
        <v>92898.763120753603</v>
      </c>
      <c r="I677" s="755">
        <f t="shared" si="40"/>
        <v>0</v>
      </c>
      <c r="J677" s="755"/>
      <c r="K677" s="903"/>
      <c r="L677" s="761"/>
      <c r="M677" s="903"/>
      <c r="N677" s="761"/>
      <c r="O677" s="761"/>
    </row>
    <row r="678" spans="3:15">
      <c r="C678" s="751">
        <f>IF(D631="","-",+C677+1)</f>
        <v>2057</v>
      </c>
      <c r="D678" s="703">
        <f t="shared" si="37"/>
        <v>80874.487804878489</v>
      </c>
      <c r="E678" s="758">
        <f t="shared" si="41"/>
        <v>80874.487804878052</v>
      </c>
      <c r="F678" s="703">
        <f t="shared" si="36"/>
        <v>4.3655745685100555E-10</v>
      </c>
      <c r="G678" s="1296">
        <f t="shared" si="38"/>
        <v>84882.579576836593</v>
      </c>
      <c r="H678" s="1299">
        <f t="shared" si="39"/>
        <v>84882.579576836593</v>
      </c>
      <c r="I678" s="755">
        <f t="shared" si="40"/>
        <v>0</v>
      </c>
      <c r="J678" s="755"/>
      <c r="K678" s="903"/>
      <c r="L678" s="761"/>
      <c r="M678" s="903"/>
      <c r="N678" s="761"/>
      <c r="O678" s="761"/>
    </row>
    <row r="679" spans="3:15">
      <c r="C679" s="751">
        <f>IF(D631="","-",+C678+1)</f>
        <v>2058</v>
      </c>
      <c r="D679" s="703">
        <f t="shared" si="37"/>
        <v>4.3655745685100555E-10</v>
      </c>
      <c r="E679" s="758">
        <f t="shared" si="41"/>
        <v>4.3655745685100555E-10</v>
      </c>
      <c r="F679" s="703">
        <f t="shared" si="36"/>
        <v>0</v>
      </c>
      <c r="G679" s="1296">
        <f t="shared" si="38"/>
        <v>4.5819298615430341E-10</v>
      </c>
      <c r="H679" s="1299">
        <f t="shared" si="39"/>
        <v>4.5819298615430341E-10</v>
      </c>
      <c r="I679" s="755">
        <f t="shared" si="40"/>
        <v>0</v>
      </c>
      <c r="J679" s="755"/>
      <c r="K679" s="903"/>
      <c r="L679" s="761"/>
      <c r="M679" s="903"/>
      <c r="N679" s="761"/>
      <c r="O679" s="761"/>
    </row>
    <row r="680" spans="3:15">
      <c r="C680" s="751">
        <f>IF(D631="","-",+C679+1)</f>
        <v>2059</v>
      </c>
      <c r="D680" s="703">
        <f t="shared" si="37"/>
        <v>0</v>
      </c>
      <c r="E680" s="758">
        <f t="shared" si="41"/>
        <v>0</v>
      </c>
      <c r="F680" s="703">
        <f t="shared" si="36"/>
        <v>0</v>
      </c>
      <c r="G680" s="1296">
        <f t="shared" si="38"/>
        <v>0</v>
      </c>
      <c r="H680" s="1299">
        <f t="shared" si="39"/>
        <v>0</v>
      </c>
      <c r="I680" s="755">
        <f t="shared" si="40"/>
        <v>0</v>
      </c>
      <c r="J680" s="755"/>
      <c r="K680" s="903"/>
      <c r="L680" s="761"/>
      <c r="M680" s="903"/>
      <c r="N680" s="761"/>
      <c r="O680" s="761"/>
    </row>
    <row r="681" spans="3:15">
      <c r="C681" s="751">
        <f>IF(D631="","-",+C680+1)</f>
        <v>2060</v>
      </c>
      <c r="D681" s="703">
        <f t="shared" si="37"/>
        <v>0</v>
      </c>
      <c r="E681" s="758">
        <f t="shared" si="41"/>
        <v>0</v>
      </c>
      <c r="F681" s="703">
        <f t="shared" si="36"/>
        <v>0</v>
      </c>
      <c r="G681" s="1296">
        <f t="shared" si="38"/>
        <v>0</v>
      </c>
      <c r="H681" s="1299">
        <f t="shared" si="39"/>
        <v>0</v>
      </c>
      <c r="I681" s="755">
        <f t="shared" si="40"/>
        <v>0</v>
      </c>
      <c r="J681" s="755"/>
      <c r="K681" s="903"/>
      <c r="L681" s="761"/>
      <c r="M681" s="903"/>
      <c r="N681" s="761"/>
      <c r="O681" s="761"/>
    </row>
    <row r="682" spans="3:15">
      <c r="C682" s="751">
        <f>IF(D631="","-",+C681+1)</f>
        <v>2061</v>
      </c>
      <c r="D682" s="703">
        <f t="shared" si="37"/>
        <v>0</v>
      </c>
      <c r="E682" s="758">
        <f t="shared" si="41"/>
        <v>0</v>
      </c>
      <c r="F682" s="703">
        <f t="shared" si="36"/>
        <v>0</v>
      </c>
      <c r="G682" s="1296">
        <f t="shared" si="38"/>
        <v>0</v>
      </c>
      <c r="H682" s="1299">
        <f t="shared" si="39"/>
        <v>0</v>
      </c>
      <c r="I682" s="755">
        <f t="shared" si="40"/>
        <v>0</v>
      </c>
      <c r="J682" s="755"/>
      <c r="K682" s="903"/>
      <c r="L682" s="761"/>
      <c r="M682" s="903"/>
      <c r="N682" s="761"/>
      <c r="O682" s="761"/>
    </row>
    <row r="683" spans="3:15">
      <c r="C683" s="751">
        <f>IF(D631="","-",+C682+1)</f>
        <v>2062</v>
      </c>
      <c r="D683" s="703">
        <f t="shared" si="37"/>
        <v>0</v>
      </c>
      <c r="E683" s="758">
        <f t="shared" si="41"/>
        <v>0</v>
      </c>
      <c r="F683" s="703">
        <f t="shared" si="36"/>
        <v>0</v>
      </c>
      <c r="G683" s="1296">
        <f t="shared" si="38"/>
        <v>0</v>
      </c>
      <c r="H683" s="1299">
        <f t="shared" si="39"/>
        <v>0</v>
      </c>
      <c r="I683" s="755">
        <f t="shared" si="40"/>
        <v>0</v>
      </c>
      <c r="J683" s="755"/>
      <c r="K683" s="903"/>
      <c r="L683" s="761"/>
      <c r="M683" s="903"/>
      <c r="N683" s="761"/>
      <c r="O683" s="761"/>
    </row>
    <row r="684" spans="3:15">
      <c r="C684" s="751">
        <f>IF(D631="","-",+C683+1)</f>
        <v>2063</v>
      </c>
      <c r="D684" s="703">
        <f t="shared" si="37"/>
        <v>0</v>
      </c>
      <c r="E684" s="758">
        <f t="shared" si="41"/>
        <v>0</v>
      </c>
      <c r="F684" s="703">
        <f t="shared" si="36"/>
        <v>0</v>
      </c>
      <c r="G684" s="1296">
        <f t="shared" si="38"/>
        <v>0</v>
      </c>
      <c r="H684" s="1299">
        <f t="shared" si="39"/>
        <v>0</v>
      </c>
      <c r="I684" s="755">
        <f t="shared" si="40"/>
        <v>0</v>
      </c>
      <c r="J684" s="755"/>
      <c r="K684" s="903"/>
      <c r="L684" s="761"/>
      <c r="M684" s="903"/>
      <c r="N684" s="761"/>
      <c r="O684" s="761"/>
    </row>
    <row r="685" spans="3:15">
      <c r="C685" s="751">
        <f>IF(D631="","-",+C684+1)</f>
        <v>2064</v>
      </c>
      <c r="D685" s="703">
        <f t="shared" si="37"/>
        <v>0</v>
      </c>
      <c r="E685" s="758">
        <f t="shared" si="41"/>
        <v>0</v>
      </c>
      <c r="F685" s="703">
        <f t="shared" si="36"/>
        <v>0</v>
      </c>
      <c r="G685" s="1296">
        <f t="shared" si="38"/>
        <v>0</v>
      </c>
      <c r="H685" s="1299">
        <f t="shared" si="39"/>
        <v>0</v>
      </c>
      <c r="I685" s="755">
        <f t="shared" si="40"/>
        <v>0</v>
      </c>
      <c r="J685" s="755"/>
      <c r="K685" s="903"/>
      <c r="L685" s="761"/>
      <c r="M685" s="903"/>
      <c r="N685" s="761"/>
      <c r="O685" s="761"/>
    </row>
    <row r="686" spans="3:15">
      <c r="C686" s="751">
        <f>IF(D631="","-",+C685+1)</f>
        <v>2065</v>
      </c>
      <c r="D686" s="703">
        <f t="shared" si="37"/>
        <v>0</v>
      </c>
      <c r="E686" s="758">
        <f t="shared" si="41"/>
        <v>0</v>
      </c>
      <c r="F686" s="703">
        <f t="shared" si="36"/>
        <v>0</v>
      </c>
      <c r="G686" s="1296">
        <f t="shared" si="38"/>
        <v>0</v>
      </c>
      <c r="H686" s="1299">
        <f t="shared" si="39"/>
        <v>0</v>
      </c>
      <c r="I686" s="755">
        <f t="shared" si="40"/>
        <v>0</v>
      </c>
      <c r="J686" s="755"/>
      <c r="K686" s="903"/>
      <c r="L686" s="761"/>
      <c r="M686" s="903"/>
      <c r="N686" s="761"/>
      <c r="O686" s="761"/>
    </row>
    <row r="687" spans="3:15">
      <c r="C687" s="751">
        <f>IF(D631="","-",+C686+1)</f>
        <v>2066</v>
      </c>
      <c r="D687" s="703">
        <f t="shared" si="37"/>
        <v>0</v>
      </c>
      <c r="E687" s="758">
        <f t="shared" si="41"/>
        <v>0</v>
      </c>
      <c r="F687" s="703">
        <f t="shared" si="36"/>
        <v>0</v>
      </c>
      <c r="G687" s="1296">
        <f t="shared" si="38"/>
        <v>0</v>
      </c>
      <c r="H687" s="1299">
        <f t="shared" si="39"/>
        <v>0</v>
      </c>
      <c r="I687" s="755">
        <f t="shared" si="40"/>
        <v>0</v>
      </c>
      <c r="J687" s="755"/>
      <c r="K687" s="903"/>
      <c r="L687" s="761"/>
      <c r="M687" s="903"/>
      <c r="N687" s="761"/>
      <c r="O687" s="761"/>
    </row>
    <row r="688" spans="3:15">
      <c r="C688" s="751">
        <f>IF(D631="","-",+C687+1)</f>
        <v>2067</v>
      </c>
      <c r="D688" s="703">
        <f t="shared" si="37"/>
        <v>0</v>
      </c>
      <c r="E688" s="758">
        <f t="shared" si="41"/>
        <v>0</v>
      </c>
      <c r="F688" s="703">
        <f t="shared" si="36"/>
        <v>0</v>
      </c>
      <c r="G688" s="1296">
        <f t="shared" si="38"/>
        <v>0</v>
      </c>
      <c r="H688" s="1299">
        <f t="shared" si="39"/>
        <v>0</v>
      </c>
      <c r="I688" s="755">
        <f t="shared" si="40"/>
        <v>0</v>
      </c>
      <c r="J688" s="755"/>
      <c r="K688" s="903"/>
      <c r="L688" s="761"/>
      <c r="M688" s="903"/>
      <c r="N688" s="761"/>
      <c r="O688" s="761"/>
    </row>
    <row r="689" spans="3:15">
      <c r="C689" s="751">
        <f>IF(D631="","-",+C688+1)</f>
        <v>2068</v>
      </c>
      <c r="D689" s="703">
        <f t="shared" si="37"/>
        <v>0</v>
      </c>
      <c r="E689" s="758">
        <f t="shared" si="41"/>
        <v>0</v>
      </c>
      <c r="F689" s="703">
        <f t="shared" si="36"/>
        <v>0</v>
      </c>
      <c r="G689" s="1296">
        <f t="shared" si="38"/>
        <v>0</v>
      </c>
      <c r="H689" s="1299">
        <f t="shared" si="39"/>
        <v>0</v>
      </c>
      <c r="I689" s="755">
        <f t="shared" si="40"/>
        <v>0</v>
      </c>
      <c r="J689" s="755"/>
      <c r="K689" s="903"/>
      <c r="L689" s="761"/>
      <c r="M689" s="903"/>
      <c r="N689" s="761"/>
      <c r="O689" s="761"/>
    </row>
    <row r="690" spans="3:15">
      <c r="C690" s="751">
        <f>IF(D631="","-",+C689+1)</f>
        <v>2069</v>
      </c>
      <c r="D690" s="703">
        <f t="shared" si="37"/>
        <v>0</v>
      </c>
      <c r="E690" s="758">
        <f t="shared" si="41"/>
        <v>0</v>
      </c>
      <c r="F690" s="703">
        <f t="shared" si="36"/>
        <v>0</v>
      </c>
      <c r="G690" s="1296">
        <f t="shared" si="38"/>
        <v>0</v>
      </c>
      <c r="H690" s="1299">
        <f t="shared" si="39"/>
        <v>0</v>
      </c>
      <c r="I690" s="755">
        <f t="shared" si="40"/>
        <v>0</v>
      </c>
      <c r="J690" s="755"/>
      <c r="K690" s="903"/>
      <c r="L690" s="761"/>
      <c r="M690" s="903"/>
      <c r="N690" s="761"/>
      <c r="O690" s="761"/>
    </row>
    <row r="691" spans="3:15">
      <c r="C691" s="751">
        <f>IF(D631="","-",+C690+1)</f>
        <v>2070</v>
      </c>
      <c r="D691" s="703">
        <f t="shared" si="37"/>
        <v>0</v>
      </c>
      <c r="E691" s="758">
        <f t="shared" si="41"/>
        <v>0</v>
      </c>
      <c r="F691" s="703">
        <f t="shared" si="36"/>
        <v>0</v>
      </c>
      <c r="G691" s="1296">
        <f t="shared" si="38"/>
        <v>0</v>
      </c>
      <c r="H691" s="1299">
        <f t="shared" si="39"/>
        <v>0</v>
      </c>
      <c r="I691" s="755">
        <f t="shared" si="40"/>
        <v>0</v>
      </c>
      <c r="J691" s="755"/>
      <c r="K691" s="903"/>
      <c r="L691" s="761"/>
      <c r="M691" s="903"/>
      <c r="N691" s="761"/>
      <c r="O691" s="761"/>
    </row>
    <row r="692" spans="3:15">
      <c r="C692" s="751">
        <f>IF(D631="","-",+C691+1)</f>
        <v>2071</v>
      </c>
      <c r="D692" s="703">
        <f t="shared" si="37"/>
        <v>0</v>
      </c>
      <c r="E692" s="758">
        <f t="shared" si="41"/>
        <v>0</v>
      </c>
      <c r="F692" s="703">
        <f t="shared" si="36"/>
        <v>0</v>
      </c>
      <c r="G692" s="1296">
        <f t="shared" si="38"/>
        <v>0</v>
      </c>
      <c r="H692" s="1299">
        <f t="shared" si="39"/>
        <v>0</v>
      </c>
      <c r="I692" s="755">
        <f t="shared" si="40"/>
        <v>0</v>
      </c>
      <c r="J692" s="755"/>
      <c r="K692" s="903"/>
      <c r="L692" s="761"/>
      <c r="M692" s="903"/>
      <c r="N692" s="761"/>
      <c r="O692" s="761"/>
    </row>
    <row r="693" spans="3:15">
      <c r="C693" s="751">
        <f>IF(D631="","-",+C692+1)</f>
        <v>2072</v>
      </c>
      <c r="D693" s="703">
        <f t="shared" si="37"/>
        <v>0</v>
      </c>
      <c r="E693" s="758">
        <f t="shared" si="41"/>
        <v>0</v>
      </c>
      <c r="F693" s="703">
        <f t="shared" si="36"/>
        <v>0</v>
      </c>
      <c r="G693" s="1296">
        <f t="shared" si="38"/>
        <v>0</v>
      </c>
      <c r="H693" s="1299">
        <f t="shared" si="39"/>
        <v>0</v>
      </c>
      <c r="I693" s="755">
        <f t="shared" si="40"/>
        <v>0</v>
      </c>
      <c r="J693" s="755"/>
      <c r="K693" s="903"/>
      <c r="L693" s="761"/>
      <c r="M693" s="903"/>
      <c r="N693" s="761"/>
      <c r="O693" s="761"/>
    </row>
    <row r="694" spans="3:15">
      <c r="C694" s="751">
        <f>IF(D631="","-",+C693+1)</f>
        <v>2073</v>
      </c>
      <c r="D694" s="703">
        <f t="shared" si="37"/>
        <v>0</v>
      </c>
      <c r="E694" s="758">
        <f t="shared" si="41"/>
        <v>0</v>
      </c>
      <c r="F694" s="703">
        <f t="shared" si="36"/>
        <v>0</v>
      </c>
      <c r="G694" s="1296">
        <f t="shared" si="38"/>
        <v>0</v>
      </c>
      <c r="H694" s="1299">
        <f t="shared" si="39"/>
        <v>0</v>
      </c>
      <c r="I694" s="755">
        <f t="shared" si="40"/>
        <v>0</v>
      </c>
      <c r="J694" s="755"/>
      <c r="K694" s="903"/>
      <c r="L694" s="761"/>
      <c r="M694" s="903"/>
      <c r="N694" s="761"/>
      <c r="O694" s="761"/>
    </row>
    <row r="695" spans="3:15">
      <c r="C695" s="751">
        <f>IF(D631="","-",+C694+1)</f>
        <v>2074</v>
      </c>
      <c r="D695" s="703">
        <f t="shared" si="37"/>
        <v>0</v>
      </c>
      <c r="E695" s="758">
        <f t="shared" si="41"/>
        <v>0</v>
      </c>
      <c r="F695" s="703">
        <f t="shared" si="36"/>
        <v>0</v>
      </c>
      <c r="G695" s="1296">
        <f t="shared" si="38"/>
        <v>0</v>
      </c>
      <c r="H695" s="1299">
        <f t="shared" si="39"/>
        <v>0</v>
      </c>
      <c r="I695" s="755">
        <f t="shared" si="40"/>
        <v>0</v>
      </c>
      <c r="J695" s="755"/>
      <c r="K695" s="903"/>
      <c r="L695" s="761"/>
      <c r="M695" s="903"/>
      <c r="N695" s="761"/>
      <c r="O695" s="761"/>
    </row>
    <row r="696" spans="3:15" ht="13.5" thickBot="1">
      <c r="C696" s="762">
        <f>IF(D631="","-",+C695+1)</f>
        <v>2075</v>
      </c>
      <c r="D696" s="763">
        <f t="shared" si="37"/>
        <v>0</v>
      </c>
      <c r="E696" s="764">
        <f t="shared" si="41"/>
        <v>0</v>
      </c>
      <c r="F696" s="763">
        <f t="shared" si="36"/>
        <v>0</v>
      </c>
      <c r="G696" s="1307">
        <f t="shared" si="38"/>
        <v>0</v>
      </c>
      <c r="H696" s="1307">
        <f t="shared" si="39"/>
        <v>0</v>
      </c>
      <c r="I696" s="766">
        <f t="shared" si="40"/>
        <v>0</v>
      </c>
      <c r="J696" s="755"/>
      <c r="K696" s="904"/>
      <c r="L696" s="768"/>
      <c r="M696" s="904"/>
      <c r="N696" s="768"/>
      <c r="O696" s="768"/>
    </row>
    <row r="697" spans="3:15">
      <c r="C697" s="703" t="s">
        <v>289</v>
      </c>
      <c r="D697" s="1277"/>
      <c r="E697" s="1277">
        <f>SUM(E637:E696)</f>
        <v>3315854.0000000005</v>
      </c>
      <c r="F697" s="1277"/>
      <c r="G697" s="1277">
        <f>SUM(G637:G696)</f>
        <v>10382119.793962838</v>
      </c>
      <c r="H697" s="1277">
        <f>SUM(H637:H696)</f>
        <v>10382119.793962838</v>
      </c>
      <c r="I697" s="1277">
        <f>SUM(I637:I696)</f>
        <v>0</v>
      </c>
      <c r="J697" s="1277"/>
      <c r="K697" s="1277"/>
      <c r="L697" s="1277"/>
      <c r="M697" s="1277"/>
      <c r="N697" s="1277"/>
      <c r="O697" s="570"/>
    </row>
    <row r="698" spans="3:15">
      <c r="D698" s="593"/>
      <c r="E698" s="570"/>
      <c r="F698" s="570"/>
      <c r="G698" s="570"/>
      <c r="H698" s="1276"/>
      <c r="I698" s="1276"/>
      <c r="J698" s="1277"/>
      <c r="K698" s="1276"/>
      <c r="L698" s="1276"/>
      <c r="M698" s="1276"/>
      <c r="N698" s="1276"/>
      <c r="O698" s="570"/>
    </row>
    <row r="699" spans="3:15">
      <c r="C699" s="1308" t="s">
        <v>968</v>
      </c>
      <c r="D699" s="593"/>
      <c r="E699" s="570"/>
      <c r="F699" s="570"/>
      <c r="G699" s="570"/>
      <c r="H699" s="1276"/>
      <c r="I699" s="1276"/>
      <c r="J699" s="1277"/>
      <c r="K699" s="1276"/>
      <c r="L699" s="1276"/>
      <c r="M699" s="1276"/>
      <c r="N699" s="1276"/>
      <c r="O699" s="570"/>
    </row>
    <row r="700" spans="3:15">
      <c r="D700" s="593"/>
      <c r="E700" s="570"/>
      <c r="F700" s="570"/>
      <c r="G700" s="570"/>
      <c r="H700" s="1276"/>
      <c r="I700" s="1276"/>
      <c r="J700" s="1277"/>
      <c r="K700" s="1276"/>
      <c r="L700" s="1276"/>
      <c r="M700" s="1276"/>
      <c r="N700" s="1276"/>
      <c r="O700" s="570"/>
    </row>
    <row r="701" spans="3:15">
      <c r="C701" s="716" t="s">
        <v>969</v>
      </c>
      <c r="D701" s="703"/>
      <c r="E701" s="703"/>
      <c r="F701" s="703"/>
      <c r="G701" s="1277"/>
      <c r="H701" s="1277"/>
      <c r="I701" s="704"/>
      <c r="J701" s="704"/>
      <c r="K701" s="704"/>
      <c r="L701" s="704"/>
      <c r="M701" s="704"/>
      <c r="N701" s="704"/>
      <c r="O701" s="570"/>
    </row>
    <row r="702" spans="3:15">
      <c r="C702" s="702" t="s">
        <v>477</v>
      </c>
      <c r="D702" s="703"/>
      <c r="E702" s="703"/>
      <c r="F702" s="703"/>
      <c r="G702" s="1277"/>
      <c r="H702" s="1277"/>
      <c r="I702" s="704"/>
      <c r="J702" s="704"/>
      <c r="K702" s="704"/>
      <c r="L702" s="704"/>
      <c r="M702" s="704"/>
      <c r="N702" s="704"/>
      <c r="O702" s="570"/>
    </row>
    <row r="703" spans="3:15">
      <c r="C703" s="702" t="s">
        <v>290</v>
      </c>
      <c r="D703" s="703"/>
      <c r="E703" s="703"/>
      <c r="F703" s="703"/>
      <c r="G703" s="1277"/>
      <c r="H703" s="1277"/>
      <c r="I703" s="704"/>
      <c r="J703" s="704"/>
      <c r="K703" s="704"/>
      <c r="L703" s="704"/>
      <c r="M703" s="704"/>
      <c r="N703" s="704"/>
      <c r="O703" s="570"/>
    </row>
    <row r="704" spans="3:15">
      <c r="C704" s="702"/>
      <c r="D704" s="703"/>
      <c r="E704" s="703"/>
      <c r="F704" s="703"/>
      <c r="G704" s="1277"/>
      <c r="H704" s="1277"/>
      <c r="I704" s="704"/>
      <c r="J704" s="704"/>
      <c r="K704" s="704"/>
      <c r="L704" s="704"/>
      <c r="M704" s="704"/>
      <c r="N704" s="704"/>
      <c r="O704" s="570"/>
    </row>
    <row r="705" spans="1:16">
      <c r="C705" s="1507" t="s">
        <v>461</v>
      </c>
      <c r="D705" s="1507"/>
      <c r="E705" s="1507"/>
      <c r="F705" s="1507"/>
      <c r="G705" s="1507"/>
      <c r="H705" s="1507"/>
      <c r="I705" s="1507"/>
      <c r="J705" s="1507"/>
      <c r="K705" s="1507"/>
      <c r="L705" s="1507"/>
      <c r="M705" s="1507"/>
      <c r="N705" s="1507"/>
      <c r="O705" s="1507"/>
    </row>
    <row r="706" spans="1:16">
      <c r="C706" s="1507"/>
      <c r="D706" s="1507"/>
      <c r="E706" s="1507"/>
      <c r="F706" s="1507"/>
      <c r="G706" s="1507"/>
      <c r="H706" s="1507"/>
      <c r="I706" s="1507"/>
      <c r="J706" s="1507"/>
      <c r="K706" s="1507"/>
      <c r="L706" s="1507"/>
      <c r="M706" s="1507"/>
      <c r="N706" s="1507"/>
      <c r="O706" s="1507"/>
    </row>
    <row r="707" spans="1:16" ht="20.25">
      <c r="A707" s="705" t="s">
        <v>965</v>
      </c>
      <c r="B707" s="606"/>
      <c r="C707" s="685"/>
      <c r="D707" s="593"/>
      <c r="E707" s="570"/>
      <c r="F707" s="675"/>
      <c r="G707" s="570"/>
      <c r="H707" s="1276"/>
      <c r="K707" s="706"/>
      <c r="L707" s="706"/>
      <c r="M707" s="706"/>
      <c r="N707" s="621" t="str">
        <f>"Page "&amp;P707&amp;" of "</f>
        <v xml:space="preserve">Page 9 of </v>
      </c>
      <c r="O707" s="622">
        <f>COUNT(P$6:P$59527)</f>
        <v>10</v>
      </c>
      <c r="P707" s="570">
        <v>9</v>
      </c>
    </row>
    <row r="708" spans="1:16">
      <c r="B708" s="606"/>
      <c r="C708" s="570"/>
      <c r="D708" s="593"/>
      <c r="E708" s="570"/>
      <c r="F708" s="570"/>
      <c r="G708" s="570"/>
      <c r="H708" s="1276"/>
      <c r="I708" s="570"/>
      <c r="J708" s="618"/>
      <c r="K708" s="570"/>
      <c r="L708" s="570"/>
      <c r="M708" s="570"/>
      <c r="N708" s="570"/>
      <c r="O708" s="570"/>
    </row>
    <row r="709" spans="1:16" ht="18">
      <c r="B709" s="625" t="s">
        <v>175</v>
      </c>
      <c r="C709" s="707" t="s">
        <v>291</v>
      </c>
      <c r="D709" s="593"/>
      <c r="E709" s="570"/>
      <c r="F709" s="570"/>
      <c r="G709" s="570"/>
      <c r="H709" s="1276"/>
      <c r="I709" s="1276"/>
      <c r="J709" s="1277"/>
      <c r="K709" s="1276"/>
      <c r="L709" s="1276"/>
      <c r="M709" s="1276"/>
      <c r="N709" s="1276"/>
      <c r="O709" s="570"/>
    </row>
    <row r="710" spans="1:16" ht="18.75">
      <c r="B710" s="625"/>
      <c r="C710" s="624"/>
      <c r="D710" s="593"/>
      <c r="E710" s="570"/>
      <c r="F710" s="570"/>
      <c r="G710" s="570"/>
      <c r="H710" s="1276"/>
      <c r="I710" s="1276"/>
      <c r="J710" s="1277"/>
      <c r="K710" s="1276"/>
      <c r="L710" s="1276"/>
      <c r="M710" s="1276"/>
      <c r="N710" s="1276"/>
      <c r="O710" s="570"/>
    </row>
    <row r="711" spans="1:16" ht="18.75">
      <c r="B711" s="625"/>
      <c r="C711" s="624" t="s">
        <v>292</v>
      </c>
      <c r="D711" s="593"/>
      <c r="E711" s="570"/>
      <c r="F711" s="570"/>
      <c r="G711" s="570"/>
      <c r="H711" s="1276"/>
      <c r="I711" s="1276"/>
      <c r="J711" s="1277"/>
      <c r="K711" s="1276"/>
      <c r="L711" s="1276"/>
      <c r="M711" s="1276"/>
      <c r="N711" s="1276"/>
      <c r="O711" s="570"/>
    </row>
    <row r="712" spans="1:16" ht="15.75" thickBot="1">
      <c r="C712" s="423"/>
      <c r="D712" s="593"/>
      <c r="E712" s="570"/>
      <c r="F712" s="570"/>
      <c r="G712" s="570"/>
      <c r="H712" s="1276"/>
      <c r="I712" s="1276"/>
      <c r="J712" s="1277"/>
      <c r="K712" s="1276"/>
      <c r="L712" s="1276"/>
      <c r="M712" s="1276"/>
      <c r="N712" s="1276"/>
      <c r="O712" s="570"/>
    </row>
    <row r="713" spans="1:16" ht="15.75">
      <c r="C713" s="626" t="s">
        <v>293</v>
      </c>
      <c r="D713" s="593"/>
      <c r="E713" s="570"/>
      <c r="F713" s="570"/>
      <c r="G713" s="1278"/>
      <c r="H713" s="570" t="s">
        <v>272</v>
      </c>
      <c r="I713" s="570"/>
      <c r="J713" s="618"/>
      <c r="K713" s="708" t="s">
        <v>297</v>
      </c>
      <c r="L713" s="709"/>
      <c r="M713" s="710"/>
      <c r="N713" s="1279">
        <f>VLOOKUP(I719,C726:O785,5)</f>
        <v>77581.849471761481</v>
      </c>
      <c r="O713" s="570"/>
    </row>
    <row r="714" spans="1:16" ht="15.75">
      <c r="C714" s="626"/>
      <c r="D714" s="593"/>
      <c r="E714" s="570"/>
      <c r="F714" s="570"/>
      <c r="G714" s="570"/>
      <c r="H714" s="1280"/>
      <c r="I714" s="1280"/>
      <c r="J714" s="1281"/>
      <c r="K714" s="713" t="s">
        <v>298</v>
      </c>
      <c r="L714" s="1282"/>
      <c r="M714" s="618"/>
      <c r="N714" s="1283">
        <f>VLOOKUP(I719,C726:O785,6)</f>
        <v>77581.849471761481</v>
      </c>
      <c r="O714" s="570"/>
    </row>
    <row r="715" spans="1:16" ht="13.5" thickBot="1">
      <c r="C715" s="714" t="s">
        <v>294</v>
      </c>
      <c r="D715" s="1508" t="s">
        <v>983</v>
      </c>
      <c r="E715" s="1509"/>
      <c r="F715" s="1509"/>
      <c r="G715" s="1509"/>
      <c r="H715" s="1509"/>
      <c r="I715" s="1509"/>
      <c r="J715" s="1277"/>
      <c r="K715" s="1284" t="s">
        <v>451</v>
      </c>
      <c r="L715" s="1285"/>
      <c r="M715" s="1285"/>
      <c r="N715" s="1286">
        <f>+N714-N713</f>
        <v>0</v>
      </c>
      <c r="O715" s="570"/>
    </row>
    <row r="716" spans="1:16">
      <c r="C716" s="716"/>
      <c r="D716" s="1509"/>
      <c r="E716" s="1509"/>
      <c r="F716" s="1509"/>
      <c r="G716" s="1509"/>
      <c r="H716" s="1509"/>
      <c r="I716" s="1509"/>
      <c r="J716" s="1277"/>
      <c r="K716" s="1276"/>
      <c r="L716" s="1276"/>
      <c r="M716" s="1276"/>
      <c r="N716" s="1276"/>
      <c r="O716" s="570"/>
    </row>
    <row r="717" spans="1:16" ht="13.5" thickBot="1">
      <c r="C717" s="719"/>
      <c r="D717" s="720"/>
      <c r="E717" s="718"/>
      <c r="F717" s="718"/>
      <c r="G717" s="718"/>
      <c r="H717" s="718"/>
      <c r="I717" s="718"/>
      <c r="J717" s="721"/>
      <c r="K717" s="718"/>
      <c r="L717" s="718"/>
      <c r="M717" s="718"/>
      <c r="N717" s="718"/>
      <c r="O717" s="606"/>
    </row>
    <row r="718" spans="1:16" ht="13.5" thickBot="1">
      <c r="C718" s="722" t="s">
        <v>295</v>
      </c>
      <c r="D718" s="723"/>
      <c r="E718" s="723"/>
      <c r="F718" s="723"/>
      <c r="G718" s="723"/>
      <c r="H718" s="723"/>
      <c r="I718" s="724"/>
      <c r="J718" s="725"/>
      <c r="K718" s="570"/>
      <c r="L718" s="570"/>
      <c r="M718" s="570"/>
      <c r="N718" s="570"/>
      <c r="O718" s="726"/>
    </row>
    <row r="719" spans="1:16" ht="15">
      <c r="C719" s="728" t="s">
        <v>273</v>
      </c>
      <c r="D719" s="1287">
        <v>653739.25</v>
      </c>
      <c r="E719" s="685" t="s">
        <v>274</v>
      </c>
      <c r="G719" s="729"/>
      <c r="H719" s="729"/>
      <c r="I719" s="730">
        <f>I630</f>
        <v>2021</v>
      </c>
      <c r="J719" s="616"/>
      <c r="K719" s="1506" t="s">
        <v>460</v>
      </c>
      <c r="L719" s="1506"/>
      <c r="M719" s="1506"/>
      <c r="N719" s="1506"/>
      <c r="O719" s="1506"/>
    </row>
    <row r="720" spans="1:16">
      <c r="C720" s="728" t="s">
        <v>276</v>
      </c>
      <c r="D720" s="898">
        <v>2019</v>
      </c>
      <c r="E720" s="728" t="s">
        <v>277</v>
      </c>
      <c r="F720" s="729"/>
      <c r="H720" s="357"/>
      <c r="I720" s="901">
        <f>IF(G713="",0,$F$15)</f>
        <v>0</v>
      </c>
      <c r="J720" s="731"/>
      <c r="K720" s="1277" t="s">
        <v>460</v>
      </c>
    </row>
    <row r="721" spans="1:15">
      <c r="C721" s="728" t="s">
        <v>278</v>
      </c>
      <c r="D721" s="1287">
        <v>6</v>
      </c>
      <c r="E721" s="728" t="s">
        <v>279</v>
      </c>
      <c r="F721" s="729"/>
      <c r="H721" s="357"/>
      <c r="I721" s="732">
        <f>$G$70</f>
        <v>9.9118816841934854E-2</v>
      </c>
      <c r="J721" s="733"/>
      <c r="K721" s="357" t="str">
        <f>"          INPUT PROJECTED ARR (WITH &amp; WITHOUT INCENTIVES) FROM EACH PRIOR YEAR"</f>
        <v xml:space="preserve">          INPUT PROJECTED ARR (WITH &amp; WITHOUT INCENTIVES) FROM EACH PRIOR YEAR</v>
      </c>
    </row>
    <row r="722" spans="1:15">
      <c r="C722" s="728" t="s">
        <v>280</v>
      </c>
      <c r="D722" s="734">
        <f>G$79</f>
        <v>41</v>
      </c>
      <c r="E722" s="728" t="s">
        <v>281</v>
      </c>
      <c r="F722" s="729"/>
      <c r="H722" s="357"/>
      <c r="I722" s="732">
        <f>IF(G713="",I721,$G$67)</f>
        <v>9.9118816841934854E-2</v>
      </c>
      <c r="J722" s="735"/>
      <c r="K722" s="357" t="s">
        <v>358</v>
      </c>
    </row>
    <row r="723" spans="1:15" ht="13.5" thickBot="1">
      <c r="C723" s="728" t="s">
        <v>282</v>
      </c>
      <c r="D723" s="900" t="s">
        <v>967</v>
      </c>
      <c r="E723" s="736" t="s">
        <v>283</v>
      </c>
      <c r="F723" s="737"/>
      <c r="G723" s="738"/>
      <c r="H723" s="738"/>
      <c r="I723" s="1286">
        <f>IF(D719=0,0,D719/D722)</f>
        <v>15944.859756097561</v>
      </c>
      <c r="J723" s="1277"/>
      <c r="K723" s="1277" t="s">
        <v>364</v>
      </c>
      <c r="L723" s="1277"/>
      <c r="M723" s="1277"/>
      <c r="N723" s="1277"/>
      <c r="O723" s="618"/>
    </row>
    <row r="724" spans="1:15" ht="51">
      <c r="A724" s="557"/>
      <c r="B724" s="1288"/>
      <c r="C724" s="739" t="s">
        <v>273</v>
      </c>
      <c r="D724" s="1289" t="s">
        <v>284</v>
      </c>
      <c r="E724" s="1290" t="s">
        <v>285</v>
      </c>
      <c r="F724" s="1289" t="s">
        <v>286</v>
      </c>
      <c r="G724" s="1290" t="s">
        <v>357</v>
      </c>
      <c r="H724" s="1291" t="s">
        <v>357</v>
      </c>
      <c r="I724" s="739" t="s">
        <v>296</v>
      </c>
      <c r="J724" s="743"/>
      <c r="K724" s="1290" t="s">
        <v>366</v>
      </c>
      <c r="L724" s="1292"/>
      <c r="M724" s="1290" t="s">
        <v>366</v>
      </c>
      <c r="N724" s="1292"/>
      <c r="O724" s="1292"/>
    </row>
    <row r="725" spans="1:15" ht="13.5" thickBot="1">
      <c r="C725" s="745" t="s">
        <v>178</v>
      </c>
      <c r="D725" s="746" t="s">
        <v>179</v>
      </c>
      <c r="E725" s="745" t="s">
        <v>38</v>
      </c>
      <c r="F725" s="746" t="s">
        <v>179</v>
      </c>
      <c r="G725" s="1293" t="s">
        <v>299</v>
      </c>
      <c r="H725" s="1294" t="s">
        <v>301</v>
      </c>
      <c r="I725" s="749" t="s">
        <v>390</v>
      </c>
      <c r="J725" s="750"/>
      <c r="K725" s="1293" t="s">
        <v>288</v>
      </c>
      <c r="L725" s="1295"/>
      <c r="M725" s="1293" t="s">
        <v>301</v>
      </c>
      <c r="N725" s="1295"/>
      <c r="O725" s="1295"/>
    </row>
    <row r="726" spans="1:15">
      <c r="C726" s="751">
        <f>IF(D720= "","-",D720)</f>
        <v>2019</v>
      </c>
      <c r="D726" s="703">
        <f>+D719</f>
        <v>653739.25</v>
      </c>
      <c r="E726" s="1296">
        <f>+I723/12*(12-D721)</f>
        <v>7972.4298780487807</v>
      </c>
      <c r="F726" s="703">
        <f>+D726-E726</f>
        <v>645766.82012195117</v>
      </c>
      <c r="G726" s="1297">
        <f>+$I$721*((D726+F726)/2)+E726</f>
        <v>72375.181952748884</v>
      </c>
      <c r="H726" s="1298">
        <f>+$I$722*((D726+F726)/2)+E726</f>
        <v>72375.181952748884</v>
      </c>
      <c r="I726" s="755">
        <f>+H726-G726</f>
        <v>0</v>
      </c>
      <c r="J726" s="755"/>
      <c r="K726" s="903">
        <v>67813.107115754596</v>
      </c>
      <c r="L726" s="757"/>
      <c r="M726" s="903">
        <v>67813.107115754596</v>
      </c>
      <c r="N726" s="757"/>
      <c r="O726" s="757"/>
    </row>
    <row r="727" spans="1:15">
      <c r="C727" s="751">
        <f>IF(D720="","-",+C726+1)</f>
        <v>2020</v>
      </c>
      <c r="D727" s="703">
        <f t="shared" ref="D727:D785" si="42">F726</f>
        <v>645766.82012195117</v>
      </c>
      <c r="E727" s="758">
        <f>IF(D727&gt;$I$723,$I$723,D727)</f>
        <v>15944.859756097561</v>
      </c>
      <c r="F727" s="703">
        <f>+D727-E727</f>
        <v>629821.96036585362</v>
      </c>
      <c r="G727" s="1296">
        <f>+$I$721*((D727+F727)/2)+E727</f>
        <v>79162.285105496441</v>
      </c>
      <c r="H727" s="1299">
        <f>+$I$722*((D727+F727)/2)+E727</f>
        <v>79162.285105496441</v>
      </c>
      <c r="I727" s="755">
        <f t="shared" ref="I727:I785" si="43">+H727-G727</f>
        <v>0</v>
      </c>
      <c r="J727" s="755"/>
      <c r="K727" s="903">
        <v>66522.420324549836</v>
      </c>
      <c r="L727" s="761"/>
      <c r="M727" s="903">
        <v>66522.420324549836</v>
      </c>
      <c r="N727" s="761"/>
      <c r="O727" s="761"/>
    </row>
    <row r="728" spans="1:15">
      <c r="C728" s="1313">
        <f>IF(D720="","-",+C727+1)</f>
        <v>2021</v>
      </c>
      <c r="D728" s="1301">
        <f t="shared" si="42"/>
        <v>629821.96036585362</v>
      </c>
      <c r="E728" s="758">
        <f t="shared" ref="E728:E785" si="44">IF(D728&gt;$I$723,$I$723,D728)</f>
        <v>15944.859756097561</v>
      </c>
      <c r="F728" s="703">
        <f t="shared" ref="F728:F785" si="45">+D728-E728</f>
        <v>613877.10060975607</v>
      </c>
      <c r="G728" s="1296">
        <f t="shared" ref="G728:G785" si="46">+$I$721*((D728+F728)/2)+E728</f>
        <v>77581.849471761481</v>
      </c>
      <c r="H728" s="1299">
        <f t="shared" ref="H728:H785" si="47">+$I$722*((D728+F728)/2)+E728</f>
        <v>77581.849471761481</v>
      </c>
      <c r="I728" s="1305">
        <f t="shared" si="43"/>
        <v>0</v>
      </c>
      <c r="J728" s="755"/>
      <c r="K728" s="903"/>
      <c r="L728" s="761"/>
      <c r="M728" s="903"/>
      <c r="N728" s="761"/>
      <c r="O728" s="761"/>
    </row>
    <row r="729" spans="1:15">
      <c r="C729" s="751">
        <f>IF(D720="","-",+C728+1)</f>
        <v>2022</v>
      </c>
      <c r="D729" s="703">
        <f t="shared" si="42"/>
        <v>613877.10060975607</v>
      </c>
      <c r="E729" s="758">
        <f t="shared" si="44"/>
        <v>15944.859756097561</v>
      </c>
      <c r="F729" s="703">
        <f t="shared" si="45"/>
        <v>597932.24085365853</v>
      </c>
      <c r="G729" s="1296">
        <f t="shared" si="46"/>
        <v>76001.413838026492</v>
      </c>
      <c r="H729" s="1299">
        <f t="shared" si="47"/>
        <v>76001.413838026492</v>
      </c>
      <c r="I729" s="755">
        <f t="shared" si="43"/>
        <v>0</v>
      </c>
      <c r="J729" s="755"/>
      <c r="K729" s="903"/>
      <c r="L729" s="761"/>
      <c r="M729" s="903"/>
      <c r="N729" s="761"/>
      <c r="O729" s="761"/>
    </row>
    <row r="730" spans="1:15">
      <c r="C730" s="751">
        <f>IF(D720="","-",+C729+1)</f>
        <v>2023</v>
      </c>
      <c r="D730" s="703">
        <f t="shared" si="42"/>
        <v>597932.24085365853</v>
      </c>
      <c r="E730" s="758">
        <f t="shared" si="44"/>
        <v>15944.859756097561</v>
      </c>
      <c r="F730" s="703">
        <f t="shared" si="45"/>
        <v>581987.38109756098</v>
      </c>
      <c r="G730" s="1296">
        <f t="shared" si="46"/>
        <v>74420.978204291547</v>
      </c>
      <c r="H730" s="1299">
        <f t="shared" si="47"/>
        <v>74420.978204291547</v>
      </c>
      <c r="I730" s="755">
        <f t="shared" si="43"/>
        <v>0</v>
      </c>
      <c r="J730" s="755"/>
      <c r="K730" s="903"/>
      <c r="L730" s="761"/>
      <c r="M730" s="903"/>
      <c r="N730" s="761"/>
      <c r="O730" s="761"/>
    </row>
    <row r="731" spans="1:15">
      <c r="C731" s="751">
        <f>IF(D720="","-",+C730+1)</f>
        <v>2024</v>
      </c>
      <c r="D731" s="703">
        <f t="shared" si="42"/>
        <v>581987.38109756098</v>
      </c>
      <c r="E731" s="758">
        <f t="shared" si="44"/>
        <v>15944.859756097561</v>
      </c>
      <c r="F731" s="703">
        <f t="shared" si="45"/>
        <v>566042.52134146343</v>
      </c>
      <c r="G731" s="1296">
        <f t="shared" si="46"/>
        <v>72840.542570556558</v>
      </c>
      <c r="H731" s="1299">
        <f t="shared" si="47"/>
        <v>72840.542570556558</v>
      </c>
      <c r="I731" s="755">
        <f t="shared" si="43"/>
        <v>0</v>
      </c>
      <c r="J731" s="755"/>
      <c r="K731" s="903"/>
      <c r="L731" s="761"/>
      <c r="M731" s="903"/>
      <c r="N731" s="761"/>
      <c r="O731" s="761"/>
    </row>
    <row r="732" spans="1:15">
      <c r="C732" s="751">
        <f>IF(D720="","-",+C731+1)</f>
        <v>2025</v>
      </c>
      <c r="D732" s="703">
        <f t="shared" si="42"/>
        <v>566042.52134146343</v>
      </c>
      <c r="E732" s="758">
        <f t="shared" si="44"/>
        <v>15944.859756097561</v>
      </c>
      <c r="F732" s="703">
        <f t="shared" si="45"/>
        <v>550097.66158536589</v>
      </c>
      <c r="G732" s="1296">
        <f t="shared" si="46"/>
        <v>71260.106936821598</v>
      </c>
      <c r="H732" s="1299">
        <f t="shared" si="47"/>
        <v>71260.106936821598</v>
      </c>
      <c r="I732" s="755">
        <f t="shared" si="43"/>
        <v>0</v>
      </c>
      <c r="J732" s="755"/>
      <c r="K732" s="903"/>
      <c r="L732" s="761"/>
      <c r="M732" s="903"/>
      <c r="N732" s="761"/>
      <c r="O732" s="761"/>
    </row>
    <row r="733" spans="1:15">
      <c r="C733" s="751">
        <f>IF(D720="","-",+C732+1)</f>
        <v>2026</v>
      </c>
      <c r="D733" s="703">
        <f t="shared" si="42"/>
        <v>550097.66158536589</v>
      </c>
      <c r="E733" s="758">
        <f t="shared" si="44"/>
        <v>15944.859756097561</v>
      </c>
      <c r="F733" s="703">
        <f t="shared" si="45"/>
        <v>534152.80182926834</v>
      </c>
      <c r="G733" s="1296">
        <f t="shared" si="46"/>
        <v>69679.671303086623</v>
      </c>
      <c r="H733" s="1299">
        <f t="shared" si="47"/>
        <v>69679.671303086623</v>
      </c>
      <c r="I733" s="755">
        <f t="shared" si="43"/>
        <v>0</v>
      </c>
      <c r="J733" s="755"/>
      <c r="K733" s="903"/>
      <c r="L733" s="761"/>
      <c r="M733" s="903"/>
      <c r="N733" s="761"/>
      <c r="O733" s="761"/>
    </row>
    <row r="734" spans="1:15">
      <c r="C734" s="751">
        <f>IF(D720="","-",+C733+1)</f>
        <v>2027</v>
      </c>
      <c r="D734" s="703">
        <f t="shared" si="42"/>
        <v>534152.80182926834</v>
      </c>
      <c r="E734" s="758">
        <f t="shared" si="44"/>
        <v>15944.859756097561</v>
      </c>
      <c r="F734" s="703">
        <f t="shared" si="45"/>
        <v>518207.94207317079</v>
      </c>
      <c r="G734" s="1296">
        <f t="shared" si="46"/>
        <v>68099.235669351649</v>
      </c>
      <c r="H734" s="1299">
        <f t="shared" si="47"/>
        <v>68099.235669351649</v>
      </c>
      <c r="I734" s="755">
        <f t="shared" si="43"/>
        <v>0</v>
      </c>
      <c r="J734" s="755"/>
      <c r="K734" s="903"/>
      <c r="L734" s="761"/>
      <c r="M734" s="903"/>
      <c r="N734" s="761"/>
      <c r="O734" s="761"/>
    </row>
    <row r="735" spans="1:15">
      <c r="C735" s="751">
        <f>IF(D720="","-",+C734+1)</f>
        <v>2028</v>
      </c>
      <c r="D735" s="703">
        <f t="shared" si="42"/>
        <v>518207.94207317079</v>
      </c>
      <c r="E735" s="758">
        <f t="shared" si="44"/>
        <v>15944.859756097561</v>
      </c>
      <c r="F735" s="703">
        <f t="shared" si="45"/>
        <v>502263.08231707325</v>
      </c>
      <c r="G735" s="1296">
        <f t="shared" si="46"/>
        <v>66518.800035616674</v>
      </c>
      <c r="H735" s="1299">
        <f t="shared" si="47"/>
        <v>66518.800035616674</v>
      </c>
      <c r="I735" s="755">
        <f t="shared" si="43"/>
        <v>0</v>
      </c>
      <c r="J735" s="755"/>
      <c r="K735" s="903"/>
      <c r="L735" s="761"/>
      <c r="M735" s="903"/>
      <c r="N735" s="761"/>
      <c r="O735" s="761"/>
    </row>
    <row r="736" spans="1:15">
      <c r="C736" s="751">
        <f>IF(D720="","-",+C735+1)</f>
        <v>2029</v>
      </c>
      <c r="D736" s="703">
        <f t="shared" si="42"/>
        <v>502263.08231707325</v>
      </c>
      <c r="E736" s="758">
        <f t="shared" si="44"/>
        <v>15944.859756097561</v>
      </c>
      <c r="F736" s="703">
        <f t="shared" si="45"/>
        <v>486318.2225609757</v>
      </c>
      <c r="G736" s="1296">
        <f t="shared" si="46"/>
        <v>64938.364401881707</v>
      </c>
      <c r="H736" s="1299">
        <f t="shared" si="47"/>
        <v>64938.364401881707</v>
      </c>
      <c r="I736" s="755">
        <f t="shared" si="43"/>
        <v>0</v>
      </c>
      <c r="J736" s="755"/>
      <c r="K736" s="903"/>
      <c r="L736" s="761"/>
      <c r="M736" s="903"/>
      <c r="N736" s="761"/>
      <c r="O736" s="761"/>
    </row>
    <row r="737" spans="3:15">
      <c r="C737" s="751">
        <f>IF(D720="","-",+C736+1)</f>
        <v>2030</v>
      </c>
      <c r="D737" s="703">
        <f t="shared" si="42"/>
        <v>486318.2225609757</v>
      </c>
      <c r="E737" s="758">
        <f t="shared" si="44"/>
        <v>15944.859756097561</v>
      </c>
      <c r="F737" s="703">
        <f t="shared" si="45"/>
        <v>470373.36280487815</v>
      </c>
      <c r="G737" s="1296">
        <f t="shared" si="46"/>
        <v>63357.928768146739</v>
      </c>
      <c r="H737" s="1299">
        <f t="shared" si="47"/>
        <v>63357.928768146739</v>
      </c>
      <c r="I737" s="755">
        <f t="shared" si="43"/>
        <v>0</v>
      </c>
      <c r="J737" s="755"/>
      <c r="K737" s="903"/>
      <c r="L737" s="761"/>
      <c r="M737" s="903"/>
      <c r="N737" s="761"/>
      <c r="O737" s="761"/>
    </row>
    <row r="738" spans="3:15">
      <c r="C738" s="751">
        <f>IF(D720="","-",+C737+1)</f>
        <v>2031</v>
      </c>
      <c r="D738" s="703">
        <f t="shared" si="42"/>
        <v>470373.36280487815</v>
      </c>
      <c r="E738" s="758">
        <f t="shared" si="44"/>
        <v>15944.859756097561</v>
      </c>
      <c r="F738" s="703">
        <f t="shared" si="45"/>
        <v>454428.50304878061</v>
      </c>
      <c r="G738" s="1296">
        <f t="shared" si="46"/>
        <v>61777.493134411765</v>
      </c>
      <c r="H738" s="1299">
        <f t="shared" si="47"/>
        <v>61777.493134411765</v>
      </c>
      <c r="I738" s="755">
        <f t="shared" si="43"/>
        <v>0</v>
      </c>
      <c r="J738" s="755"/>
      <c r="K738" s="903"/>
      <c r="L738" s="761"/>
      <c r="M738" s="903"/>
      <c r="N738" s="761"/>
      <c r="O738" s="761"/>
    </row>
    <row r="739" spans="3:15">
      <c r="C739" s="751">
        <f>IF(D720="","-",+C738+1)</f>
        <v>2032</v>
      </c>
      <c r="D739" s="703">
        <f t="shared" si="42"/>
        <v>454428.50304878061</v>
      </c>
      <c r="E739" s="758">
        <f t="shared" si="44"/>
        <v>15944.859756097561</v>
      </c>
      <c r="F739" s="703">
        <f t="shared" si="45"/>
        <v>438483.64329268306</v>
      </c>
      <c r="G739" s="1296">
        <f t="shared" si="46"/>
        <v>60197.057500676798</v>
      </c>
      <c r="H739" s="1299">
        <f t="shared" si="47"/>
        <v>60197.057500676798</v>
      </c>
      <c r="I739" s="755">
        <f t="shared" si="43"/>
        <v>0</v>
      </c>
      <c r="J739" s="755"/>
      <c r="K739" s="903"/>
      <c r="L739" s="761"/>
      <c r="M739" s="903"/>
      <c r="N739" s="761"/>
      <c r="O739" s="761"/>
    </row>
    <row r="740" spans="3:15">
      <c r="C740" s="751">
        <f>IF(D720="","-",+C739+1)</f>
        <v>2033</v>
      </c>
      <c r="D740" s="703">
        <f t="shared" si="42"/>
        <v>438483.64329268306</v>
      </c>
      <c r="E740" s="758">
        <f t="shared" si="44"/>
        <v>15944.859756097561</v>
      </c>
      <c r="F740" s="703">
        <f t="shared" si="45"/>
        <v>422538.78353658551</v>
      </c>
      <c r="G740" s="1296">
        <f t="shared" si="46"/>
        <v>58616.621866941823</v>
      </c>
      <c r="H740" s="1299">
        <f t="shared" si="47"/>
        <v>58616.621866941823</v>
      </c>
      <c r="I740" s="755">
        <f t="shared" si="43"/>
        <v>0</v>
      </c>
      <c r="J740" s="755"/>
      <c r="K740" s="903"/>
      <c r="L740" s="761"/>
      <c r="M740" s="903"/>
      <c r="N740" s="761"/>
      <c r="O740" s="761"/>
    </row>
    <row r="741" spans="3:15">
      <c r="C741" s="751">
        <f>IF(D720="","-",+C740+1)</f>
        <v>2034</v>
      </c>
      <c r="D741" s="703">
        <f t="shared" si="42"/>
        <v>422538.78353658551</v>
      </c>
      <c r="E741" s="758">
        <f t="shared" si="44"/>
        <v>15944.859756097561</v>
      </c>
      <c r="F741" s="703">
        <f t="shared" si="45"/>
        <v>406593.92378048797</v>
      </c>
      <c r="G741" s="1296">
        <f t="shared" si="46"/>
        <v>57036.186233206856</v>
      </c>
      <c r="H741" s="1299">
        <f t="shared" si="47"/>
        <v>57036.186233206856</v>
      </c>
      <c r="I741" s="755">
        <f t="shared" si="43"/>
        <v>0</v>
      </c>
      <c r="J741" s="755"/>
      <c r="K741" s="903"/>
      <c r="L741" s="761"/>
      <c r="M741" s="903"/>
      <c r="N741" s="761"/>
      <c r="O741" s="761"/>
    </row>
    <row r="742" spans="3:15">
      <c r="C742" s="751">
        <f>IF(D720="","-",+C741+1)</f>
        <v>2035</v>
      </c>
      <c r="D742" s="703">
        <f t="shared" si="42"/>
        <v>406593.92378048797</v>
      </c>
      <c r="E742" s="758">
        <f t="shared" si="44"/>
        <v>15944.859756097561</v>
      </c>
      <c r="F742" s="703">
        <f t="shared" si="45"/>
        <v>390649.06402439042</v>
      </c>
      <c r="G742" s="1296">
        <f t="shared" si="46"/>
        <v>55455.750599471881</v>
      </c>
      <c r="H742" s="1299">
        <f t="shared" si="47"/>
        <v>55455.750599471881</v>
      </c>
      <c r="I742" s="755">
        <f t="shared" si="43"/>
        <v>0</v>
      </c>
      <c r="J742" s="755"/>
      <c r="K742" s="903"/>
      <c r="L742" s="761"/>
      <c r="M742" s="903"/>
      <c r="N742" s="761"/>
      <c r="O742" s="761"/>
    </row>
    <row r="743" spans="3:15">
      <c r="C743" s="751">
        <f>IF(D720="","-",+C742+1)</f>
        <v>2036</v>
      </c>
      <c r="D743" s="703">
        <f t="shared" si="42"/>
        <v>390649.06402439042</v>
      </c>
      <c r="E743" s="758">
        <f t="shared" si="44"/>
        <v>15944.859756097561</v>
      </c>
      <c r="F743" s="703">
        <f t="shared" si="45"/>
        <v>374704.20426829287</v>
      </c>
      <c r="G743" s="1296">
        <f t="shared" si="46"/>
        <v>53875.314965736914</v>
      </c>
      <c r="H743" s="1299">
        <f t="shared" si="47"/>
        <v>53875.314965736914</v>
      </c>
      <c r="I743" s="755">
        <f t="shared" si="43"/>
        <v>0</v>
      </c>
      <c r="J743" s="755"/>
      <c r="K743" s="903"/>
      <c r="L743" s="761"/>
      <c r="M743" s="903"/>
      <c r="N743" s="761"/>
      <c r="O743" s="761"/>
    </row>
    <row r="744" spans="3:15">
      <c r="C744" s="751">
        <f>IF(D720="","-",+C743+1)</f>
        <v>2037</v>
      </c>
      <c r="D744" s="703">
        <f t="shared" si="42"/>
        <v>374704.20426829287</v>
      </c>
      <c r="E744" s="758">
        <f t="shared" si="44"/>
        <v>15944.859756097561</v>
      </c>
      <c r="F744" s="703">
        <f t="shared" si="45"/>
        <v>358759.34451219533</v>
      </c>
      <c r="G744" s="1296">
        <f t="shared" si="46"/>
        <v>52294.879332001939</v>
      </c>
      <c r="H744" s="1299">
        <f t="shared" si="47"/>
        <v>52294.879332001939</v>
      </c>
      <c r="I744" s="755">
        <f t="shared" si="43"/>
        <v>0</v>
      </c>
      <c r="J744" s="755"/>
      <c r="K744" s="903"/>
      <c r="L744" s="761"/>
      <c r="M744" s="903"/>
      <c r="N744" s="761"/>
      <c r="O744" s="761"/>
    </row>
    <row r="745" spans="3:15">
      <c r="C745" s="751">
        <f>IF(D720="","-",+C744+1)</f>
        <v>2038</v>
      </c>
      <c r="D745" s="703">
        <f t="shared" si="42"/>
        <v>358759.34451219533</v>
      </c>
      <c r="E745" s="758">
        <f t="shared" si="44"/>
        <v>15944.859756097561</v>
      </c>
      <c r="F745" s="703">
        <f t="shared" si="45"/>
        <v>342814.48475609778</v>
      </c>
      <c r="G745" s="1296">
        <f t="shared" si="46"/>
        <v>50714.443698266972</v>
      </c>
      <c r="H745" s="1299">
        <f t="shared" si="47"/>
        <v>50714.443698266972</v>
      </c>
      <c r="I745" s="755">
        <f t="shared" si="43"/>
        <v>0</v>
      </c>
      <c r="J745" s="755"/>
      <c r="K745" s="903"/>
      <c r="L745" s="761"/>
      <c r="M745" s="903"/>
      <c r="N745" s="761"/>
      <c r="O745" s="761"/>
    </row>
    <row r="746" spans="3:15">
      <c r="C746" s="751">
        <f>IF(D720="","-",+C745+1)</f>
        <v>2039</v>
      </c>
      <c r="D746" s="703">
        <f t="shared" si="42"/>
        <v>342814.48475609778</v>
      </c>
      <c r="E746" s="758">
        <f t="shared" si="44"/>
        <v>15944.859756097561</v>
      </c>
      <c r="F746" s="703">
        <f t="shared" si="45"/>
        <v>326869.62500000023</v>
      </c>
      <c r="G746" s="1296">
        <f t="shared" si="46"/>
        <v>49134.008064531998</v>
      </c>
      <c r="H746" s="1299">
        <f t="shared" si="47"/>
        <v>49134.008064531998</v>
      </c>
      <c r="I746" s="755">
        <f t="shared" si="43"/>
        <v>0</v>
      </c>
      <c r="J746" s="755"/>
      <c r="K746" s="903"/>
      <c r="L746" s="761"/>
      <c r="M746" s="903"/>
      <c r="N746" s="761"/>
      <c r="O746" s="761"/>
    </row>
    <row r="747" spans="3:15">
      <c r="C747" s="751">
        <f>IF(D720="","-",+C746+1)</f>
        <v>2040</v>
      </c>
      <c r="D747" s="703">
        <f t="shared" si="42"/>
        <v>326869.62500000023</v>
      </c>
      <c r="E747" s="758">
        <f t="shared" si="44"/>
        <v>15944.859756097561</v>
      </c>
      <c r="F747" s="703">
        <f t="shared" si="45"/>
        <v>310924.76524390269</v>
      </c>
      <c r="G747" s="1296">
        <f t="shared" si="46"/>
        <v>47553.57243079703</v>
      </c>
      <c r="H747" s="1299">
        <f t="shared" si="47"/>
        <v>47553.57243079703</v>
      </c>
      <c r="I747" s="755">
        <f t="shared" si="43"/>
        <v>0</v>
      </c>
      <c r="J747" s="755"/>
      <c r="K747" s="903"/>
      <c r="L747" s="761"/>
      <c r="M747" s="903"/>
      <c r="N747" s="761"/>
      <c r="O747" s="761"/>
    </row>
    <row r="748" spans="3:15">
      <c r="C748" s="751">
        <f>IF(D720="","-",+C747+1)</f>
        <v>2041</v>
      </c>
      <c r="D748" s="703">
        <f t="shared" si="42"/>
        <v>310924.76524390269</v>
      </c>
      <c r="E748" s="758">
        <f t="shared" si="44"/>
        <v>15944.859756097561</v>
      </c>
      <c r="F748" s="703">
        <f t="shared" si="45"/>
        <v>294979.90548780514</v>
      </c>
      <c r="G748" s="1296">
        <f t="shared" si="46"/>
        <v>45973.136797062063</v>
      </c>
      <c r="H748" s="1299">
        <f t="shared" si="47"/>
        <v>45973.136797062063</v>
      </c>
      <c r="I748" s="755">
        <f t="shared" si="43"/>
        <v>0</v>
      </c>
      <c r="J748" s="755"/>
      <c r="K748" s="903"/>
      <c r="L748" s="761"/>
      <c r="M748" s="903"/>
      <c r="N748" s="761"/>
      <c r="O748" s="761"/>
    </row>
    <row r="749" spans="3:15">
      <c r="C749" s="751">
        <f>IF(D720="","-",+C748+1)</f>
        <v>2042</v>
      </c>
      <c r="D749" s="703">
        <f t="shared" si="42"/>
        <v>294979.90548780514</v>
      </c>
      <c r="E749" s="758">
        <f t="shared" si="44"/>
        <v>15944.859756097561</v>
      </c>
      <c r="F749" s="703">
        <f t="shared" si="45"/>
        <v>279035.04573170759</v>
      </c>
      <c r="G749" s="1296">
        <f t="shared" si="46"/>
        <v>44392.701163327089</v>
      </c>
      <c r="H749" s="1299">
        <f t="shared" si="47"/>
        <v>44392.701163327089</v>
      </c>
      <c r="I749" s="755">
        <f t="shared" si="43"/>
        <v>0</v>
      </c>
      <c r="J749" s="755"/>
      <c r="K749" s="903"/>
      <c r="L749" s="761"/>
      <c r="M749" s="903"/>
      <c r="N749" s="761"/>
      <c r="O749" s="761"/>
    </row>
    <row r="750" spans="3:15">
      <c r="C750" s="751">
        <f>IF(D720="","-",+C749+1)</f>
        <v>2043</v>
      </c>
      <c r="D750" s="703">
        <f t="shared" si="42"/>
        <v>279035.04573170759</v>
      </c>
      <c r="E750" s="758">
        <f t="shared" si="44"/>
        <v>15944.859756097561</v>
      </c>
      <c r="F750" s="703">
        <f t="shared" si="45"/>
        <v>263090.18597561005</v>
      </c>
      <c r="G750" s="1296">
        <f t="shared" si="46"/>
        <v>42812.265529592114</v>
      </c>
      <c r="H750" s="1299">
        <f t="shared" si="47"/>
        <v>42812.265529592114</v>
      </c>
      <c r="I750" s="755">
        <f t="shared" si="43"/>
        <v>0</v>
      </c>
      <c r="J750" s="755"/>
      <c r="K750" s="903"/>
      <c r="L750" s="761"/>
      <c r="M750" s="903"/>
      <c r="N750" s="761"/>
      <c r="O750" s="761"/>
    </row>
    <row r="751" spans="3:15">
      <c r="C751" s="751">
        <f>IF(D720="","-",+C750+1)</f>
        <v>2044</v>
      </c>
      <c r="D751" s="703">
        <f t="shared" si="42"/>
        <v>263090.18597561005</v>
      </c>
      <c r="E751" s="758">
        <f t="shared" si="44"/>
        <v>15944.859756097561</v>
      </c>
      <c r="F751" s="703">
        <f t="shared" si="45"/>
        <v>247145.3262195125</v>
      </c>
      <c r="G751" s="1296">
        <f t="shared" si="46"/>
        <v>41231.829895857147</v>
      </c>
      <c r="H751" s="1299">
        <f t="shared" si="47"/>
        <v>41231.829895857147</v>
      </c>
      <c r="I751" s="755">
        <f t="shared" si="43"/>
        <v>0</v>
      </c>
      <c r="J751" s="755"/>
      <c r="K751" s="903"/>
      <c r="L751" s="761"/>
      <c r="M751" s="903"/>
      <c r="N751" s="761"/>
      <c r="O751" s="761"/>
    </row>
    <row r="752" spans="3:15">
      <c r="C752" s="751">
        <f>IF(D720="","-",+C751+1)</f>
        <v>2045</v>
      </c>
      <c r="D752" s="703">
        <f t="shared" si="42"/>
        <v>247145.3262195125</v>
      </c>
      <c r="E752" s="758">
        <f t="shared" si="44"/>
        <v>15944.859756097561</v>
      </c>
      <c r="F752" s="703">
        <f t="shared" si="45"/>
        <v>231200.46646341495</v>
      </c>
      <c r="G752" s="1296">
        <f t="shared" si="46"/>
        <v>39651.394262122179</v>
      </c>
      <c r="H752" s="1299">
        <f t="shared" si="47"/>
        <v>39651.394262122179</v>
      </c>
      <c r="I752" s="755">
        <f t="shared" si="43"/>
        <v>0</v>
      </c>
      <c r="J752" s="755"/>
      <c r="K752" s="903"/>
      <c r="L752" s="761"/>
      <c r="M752" s="903"/>
      <c r="N752" s="761"/>
      <c r="O752" s="761"/>
    </row>
    <row r="753" spans="3:15">
      <c r="C753" s="751">
        <f>IF(D720="","-",+C752+1)</f>
        <v>2046</v>
      </c>
      <c r="D753" s="703">
        <f t="shared" si="42"/>
        <v>231200.46646341495</v>
      </c>
      <c r="E753" s="758">
        <f t="shared" si="44"/>
        <v>15944.859756097561</v>
      </c>
      <c r="F753" s="703">
        <f t="shared" si="45"/>
        <v>215255.60670731741</v>
      </c>
      <c r="G753" s="1296">
        <f t="shared" si="46"/>
        <v>38070.958628387205</v>
      </c>
      <c r="H753" s="1299">
        <f t="shared" si="47"/>
        <v>38070.958628387205</v>
      </c>
      <c r="I753" s="755">
        <f t="shared" si="43"/>
        <v>0</v>
      </c>
      <c r="J753" s="755"/>
      <c r="K753" s="903"/>
      <c r="L753" s="761"/>
      <c r="M753" s="903"/>
      <c r="N753" s="761"/>
      <c r="O753" s="761"/>
    </row>
    <row r="754" spans="3:15">
      <c r="C754" s="751">
        <f>IF(D720="","-",+C753+1)</f>
        <v>2047</v>
      </c>
      <c r="D754" s="703">
        <f t="shared" si="42"/>
        <v>215255.60670731741</v>
      </c>
      <c r="E754" s="758">
        <f t="shared" si="44"/>
        <v>15944.859756097561</v>
      </c>
      <c r="F754" s="703">
        <f t="shared" si="45"/>
        <v>199310.74695121986</v>
      </c>
      <c r="G754" s="1296">
        <f t="shared" si="46"/>
        <v>36490.52299465223</v>
      </c>
      <c r="H754" s="1299">
        <f t="shared" si="47"/>
        <v>36490.52299465223</v>
      </c>
      <c r="I754" s="755">
        <f t="shared" si="43"/>
        <v>0</v>
      </c>
      <c r="J754" s="755"/>
      <c r="K754" s="903"/>
      <c r="L754" s="761"/>
      <c r="M754" s="903"/>
      <c r="N754" s="761"/>
      <c r="O754" s="761"/>
    </row>
    <row r="755" spans="3:15">
      <c r="C755" s="751">
        <f>IF(D720="","-",+C754+1)</f>
        <v>2048</v>
      </c>
      <c r="D755" s="703">
        <f t="shared" si="42"/>
        <v>199310.74695121986</v>
      </c>
      <c r="E755" s="758">
        <f t="shared" si="44"/>
        <v>15944.859756097561</v>
      </c>
      <c r="F755" s="703">
        <f t="shared" si="45"/>
        <v>183365.88719512231</v>
      </c>
      <c r="G755" s="1296">
        <f t="shared" si="46"/>
        <v>34910.087360917263</v>
      </c>
      <c r="H755" s="1299">
        <f t="shared" si="47"/>
        <v>34910.087360917263</v>
      </c>
      <c r="I755" s="755">
        <f t="shared" si="43"/>
        <v>0</v>
      </c>
      <c r="J755" s="755"/>
      <c r="K755" s="903"/>
      <c r="L755" s="761"/>
      <c r="M755" s="903"/>
      <c r="N755" s="761"/>
      <c r="O755" s="761"/>
    </row>
    <row r="756" spans="3:15">
      <c r="C756" s="751">
        <f>IF(D720="","-",+C755+1)</f>
        <v>2049</v>
      </c>
      <c r="D756" s="703">
        <f t="shared" si="42"/>
        <v>183365.88719512231</v>
      </c>
      <c r="E756" s="758">
        <f t="shared" si="44"/>
        <v>15944.859756097561</v>
      </c>
      <c r="F756" s="703">
        <f t="shared" si="45"/>
        <v>167421.02743902477</v>
      </c>
      <c r="G756" s="1296">
        <f t="shared" si="46"/>
        <v>33329.651727182296</v>
      </c>
      <c r="H756" s="1299">
        <f t="shared" si="47"/>
        <v>33329.651727182296</v>
      </c>
      <c r="I756" s="755">
        <f t="shared" si="43"/>
        <v>0</v>
      </c>
      <c r="J756" s="755"/>
      <c r="K756" s="903"/>
      <c r="L756" s="761"/>
      <c r="M756" s="903"/>
      <c r="N756" s="761"/>
      <c r="O756" s="761"/>
    </row>
    <row r="757" spans="3:15">
      <c r="C757" s="751">
        <f>IF(D720="","-",+C756+1)</f>
        <v>2050</v>
      </c>
      <c r="D757" s="703">
        <f t="shared" si="42"/>
        <v>167421.02743902477</v>
      </c>
      <c r="E757" s="758">
        <f t="shared" si="44"/>
        <v>15944.859756097561</v>
      </c>
      <c r="F757" s="703">
        <f t="shared" si="45"/>
        <v>151476.16768292722</v>
      </c>
      <c r="G757" s="1296">
        <f t="shared" si="46"/>
        <v>31749.216093447321</v>
      </c>
      <c r="H757" s="1299">
        <f t="shared" si="47"/>
        <v>31749.216093447321</v>
      </c>
      <c r="I757" s="755">
        <f t="shared" si="43"/>
        <v>0</v>
      </c>
      <c r="J757" s="755"/>
      <c r="K757" s="903"/>
      <c r="L757" s="761"/>
      <c r="M757" s="903"/>
      <c r="N757" s="761"/>
      <c r="O757" s="761"/>
    </row>
    <row r="758" spans="3:15">
      <c r="C758" s="751">
        <f>IF(D720="","-",+C757+1)</f>
        <v>2051</v>
      </c>
      <c r="D758" s="703">
        <f t="shared" si="42"/>
        <v>151476.16768292722</v>
      </c>
      <c r="E758" s="758">
        <f t="shared" si="44"/>
        <v>15944.859756097561</v>
      </c>
      <c r="F758" s="703">
        <f t="shared" si="45"/>
        <v>135531.30792682967</v>
      </c>
      <c r="G758" s="1296">
        <f t="shared" si="46"/>
        <v>30168.78045971235</v>
      </c>
      <c r="H758" s="1299">
        <f t="shared" si="47"/>
        <v>30168.78045971235</v>
      </c>
      <c r="I758" s="755">
        <f t="shared" si="43"/>
        <v>0</v>
      </c>
      <c r="J758" s="755"/>
      <c r="K758" s="903"/>
      <c r="L758" s="761"/>
      <c r="M758" s="903"/>
      <c r="N758" s="761"/>
      <c r="O758" s="761"/>
    </row>
    <row r="759" spans="3:15">
      <c r="C759" s="751">
        <f>IF(D720="","-",+C758+1)</f>
        <v>2052</v>
      </c>
      <c r="D759" s="703">
        <f t="shared" si="42"/>
        <v>135531.30792682967</v>
      </c>
      <c r="E759" s="758">
        <f t="shared" si="44"/>
        <v>15944.859756097561</v>
      </c>
      <c r="F759" s="703">
        <f t="shared" si="45"/>
        <v>119586.44817073211</v>
      </c>
      <c r="G759" s="1296">
        <f t="shared" si="46"/>
        <v>28588.34482597738</v>
      </c>
      <c r="H759" s="1299">
        <f t="shared" si="47"/>
        <v>28588.34482597738</v>
      </c>
      <c r="I759" s="755">
        <f t="shared" si="43"/>
        <v>0</v>
      </c>
      <c r="J759" s="755"/>
      <c r="K759" s="903"/>
      <c r="L759" s="761"/>
      <c r="M759" s="903"/>
      <c r="N759" s="761"/>
      <c r="O759" s="761"/>
    </row>
    <row r="760" spans="3:15">
      <c r="C760" s="751">
        <f>IF(D720="","-",+C759+1)</f>
        <v>2053</v>
      </c>
      <c r="D760" s="703">
        <f t="shared" si="42"/>
        <v>119586.44817073211</v>
      </c>
      <c r="E760" s="758">
        <f t="shared" si="44"/>
        <v>15944.859756097561</v>
      </c>
      <c r="F760" s="703">
        <f t="shared" si="45"/>
        <v>103641.58841463455</v>
      </c>
      <c r="G760" s="1296">
        <f t="shared" si="46"/>
        <v>27007.909192242405</v>
      </c>
      <c r="H760" s="1299">
        <f t="shared" si="47"/>
        <v>27007.909192242405</v>
      </c>
      <c r="I760" s="755">
        <f t="shared" si="43"/>
        <v>0</v>
      </c>
      <c r="J760" s="755"/>
      <c r="K760" s="903"/>
      <c r="L760" s="761"/>
      <c r="M760" s="903"/>
      <c r="N760" s="761"/>
      <c r="O760" s="761"/>
    </row>
    <row r="761" spans="3:15">
      <c r="C761" s="751">
        <f>IF(D720="","-",+C760+1)</f>
        <v>2054</v>
      </c>
      <c r="D761" s="703">
        <f t="shared" si="42"/>
        <v>103641.58841463455</v>
      </c>
      <c r="E761" s="758">
        <f t="shared" si="44"/>
        <v>15944.859756097561</v>
      </c>
      <c r="F761" s="703">
        <f t="shared" si="45"/>
        <v>87696.728658536987</v>
      </c>
      <c r="G761" s="1296">
        <f t="shared" si="46"/>
        <v>25427.473558507438</v>
      </c>
      <c r="H761" s="1299">
        <f t="shared" si="47"/>
        <v>25427.473558507438</v>
      </c>
      <c r="I761" s="755">
        <f t="shared" si="43"/>
        <v>0</v>
      </c>
      <c r="J761" s="755"/>
      <c r="K761" s="903"/>
      <c r="L761" s="761"/>
      <c r="M761" s="903"/>
      <c r="N761" s="761"/>
      <c r="O761" s="761"/>
    </row>
    <row r="762" spans="3:15">
      <c r="C762" s="751">
        <f>IF(D720="","-",+C761+1)</f>
        <v>2055</v>
      </c>
      <c r="D762" s="703">
        <f t="shared" si="42"/>
        <v>87696.728658536987</v>
      </c>
      <c r="E762" s="758">
        <f t="shared" si="44"/>
        <v>15944.859756097561</v>
      </c>
      <c r="F762" s="703">
        <f t="shared" si="45"/>
        <v>71751.868902439426</v>
      </c>
      <c r="G762" s="1296">
        <f t="shared" si="46"/>
        <v>23847.037924772463</v>
      </c>
      <c r="H762" s="1299">
        <f t="shared" si="47"/>
        <v>23847.037924772463</v>
      </c>
      <c r="I762" s="755">
        <f t="shared" si="43"/>
        <v>0</v>
      </c>
      <c r="J762" s="755"/>
      <c r="K762" s="903"/>
      <c r="L762" s="761"/>
      <c r="M762" s="903"/>
      <c r="N762" s="761"/>
      <c r="O762" s="761"/>
    </row>
    <row r="763" spans="3:15">
      <c r="C763" s="751">
        <f>IF(D720="","-",+C762+1)</f>
        <v>2056</v>
      </c>
      <c r="D763" s="703">
        <f t="shared" si="42"/>
        <v>71751.868902439426</v>
      </c>
      <c r="E763" s="758">
        <f t="shared" si="44"/>
        <v>15944.859756097561</v>
      </c>
      <c r="F763" s="703">
        <f t="shared" si="45"/>
        <v>55807.009146341865</v>
      </c>
      <c r="G763" s="1296">
        <f t="shared" si="46"/>
        <v>22266.602291037489</v>
      </c>
      <c r="H763" s="1299">
        <f t="shared" si="47"/>
        <v>22266.602291037489</v>
      </c>
      <c r="I763" s="755">
        <f t="shared" si="43"/>
        <v>0</v>
      </c>
      <c r="J763" s="755"/>
      <c r="K763" s="903"/>
      <c r="L763" s="761"/>
      <c r="M763" s="903"/>
      <c r="N763" s="761"/>
      <c r="O763" s="761"/>
    </row>
    <row r="764" spans="3:15">
      <c r="C764" s="751">
        <f>IF(D720="","-",+C763+1)</f>
        <v>2057</v>
      </c>
      <c r="D764" s="703">
        <f t="shared" si="42"/>
        <v>55807.009146341865</v>
      </c>
      <c r="E764" s="758">
        <f t="shared" si="44"/>
        <v>15944.859756097561</v>
      </c>
      <c r="F764" s="703">
        <f t="shared" si="45"/>
        <v>39862.149390244304</v>
      </c>
      <c r="G764" s="1296">
        <f t="shared" si="46"/>
        <v>20686.166657302518</v>
      </c>
      <c r="H764" s="1299">
        <f t="shared" si="47"/>
        <v>20686.166657302518</v>
      </c>
      <c r="I764" s="755">
        <f t="shared" si="43"/>
        <v>0</v>
      </c>
      <c r="J764" s="755"/>
      <c r="K764" s="903"/>
      <c r="L764" s="761"/>
      <c r="M764" s="903"/>
      <c r="N764" s="761"/>
      <c r="O764" s="761"/>
    </row>
    <row r="765" spans="3:15">
      <c r="C765" s="751">
        <f>IF(D720="","-",+C764+1)</f>
        <v>2058</v>
      </c>
      <c r="D765" s="703">
        <f t="shared" si="42"/>
        <v>39862.149390244304</v>
      </c>
      <c r="E765" s="758">
        <f t="shared" si="44"/>
        <v>15944.859756097561</v>
      </c>
      <c r="F765" s="703">
        <f t="shared" si="45"/>
        <v>23917.289634146742</v>
      </c>
      <c r="G765" s="1296">
        <f t="shared" si="46"/>
        <v>19105.731023567547</v>
      </c>
      <c r="H765" s="1299">
        <f t="shared" si="47"/>
        <v>19105.731023567547</v>
      </c>
      <c r="I765" s="755">
        <f t="shared" si="43"/>
        <v>0</v>
      </c>
      <c r="J765" s="755"/>
      <c r="K765" s="903"/>
      <c r="L765" s="761"/>
      <c r="M765" s="903"/>
      <c r="N765" s="761"/>
      <c r="O765" s="761"/>
    </row>
    <row r="766" spans="3:15">
      <c r="C766" s="751">
        <f>IF(D720="","-",+C765+1)</f>
        <v>2059</v>
      </c>
      <c r="D766" s="703">
        <f t="shared" si="42"/>
        <v>23917.289634146742</v>
      </c>
      <c r="E766" s="758">
        <f t="shared" si="44"/>
        <v>15944.859756097561</v>
      </c>
      <c r="F766" s="703">
        <f t="shared" si="45"/>
        <v>7972.4298780491808</v>
      </c>
      <c r="G766" s="1296">
        <f t="shared" si="46"/>
        <v>17525.295389832572</v>
      </c>
      <c r="H766" s="1299">
        <f t="shared" si="47"/>
        <v>17525.295389832572</v>
      </c>
      <c r="I766" s="755">
        <f t="shared" si="43"/>
        <v>0</v>
      </c>
      <c r="J766" s="755"/>
      <c r="K766" s="903"/>
      <c r="L766" s="761"/>
      <c r="M766" s="903"/>
      <c r="N766" s="761"/>
      <c r="O766" s="761"/>
    </row>
    <row r="767" spans="3:15">
      <c r="C767" s="751">
        <f>IF(D720="","-",+C766+1)</f>
        <v>2060</v>
      </c>
      <c r="D767" s="703">
        <f t="shared" si="42"/>
        <v>7972.4298780491808</v>
      </c>
      <c r="E767" s="758">
        <f t="shared" si="44"/>
        <v>7972.4298780491808</v>
      </c>
      <c r="F767" s="703">
        <f t="shared" si="45"/>
        <v>0</v>
      </c>
      <c r="G767" s="1296">
        <f t="shared" si="46"/>
        <v>8367.5387864829445</v>
      </c>
      <c r="H767" s="1299">
        <f t="shared" si="47"/>
        <v>8367.5387864829445</v>
      </c>
      <c r="I767" s="755">
        <f t="shared" si="43"/>
        <v>0</v>
      </c>
      <c r="J767" s="755"/>
      <c r="K767" s="903"/>
      <c r="L767" s="761"/>
      <c r="M767" s="903"/>
      <c r="N767" s="761"/>
      <c r="O767" s="761"/>
    </row>
    <row r="768" spans="3:15">
      <c r="C768" s="751">
        <f>IF(D720="","-",+C767+1)</f>
        <v>2061</v>
      </c>
      <c r="D768" s="703">
        <f t="shared" si="42"/>
        <v>0</v>
      </c>
      <c r="E768" s="758">
        <f t="shared" si="44"/>
        <v>0</v>
      </c>
      <c r="F768" s="703">
        <f t="shared" si="45"/>
        <v>0</v>
      </c>
      <c r="G768" s="1296">
        <f t="shared" si="46"/>
        <v>0</v>
      </c>
      <c r="H768" s="1299">
        <f t="shared" si="47"/>
        <v>0</v>
      </c>
      <c r="I768" s="755">
        <f t="shared" si="43"/>
        <v>0</v>
      </c>
      <c r="J768" s="755"/>
      <c r="K768" s="903"/>
      <c r="L768" s="761"/>
      <c r="M768" s="903"/>
      <c r="N768" s="761"/>
      <c r="O768" s="761"/>
    </row>
    <row r="769" spans="3:15">
      <c r="C769" s="751">
        <f>IF(D720="","-",+C768+1)</f>
        <v>2062</v>
      </c>
      <c r="D769" s="703">
        <f t="shared" si="42"/>
        <v>0</v>
      </c>
      <c r="E769" s="758">
        <f t="shared" si="44"/>
        <v>0</v>
      </c>
      <c r="F769" s="703">
        <f t="shared" si="45"/>
        <v>0</v>
      </c>
      <c r="G769" s="1296">
        <f t="shared" si="46"/>
        <v>0</v>
      </c>
      <c r="H769" s="1299">
        <f t="shared" si="47"/>
        <v>0</v>
      </c>
      <c r="I769" s="755">
        <f t="shared" si="43"/>
        <v>0</v>
      </c>
      <c r="J769" s="755"/>
      <c r="K769" s="903"/>
      <c r="L769" s="761"/>
      <c r="M769" s="903"/>
      <c r="N769" s="761"/>
      <c r="O769" s="761"/>
    </row>
    <row r="770" spans="3:15">
      <c r="C770" s="751">
        <f>IF(D720="","-",+C769+1)</f>
        <v>2063</v>
      </c>
      <c r="D770" s="703">
        <f t="shared" si="42"/>
        <v>0</v>
      </c>
      <c r="E770" s="758">
        <f t="shared" si="44"/>
        <v>0</v>
      </c>
      <c r="F770" s="703">
        <f t="shared" si="45"/>
        <v>0</v>
      </c>
      <c r="G770" s="1296">
        <f t="shared" si="46"/>
        <v>0</v>
      </c>
      <c r="H770" s="1299">
        <f t="shared" si="47"/>
        <v>0</v>
      </c>
      <c r="I770" s="755">
        <f t="shared" si="43"/>
        <v>0</v>
      </c>
      <c r="J770" s="755"/>
      <c r="K770" s="903"/>
      <c r="L770" s="761"/>
      <c r="M770" s="903"/>
      <c r="N770" s="761"/>
      <c r="O770" s="761"/>
    </row>
    <row r="771" spans="3:15">
      <c r="C771" s="751">
        <f>IF(D720="","-",+C770+1)</f>
        <v>2064</v>
      </c>
      <c r="D771" s="703">
        <f t="shared" si="42"/>
        <v>0</v>
      </c>
      <c r="E771" s="758">
        <f t="shared" si="44"/>
        <v>0</v>
      </c>
      <c r="F771" s="703">
        <f t="shared" si="45"/>
        <v>0</v>
      </c>
      <c r="G771" s="1296">
        <f t="shared" si="46"/>
        <v>0</v>
      </c>
      <c r="H771" s="1299">
        <f t="shared" si="47"/>
        <v>0</v>
      </c>
      <c r="I771" s="755">
        <f t="shared" si="43"/>
        <v>0</v>
      </c>
      <c r="J771" s="755"/>
      <c r="K771" s="903"/>
      <c r="L771" s="761"/>
      <c r="M771" s="903"/>
      <c r="N771" s="761"/>
      <c r="O771" s="761"/>
    </row>
    <row r="772" spans="3:15">
      <c r="C772" s="751">
        <f>IF(D720="","-",+C771+1)</f>
        <v>2065</v>
      </c>
      <c r="D772" s="703">
        <f t="shared" si="42"/>
        <v>0</v>
      </c>
      <c r="E772" s="758">
        <f t="shared" si="44"/>
        <v>0</v>
      </c>
      <c r="F772" s="703">
        <f t="shared" si="45"/>
        <v>0</v>
      </c>
      <c r="G772" s="1296">
        <f t="shared" si="46"/>
        <v>0</v>
      </c>
      <c r="H772" s="1299">
        <f t="shared" si="47"/>
        <v>0</v>
      </c>
      <c r="I772" s="755">
        <f t="shared" si="43"/>
        <v>0</v>
      </c>
      <c r="J772" s="755"/>
      <c r="K772" s="903"/>
      <c r="L772" s="761"/>
      <c r="M772" s="903"/>
      <c r="N772" s="761"/>
      <c r="O772" s="761"/>
    </row>
    <row r="773" spans="3:15">
      <c r="C773" s="751">
        <f>IF(D720="","-",+C772+1)</f>
        <v>2066</v>
      </c>
      <c r="D773" s="703">
        <f t="shared" si="42"/>
        <v>0</v>
      </c>
      <c r="E773" s="758">
        <f t="shared" si="44"/>
        <v>0</v>
      </c>
      <c r="F773" s="703">
        <f t="shared" si="45"/>
        <v>0</v>
      </c>
      <c r="G773" s="1296">
        <f t="shared" si="46"/>
        <v>0</v>
      </c>
      <c r="H773" s="1299">
        <f t="shared" si="47"/>
        <v>0</v>
      </c>
      <c r="I773" s="755">
        <f t="shared" si="43"/>
        <v>0</v>
      </c>
      <c r="J773" s="755"/>
      <c r="K773" s="903"/>
      <c r="L773" s="761"/>
      <c r="M773" s="903"/>
      <c r="N773" s="761"/>
      <c r="O773" s="761"/>
    </row>
    <row r="774" spans="3:15">
      <c r="C774" s="751">
        <f>IF(D720="","-",+C773+1)</f>
        <v>2067</v>
      </c>
      <c r="D774" s="703">
        <f t="shared" si="42"/>
        <v>0</v>
      </c>
      <c r="E774" s="758">
        <f t="shared" si="44"/>
        <v>0</v>
      </c>
      <c r="F774" s="703">
        <f t="shared" si="45"/>
        <v>0</v>
      </c>
      <c r="G774" s="1296">
        <f t="shared" si="46"/>
        <v>0</v>
      </c>
      <c r="H774" s="1299">
        <f t="shared" si="47"/>
        <v>0</v>
      </c>
      <c r="I774" s="755">
        <f t="shared" si="43"/>
        <v>0</v>
      </c>
      <c r="J774" s="755"/>
      <c r="K774" s="903"/>
      <c r="L774" s="761"/>
      <c r="M774" s="903"/>
      <c r="N774" s="761"/>
      <c r="O774" s="761"/>
    </row>
    <row r="775" spans="3:15">
      <c r="C775" s="751">
        <f>IF(D720="","-",+C774+1)</f>
        <v>2068</v>
      </c>
      <c r="D775" s="703">
        <f t="shared" si="42"/>
        <v>0</v>
      </c>
      <c r="E775" s="758">
        <f t="shared" si="44"/>
        <v>0</v>
      </c>
      <c r="F775" s="703">
        <f t="shared" si="45"/>
        <v>0</v>
      </c>
      <c r="G775" s="1296">
        <f t="shared" si="46"/>
        <v>0</v>
      </c>
      <c r="H775" s="1299">
        <f t="shared" si="47"/>
        <v>0</v>
      </c>
      <c r="I775" s="755">
        <f t="shared" si="43"/>
        <v>0</v>
      </c>
      <c r="J775" s="755"/>
      <c r="K775" s="903"/>
      <c r="L775" s="761"/>
      <c r="M775" s="903"/>
      <c r="N775" s="761"/>
      <c r="O775" s="761"/>
    </row>
    <row r="776" spans="3:15">
      <c r="C776" s="751">
        <f>IF(D720="","-",+C775+1)</f>
        <v>2069</v>
      </c>
      <c r="D776" s="703">
        <f t="shared" si="42"/>
        <v>0</v>
      </c>
      <c r="E776" s="758">
        <f t="shared" si="44"/>
        <v>0</v>
      </c>
      <c r="F776" s="703">
        <f t="shared" si="45"/>
        <v>0</v>
      </c>
      <c r="G776" s="1296">
        <f t="shared" si="46"/>
        <v>0</v>
      </c>
      <c r="H776" s="1299">
        <f t="shared" si="47"/>
        <v>0</v>
      </c>
      <c r="I776" s="755">
        <f t="shared" si="43"/>
        <v>0</v>
      </c>
      <c r="J776" s="755"/>
      <c r="K776" s="903"/>
      <c r="L776" s="761"/>
      <c r="M776" s="903"/>
      <c r="N776" s="761"/>
      <c r="O776" s="761"/>
    </row>
    <row r="777" spans="3:15">
      <c r="C777" s="751">
        <f>IF(D720="","-",+C776+1)</f>
        <v>2070</v>
      </c>
      <c r="D777" s="703">
        <f t="shared" si="42"/>
        <v>0</v>
      </c>
      <c r="E777" s="758">
        <f t="shared" si="44"/>
        <v>0</v>
      </c>
      <c r="F777" s="703">
        <f t="shared" si="45"/>
        <v>0</v>
      </c>
      <c r="G777" s="1296">
        <f t="shared" si="46"/>
        <v>0</v>
      </c>
      <c r="H777" s="1299">
        <f t="shared" si="47"/>
        <v>0</v>
      </c>
      <c r="I777" s="755">
        <f t="shared" si="43"/>
        <v>0</v>
      </c>
      <c r="J777" s="755"/>
      <c r="K777" s="903"/>
      <c r="L777" s="761"/>
      <c r="M777" s="903"/>
      <c r="N777" s="761"/>
      <c r="O777" s="761"/>
    </row>
    <row r="778" spans="3:15">
      <c r="C778" s="751">
        <f>IF(D720="","-",+C777+1)</f>
        <v>2071</v>
      </c>
      <c r="D778" s="703">
        <f t="shared" si="42"/>
        <v>0</v>
      </c>
      <c r="E778" s="758">
        <f t="shared" si="44"/>
        <v>0</v>
      </c>
      <c r="F778" s="703">
        <f t="shared" si="45"/>
        <v>0</v>
      </c>
      <c r="G778" s="1296">
        <f t="shared" si="46"/>
        <v>0</v>
      </c>
      <c r="H778" s="1299">
        <f t="shared" si="47"/>
        <v>0</v>
      </c>
      <c r="I778" s="755">
        <f t="shared" si="43"/>
        <v>0</v>
      </c>
      <c r="J778" s="755"/>
      <c r="K778" s="903"/>
      <c r="L778" s="761"/>
      <c r="M778" s="903"/>
      <c r="N778" s="761"/>
      <c r="O778" s="761"/>
    </row>
    <row r="779" spans="3:15">
      <c r="C779" s="751">
        <f>IF(D720="","-",+C778+1)</f>
        <v>2072</v>
      </c>
      <c r="D779" s="703">
        <f t="shared" si="42"/>
        <v>0</v>
      </c>
      <c r="E779" s="758">
        <f t="shared" si="44"/>
        <v>0</v>
      </c>
      <c r="F779" s="703">
        <f t="shared" si="45"/>
        <v>0</v>
      </c>
      <c r="G779" s="1296">
        <f t="shared" si="46"/>
        <v>0</v>
      </c>
      <c r="H779" s="1299">
        <f t="shared" si="47"/>
        <v>0</v>
      </c>
      <c r="I779" s="755">
        <f t="shared" si="43"/>
        <v>0</v>
      </c>
      <c r="J779" s="755"/>
      <c r="K779" s="903"/>
      <c r="L779" s="761"/>
      <c r="M779" s="903"/>
      <c r="N779" s="761"/>
      <c r="O779" s="761"/>
    </row>
    <row r="780" spans="3:15">
      <c r="C780" s="751">
        <f>IF(D720="","-",+C779+1)</f>
        <v>2073</v>
      </c>
      <c r="D780" s="703">
        <f t="shared" si="42"/>
        <v>0</v>
      </c>
      <c r="E780" s="758">
        <f t="shared" si="44"/>
        <v>0</v>
      </c>
      <c r="F780" s="703">
        <f t="shared" si="45"/>
        <v>0</v>
      </c>
      <c r="G780" s="1296">
        <f t="shared" si="46"/>
        <v>0</v>
      </c>
      <c r="H780" s="1299">
        <f t="shared" si="47"/>
        <v>0</v>
      </c>
      <c r="I780" s="755">
        <f t="shared" si="43"/>
        <v>0</v>
      </c>
      <c r="J780" s="755"/>
      <c r="K780" s="903"/>
      <c r="L780" s="761"/>
      <c r="M780" s="903"/>
      <c r="N780" s="761"/>
      <c r="O780" s="761"/>
    </row>
    <row r="781" spans="3:15">
      <c r="C781" s="751">
        <f>IF(D720="","-",+C780+1)</f>
        <v>2074</v>
      </c>
      <c r="D781" s="703">
        <f t="shared" si="42"/>
        <v>0</v>
      </c>
      <c r="E781" s="758">
        <f t="shared" si="44"/>
        <v>0</v>
      </c>
      <c r="F781" s="703">
        <f t="shared" si="45"/>
        <v>0</v>
      </c>
      <c r="G781" s="1296">
        <f t="shared" si="46"/>
        <v>0</v>
      </c>
      <c r="H781" s="1299">
        <f t="shared" si="47"/>
        <v>0</v>
      </c>
      <c r="I781" s="755">
        <f t="shared" si="43"/>
        <v>0</v>
      </c>
      <c r="J781" s="755"/>
      <c r="K781" s="903"/>
      <c r="L781" s="761"/>
      <c r="M781" s="903"/>
      <c r="N781" s="761"/>
      <c r="O781" s="761"/>
    </row>
    <row r="782" spans="3:15">
      <c r="C782" s="751">
        <f>IF(D720="","-",+C781+1)</f>
        <v>2075</v>
      </c>
      <c r="D782" s="703">
        <f t="shared" si="42"/>
        <v>0</v>
      </c>
      <c r="E782" s="758">
        <f t="shared" si="44"/>
        <v>0</v>
      </c>
      <c r="F782" s="703">
        <f t="shared" si="45"/>
        <v>0</v>
      </c>
      <c r="G782" s="1296">
        <f t="shared" si="46"/>
        <v>0</v>
      </c>
      <c r="H782" s="1299">
        <f t="shared" si="47"/>
        <v>0</v>
      </c>
      <c r="I782" s="755">
        <f t="shared" si="43"/>
        <v>0</v>
      </c>
      <c r="J782" s="755"/>
      <c r="K782" s="903"/>
      <c r="L782" s="761"/>
      <c r="M782" s="903"/>
      <c r="N782" s="761"/>
      <c r="O782" s="761"/>
    </row>
    <row r="783" spans="3:15">
      <c r="C783" s="751">
        <f>IF(D720="","-",+C782+1)</f>
        <v>2076</v>
      </c>
      <c r="D783" s="703">
        <f t="shared" si="42"/>
        <v>0</v>
      </c>
      <c r="E783" s="758">
        <f t="shared" si="44"/>
        <v>0</v>
      </c>
      <c r="F783" s="703">
        <f t="shared" si="45"/>
        <v>0</v>
      </c>
      <c r="G783" s="1296">
        <f t="shared" si="46"/>
        <v>0</v>
      </c>
      <c r="H783" s="1299">
        <f t="shared" si="47"/>
        <v>0</v>
      </c>
      <c r="I783" s="755">
        <f t="shared" si="43"/>
        <v>0</v>
      </c>
      <c r="J783" s="755"/>
      <c r="K783" s="903"/>
      <c r="L783" s="761"/>
      <c r="M783" s="903"/>
      <c r="N783" s="761"/>
      <c r="O783" s="761"/>
    </row>
    <row r="784" spans="3:15">
      <c r="C784" s="751">
        <f>IF(D720="","-",+C783+1)</f>
        <v>2077</v>
      </c>
      <c r="D784" s="703">
        <f t="shared" si="42"/>
        <v>0</v>
      </c>
      <c r="E784" s="758">
        <f t="shared" si="44"/>
        <v>0</v>
      </c>
      <c r="F784" s="703">
        <f t="shared" si="45"/>
        <v>0</v>
      </c>
      <c r="G784" s="1296">
        <f t="shared" si="46"/>
        <v>0</v>
      </c>
      <c r="H784" s="1299">
        <f t="shared" si="47"/>
        <v>0</v>
      </c>
      <c r="I784" s="755">
        <f t="shared" si="43"/>
        <v>0</v>
      </c>
      <c r="J784" s="755"/>
      <c r="K784" s="903"/>
      <c r="L784" s="761"/>
      <c r="M784" s="903"/>
      <c r="N784" s="761"/>
      <c r="O784" s="761"/>
    </row>
    <row r="785" spans="1:16" ht="13.5" thickBot="1">
      <c r="C785" s="762">
        <f>IF(D720="","-",+C784+1)</f>
        <v>2078</v>
      </c>
      <c r="D785" s="763">
        <f t="shared" si="42"/>
        <v>0</v>
      </c>
      <c r="E785" s="764">
        <f t="shared" si="44"/>
        <v>0</v>
      </c>
      <c r="F785" s="763">
        <f t="shared" si="45"/>
        <v>0</v>
      </c>
      <c r="G785" s="1307">
        <f t="shared" si="46"/>
        <v>0</v>
      </c>
      <c r="H785" s="1286">
        <f t="shared" si="47"/>
        <v>0</v>
      </c>
      <c r="I785" s="766">
        <f t="shared" si="43"/>
        <v>0</v>
      </c>
      <c r="J785" s="755"/>
      <c r="K785" s="904"/>
      <c r="L785" s="768"/>
      <c r="M785" s="904"/>
      <c r="N785" s="768"/>
      <c r="O785" s="768"/>
    </row>
    <row r="786" spans="1:16">
      <c r="C786" s="703" t="s">
        <v>289</v>
      </c>
      <c r="D786" s="1277"/>
      <c r="E786" s="1277">
        <f>SUM(E726:E785)</f>
        <v>653739.25</v>
      </c>
      <c r="F786" s="1277"/>
      <c r="G786" s="1277">
        <f>SUM(G726:G785)</f>
        <v>2014494.3306458122</v>
      </c>
      <c r="H786" s="1277">
        <f>SUM(H726:H785)</f>
        <v>2014494.3306458122</v>
      </c>
      <c r="I786" s="1277">
        <f>SUM(I726:I785)</f>
        <v>0</v>
      </c>
      <c r="J786" s="1277"/>
      <c r="K786" s="1277"/>
      <c r="L786" s="1277"/>
      <c r="M786" s="1277"/>
      <c r="N786" s="1277"/>
      <c r="O786" s="570"/>
    </row>
    <row r="787" spans="1:16">
      <c r="D787" s="593"/>
      <c r="E787" s="570"/>
      <c r="F787" s="570"/>
      <c r="G787" s="570"/>
      <c r="H787" s="1276"/>
      <c r="I787" s="1276"/>
      <c r="J787" s="1277"/>
      <c r="K787" s="1276"/>
      <c r="L787" s="1276"/>
      <c r="M787" s="1276"/>
      <c r="N787" s="1276"/>
      <c r="O787" s="570"/>
    </row>
    <row r="788" spans="1:16">
      <c r="C788" s="1308" t="s">
        <v>968</v>
      </c>
      <c r="D788" s="593"/>
      <c r="E788" s="570"/>
      <c r="F788" s="570"/>
      <c r="G788" s="570"/>
      <c r="H788" s="1276"/>
      <c r="I788" s="1276"/>
      <c r="J788" s="1277"/>
      <c r="K788" s="1276"/>
      <c r="L788" s="1276"/>
      <c r="M788" s="1276"/>
      <c r="N788" s="1276"/>
      <c r="O788" s="570"/>
    </row>
    <row r="789" spans="1:16">
      <c r="D789" s="593"/>
      <c r="E789" s="570"/>
      <c r="F789" s="570"/>
      <c r="G789" s="570"/>
      <c r="H789" s="1276"/>
      <c r="I789" s="1276"/>
      <c r="J789" s="1277"/>
      <c r="K789" s="1276"/>
      <c r="L789" s="1276"/>
      <c r="M789" s="1276"/>
      <c r="N789" s="1276"/>
      <c r="O789" s="570"/>
    </row>
    <row r="790" spans="1:16">
      <c r="C790" s="716" t="s">
        <v>969</v>
      </c>
      <c r="D790" s="703"/>
      <c r="E790" s="703"/>
      <c r="F790" s="703"/>
      <c r="G790" s="1277"/>
      <c r="H790" s="1277"/>
      <c r="I790" s="704"/>
      <c r="J790" s="704"/>
      <c r="K790" s="704"/>
      <c r="L790" s="704"/>
      <c r="M790" s="704"/>
      <c r="N790" s="704"/>
      <c r="O790" s="570"/>
    </row>
    <row r="791" spans="1:16">
      <c r="C791" s="702" t="s">
        <v>477</v>
      </c>
      <c r="D791" s="703"/>
      <c r="E791" s="703"/>
      <c r="F791" s="703"/>
      <c r="G791" s="1277"/>
      <c r="H791" s="1277"/>
      <c r="I791" s="704"/>
      <c r="J791" s="704"/>
      <c r="K791" s="704"/>
      <c r="L791" s="704"/>
      <c r="M791" s="704"/>
      <c r="N791" s="704"/>
      <c r="O791" s="570"/>
    </row>
    <row r="792" spans="1:16">
      <c r="C792" s="702" t="s">
        <v>290</v>
      </c>
      <c r="D792" s="703"/>
      <c r="E792" s="703"/>
      <c r="F792" s="703"/>
      <c r="G792" s="1277"/>
      <c r="H792" s="1277"/>
      <c r="I792" s="704"/>
      <c r="J792" s="704"/>
      <c r="K792" s="704"/>
      <c r="L792" s="704"/>
      <c r="M792" s="704"/>
      <c r="N792" s="704"/>
      <c r="O792" s="570"/>
    </row>
    <row r="793" spans="1:16">
      <c r="C793" s="702"/>
      <c r="D793" s="703"/>
      <c r="E793" s="703"/>
      <c r="F793" s="703"/>
      <c r="G793" s="1277"/>
      <c r="H793" s="1277"/>
      <c r="I793" s="704"/>
      <c r="J793" s="704"/>
      <c r="K793" s="704"/>
      <c r="L793" s="704"/>
      <c r="M793" s="704"/>
      <c r="N793" s="704"/>
      <c r="O793" s="570"/>
    </row>
    <row r="794" spans="1:16">
      <c r="C794" s="1507" t="s">
        <v>461</v>
      </c>
      <c r="D794" s="1507"/>
      <c r="E794" s="1507"/>
      <c r="F794" s="1507"/>
      <c r="G794" s="1507"/>
      <c r="H794" s="1507"/>
      <c r="I794" s="1507"/>
      <c r="J794" s="1507"/>
      <c r="K794" s="1507"/>
      <c r="L794" s="1507"/>
      <c r="M794" s="1507"/>
      <c r="N794" s="1507"/>
      <c r="O794" s="1507"/>
    </row>
    <row r="795" spans="1:16">
      <c r="C795" s="1507"/>
      <c r="D795" s="1507"/>
      <c r="E795" s="1507"/>
      <c r="F795" s="1507"/>
      <c r="G795" s="1507"/>
      <c r="H795" s="1507"/>
      <c r="I795" s="1507"/>
      <c r="J795" s="1507"/>
      <c r="K795" s="1507"/>
      <c r="L795" s="1507"/>
      <c r="M795" s="1507"/>
      <c r="N795" s="1507"/>
      <c r="O795" s="1507"/>
    </row>
    <row r="796" spans="1:16" ht="20.25">
      <c r="A796" s="705" t="s">
        <v>965</v>
      </c>
      <c r="B796" s="606"/>
      <c r="C796" s="685"/>
      <c r="D796" s="593"/>
      <c r="E796" s="570"/>
      <c r="F796" s="675"/>
      <c r="G796" s="570"/>
      <c r="H796" s="1276"/>
      <c r="K796" s="706"/>
      <c r="L796" s="706"/>
      <c r="M796" s="706"/>
      <c r="N796" s="621" t="str">
        <f>"Page "&amp;P796&amp;" of "</f>
        <v xml:space="preserve">Page 9 of </v>
      </c>
      <c r="O796" s="622">
        <f>COUNT(P$6:P$59527)</f>
        <v>10</v>
      </c>
      <c r="P796" s="570">
        <v>9</v>
      </c>
    </row>
    <row r="797" spans="1:16">
      <c r="B797" s="606"/>
      <c r="C797" s="570"/>
      <c r="D797" s="593"/>
      <c r="E797" s="570"/>
      <c r="F797" s="570"/>
      <c r="G797" s="570"/>
      <c r="H797" s="1276"/>
      <c r="I797" s="570"/>
      <c r="J797" s="618"/>
      <c r="K797" s="570"/>
      <c r="L797" s="570"/>
      <c r="M797" s="570"/>
      <c r="N797" s="570"/>
      <c r="O797" s="570"/>
    </row>
    <row r="798" spans="1:16" ht="18">
      <c r="B798" s="625" t="s">
        <v>175</v>
      </c>
      <c r="C798" s="707" t="s">
        <v>291</v>
      </c>
      <c r="D798" s="593"/>
      <c r="E798" s="570"/>
      <c r="F798" s="570"/>
      <c r="G798" s="570"/>
      <c r="H798" s="1276"/>
      <c r="I798" s="1276"/>
      <c r="J798" s="1277"/>
      <c r="K798" s="1276"/>
      <c r="L798" s="1276"/>
      <c r="M798" s="1276"/>
      <c r="N798" s="1276"/>
      <c r="O798" s="570"/>
    </row>
    <row r="799" spans="1:16" ht="18.75">
      <c r="B799" s="625"/>
      <c r="C799" s="624"/>
      <c r="D799" s="593"/>
      <c r="E799" s="570"/>
      <c r="F799" s="570"/>
      <c r="G799" s="570"/>
      <c r="H799" s="1276"/>
      <c r="I799" s="1276"/>
      <c r="J799" s="1277"/>
      <c r="K799" s="1276"/>
      <c r="L799" s="1276"/>
      <c r="M799" s="1276"/>
      <c r="N799" s="1276"/>
      <c r="O799" s="570"/>
    </row>
    <row r="800" spans="1:16" ht="18.75">
      <c r="B800" s="625"/>
      <c r="C800" s="624" t="s">
        <v>292</v>
      </c>
      <c r="D800" s="593"/>
      <c r="E800" s="570"/>
      <c r="F800" s="570"/>
      <c r="G800" s="570"/>
      <c r="H800" s="1276"/>
      <c r="I800" s="1276"/>
      <c r="J800" s="1277"/>
      <c r="K800" s="1276"/>
      <c r="L800" s="1276"/>
      <c r="M800" s="1276"/>
      <c r="N800" s="1276"/>
      <c r="O800" s="570"/>
    </row>
    <row r="801" spans="1:15" ht="15.75" thickBot="1">
      <c r="C801" s="423"/>
      <c r="D801" s="593"/>
      <c r="E801" s="570"/>
      <c r="F801" s="570"/>
      <c r="G801" s="570"/>
      <c r="H801" s="1276"/>
      <c r="I801" s="1276"/>
      <c r="J801" s="1277"/>
      <c r="K801" s="1276"/>
      <c r="L801" s="1276"/>
      <c r="M801" s="1276"/>
      <c r="N801" s="1276"/>
      <c r="O801" s="570"/>
    </row>
    <row r="802" spans="1:15" ht="15.75">
      <c r="C802" s="626" t="s">
        <v>293</v>
      </c>
      <c r="D802" s="593"/>
      <c r="E802" s="570"/>
      <c r="F802" s="570"/>
      <c r="G802" s="1278"/>
      <c r="H802" s="570" t="s">
        <v>272</v>
      </c>
      <c r="I802" s="570"/>
      <c r="J802" s="618"/>
      <c r="K802" s="708" t="s">
        <v>297</v>
      </c>
      <c r="L802" s="709"/>
      <c r="M802" s="710"/>
      <c r="N802" s="1279">
        <f>VLOOKUP(I808,C815:O874,5)</f>
        <v>65739.836742852727</v>
      </c>
      <c r="O802" s="570"/>
    </row>
    <row r="803" spans="1:15" ht="15.75">
      <c r="C803" s="626"/>
      <c r="D803" s="593"/>
      <c r="E803" s="570"/>
      <c r="F803" s="570"/>
      <c r="G803" s="570"/>
      <c r="H803" s="1280"/>
      <c r="I803" s="1280"/>
      <c r="J803" s="1281"/>
      <c r="K803" s="713" t="s">
        <v>298</v>
      </c>
      <c r="L803" s="1282"/>
      <c r="M803" s="618"/>
      <c r="N803" s="1283">
        <f>VLOOKUP(I808,C815:O874,6)</f>
        <v>65739.836742852727</v>
      </c>
      <c r="O803" s="570"/>
    </row>
    <row r="804" spans="1:15" ht="13.5" thickBot="1">
      <c r="C804" s="714" t="s">
        <v>294</v>
      </c>
      <c r="D804" s="1508" t="s">
        <v>982</v>
      </c>
      <c r="E804" s="1509"/>
      <c r="F804" s="1509"/>
      <c r="G804" s="1509"/>
      <c r="H804" s="1509"/>
      <c r="I804" s="1509"/>
      <c r="J804" s="1277"/>
      <c r="K804" s="1284" t="s">
        <v>451</v>
      </c>
      <c r="L804" s="1285"/>
      <c r="M804" s="1285"/>
      <c r="N804" s="1286">
        <f>+N803-N802</f>
        <v>0</v>
      </c>
      <c r="O804" s="570"/>
    </row>
    <row r="805" spans="1:15">
      <c r="C805" s="716"/>
      <c r="D805" s="1509"/>
      <c r="E805" s="1509"/>
      <c r="F805" s="1509"/>
      <c r="G805" s="1509"/>
      <c r="H805" s="1509"/>
      <c r="I805" s="1509"/>
      <c r="J805" s="1277"/>
      <c r="K805" s="1276"/>
      <c r="L805" s="1276"/>
      <c r="M805" s="1276"/>
      <c r="N805" s="1276"/>
      <c r="O805" s="570"/>
    </row>
    <row r="806" spans="1:15" ht="13.5" thickBot="1">
      <c r="C806" s="719"/>
      <c r="D806" s="720"/>
      <c r="E806" s="718"/>
      <c r="F806" s="718"/>
      <c r="G806" s="718"/>
      <c r="H806" s="718"/>
      <c r="I806" s="718"/>
      <c r="J806" s="721"/>
      <c r="K806" s="718"/>
      <c r="L806" s="718"/>
      <c r="M806" s="718"/>
      <c r="N806" s="718"/>
      <c r="O806" s="606"/>
    </row>
    <row r="807" spans="1:15" ht="13.5" thickBot="1">
      <c r="C807" s="722" t="s">
        <v>295</v>
      </c>
      <c r="D807" s="723"/>
      <c r="E807" s="723"/>
      <c r="F807" s="723"/>
      <c r="G807" s="723"/>
      <c r="H807" s="723"/>
      <c r="I807" s="724"/>
      <c r="J807" s="725"/>
      <c r="K807" s="570"/>
      <c r="L807" s="570"/>
      <c r="M807" s="570"/>
      <c r="N807" s="570"/>
      <c r="O807" s="726"/>
    </row>
    <row r="808" spans="1:15" ht="15">
      <c r="C808" s="728" t="s">
        <v>273</v>
      </c>
      <c r="D808" s="1287">
        <v>633540</v>
      </c>
      <c r="E808" s="685" t="s">
        <v>274</v>
      </c>
      <c r="G808" s="729"/>
      <c r="H808" s="729"/>
      <c r="I808" s="730">
        <f>I719</f>
        <v>2021</v>
      </c>
      <c r="J808" s="616"/>
      <c r="K808" s="1506" t="s">
        <v>460</v>
      </c>
      <c r="L808" s="1506"/>
      <c r="M808" s="1506"/>
      <c r="N808" s="1506"/>
      <c r="O808" s="1506"/>
    </row>
    <row r="809" spans="1:15">
      <c r="C809" s="728" t="s">
        <v>276</v>
      </c>
      <c r="D809" s="898">
        <v>2013</v>
      </c>
      <c r="E809" s="728" t="s">
        <v>277</v>
      </c>
      <c r="F809" s="729"/>
      <c r="H809" s="357"/>
      <c r="I809" s="901">
        <f>IF(G802="",0,$F$15)</f>
        <v>0</v>
      </c>
      <c r="J809" s="731"/>
      <c r="K809" s="1277" t="s">
        <v>460</v>
      </c>
    </row>
    <row r="810" spans="1:15">
      <c r="C810" s="728" t="s">
        <v>278</v>
      </c>
      <c r="D810" s="1287">
        <v>4</v>
      </c>
      <c r="E810" s="728" t="s">
        <v>279</v>
      </c>
      <c r="F810" s="729"/>
      <c r="H810" s="357"/>
      <c r="I810" s="732">
        <f>$G$70</f>
        <v>9.9118816841934854E-2</v>
      </c>
      <c r="J810" s="733"/>
      <c r="K810" s="357" t="str">
        <f>"          INPUT PROJECTED ARR (WITH &amp; WITHOUT INCENTIVES) FROM EACH PRIOR YEAR"</f>
        <v xml:space="preserve">          INPUT PROJECTED ARR (WITH &amp; WITHOUT INCENTIVES) FROM EACH PRIOR YEAR</v>
      </c>
    </row>
    <row r="811" spans="1:15">
      <c r="C811" s="728" t="s">
        <v>280</v>
      </c>
      <c r="D811" s="734">
        <f>G$79</f>
        <v>41</v>
      </c>
      <c r="E811" s="728" t="s">
        <v>281</v>
      </c>
      <c r="F811" s="729"/>
      <c r="H811" s="357"/>
      <c r="I811" s="732">
        <f>IF(G802="",I810,$G$67)</f>
        <v>9.9118816841934854E-2</v>
      </c>
      <c r="J811" s="735"/>
      <c r="K811" s="357" t="s">
        <v>358</v>
      </c>
    </row>
    <row r="812" spans="1:15" ht="13.5" thickBot="1">
      <c r="C812" s="728" t="s">
        <v>282</v>
      </c>
      <c r="D812" s="900" t="s">
        <v>967</v>
      </c>
      <c r="E812" s="736" t="s">
        <v>283</v>
      </c>
      <c r="F812" s="737"/>
      <c r="G812" s="738"/>
      <c r="H812" s="738"/>
      <c r="I812" s="1286">
        <f>IF(D808=0,0,D808/D811)</f>
        <v>15452.195121951219</v>
      </c>
      <c r="J812" s="1277"/>
      <c r="K812" s="1277" t="s">
        <v>364</v>
      </c>
      <c r="L812" s="1277"/>
      <c r="M812" s="1277"/>
      <c r="N812" s="1277"/>
      <c r="O812" s="618"/>
    </row>
    <row r="813" spans="1:15" ht="51">
      <c r="A813" s="557"/>
      <c r="B813" s="1288"/>
      <c r="C813" s="739" t="s">
        <v>273</v>
      </c>
      <c r="D813" s="1289" t="s">
        <v>284</v>
      </c>
      <c r="E813" s="1290" t="s">
        <v>285</v>
      </c>
      <c r="F813" s="1289" t="s">
        <v>286</v>
      </c>
      <c r="G813" s="1290" t="s">
        <v>357</v>
      </c>
      <c r="H813" s="1291" t="s">
        <v>357</v>
      </c>
      <c r="I813" s="739" t="s">
        <v>296</v>
      </c>
      <c r="J813" s="743"/>
      <c r="K813" s="1290" t="s">
        <v>366</v>
      </c>
      <c r="L813" s="1292"/>
      <c r="M813" s="1290" t="s">
        <v>366</v>
      </c>
      <c r="N813" s="1292"/>
      <c r="O813" s="1292"/>
    </row>
    <row r="814" spans="1:15" ht="13.5" thickBot="1">
      <c r="C814" s="745" t="s">
        <v>178</v>
      </c>
      <c r="D814" s="746" t="s">
        <v>179</v>
      </c>
      <c r="E814" s="745" t="s">
        <v>38</v>
      </c>
      <c r="F814" s="746" t="s">
        <v>179</v>
      </c>
      <c r="G814" s="1293" t="s">
        <v>299</v>
      </c>
      <c r="H814" s="1294" t="s">
        <v>301</v>
      </c>
      <c r="I814" s="749" t="s">
        <v>390</v>
      </c>
      <c r="J814" s="750"/>
      <c r="K814" s="1293" t="s">
        <v>288</v>
      </c>
      <c r="L814" s="1295"/>
      <c r="M814" s="1293" t="s">
        <v>301</v>
      </c>
      <c r="N814" s="1295"/>
      <c r="O814" s="1295"/>
    </row>
    <row r="815" spans="1:15">
      <c r="C815" s="751">
        <f>IF(D809= "","-",D809)</f>
        <v>2013</v>
      </c>
      <c r="D815" s="703">
        <f>+D808</f>
        <v>633540</v>
      </c>
      <c r="E815" s="1296">
        <f>+I812/12*(12-D810)</f>
        <v>10301.463414634147</v>
      </c>
      <c r="F815" s="703">
        <f>+D815-E815</f>
        <v>623238.53658536589</v>
      </c>
      <c r="G815" s="1297">
        <f>+$I$810*((D815+F815)/2)+E815</f>
        <v>72586.66420397404</v>
      </c>
      <c r="H815" s="1298">
        <f>+$I$811*((D815+F815)/2)+E815</f>
        <v>72586.66420397404</v>
      </c>
      <c r="I815" s="755">
        <f>+H815-G815</f>
        <v>0</v>
      </c>
      <c r="J815" s="755"/>
      <c r="K815" s="903">
        <v>0</v>
      </c>
      <c r="L815" s="757"/>
      <c r="M815" s="903">
        <v>0</v>
      </c>
      <c r="N815" s="757"/>
      <c r="O815" s="757"/>
    </row>
    <row r="816" spans="1:15">
      <c r="C816" s="751">
        <f>IF(D809="","-",+C815+1)</f>
        <v>2014</v>
      </c>
      <c r="D816" s="703">
        <f t="shared" ref="D816:D874" si="48">F815</f>
        <v>623238.53658536589</v>
      </c>
      <c r="E816" s="758">
        <f>IF(D816&gt;$I$812,$I$812,D816)</f>
        <v>15452.195121951219</v>
      </c>
      <c r="F816" s="703">
        <f>+D816-E816</f>
        <v>607786.34146341472</v>
      </c>
      <c r="G816" s="1296">
        <f>+$I$810*((D816+F816)/2)+E816</f>
        <v>76461.059829542355</v>
      </c>
      <c r="H816" s="1299">
        <f>+$I$810*((D816+F816)/2)+E816</f>
        <v>76461.059829542355</v>
      </c>
      <c r="I816" s="755">
        <f t="shared" ref="I816:I874" si="49">+H816-G816</f>
        <v>0</v>
      </c>
      <c r="J816" s="755"/>
      <c r="K816" s="903">
        <v>0</v>
      </c>
      <c r="L816" s="761"/>
      <c r="M816" s="903">
        <v>0</v>
      </c>
      <c r="N816" s="761"/>
      <c r="O816" s="761"/>
    </row>
    <row r="817" spans="3:15">
      <c r="C817" s="1313">
        <f>IF(D809="","-",+C816+1)</f>
        <v>2015</v>
      </c>
      <c r="D817" s="1301">
        <f t="shared" si="48"/>
        <v>607786.34146341472</v>
      </c>
      <c r="E817" s="758">
        <f t="shared" ref="E817:E874" si="50">IF(D817&gt;$I$812,$I$812,D817)</f>
        <v>15452.195121951219</v>
      </c>
      <c r="F817" s="703">
        <f t="shared" ref="F817:F874" si="51">+D817-E817</f>
        <v>592334.14634146355</v>
      </c>
      <c r="G817" s="1296">
        <f t="shared" ref="G817:G874" si="52">+$I$810*((D817+F817)/2)+E817</f>
        <v>74929.456531443837</v>
      </c>
      <c r="H817" s="1299">
        <f t="shared" ref="H817:H874" si="53">+$I$810*((D817+F817)/2)+E817</f>
        <v>74929.456531443837</v>
      </c>
      <c r="I817" s="1305">
        <f t="shared" si="49"/>
        <v>0</v>
      </c>
      <c r="J817" s="755"/>
      <c r="K817" s="903"/>
      <c r="L817" s="761"/>
      <c r="M817" s="903"/>
      <c r="N817" s="761"/>
      <c r="O817" s="761"/>
    </row>
    <row r="818" spans="3:15">
      <c r="C818" s="751">
        <f>IF(D809="","-",+C817+1)</f>
        <v>2016</v>
      </c>
      <c r="D818" s="703">
        <f t="shared" si="48"/>
        <v>592334.14634146355</v>
      </c>
      <c r="E818" s="758">
        <f t="shared" si="50"/>
        <v>15452.195121951219</v>
      </c>
      <c r="F818" s="703">
        <f t="shared" si="51"/>
        <v>576881.95121951238</v>
      </c>
      <c r="G818" s="1296">
        <f t="shared" si="52"/>
        <v>73397.853233345319</v>
      </c>
      <c r="H818" s="1299">
        <f t="shared" si="53"/>
        <v>73397.853233345319</v>
      </c>
      <c r="I818" s="755">
        <f t="shared" si="49"/>
        <v>0</v>
      </c>
      <c r="J818" s="755"/>
      <c r="K818" s="903"/>
      <c r="L818" s="761"/>
      <c r="M818" s="903"/>
      <c r="N818" s="761"/>
      <c r="O818" s="761"/>
    </row>
    <row r="819" spans="3:15">
      <c r="C819" s="751">
        <f>IF(D809="","-",+C818+1)</f>
        <v>2017</v>
      </c>
      <c r="D819" s="703">
        <f t="shared" si="48"/>
        <v>576881.95121951238</v>
      </c>
      <c r="E819" s="758">
        <f t="shared" si="50"/>
        <v>15452.195121951219</v>
      </c>
      <c r="F819" s="703">
        <f t="shared" si="51"/>
        <v>561429.75609756121</v>
      </c>
      <c r="G819" s="1296">
        <f t="shared" si="52"/>
        <v>71866.2499352468</v>
      </c>
      <c r="H819" s="1299">
        <f t="shared" si="53"/>
        <v>71866.2499352468</v>
      </c>
      <c r="I819" s="755">
        <f t="shared" si="49"/>
        <v>0</v>
      </c>
      <c r="J819" s="755"/>
      <c r="K819" s="903"/>
      <c r="L819" s="761"/>
      <c r="M819" s="903"/>
      <c r="N819" s="761"/>
      <c r="O819" s="761"/>
    </row>
    <row r="820" spans="3:15">
      <c r="C820" s="751">
        <f>IF(D809="","-",+C819+1)</f>
        <v>2018</v>
      </c>
      <c r="D820" s="703">
        <f t="shared" si="48"/>
        <v>561429.75609756121</v>
      </c>
      <c r="E820" s="758">
        <f t="shared" si="50"/>
        <v>15452.195121951219</v>
      </c>
      <c r="F820" s="703">
        <f t="shared" si="51"/>
        <v>545977.56097561005</v>
      </c>
      <c r="G820" s="1296">
        <f t="shared" si="52"/>
        <v>70334.646637148282</v>
      </c>
      <c r="H820" s="1299">
        <f t="shared" si="53"/>
        <v>70334.646637148282</v>
      </c>
      <c r="I820" s="755">
        <f t="shared" si="49"/>
        <v>0</v>
      </c>
      <c r="J820" s="755"/>
      <c r="K820" s="903"/>
      <c r="L820" s="761"/>
      <c r="M820" s="903"/>
      <c r="N820" s="761"/>
      <c r="O820" s="761"/>
    </row>
    <row r="821" spans="3:15">
      <c r="C821" s="751">
        <f>IF(D809="","-",+C820+1)</f>
        <v>2019</v>
      </c>
      <c r="D821" s="703">
        <f t="shared" si="48"/>
        <v>545977.56097561005</v>
      </c>
      <c r="E821" s="758">
        <f t="shared" si="50"/>
        <v>15452.195121951219</v>
      </c>
      <c r="F821" s="703">
        <f t="shared" si="51"/>
        <v>530525.36585365888</v>
      </c>
      <c r="G821" s="1296">
        <f t="shared" si="52"/>
        <v>68803.043339049764</v>
      </c>
      <c r="H821" s="1299">
        <f t="shared" si="53"/>
        <v>68803.043339049764</v>
      </c>
      <c r="I821" s="755">
        <f t="shared" si="49"/>
        <v>0</v>
      </c>
      <c r="J821" s="755"/>
      <c r="K821" s="903"/>
      <c r="L821" s="761"/>
      <c r="M821" s="903"/>
      <c r="N821" s="761"/>
      <c r="O821" s="761"/>
    </row>
    <row r="822" spans="3:15">
      <c r="C822" s="751">
        <f>IF(D809="","-",+C821+1)</f>
        <v>2020</v>
      </c>
      <c r="D822" s="703">
        <f t="shared" si="48"/>
        <v>530525.36585365888</v>
      </c>
      <c r="E822" s="758">
        <f t="shared" si="50"/>
        <v>15452.195121951219</v>
      </c>
      <c r="F822" s="703">
        <f t="shared" si="51"/>
        <v>515073.17073170765</v>
      </c>
      <c r="G822" s="1296">
        <f t="shared" si="52"/>
        <v>67271.440040951245</v>
      </c>
      <c r="H822" s="1299">
        <f t="shared" si="53"/>
        <v>67271.440040951245</v>
      </c>
      <c r="I822" s="755">
        <f t="shared" si="49"/>
        <v>0</v>
      </c>
      <c r="J822" s="755"/>
      <c r="K822" s="903">
        <v>66651.873871144417</v>
      </c>
      <c r="L822" s="761"/>
      <c r="M822" s="903">
        <v>66651.873871144417</v>
      </c>
      <c r="N822" s="761"/>
      <c r="O822" s="761"/>
    </row>
    <row r="823" spans="3:15">
      <c r="C823" s="751">
        <f>IF(D809="","-",+C822+1)</f>
        <v>2021</v>
      </c>
      <c r="D823" s="703">
        <f t="shared" si="48"/>
        <v>515073.17073170765</v>
      </c>
      <c r="E823" s="758">
        <f t="shared" si="50"/>
        <v>15452.195121951219</v>
      </c>
      <c r="F823" s="703">
        <f t="shared" si="51"/>
        <v>499620.97560975642</v>
      </c>
      <c r="G823" s="1296">
        <f t="shared" si="52"/>
        <v>65739.836742852727</v>
      </c>
      <c r="H823" s="1299">
        <f t="shared" si="53"/>
        <v>65739.836742852727</v>
      </c>
      <c r="I823" s="755">
        <f t="shared" si="49"/>
        <v>0</v>
      </c>
      <c r="J823" s="755"/>
      <c r="K823" s="903"/>
      <c r="L823" s="761"/>
      <c r="M823" s="903"/>
      <c r="N823" s="761"/>
      <c r="O823" s="761"/>
    </row>
    <row r="824" spans="3:15">
      <c r="C824" s="751">
        <f>IF(D809="","-",+C823+1)</f>
        <v>2022</v>
      </c>
      <c r="D824" s="703">
        <f t="shared" si="48"/>
        <v>499620.97560975642</v>
      </c>
      <c r="E824" s="758">
        <f t="shared" si="50"/>
        <v>15452.195121951219</v>
      </c>
      <c r="F824" s="703">
        <f t="shared" si="51"/>
        <v>484168.7804878052</v>
      </c>
      <c r="G824" s="1296">
        <f t="shared" si="52"/>
        <v>64208.233444754209</v>
      </c>
      <c r="H824" s="1299">
        <f t="shared" si="53"/>
        <v>64208.233444754209</v>
      </c>
      <c r="I824" s="755">
        <f t="shared" si="49"/>
        <v>0</v>
      </c>
      <c r="J824" s="755"/>
      <c r="K824" s="903"/>
      <c r="L824" s="761"/>
      <c r="M824" s="903"/>
      <c r="N824" s="761"/>
      <c r="O824" s="761"/>
    </row>
    <row r="825" spans="3:15">
      <c r="C825" s="751">
        <f>IF(D809="","-",+C824+1)</f>
        <v>2023</v>
      </c>
      <c r="D825" s="703">
        <f t="shared" si="48"/>
        <v>484168.7804878052</v>
      </c>
      <c r="E825" s="758">
        <f t="shared" si="50"/>
        <v>15452.195121951219</v>
      </c>
      <c r="F825" s="703">
        <f t="shared" si="51"/>
        <v>468716.58536585397</v>
      </c>
      <c r="G825" s="1296">
        <f t="shared" si="52"/>
        <v>62676.630146655683</v>
      </c>
      <c r="H825" s="1299">
        <f t="shared" si="53"/>
        <v>62676.630146655683</v>
      </c>
      <c r="I825" s="755">
        <f t="shared" si="49"/>
        <v>0</v>
      </c>
      <c r="J825" s="755"/>
      <c r="K825" s="903"/>
      <c r="L825" s="761"/>
      <c r="M825" s="903"/>
      <c r="N825" s="761"/>
      <c r="O825" s="761"/>
    </row>
    <row r="826" spans="3:15">
      <c r="C826" s="751">
        <f>IF(D809="","-",+C825+1)</f>
        <v>2024</v>
      </c>
      <c r="D826" s="703">
        <f t="shared" si="48"/>
        <v>468716.58536585397</v>
      </c>
      <c r="E826" s="758">
        <f t="shared" si="50"/>
        <v>15452.195121951219</v>
      </c>
      <c r="F826" s="703">
        <f t="shared" si="51"/>
        <v>453264.39024390274</v>
      </c>
      <c r="G826" s="1296">
        <f t="shared" si="52"/>
        <v>61145.026848557165</v>
      </c>
      <c r="H826" s="1299">
        <f t="shared" si="53"/>
        <v>61145.026848557165</v>
      </c>
      <c r="I826" s="755">
        <f t="shared" si="49"/>
        <v>0</v>
      </c>
      <c r="J826" s="755"/>
      <c r="K826" s="903"/>
      <c r="L826" s="761"/>
      <c r="M826" s="903"/>
      <c r="N826" s="761"/>
      <c r="O826" s="761"/>
    </row>
    <row r="827" spans="3:15">
      <c r="C827" s="751">
        <f>IF(D809="","-",+C826+1)</f>
        <v>2025</v>
      </c>
      <c r="D827" s="703">
        <f t="shared" si="48"/>
        <v>453264.39024390274</v>
      </c>
      <c r="E827" s="758">
        <f t="shared" si="50"/>
        <v>15452.195121951219</v>
      </c>
      <c r="F827" s="703">
        <f t="shared" si="51"/>
        <v>437812.19512195152</v>
      </c>
      <c r="G827" s="1296">
        <f t="shared" si="52"/>
        <v>59613.423550458632</v>
      </c>
      <c r="H827" s="1299">
        <f t="shared" si="53"/>
        <v>59613.423550458632</v>
      </c>
      <c r="I827" s="755">
        <f t="shared" si="49"/>
        <v>0</v>
      </c>
      <c r="J827" s="755"/>
      <c r="K827" s="903"/>
      <c r="L827" s="761"/>
      <c r="M827" s="903"/>
      <c r="N827" s="761"/>
      <c r="O827" s="761"/>
    </row>
    <row r="828" spans="3:15">
      <c r="C828" s="751">
        <f>IF(D809="","-",+C827+1)</f>
        <v>2026</v>
      </c>
      <c r="D828" s="703">
        <f t="shared" si="48"/>
        <v>437812.19512195152</v>
      </c>
      <c r="E828" s="758">
        <f t="shared" si="50"/>
        <v>15452.195121951219</v>
      </c>
      <c r="F828" s="703">
        <f t="shared" si="51"/>
        <v>422360.00000000029</v>
      </c>
      <c r="G828" s="1296">
        <f t="shared" si="52"/>
        <v>58081.820252360114</v>
      </c>
      <c r="H828" s="1299">
        <f t="shared" si="53"/>
        <v>58081.820252360114</v>
      </c>
      <c r="I828" s="755">
        <f t="shared" si="49"/>
        <v>0</v>
      </c>
      <c r="J828" s="755"/>
      <c r="K828" s="903"/>
      <c r="L828" s="761"/>
      <c r="M828" s="903"/>
      <c r="N828" s="761"/>
      <c r="O828" s="761"/>
    </row>
    <row r="829" spans="3:15">
      <c r="C829" s="751">
        <f>IF(D809="","-",+C828+1)</f>
        <v>2027</v>
      </c>
      <c r="D829" s="703">
        <f t="shared" si="48"/>
        <v>422360.00000000029</v>
      </c>
      <c r="E829" s="758">
        <f t="shared" si="50"/>
        <v>15452.195121951219</v>
      </c>
      <c r="F829" s="703">
        <f t="shared" si="51"/>
        <v>406907.80487804906</v>
      </c>
      <c r="G829" s="1296">
        <f t="shared" si="52"/>
        <v>56550.216954261588</v>
      </c>
      <c r="H829" s="1299">
        <f t="shared" si="53"/>
        <v>56550.216954261588</v>
      </c>
      <c r="I829" s="755">
        <f t="shared" si="49"/>
        <v>0</v>
      </c>
      <c r="J829" s="755"/>
      <c r="K829" s="903"/>
      <c r="L829" s="761"/>
      <c r="M829" s="903"/>
      <c r="N829" s="761"/>
      <c r="O829" s="761"/>
    </row>
    <row r="830" spans="3:15">
      <c r="C830" s="751">
        <f>IF(D809="","-",+C829+1)</f>
        <v>2028</v>
      </c>
      <c r="D830" s="703">
        <f t="shared" si="48"/>
        <v>406907.80487804906</v>
      </c>
      <c r="E830" s="758">
        <f t="shared" si="50"/>
        <v>15452.195121951219</v>
      </c>
      <c r="F830" s="703">
        <f t="shared" si="51"/>
        <v>391455.60975609784</v>
      </c>
      <c r="G830" s="1296">
        <f t="shared" si="52"/>
        <v>55018.61365616307</v>
      </c>
      <c r="H830" s="1299">
        <f t="shared" si="53"/>
        <v>55018.61365616307</v>
      </c>
      <c r="I830" s="755">
        <f t="shared" si="49"/>
        <v>0</v>
      </c>
      <c r="J830" s="755"/>
      <c r="K830" s="903"/>
      <c r="L830" s="761"/>
      <c r="M830" s="903"/>
      <c r="N830" s="761"/>
      <c r="O830" s="761"/>
    </row>
    <row r="831" spans="3:15">
      <c r="C831" s="751">
        <f>IF(D809="","-",+C830+1)</f>
        <v>2029</v>
      </c>
      <c r="D831" s="703">
        <f t="shared" si="48"/>
        <v>391455.60975609784</v>
      </c>
      <c r="E831" s="758">
        <f t="shared" si="50"/>
        <v>15452.195121951219</v>
      </c>
      <c r="F831" s="703">
        <f t="shared" si="51"/>
        <v>376003.41463414661</v>
      </c>
      <c r="G831" s="1296">
        <f t="shared" si="52"/>
        <v>53487.010358064545</v>
      </c>
      <c r="H831" s="1299">
        <f t="shared" si="53"/>
        <v>53487.010358064545</v>
      </c>
      <c r="I831" s="755">
        <f t="shared" si="49"/>
        <v>0</v>
      </c>
      <c r="J831" s="755"/>
      <c r="K831" s="903"/>
      <c r="L831" s="761"/>
      <c r="M831" s="903"/>
      <c r="N831" s="761"/>
      <c r="O831" s="761"/>
    </row>
    <row r="832" spans="3:15">
      <c r="C832" s="751">
        <f>IF(D809="","-",+C831+1)</f>
        <v>2030</v>
      </c>
      <c r="D832" s="703">
        <f t="shared" si="48"/>
        <v>376003.41463414661</v>
      </c>
      <c r="E832" s="758">
        <f t="shared" si="50"/>
        <v>15452.195121951219</v>
      </c>
      <c r="F832" s="703">
        <f t="shared" si="51"/>
        <v>360551.21951219538</v>
      </c>
      <c r="G832" s="1296">
        <f t="shared" si="52"/>
        <v>51955.407059966026</v>
      </c>
      <c r="H832" s="1299">
        <f t="shared" si="53"/>
        <v>51955.407059966026</v>
      </c>
      <c r="I832" s="755">
        <f t="shared" si="49"/>
        <v>0</v>
      </c>
      <c r="J832" s="755"/>
      <c r="K832" s="903"/>
      <c r="L832" s="761"/>
      <c r="M832" s="903"/>
      <c r="N832" s="761"/>
      <c r="O832" s="761"/>
    </row>
    <row r="833" spans="3:15">
      <c r="C833" s="751">
        <f>IF(D809="","-",+C832+1)</f>
        <v>2031</v>
      </c>
      <c r="D833" s="703">
        <f t="shared" si="48"/>
        <v>360551.21951219538</v>
      </c>
      <c r="E833" s="758">
        <f t="shared" si="50"/>
        <v>15452.195121951219</v>
      </c>
      <c r="F833" s="703">
        <f t="shared" si="51"/>
        <v>345099.02439024416</v>
      </c>
      <c r="G833" s="1296">
        <f t="shared" si="52"/>
        <v>50423.803761867501</v>
      </c>
      <c r="H833" s="1299">
        <f t="shared" si="53"/>
        <v>50423.803761867501</v>
      </c>
      <c r="I833" s="755">
        <f t="shared" si="49"/>
        <v>0</v>
      </c>
      <c r="J833" s="755"/>
      <c r="K833" s="903"/>
      <c r="L833" s="761"/>
      <c r="M833" s="903"/>
      <c r="N833" s="761"/>
      <c r="O833" s="761"/>
    </row>
    <row r="834" spans="3:15">
      <c r="C834" s="751">
        <f>IF(D809="","-",+C833+1)</f>
        <v>2032</v>
      </c>
      <c r="D834" s="703">
        <f t="shared" si="48"/>
        <v>345099.02439024416</v>
      </c>
      <c r="E834" s="758">
        <f t="shared" si="50"/>
        <v>15452.195121951219</v>
      </c>
      <c r="F834" s="703">
        <f t="shared" si="51"/>
        <v>329646.82926829293</v>
      </c>
      <c r="G834" s="1296">
        <f t="shared" si="52"/>
        <v>48892.200463768982</v>
      </c>
      <c r="H834" s="1299">
        <f t="shared" si="53"/>
        <v>48892.200463768982</v>
      </c>
      <c r="I834" s="755">
        <f t="shared" si="49"/>
        <v>0</v>
      </c>
      <c r="J834" s="755"/>
      <c r="K834" s="903"/>
      <c r="L834" s="761"/>
      <c r="M834" s="903"/>
      <c r="N834" s="761"/>
      <c r="O834" s="761"/>
    </row>
    <row r="835" spans="3:15">
      <c r="C835" s="751">
        <f>IF(D809="","-",+C834+1)</f>
        <v>2033</v>
      </c>
      <c r="D835" s="703">
        <f t="shared" si="48"/>
        <v>329646.82926829293</v>
      </c>
      <c r="E835" s="758">
        <f t="shared" si="50"/>
        <v>15452.195121951219</v>
      </c>
      <c r="F835" s="703">
        <f t="shared" si="51"/>
        <v>314194.6341463417</v>
      </c>
      <c r="G835" s="1296">
        <f t="shared" si="52"/>
        <v>47360.59716567045</v>
      </c>
      <c r="H835" s="1299">
        <f t="shared" si="53"/>
        <v>47360.59716567045</v>
      </c>
      <c r="I835" s="755">
        <f t="shared" si="49"/>
        <v>0</v>
      </c>
      <c r="J835" s="755"/>
      <c r="K835" s="903"/>
      <c r="L835" s="761"/>
      <c r="M835" s="903"/>
      <c r="N835" s="761"/>
      <c r="O835" s="761"/>
    </row>
    <row r="836" spans="3:15">
      <c r="C836" s="751">
        <f>IF(D809="","-",+C835+1)</f>
        <v>2034</v>
      </c>
      <c r="D836" s="703">
        <f t="shared" si="48"/>
        <v>314194.6341463417</v>
      </c>
      <c r="E836" s="758">
        <f t="shared" si="50"/>
        <v>15452.195121951219</v>
      </c>
      <c r="F836" s="703">
        <f t="shared" si="51"/>
        <v>298742.43902439048</v>
      </c>
      <c r="G836" s="1296">
        <f t="shared" si="52"/>
        <v>45828.993867571931</v>
      </c>
      <c r="H836" s="1299">
        <f t="shared" si="53"/>
        <v>45828.993867571931</v>
      </c>
      <c r="I836" s="755">
        <f t="shared" si="49"/>
        <v>0</v>
      </c>
      <c r="J836" s="755"/>
      <c r="K836" s="903"/>
      <c r="L836" s="761"/>
      <c r="M836" s="903"/>
      <c r="N836" s="761"/>
      <c r="O836" s="761"/>
    </row>
    <row r="837" spans="3:15">
      <c r="C837" s="751">
        <f>IF(D809="","-",+C836+1)</f>
        <v>2035</v>
      </c>
      <c r="D837" s="703">
        <f t="shared" si="48"/>
        <v>298742.43902439048</v>
      </c>
      <c r="E837" s="758">
        <f t="shared" si="50"/>
        <v>15452.195121951219</v>
      </c>
      <c r="F837" s="703">
        <f t="shared" si="51"/>
        <v>283290.24390243925</v>
      </c>
      <c r="G837" s="1296">
        <f t="shared" si="52"/>
        <v>44297.390569473406</v>
      </c>
      <c r="H837" s="1299">
        <f t="shared" si="53"/>
        <v>44297.390569473406</v>
      </c>
      <c r="I837" s="755">
        <f t="shared" si="49"/>
        <v>0</v>
      </c>
      <c r="J837" s="755"/>
      <c r="K837" s="903"/>
      <c r="L837" s="761"/>
      <c r="M837" s="903"/>
      <c r="N837" s="761"/>
      <c r="O837" s="761"/>
    </row>
    <row r="838" spans="3:15">
      <c r="C838" s="751">
        <f>IF(D809="","-",+C837+1)</f>
        <v>2036</v>
      </c>
      <c r="D838" s="703">
        <f t="shared" si="48"/>
        <v>283290.24390243925</v>
      </c>
      <c r="E838" s="758">
        <f t="shared" si="50"/>
        <v>15452.195121951219</v>
      </c>
      <c r="F838" s="703">
        <f t="shared" si="51"/>
        <v>267838.04878048802</v>
      </c>
      <c r="G838" s="1296">
        <f t="shared" si="52"/>
        <v>42765.787271374887</v>
      </c>
      <c r="H838" s="1299">
        <f t="shared" si="53"/>
        <v>42765.787271374887</v>
      </c>
      <c r="I838" s="755">
        <f t="shared" si="49"/>
        <v>0</v>
      </c>
      <c r="J838" s="755"/>
      <c r="K838" s="903"/>
      <c r="L838" s="761"/>
      <c r="M838" s="903"/>
      <c r="N838" s="761"/>
      <c r="O838" s="761"/>
    </row>
    <row r="839" spans="3:15">
      <c r="C839" s="751">
        <f>IF(D809="","-",+C838+1)</f>
        <v>2037</v>
      </c>
      <c r="D839" s="703">
        <f t="shared" si="48"/>
        <v>267838.04878048802</v>
      </c>
      <c r="E839" s="758">
        <f t="shared" si="50"/>
        <v>15452.195121951219</v>
      </c>
      <c r="F839" s="703">
        <f t="shared" si="51"/>
        <v>252385.8536585368</v>
      </c>
      <c r="G839" s="1296">
        <f t="shared" si="52"/>
        <v>41234.183973276362</v>
      </c>
      <c r="H839" s="1299">
        <f t="shared" si="53"/>
        <v>41234.183973276362</v>
      </c>
      <c r="I839" s="755">
        <f t="shared" si="49"/>
        <v>0</v>
      </c>
      <c r="J839" s="755"/>
      <c r="K839" s="903"/>
      <c r="L839" s="761"/>
      <c r="M839" s="903"/>
      <c r="N839" s="761"/>
      <c r="O839" s="761"/>
    </row>
    <row r="840" spans="3:15">
      <c r="C840" s="751">
        <f>IF(D809="","-",+C839+1)</f>
        <v>2038</v>
      </c>
      <c r="D840" s="703">
        <f t="shared" si="48"/>
        <v>252385.8536585368</v>
      </c>
      <c r="E840" s="758">
        <f t="shared" si="50"/>
        <v>15452.195121951219</v>
      </c>
      <c r="F840" s="703">
        <f t="shared" si="51"/>
        <v>236933.65853658557</v>
      </c>
      <c r="G840" s="1296">
        <f t="shared" si="52"/>
        <v>39702.580675177844</v>
      </c>
      <c r="H840" s="1299">
        <f t="shared" si="53"/>
        <v>39702.580675177844</v>
      </c>
      <c r="I840" s="755">
        <f t="shared" si="49"/>
        <v>0</v>
      </c>
      <c r="J840" s="755"/>
      <c r="K840" s="903"/>
      <c r="L840" s="761"/>
      <c r="M840" s="903"/>
      <c r="N840" s="761"/>
      <c r="O840" s="761"/>
    </row>
    <row r="841" spans="3:15">
      <c r="C841" s="751">
        <f>IF(D809="","-",+C840+1)</f>
        <v>2039</v>
      </c>
      <c r="D841" s="703">
        <f t="shared" si="48"/>
        <v>236933.65853658557</v>
      </c>
      <c r="E841" s="758">
        <f t="shared" si="50"/>
        <v>15452.195121951219</v>
      </c>
      <c r="F841" s="703">
        <f t="shared" si="51"/>
        <v>221481.46341463435</v>
      </c>
      <c r="G841" s="1296">
        <f t="shared" si="52"/>
        <v>38170.977377079318</v>
      </c>
      <c r="H841" s="1299">
        <f t="shared" si="53"/>
        <v>38170.977377079318</v>
      </c>
      <c r="I841" s="755">
        <f t="shared" si="49"/>
        <v>0</v>
      </c>
      <c r="J841" s="755"/>
      <c r="K841" s="903"/>
      <c r="L841" s="761"/>
      <c r="M841" s="903"/>
      <c r="N841" s="761"/>
      <c r="O841" s="761"/>
    </row>
    <row r="842" spans="3:15">
      <c r="C842" s="751">
        <f>IF(D809="","-",+C841+1)</f>
        <v>2040</v>
      </c>
      <c r="D842" s="703">
        <f t="shared" si="48"/>
        <v>221481.46341463435</v>
      </c>
      <c r="E842" s="758">
        <f t="shared" si="50"/>
        <v>15452.195121951219</v>
      </c>
      <c r="F842" s="703">
        <f t="shared" si="51"/>
        <v>206029.26829268312</v>
      </c>
      <c r="G842" s="1296">
        <f t="shared" si="52"/>
        <v>36639.374078980793</v>
      </c>
      <c r="H842" s="1299">
        <f t="shared" si="53"/>
        <v>36639.374078980793</v>
      </c>
      <c r="I842" s="755">
        <f t="shared" si="49"/>
        <v>0</v>
      </c>
      <c r="J842" s="755"/>
      <c r="K842" s="903"/>
      <c r="L842" s="761"/>
      <c r="M842" s="903"/>
      <c r="N842" s="761"/>
      <c r="O842" s="761"/>
    </row>
    <row r="843" spans="3:15">
      <c r="C843" s="751">
        <f>IF(D809="","-",+C842+1)</f>
        <v>2041</v>
      </c>
      <c r="D843" s="703">
        <f t="shared" si="48"/>
        <v>206029.26829268312</v>
      </c>
      <c r="E843" s="758">
        <f t="shared" si="50"/>
        <v>15452.195121951219</v>
      </c>
      <c r="F843" s="703">
        <f t="shared" si="51"/>
        <v>190577.07317073189</v>
      </c>
      <c r="G843" s="1296">
        <f t="shared" si="52"/>
        <v>35107.770780882274</v>
      </c>
      <c r="H843" s="1299">
        <f t="shared" si="53"/>
        <v>35107.770780882274</v>
      </c>
      <c r="I843" s="755">
        <f t="shared" si="49"/>
        <v>0</v>
      </c>
      <c r="J843" s="755"/>
      <c r="K843" s="903"/>
      <c r="L843" s="761"/>
      <c r="M843" s="903"/>
      <c r="N843" s="761"/>
      <c r="O843" s="761"/>
    </row>
    <row r="844" spans="3:15">
      <c r="C844" s="751">
        <f>IF(D809="","-",+C843+1)</f>
        <v>2042</v>
      </c>
      <c r="D844" s="703">
        <f t="shared" si="48"/>
        <v>190577.07317073189</v>
      </c>
      <c r="E844" s="758">
        <f t="shared" si="50"/>
        <v>15452.195121951219</v>
      </c>
      <c r="F844" s="703">
        <f t="shared" si="51"/>
        <v>175124.87804878067</v>
      </c>
      <c r="G844" s="1296">
        <f t="shared" si="52"/>
        <v>33576.167482783749</v>
      </c>
      <c r="H844" s="1299">
        <f t="shared" si="53"/>
        <v>33576.167482783749</v>
      </c>
      <c r="I844" s="755">
        <f t="shared" si="49"/>
        <v>0</v>
      </c>
      <c r="J844" s="755"/>
      <c r="K844" s="903"/>
      <c r="L844" s="761"/>
      <c r="M844" s="903"/>
      <c r="N844" s="761"/>
      <c r="O844" s="761"/>
    </row>
    <row r="845" spans="3:15">
      <c r="C845" s="751">
        <f>IF(D809="","-",+C844+1)</f>
        <v>2043</v>
      </c>
      <c r="D845" s="703">
        <f t="shared" si="48"/>
        <v>175124.87804878067</v>
      </c>
      <c r="E845" s="758">
        <f t="shared" si="50"/>
        <v>15452.195121951219</v>
      </c>
      <c r="F845" s="703">
        <f t="shared" si="51"/>
        <v>159672.68292682944</v>
      </c>
      <c r="G845" s="1296">
        <f t="shared" si="52"/>
        <v>32044.564184685227</v>
      </c>
      <c r="H845" s="1299">
        <f t="shared" si="53"/>
        <v>32044.564184685227</v>
      </c>
      <c r="I845" s="755">
        <f t="shared" si="49"/>
        <v>0</v>
      </c>
      <c r="J845" s="755"/>
      <c r="K845" s="903"/>
      <c r="L845" s="761"/>
      <c r="M845" s="903"/>
      <c r="N845" s="761"/>
      <c r="O845" s="761"/>
    </row>
    <row r="846" spans="3:15">
      <c r="C846" s="751">
        <f>IF(D809="","-",+C845+1)</f>
        <v>2044</v>
      </c>
      <c r="D846" s="703">
        <f t="shared" si="48"/>
        <v>159672.68292682944</v>
      </c>
      <c r="E846" s="758">
        <f t="shared" si="50"/>
        <v>15452.195121951219</v>
      </c>
      <c r="F846" s="703">
        <f t="shared" si="51"/>
        <v>144220.48780487821</v>
      </c>
      <c r="G846" s="1296">
        <f t="shared" si="52"/>
        <v>30512.960886586705</v>
      </c>
      <c r="H846" s="1299">
        <f t="shared" si="53"/>
        <v>30512.960886586705</v>
      </c>
      <c r="I846" s="755">
        <f t="shared" si="49"/>
        <v>0</v>
      </c>
      <c r="J846" s="755"/>
      <c r="K846" s="903"/>
      <c r="L846" s="761"/>
      <c r="M846" s="903"/>
      <c r="N846" s="761"/>
      <c r="O846" s="761"/>
    </row>
    <row r="847" spans="3:15">
      <c r="C847" s="751">
        <f>IF(D809="","-",+C846+1)</f>
        <v>2045</v>
      </c>
      <c r="D847" s="703">
        <f t="shared" si="48"/>
        <v>144220.48780487821</v>
      </c>
      <c r="E847" s="758">
        <f t="shared" si="50"/>
        <v>15452.195121951219</v>
      </c>
      <c r="F847" s="703">
        <f t="shared" si="51"/>
        <v>128768.29268292699</v>
      </c>
      <c r="G847" s="1296">
        <f t="shared" si="52"/>
        <v>28981.357588488179</v>
      </c>
      <c r="H847" s="1299">
        <f t="shared" si="53"/>
        <v>28981.357588488179</v>
      </c>
      <c r="I847" s="755">
        <f t="shared" si="49"/>
        <v>0</v>
      </c>
      <c r="J847" s="755"/>
      <c r="K847" s="903"/>
      <c r="L847" s="761"/>
      <c r="M847" s="903"/>
      <c r="N847" s="761"/>
      <c r="O847" s="761"/>
    </row>
    <row r="848" spans="3:15">
      <c r="C848" s="751">
        <f>IF(D809="","-",+C847+1)</f>
        <v>2046</v>
      </c>
      <c r="D848" s="703">
        <f t="shared" si="48"/>
        <v>128768.29268292699</v>
      </c>
      <c r="E848" s="758">
        <f t="shared" si="50"/>
        <v>15452.195121951219</v>
      </c>
      <c r="F848" s="703">
        <f t="shared" si="51"/>
        <v>113316.09756097576</v>
      </c>
      <c r="G848" s="1296">
        <f t="shared" si="52"/>
        <v>27449.754290389657</v>
      </c>
      <c r="H848" s="1299">
        <f t="shared" si="53"/>
        <v>27449.754290389657</v>
      </c>
      <c r="I848" s="755">
        <f t="shared" si="49"/>
        <v>0</v>
      </c>
      <c r="J848" s="755"/>
      <c r="K848" s="903"/>
      <c r="L848" s="761"/>
      <c r="M848" s="903"/>
      <c r="N848" s="761"/>
      <c r="O848" s="761"/>
    </row>
    <row r="849" spans="3:15">
      <c r="C849" s="751">
        <f>IF(D809="","-",+C848+1)</f>
        <v>2047</v>
      </c>
      <c r="D849" s="703">
        <f t="shared" si="48"/>
        <v>113316.09756097576</v>
      </c>
      <c r="E849" s="758">
        <f t="shared" si="50"/>
        <v>15452.195121951219</v>
      </c>
      <c r="F849" s="703">
        <f t="shared" si="51"/>
        <v>97863.902439024532</v>
      </c>
      <c r="G849" s="1296">
        <f t="shared" si="52"/>
        <v>25918.150992291135</v>
      </c>
      <c r="H849" s="1299">
        <f t="shared" si="53"/>
        <v>25918.150992291135</v>
      </c>
      <c r="I849" s="755">
        <f t="shared" si="49"/>
        <v>0</v>
      </c>
      <c r="J849" s="755"/>
      <c r="K849" s="903"/>
      <c r="L849" s="761"/>
      <c r="M849" s="903"/>
      <c r="N849" s="761"/>
      <c r="O849" s="761"/>
    </row>
    <row r="850" spans="3:15">
      <c r="C850" s="751">
        <f>IF(D809="","-",+C849+1)</f>
        <v>2048</v>
      </c>
      <c r="D850" s="703">
        <f t="shared" si="48"/>
        <v>97863.902439024532</v>
      </c>
      <c r="E850" s="758">
        <f t="shared" si="50"/>
        <v>15452.195121951219</v>
      </c>
      <c r="F850" s="703">
        <f t="shared" si="51"/>
        <v>82411.707317073306</v>
      </c>
      <c r="G850" s="1296">
        <f t="shared" si="52"/>
        <v>24386.54769419261</v>
      </c>
      <c r="H850" s="1299">
        <f t="shared" si="53"/>
        <v>24386.54769419261</v>
      </c>
      <c r="I850" s="755">
        <f t="shared" si="49"/>
        <v>0</v>
      </c>
      <c r="J850" s="755"/>
      <c r="K850" s="903"/>
      <c r="L850" s="761"/>
      <c r="M850" s="903"/>
      <c r="N850" s="761"/>
      <c r="O850" s="761"/>
    </row>
    <row r="851" spans="3:15">
      <c r="C851" s="751">
        <f>IF(D809="","-",+C850+1)</f>
        <v>2049</v>
      </c>
      <c r="D851" s="703">
        <f t="shared" si="48"/>
        <v>82411.707317073306</v>
      </c>
      <c r="E851" s="758">
        <f t="shared" si="50"/>
        <v>15452.195121951219</v>
      </c>
      <c r="F851" s="703">
        <f t="shared" si="51"/>
        <v>66959.512195122079</v>
      </c>
      <c r="G851" s="1296">
        <f t="shared" si="52"/>
        <v>22854.944396094088</v>
      </c>
      <c r="H851" s="1299">
        <f t="shared" si="53"/>
        <v>22854.944396094088</v>
      </c>
      <c r="I851" s="755">
        <f t="shared" si="49"/>
        <v>0</v>
      </c>
      <c r="J851" s="755"/>
      <c r="K851" s="903"/>
      <c r="L851" s="761"/>
      <c r="M851" s="903"/>
      <c r="N851" s="761"/>
      <c r="O851" s="761"/>
    </row>
    <row r="852" spans="3:15">
      <c r="C852" s="751">
        <f>IF(D809="","-",+C851+1)</f>
        <v>2050</v>
      </c>
      <c r="D852" s="703">
        <f t="shared" si="48"/>
        <v>66959.512195122079</v>
      </c>
      <c r="E852" s="758">
        <f t="shared" si="50"/>
        <v>15452.195121951219</v>
      </c>
      <c r="F852" s="703">
        <f t="shared" si="51"/>
        <v>51507.31707317086</v>
      </c>
      <c r="G852" s="1296">
        <f t="shared" si="52"/>
        <v>21323.341097995566</v>
      </c>
      <c r="H852" s="1299">
        <f t="shared" si="53"/>
        <v>21323.341097995566</v>
      </c>
      <c r="I852" s="755">
        <f t="shared" si="49"/>
        <v>0</v>
      </c>
      <c r="J852" s="755"/>
      <c r="K852" s="903"/>
      <c r="L852" s="761"/>
      <c r="M852" s="903"/>
      <c r="N852" s="761"/>
      <c r="O852" s="761"/>
    </row>
    <row r="853" spans="3:15">
      <c r="C853" s="751">
        <f>IF(D809="","-",+C852+1)</f>
        <v>2051</v>
      </c>
      <c r="D853" s="703">
        <f t="shared" si="48"/>
        <v>51507.31707317086</v>
      </c>
      <c r="E853" s="758">
        <f t="shared" si="50"/>
        <v>15452.195121951219</v>
      </c>
      <c r="F853" s="703">
        <f t="shared" si="51"/>
        <v>36055.12195121964</v>
      </c>
      <c r="G853" s="1296">
        <f t="shared" si="52"/>
        <v>19791.737799897044</v>
      </c>
      <c r="H853" s="1299">
        <f t="shared" si="53"/>
        <v>19791.737799897044</v>
      </c>
      <c r="I853" s="755">
        <f t="shared" si="49"/>
        <v>0</v>
      </c>
      <c r="J853" s="755"/>
      <c r="K853" s="903"/>
      <c r="L853" s="761"/>
      <c r="M853" s="903"/>
      <c r="N853" s="761"/>
      <c r="O853" s="761"/>
    </row>
    <row r="854" spans="3:15">
      <c r="C854" s="751">
        <f>IF(D809="","-",+C853+1)</f>
        <v>2052</v>
      </c>
      <c r="D854" s="703">
        <f t="shared" si="48"/>
        <v>36055.12195121964</v>
      </c>
      <c r="E854" s="758">
        <f t="shared" si="50"/>
        <v>15452.195121951219</v>
      </c>
      <c r="F854" s="703">
        <f t="shared" si="51"/>
        <v>20602.926829268421</v>
      </c>
      <c r="G854" s="1296">
        <f t="shared" si="52"/>
        <v>18260.134501798522</v>
      </c>
      <c r="H854" s="1299">
        <f t="shared" si="53"/>
        <v>18260.134501798522</v>
      </c>
      <c r="I854" s="755">
        <f t="shared" si="49"/>
        <v>0</v>
      </c>
      <c r="J854" s="755"/>
      <c r="K854" s="903"/>
      <c r="L854" s="761"/>
      <c r="M854" s="903"/>
      <c r="N854" s="761"/>
      <c r="O854" s="761"/>
    </row>
    <row r="855" spans="3:15">
      <c r="C855" s="751">
        <f>IF(D809="","-",+C854+1)</f>
        <v>2053</v>
      </c>
      <c r="D855" s="703">
        <f t="shared" si="48"/>
        <v>20602.926829268421</v>
      </c>
      <c r="E855" s="758">
        <f t="shared" si="50"/>
        <v>15452.195121951219</v>
      </c>
      <c r="F855" s="703">
        <f t="shared" si="51"/>
        <v>5150.7317073172017</v>
      </c>
      <c r="G855" s="1296">
        <f t="shared" si="52"/>
        <v>16728.5312037</v>
      </c>
      <c r="H855" s="1299">
        <f t="shared" si="53"/>
        <v>16728.5312037</v>
      </c>
      <c r="I855" s="755">
        <f t="shared" si="49"/>
        <v>0</v>
      </c>
      <c r="J855" s="755"/>
      <c r="K855" s="903"/>
      <c r="L855" s="761"/>
      <c r="M855" s="903"/>
      <c r="N855" s="761"/>
      <c r="O855" s="761"/>
    </row>
    <row r="856" spans="3:15">
      <c r="C856" s="751">
        <f>IF(D809="","-",+C855+1)</f>
        <v>2054</v>
      </c>
      <c r="D856" s="703">
        <f t="shared" si="48"/>
        <v>5150.7317073172017</v>
      </c>
      <c r="E856" s="758">
        <f t="shared" si="50"/>
        <v>5150.7317073172017</v>
      </c>
      <c r="F856" s="703">
        <f t="shared" si="51"/>
        <v>0</v>
      </c>
      <c r="G856" s="1296">
        <f t="shared" si="52"/>
        <v>5405.9989236669617</v>
      </c>
      <c r="H856" s="1299">
        <f t="shared" si="53"/>
        <v>5405.9989236669617</v>
      </c>
      <c r="I856" s="755">
        <f t="shared" si="49"/>
        <v>0</v>
      </c>
      <c r="J856" s="755"/>
      <c r="K856" s="903"/>
      <c r="L856" s="761"/>
      <c r="M856" s="903"/>
      <c r="N856" s="761"/>
      <c r="O856" s="761"/>
    </row>
    <row r="857" spans="3:15">
      <c r="C857" s="751">
        <f>IF(D809="","-",+C856+1)</f>
        <v>2055</v>
      </c>
      <c r="D857" s="703">
        <f t="shared" si="48"/>
        <v>0</v>
      </c>
      <c r="E857" s="758">
        <f t="shared" si="50"/>
        <v>0</v>
      </c>
      <c r="F857" s="703">
        <f t="shared" si="51"/>
        <v>0</v>
      </c>
      <c r="G857" s="1296">
        <f t="shared" si="52"/>
        <v>0</v>
      </c>
      <c r="H857" s="1299">
        <f t="shared" si="53"/>
        <v>0</v>
      </c>
      <c r="I857" s="755">
        <f t="shared" si="49"/>
        <v>0</v>
      </c>
      <c r="J857" s="755"/>
      <c r="K857" s="903"/>
      <c r="L857" s="761"/>
      <c r="M857" s="903"/>
      <c r="N857" s="761"/>
      <c r="O857" s="761"/>
    </row>
    <row r="858" spans="3:15">
      <c r="C858" s="751">
        <f>IF(D809="","-",+C857+1)</f>
        <v>2056</v>
      </c>
      <c r="D858" s="703">
        <f t="shared" si="48"/>
        <v>0</v>
      </c>
      <c r="E858" s="758">
        <f t="shared" si="50"/>
        <v>0</v>
      </c>
      <c r="F858" s="703">
        <f t="shared" si="51"/>
        <v>0</v>
      </c>
      <c r="G858" s="1296">
        <f t="shared" si="52"/>
        <v>0</v>
      </c>
      <c r="H858" s="1299">
        <f t="shared" si="53"/>
        <v>0</v>
      </c>
      <c r="I858" s="755">
        <f t="shared" si="49"/>
        <v>0</v>
      </c>
      <c r="J858" s="755"/>
      <c r="K858" s="903"/>
      <c r="L858" s="761"/>
      <c r="M858" s="903"/>
      <c r="N858" s="761"/>
      <c r="O858" s="761"/>
    </row>
    <row r="859" spans="3:15">
      <c r="C859" s="751">
        <f>IF(D809="","-",+C858+1)</f>
        <v>2057</v>
      </c>
      <c r="D859" s="703">
        <f t="shared" si="48"/>
        <v>0</v>
      </c>
      <c r="E859" s="758">
        <f t="shared" si="50"/>
        <v>0</v>
      </c>
      <c r="F859" s="703">
        <f t="shared" si="51"/>
        <v>0</v>
      </c>
      <c r="G859" s="1296">
        <f t="shared" si="52"/>
        <v>0</v>
      </c>
      <c r="H859" s="1299">
        <f t="shared" si="53"/>
        <v>0</v>
      </c>
      <c r="I859" s="755">
        <f t="shared" si="49"/>
        <v>0</v>
      </c>
      <c r="J859" s="755"/>
      <c r="K859" s="903"/>
      <c r="L859" s="761"/>
      <c r="M859" s="903"/>
      <c r="N859" s="761"/>
      <c r="O859" s="761"/>
    </row>
    <row r="860" spans="3:15">
      <c r="C860" s="751">
        <f>IF(D809="","-",+C859+1)</f>
        <v>2058</v>
      </c>
      <c r="D860" s="703">
        <f t="shared" si="48"/>
        <v>0</v>
      </c>
      <c r="E860" s="758">
        <f t="shared" si="50"/>
        <v>0</v>
      </c>
      <c r="F860" s="703">
        <f t="shared" si="51"/>
        <v>0</v>
      </c>
      <c r="G860" s="1296">
        <f t="shared" si="52"/>
        <v>0</v>
      </c>
      <c r="H860" s="1299">
        <f t="shared" si="53"/>
        <v>0</v>
      </c>
      <c r="I860" s="755">
        <f t="shared" si="49"/>
        <v>0</v>
      </c>
      <c r="J860" s="755"/>
      <c r="K860" s="903"/>
      <c r="L860" s="761"/>
      <c r="M860" s="903"/>
      <c r="N860" s="761"/>
      <c r="O860" s="761"/>
    </row>
    <row r="861" spans="3:15">
      <c r="C861" s="751">
        <f>IF(D809="","-",+C860+1)</f>
        <v>2059</v>
      </c>
      <c r="D861" s="703">
        <f t="shared" si="48"/>
        <v>0</v>
      </c>
      <c r="E861" s="758">
        <f t="shared" si="50"/>
        <v>0</v>
      </c>
      <c r="F861" s="703">
        <f t="shared" si="51"/>
        <v>0</v>
      </c>
      <c r="G861" s="1296">
        <f t="shared" si="52"/>
        <v>0</v>
      </c>
      <c r="H861" s="1299">
        <f t="shared" si="53"/>
        <v>0</v>
      </c>
      <c r="I861" s="755">
        <f t="shared" si="49"/>
        <v>0</v>
      </c>
      <c r="J861" s="755"/>
      <c r="K861" s="903"/>
      <c r="L861" s="761"/>
      <c r="M861" s="903"/>
      <c r="N861" s="761"/>
      <c r="O861" s="761"/>
    </row>
    <row r="862" spans="3:15">
      <c r="C862" s="751">
        <f>IF(D809="","-",+C861+1)</f>
        <v>2060</v>
      </c>
      <c r="D862" s="703">
        <f t="shared" si="48"/>
        <v>0</v>
      </c>
      <c r="E862" s="758">
        <f t="shared" si="50"/>
        <v>0</v>
      </c>
      <c r="F862" s="703">
        <f t="shared" si="51"/>
        <v>0</v>
      </c>
      <c r="G862" s="1296">
        <f t="shared" si="52"/>
        <v>0</v>
      </c>
      <c r="H862" s="1299">
        <f t="shared" si="53"/>
        <v>0</v>
      </c>
      <c r="I862" s="755">
        <f t="shared" si="49"/>
        <v>0</v>
      </c>
      <c r="J862" s="755"/>
      <c r="K862" s="903"/>
      <c r="L862" s="761"/>
      <c r="M862" s="903"/>
      <c r="N862" s="761"/>
      <c r="O862" s="761"/>
    </row>
    <row r="863" spans="3:15">
      <c r="C863" s="751">
        <f>IF(D809="","-",+C862+1)</f>
        <v>2061</v>
      </c>
      <c r="D863" s="703">
        <f t="shared" si="48"/>
        <v>0</v>
      </c>
      <c r="E863" s="758">
        <f t="shared" si="50"/>
        <v>0</v>
      </c>
      <c r="F863" s="703">
        <f t="shared" si="51"/>
        <v>0</v>
      </c>
      <c r="G863" s="1296">
        <f t="shared" si="52"/>
        <v>0</v>
      </c>
      <c r="H863" s="1299">
        <f t="shared" si="53"/>
        <v>0</v>
      </c>
      <c r="I863" s="755">
        <f t="shared" si="49"/>
        <v>0</v>
      </c>
      <c r="J863" s="755"/>
      <c r="K863" s="903"/>
      <c r="L863" s="761"/>
      <c r="M863" s="903"/>
      <c r="N863" s="761"/>
      <c r="O863" s="761"/>
    </row>
    <row r="864" spans="3:15">
      <c r="C864" s="751">
        <f>IF(D809="","-",+C863+1)</f>
        <v>2062</v>
      </c>
      <c r="D864" s="703">
        <f t="shared" si="48"/>
        <v>0</v>
      </c>
      <c r="E864" s="758">
        <f t="shared" si="50"/>
        <v>0</v>
      </c>
      <c r="F864" s="703">
        <f t="shared" si="51"/>
        <v>0</v>
      </c>
      <c r="G864" s="1296">
        <f t="shared" si="52"/>
        <v>0</v>
      </c>
      <c r="H864" s="1299">
        <f t="shared" si="53"/>
        <v>0</v>
      </c>
      <c r="I864" s="755">
        <f t="shared" si="49"/>
        <v>0</v>
      </c>
      <c r="J864" s="755"/>
      <c r="K864" s="903"/>
      <c r="L864" s="761"/>
      <c r="M864" s="903"/>
      <c r="N864" s="761"/>
      <c r="O864" s="761"/>
    </row>
    <row r="865" spans="3:15">
      <c r="C865" s="751">
        <f>IF(D809="","-",+C864+1)</f>
        <v>2063</v>
      </c>
      <c r="D865" s="703">
        <f t="shared" si="48"/>
        <v>0</v>
      </c>
      <c r="E865" s="758">
        <f t="shared" si="50"/>
        <v>0</v>
      </c>
      <c r="F865" s="703">
        <f t="shared" si="51"/>
        <v>0</v>
      </c>
      <c r="G865" s="1296">
        <f t="shared" si="52"/>
        <v>0</v>
      </c>
      <c r="H865" s="1299">
        <f t="shared" si="53"/>
        <v>0</v>
      </c>
      <c r="I865" s="755">
        <f t="shared" si="49"/>
        <v>0</v>
      </c>
      <c r="J865" s="755"/>
      <c r="K865" s="903"/>
      <c r="L865" s="761"/>
      <c r="M865" s="903"/>
      <c r="N865" s="761"/>
      <c r="O865" s="761"/>
    </row>
    <row r="866" spans="3:15">
      <c r="C866" s="751">
        <f>IF(D809="","-",+C865+1)</f>
        <v>2064</v>
      </c>
      <c r="D866" s="703">
        <f t="shared" si="48"/>
        <v>0</v>
      </c>
      <c r="E866" s="758">
        <f t="shared" si="50"/>
        <v>0</v>
      </c>
      <c r="F866" s="703">
        <f t="shared" si="51"/>
        <v>0</v>
      </c>
      <c r="G866" s="1296">
        <f t="shared" si="52"/>
        <v>0</v>
      </c>
      <c r="H866" s="1299">
        <f t="shared" si="53"/>
        <v>0</v>
      </c>
      <c r="I866" s="755">
        <f t="shared" si="49"/>
        <v>0</v>
      </c>
      <c r="J866" s="755"/>
      <c r="K866" s="903"/>
      <c r="L866" s="761"/>
      <c r="M866" s="903"/>
      <c r="N866" s="761"/>
      <c r="O866" s="761"/>
    </row>
    <row r="867" spans="3:15">
      <c r="C867" s="751">
        <f>IF(D809="","-",+C866+1)</f>
        <v>2065</v>
      </c>
      <c r="D867" s="703">
        <f t="shared" si="48"/>
        <v>0</v>
      </c>
      <c r="E867" s="758">
        <f t="shared" si="50"/>
        <v>0</v>
      </c>
      <c r="F867" s="703">
        <f t="shared" si="51"/>
        <v>0</v>
      </c>
      <c r="G867" s="1296">
        <f t="shared" si="52"/>
        <v>0</v>
      </c>
      <c r="H867" s="1299">
        <f t="shared" si="53"/>
        <v>0</v>
      </c>
      <c r="I867" s="755">
        <f t="shared" si="49"/>
        <v>0</v>
      </c>
      <c r="J867" s="755"/>
      <c r="K867" s="903"/>
      <c r="L867" s="761"/>
      <c r="M867" s="903"/>
      <c r="N867" s="761"/>
      <c r="O867" s="761"/>
    </row>
    <row r="868" spans="3:15">
      <c r="C868" s="751">
        <f>IF(D809="","-",+C867+1)</f>
        <v>2066</v>
      </c>
      <c r="D868" s="703">
        <f t="shared" si="48"/>
        <v>0</v>
      </c>
      <c r="E868" s="758">
        <f t="shared" si="50"/>
        <v>0</v>
      </c>
      <c r="F868" s="703">
        <f t="shared" si="51"/>
        <v>0</v>
      </c>
      <c r="G868" s="1296">
        <f t="shared" si="52"/>
        <v>0</v>
      </c>
      <c r="H868" s="1299">
        <f t="shared" si="53"/>
        <v>0</v>
      </c>
      <c r="I868" s="755">
        <f t="shared" si="49"/>
        <v>0</v>
      </c>
      <c r="J868" s="755"/>
      <c r="K868" s="903"/>
      <c r="L868" s="761"/>
      <c r="M868" s="903"/>
      <c r="N868" s="761"/>
      <c r="O868" s="761"/>
    </row>
    <row r="869" spans="3:15">
      <c r="C869" s="751">
        <f>IF(D809="","-",+C868+1)</f>
        <v>2067</v>
      </c>
      <c r="D869" s="703">
        <f t="shared" si="48"/>
        <v>0</v>
      </c>
      <c r="E869" s="758">
        <f t="shared" si="50"/>
        <v>0</v>
      </c>
      <c r="F869" s="703">
        <f t="shared" si="51"/>
        <v>0</v>
      </c>
      <c r="G869" s="1296">
        <f t="shared" si="52"/>
        <v>0</v>
      </c>
      <c r="H869" s="1299">
        <f t="shared" si="53"/>
        <v>0</v>
      </c>
      <c r="I869" s="755">
        <f t="shared" si="49"/>
        <v>0</v>
      </c>
      <c r="J869" s="755"/>
      <c r="K869" s="903"/>
      <c r="L869" s="761"/>
      <c r="M869" s="903"/>
      <c r="N869" s="761"/>
      <c r="O869" s="761"/>
    </row>
    <row r="870" spans="3:15">
      <c r="C870" s="751">
        <f>IF(D809="","-",+C869+1)</f>
        <v>2068</v>
      </c>
      <c r="D870" s="703">
        <f t="shared" si="48"/>
        <v>0</v>
      </c>
      <c r="E870" s="758">
        <f t="shared" si="50"/>
        <v>0</v>
      </c>
      <c r="F870" s="703">
        <f t="shared" si="51"/>
        <v>0</v>
      </c>
      <c r="G870" s="1296">
        <f t="shared" si="52"/>
        <v>0</v>
      </c>
      <c r="H870" s="1299">
        <f t="shared" si="53"/>
        <v>0</v>
      </c>
      <c r="I870" s="755">
        <f t="shared" si="49"/>
        <v>0</v>
      </c>
      <c r="J870" s="755"/>
      <c r="K870" s="903"/>
      <c r="L870" s="761"/>
      <c r="M870" s="903"/>
      <c r="N870" s="761"/>
      <c r="O870" s="761"/>
    </row>
    <row r="871" spans="3:15">
      <c r="C871" s="751">
        <f>IF(D809="","-",+C870+1)</f>
        <v>2069</v>
      </c>
      <c r="D871" s="703">
        <f t="shared" si="48"/>
        <v>0</v>
      </c>
      <c r="E871" s="758">
        <f t="shared" si="50"/>
        <v>0</v>
      </c>
      <c r="F871" s="703">
        <f t="shared" si="51"/>
        <v>0</v>
      </c>
      <c r="G871" s="1296">
        <f t="shared" si="52"/>
        <v>0</v>
      </c>
      <c r="H871" s="1299">
        <f t="shared" si="53"/>
        <v>0</v>
      </c>
      <c r="I871" s="755">
        <f t="shared" si="49"/>
        <v>0</v>
      </c>
      <c r="J871" s="755"/>
      <c r="K871" s="903"/>
      <c r="L871" s="761"/>
      <c r="M871" s="903"/>
      <c r="N871" s="761"/>
      <c r="O871" s="761"/>
    </row>
    <row r="872" spans="3:15">
      <c r="C872" s="751">
        <f>IF(D809="","-",+C871+1)</f>
        <v>2070</v>
      </c>
      <c r="D872" s="703">
        <f t="shared" si="48"/>
        <v>0</v>
      </c>
      <c r="E872" s="758">
        <f t="shared" si="50"/>
        <v>0</v>
      </c>
      <c r="F872" s="703">
        <f t="shared" si="51"/>
        <v>0</v>
      </c>
      <c r="G872" s="1296">
        <f t="shared" si="52"/>
        <v>0</v>
      </c>
      <c r="H872" s="1299">
        <f t="shared" si="53"/>
        <v>0</v>
      </c>
      <c r="I872" s="755">
        <f t="shared" si="49"/>
        <v>0</v>
      </c>
      <c r="J872" s="755"/>
      <c r="K872" s="903"/>
      <c r="L872" s="761"/>
      <c r="M872" s="903"/>
      <c r="N872" s="761"/>
      <c r="O872" s="761"/>
    </row>
    <row r="873" spans="3:15">
      <c r="C873" s="751">
        <f>IF(D809="","-",+C872+1)</f>
        <v>2071</v>
      </c>
      <c r="D873" s="703">
        <f t="shared" si="48"/>
        <v>0</v>
      </c>
      <c r="E873" s="758">
        <f t="shared" si="50"/>
        <v>0</v>
      </c>
      <c r="F873" s="703">
        <f t="shared" si="51"/>
        <v>0</v>
      </c>
      <c r="G873" s="1296">
        <f t="shared" si="52"/>
        <v>0</v>
      </c>
      <c r="H873" s="1299">
        <f t="shared" si="53"/>
        <v>0</v>
      </c>
      <c r="I873" s="755">
        <f t="shared" si="49"/>
        <v>0</v>
      </c>
      <c r="J873" s="755"/>
      <c r="K873" s="903"/>
      <c r="L873" s="761"/>
      <c r="M873" s="903"/>
      <c r="N873" s="761"/>
      <c r="O873" s="761"/>
    </row>
    <row r="874" spans="3:15" ht="13.5" thickBot="1">
      <c r="C874" s="762">
        <f>IF(D809="","-",+C873+1)</f>
        <v>2072</v>
      </c>
      <c r="D874" s="763">
        <f t="shared" si="48"/>
        <v>0</v>
      </c>
      <c r="E874" s="764">
        <f t="shared" si="50"/>
        <v>0</v>
      </c>
      <c r="F874" s="763">
        <f t="shared" si="51"/>
        <v>0</v>
      </c>
      <c r="G874" s="1307">
        <f t="shared" si="52"/>
        <v>0</v>
      </c>
      <c r="H874" s="1286">
        <f t="shared" si="53"/>
        <v>0</v>
      </c>
      <c r="I874" s="766">
        <f t="shared" si="49"/>
        <v>0</v>
      </c>
      <c r="J874" s="755"/>
      <c r="K874" s="904"/>
      <c r="L874" s="768"/>
      <c r="M874" s="904"/>
      <c r="N874" s="768"/>
      <c r="O874" s="768"/>
    </row>
    <row r="875" spans="3:15">
      <c r="C875" s="703" t="s">
        <v>289</v>
      </c>
      <c r="D875" s="1277"/>
      <c r="E875" s="1277">
        <f>SUM(E815:E874)</f>
        <v>633540</v>
      </c>
      <c r="F875" s="1277"/>
      <c r="G875" s="1277">
        <f>SUM(G815:G874)</f>
        <v>1941784.4837924885</v>
      </c>
      <c r="H875" s="1277">
        <f>SUM(H815:H874)</f>
        <v>1941784.4837924885</v>
      </c>
      <c r="I875" s="1277">
        <f>SUM(I815:I874)</f>
        <v>0</v>
      </c>
      <c r="J875" s="1277"/>
      <c r="K875" s="1277"/>
      <c r="L875" s="1277"/>
      <c r="M875" s="1277"/>
      <c r="N875" s="1277"/>
      <c r="O875" s="570"/>
    </row>
    <row r="876" spans="3:15">
      <c r="D876" s="593"/>
      <c r="E876" s="570"/>
      <c r="F876" s="570"/>
      <c r="G876" s="570"/>
      <c r="H876" s="1276"/>
      <c r="I876" s="1276"/>
      <c r="J876" s="1277"/>
      <c r="K876" s="1276"/>
      <c r="L876" s="1276"/>
      <c r="M876" s="1276"/>
      <c r="N876" s="1276"/>
      <c r="O876" s="570"/>
    </row>
    <row r="877" spans="3:15">
      <c r="C877" s="1308" t="s">
        <v>968</v>
      </c>
      <c r="D877" s="593"/>
      <c r="E877" s="570"/>
      <c r="F877" s="570"/>
      <c r="G877" s="570"/>
      <c r="H877" s="1276"/>
      <c r="I877" s="1276"/>
      <c r="J877" s="1277"/>
      <c r="K877" s="1276"/>
      <c r="L877" s="1276"/>
      <c r="M877" s="1276"/>
      <c r="N877" s="1276"/>
      <c r="O877" s="570"/>
    </row>
    <row r="878" spans="3:15">
      <c r="D878" s="593"/>
      <c r="E878" s="570"/>
      <c r="F878" s="570"/>
      <c r="G878" s="570"/>
      <c r="H878" s="1276"/>
      <c r="I878" s="1276"/>
      <c r="J878" s="1277"/>
      <c r="K878" s="1276"/>
      <c r="L878" s="1276"/>
      <c r="M878" s="1276"/>
      <c r="N878" s="1276"/>
      <c r="O878" s="570"/>
    </row>
    <row r="879" spans="3:15">
      <c r="C879" s="716" t="s">
        <v>969</v>
      </c>
      <c r="D879" s="703"/>
      <c r="E879" s="703"/>
      <c r="F879" s="703"/>
      <c r="G879" s="1277"/>
      <c r="H879" s="1277"/>
      <c r="I879" s="704"/>
      <c r="J879" s="704"/>
      <c r="K879" s="704"/>
      <c r="L879" s="704"/>
      <c r="M879" s="704"/>
      <c r="N879" s="704"/>
      <c r="O879" s="570"/>
    </row>
    <row r="880" spans="3:15">
      <c r="C880" s="702" t="s">
        <v>477</v>
      </c>
      <c r="D880" s="703"/>
      <c r="E880" s="703"/>
      <c r="F880" s="703"/>
      <c r="G880" s="1277"/>
      <c r="H880" s="1277"/>
      <c r="I880" s="704"/>
      <c r="J880" s="704"/>
      <c r="K880" s="704"/>
      <c r="L880" s="704"/>
      <c r="M880" s="704"/>
      <c r="N880" s="704"/>
      <c r="O880" s="570"/>
    </row>
    <row r="881" spans="3:15">
      <c r="C881" s="702" t="s">
        <v>290</v>
      </c>
      <c r="D881" s="703"/>
      <c r="E881" s="703"/>
      <c r="F881" s="703"/>
      <c r="G881" s="1277"/>
      <c r="H881" s="1277"/>
      <c r="I881" s="704"/>
      <c r="J881" s="704"/>
      <c r="K881" s="704"/>
      <c r="L881" s="704"/>
      <c r="M881" s="704"/>
      <c r="N881" s="704"/>
      <c r="O881" s="570"/>
    </row>
    <row r="882" spans="3:15">
      <c r="C882" s="702"/>
      <c r="D882" s="703"/>
      <c r="E882" s="703"/>
      <c r="F882" s="703"/>
      <c r="G882" s="1277"/>
      <c r="H882" s="1277"/>
      <c r="I882" s="704"/>
      <c r="J882" s="704"/>
      <c r="K882" s="704"/>
      <c r="L882" s="704"/>
      <c r="M882" s="704"/>
      <c r="N882" s="704"/>
      <c r="O882" s="570"/>
    </row>
    <row r="883" spans="3:15">
      <c r="C883" s="1507" t="s">
        <v>461</v>
      </c>
      <c r="D883" s="1507"/>
      <c r="E883" s="1507"/>
      <c r="F883" s="1507"/>
      <c r="G883" s="1507"/>
      <c r="H883" s="1507"/>
      <c r="I883" s="1507"/>
      <c r="J883" s="1507"/>
      <c r="K883" s="1507"/>
      <c r="L883" s="1507"/>
      <c r="M883" s="1507"/>
      <c r="N883" s="1507"/>
      <c r="O883" s="1507"/>
    </row>
    <row r="884" spans="3:15">
      <c r="C884" s="1507"/>
      <c r="D884" s="1507"/>
      <c r="E884" s="1507"/>
      <c r="F884" s="1507"/>
      <c r="G884" s="1507"/>
      <c r="H884" s="1507"/>
      <c r="I884" s="1507"/>
      <c r="J884" s="1507"/>
      <c r="K884" s="1507"/>
      <c r="L884" s="1507"/>
      <c r="M884" s="1507"/>
      <c r="N884" s="1507"/>
      <c r="O884" s="1507"/>
    </row>
  </sheetData>
  <mergeCells count="33">
    <mergeCell ref="K808:O808"/>
    <mergeCell ref="C883:O884"/>
    <mergeCell ref="K22:O23"/>
    <mergeCell ref="A3:O3"/>
    <mergeCell ref="C11:H12"/>
    <mergeCell ref="A4:O4"/>
    <mergeCell ref="A5:O5"/>
    <mergeCell ref="A6:O6"/>
    <mergeCell ref="C616:O617"/>
    <mergeCell ref="K274:O274"/>
    <mergeCell ref="C260:O261"/>
    <mergeCell ref="C527:O528"/>
    <mergeCell ref="D804:I805"/>
    <mergeCell ref="D92:I93"/>
    <mergeCell ref="K96:O96"/>
    <mergeCell ref="C171:O172"/>
    <mergeCell ref="D181:I182"/>
    <mergeCell ref="K185:O185"/>
    <mergeCell ref="D270:I271"/>
    <mergeCell ref="K363:O363"/>
    <mergeCell ref="C438:O439"/>
    <mergeCell ref="D448:I449"/>
    <mergeCell ref="K452:O452"/>
    <mergeCell ref="D626:I627"/>
    <mergeCell ref="D537:I538"/>
    <mergeCell ref="C349:O350"/>
    <mergeCell ref="D359:I360"/>
    <mergeCell ref="K541:O541"/>
    <mergeCell ref="K630:O630"/>
    <mergeCell ref="C705:O706"/>
    <mergeCell ref="D715:I716"/>
    <mergeCell ref="K719:O719"/>
    <mergeCell ref="C794:O795"/>
  </mergeCells>
  <phoneticPr fontId="0" type="noConversion"/>
  <conditionalFormatting sqref="C103:C162 C192:C251">
    <cfRule type="cellIs" dxfId="22" priority="8" stopIfTrue="1" operator="equal">
      <formula>$I$96</formula>
    </cfRule>
  </conditionalFormatting>
  <conditionalFormatting sqref="C281:C340">
    <cfRule type="cellIs" dxfId="21" priority="7" stopIfTrue="1" operator="equal">
      <formula>$I$96</formula>
    </cfRule>
  </conditionalFormatting>
  <conditionalFormatting sqref="C370:C429">
    <cfRule type="cellIs" dxfId="20" priority="6" stopIfTrue="1" operator="equal">
      <formula>$I$96</formula>
    </cfRule>
  </conditionalFormatting>
  <conditionalFormatting sqref="C459:C518">
    <cfRule type="cellIs" dxfId="19" priority="5" stopIfTrue="1" operator="equal">
      <formula>$I$96</formula>
    </cfRule>
  </conditionalFormatting>
  <conditionalFormatting sqref="C548:C607">
    <cfRule type="cellIs" dxfId="18" priority="4" stopIfTrue="1" operator="equal">
      <formula>$I$96</formula>
    </cfRule>
  </conditionalFormatting>
  <conditionalFormatting sqref="C637:C696">
    <cfRule type="cellIs" dxfId="17" priority="3" stopIfTrue="1" operator="equal">
      <formula>$I$96</formula>
    </cfRule>
  </conditionalFormatting>
  <conditionalFormatting sqref="C726:C785">
    <cfRule type="cellIs" dxfId="16" priority="2" stopIfTrue="1" operator="equal">
      <formula>$I$96</formula>
    </cfRule>
  </conditionalFormatting>
  <conditionalFormatting sqref="C815:C874">
    <cfRule type="cellIs" dxfId="15"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9" manualBreakCount="9">
    <brk id="81" max="14" man="1"/>
    <brk id="172" max="16383" man="1"/>
    <brk id="261" max="16383" man="1"/>
    <brk id="350" max="16383" man="1"/>
    <brk id="439" max="16383" man="1"/>
    <brk id="528" max="16383" man="1"/>
    <brk id="617" max="16383" man="1"/>
    <brk id="706" max="16383" man="1"/>
    <brk id="79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heetViews>
  <sheetFormatPr defaultColWidth="8.85546875" defaultRowHeight="12.75"/>
  <cols>
    <col min="1" max="1" width="4.7109375" style="357" customWidth="1"/>
    <col min="2" max="2" width="6.7109375" style="439" customWidth="1"/>
    <col min="3" max="3" width="32.28515625" style="357" customWidth="1"/>
    <col min="4" max="4" width="17.7109375" style="451" customWidth="1"/>
    <col min="5" max="8" width="17.7109375" style="357" customWidth="1"/>
    <col min="9" max="9" width="17.7109375" style="619" customWidth="1"/>
    <col min="10" max="10" width="17.7109375" style="357" bestFit="1" customWidth="1"/>
    <col min="11" max="11" width="2.140625" style="341" customWidth="1"/>
    <col min="12" max="12" width="17.7109375" style="570" customWidth="1"/>
    <col min="13" max="13" width="31.85546875" style="570" customWidth="1"/>
    <col min="14" max="15" width="17.7109375" style="570" customWidth="1"/>
    <col min="16" max="16" width="16.7109375" style="570" customWidth="1"/>
    <col min="17" max="17" width="2.140625" style="570" customWidth="1"/>
    <col min="18" max="16384" width="8.85546875" style="357"/>
  </cols>
  <sheetData>
    <row r="1" spans="1:17" ht="15.75">
      <c r="A1" s="920" t="s">
        <v>632</v>
      </c>
    </row>
    <row r="2" spans="1:17" ht="15.75">
      <c r="A2" s="920" t="s">
        <v>633</v>
      </c>
    </row>
    <row r="3" spans="1:17" ht="15">
      <c r="A3" s="1492" t="s">
        <v>388</v>
      </c>
      <c r="B3" s="1492"/>
      <c r="C3" s="1492"/>
      <c r="D3" s="1492"/>
      <c r="E3" s="1492"/>
      <c r="F3" s="1492"/>
      <c r="G3" s="1492"/>
      <c r="H3" s="1492"/>
      <c r="I3" s="1492"/>
      <c r="J3" s="1492"/>
      <c r="K3" s="1492"/>
      <c r="L3" s="1492"/>
      <c r="M3" s="1492"/>
      <c r="N3" s="1492"/>
      <c r="O3" s="1492"/>
      <c r="P3" s="1492"/>
      <c r="Q3" s="618"/>
    </row>
    <row r="4" spans="1:17" ht="15">
      <c r="A4" s="1493" t="str">
        <f>"Cost of Service Formula Rate Using "&amp;TCOS!L4&amp;" FF1 Balances"</f>
        <v>Cost of Service Formula Rate Using 2021 FF1 Balances</v>
      </c>
      <c r="B4" s="1493"/>
      <c r="C4" s="1493"/>
      <c r="D4" s="1493"/>
      <c r="E4" s="1493"/>
      <c r="F4" s="1493"/>
      <c r="G4" s="1493"/>
      <c r="H4" s="1493"/>
      <c r="I4" s="1493"/>
      <c r="J4" s="1493"/>
      <c r="K4" s="1493"/>
      <c r="L4" s="1493"/>
      <c r="M4" s="1493"/>
      <c r="N4" s="1493"/>
      <c r="O4" s="1493"/>
      <c r="P4" s="1493"/>
      <c r="Q4" s="618"/>
    </row>
    <row r="5" spans="1:17" ht="15">
      <c r="A5" s="1493" t="s">
        <v>470</v>
      </c>
      <c r="B5" s="1493"/>
      <c r="C5" s="1493"/>
      <c r="D5" s="1493"/>
      <c r="E5" s="1493"/>
      <c r="F5" s="1493"/>
      <c r="G5" s="1493"/>
      <c r="H5" s="1493"/>
      <c r="I5" s="1493"/>
      <c r="J5" s="1493"/>
      <c r="K5" s="1493"/>
      <c r="L5" s="1493"/>
      <c r="M5" s="1493"/>
      <c r="N5" s="1493"/>
      <c r="O5" s="1493"/>
      <c r="P5" s="1493"/>
      <c r="Q5" s="618"/>
    </row>
    <row r="6" spans="1:17" ht="15">
      <c r="A6" s="1494" t="str">
        <f>TCOS!F9</f>
        <v xml:space="preserve">Indiana Michigan Power Company </v>
      </c>
      <c r="B6" s="1494"/>
      <c r="C6" s="1494"/>
      <c r="D6" s="1494"/>
      <c r="E6" s="1494"/>
      <c r="F6" s="1494"/>
      <c r="G6" s="1494"/>
      <c r="H6" s="1494"/>
      <c r="I6" s="1494"/>
      <c r="J6" s="1494"/>
      <c r="K6" s="1494"/>
      <c r="L6" s="1494"/>
      <c r="M6" s="1494"/>
      <c r="N6" s="1494"/>
      <c r="O6" s="1494"/>
      <c r="P6" s="1494"/>
      <c r="Q6" s="618"/>
    </row>
    <row r="7" spans="1:17">
      <c r="Q7" s="618"/>
    </row>
    <row r="8" spans="1:17" ht="20.25">
      <c r="A8" s="620"/>
      <c r="C8" s="439"/>
      <c r="O8" s="621" t="str">
        <f>"Page "&amp;Q8&amp;" of "</f>
        <v xml:space="preserve">Page 1 of </v>
      </c>
      <c r="P8" s="622">
        <f>COUNT(Q$8:Q$58122)</f>
        <v>2</v>
      </c>
      <c r="Q8" s="623">
        <v>1</v>
      </c>
    </row>
    <row r="9" spans="1:17" ht="18">
      <c r="C9" s="624"/>
      <c r="Q9" s="618"/>
    </row>
    <row r="10" spans="1:17">
      <c r="Q10" s="618"/>
    </row>
    <row r="11" spans="1:17" ht="18">
      <c r="B11" s="625" t="s">
        <v>172</v>
      </c>
      <c r="C11" s="1518" t="str">
        <f>"Calculate Return and Income Taxes with "&amp;F17&amp;" basis point ROE increase for Projects Qualified for Regional Billing."</f>
        <v>Calculate Return and Income Taxes with 0 basis point ROE increase for Projects Qualified for Regional Billing.</v>
      </c>
      <c r="D11" s="1519"/>
      <c r="E11" s="1519"/>
      <c r="F11" s="1519"/>
      <c r="G11" s="1519"/>
      <c r="H11" s="1519"/>
      <c r="I11" s="1519"/>
      <c r="Q11" s="618"/>
    </row>
    <row r="12" spans="1:17" ht="18.75" customHeight="1">
      <c r="C12" s="1519"/>
      <c r="D12" s="1519"/>
      <c r="E12" s="1519"/>
      <c r="F12" s="1519"/>
      <c r="G12" s="1519"/>
      <c r="H12" s="1519"/>
      <c r="I12" s="1519"/>
      <c r="Q12" s="618"/>
    </row>
    <row r="13" spans="1:17" ht="15.75" customHeight="1">
      <c r="C13" s="557"/>
      <c r="D13" s="557"/>
      <c r="E13" s="557"/>
      <c r="F13" s="557"/>
      <c r="G13" s="557"/>
      <c r="H13" s="557"/>
      <c r="I13" s="557"/>
      <c r="Q13" s="618"/>
    </row>
    <row r="14" spans="1:17" ht="15.75">
      <c r="C14" s="626" t="str">
        <f>"A.   Determine 'R' with hypothetical "&amp;F17&amp;" basis point increase in ROE for Identified Projects"</f>
        <v>A.   Determine 'R' with hypothetical 0 basis point increase in ROE for Identified Projects</v>
      </c>
      <c r="D14" s="406"/>
      <c r="Q14" s="618"/>
    </row>
    <row r="15" spans="1:17">
      <c r="C15" s="395"/>
      <c r="D15" s="406"/>
      <c r="Q15" s="618"/>
    </row>
    <row r="16" spans="1:17">
      <c r="C16" s="627" t="str">
        <f>"   ROE w/o incentives  (TCOS, ln "&amp;TCOS!B257&amp;")"</f>
        <v xml:space="preserve">   ROE w/o incentives  (TCOS, ln 156)</v>
      </c>
      <c r="D16" s="406"/>
      <c r="E16" s="628"/>
      <c r="F16" s="770">
        <f>TCOS!J257</f>
        <v>0.10349999999999999</v>
      </c>
      <c r="G16" s="770"/>
      <c r="H16" s="628"/>
      <c r="I16" s="630"/>
      <c r="J16" s="630"/>
      <c r="K16" s="631"/>
      <c r="L16" s="630"/>
      <c r="M16" s="630"/>
      <c r="N16" s="630"/>
      <c r="O16" s="630"/>
      <c r="P16" s="630"/>
      <c r="Q16" s="631"/>
    </row>
    <row r="17" spans="3:17" ht="13.5" thickBot="1">
      <c r="C17" s="649" t="s">
        <v>253</v>
      </c>
      <c r="D17" s="406"/>
      <c r="E17" s="628"/>
      <c r="F17" s="894">
        <v>0</v>
      </c>
      <c r="G17" s="628"/>
      <c r="H17" s="628"/>
      <c r="I17" s="630"/>
      <c r="J17" s="630"/>
      <c r="K17" s="631"/>
      <c r="L17" s="630"/>
      <c r="M17" s="630"/>
      <c r="N17" s="630"/>
      <c r="O17" s="630"/>
      <c r="P17" s="630"/>
      <c r="Q17" s="631"/>
    </row>
    <row r="18" spans="3:17">
      <c r="C18" s="649" t="str">
        <f>"   ROE with additional "&amp;F17&amp;" basis point incentive"</f>
        <v xml:space="preserve">   ROE with additional 0 basis point incentive</v>
      </c>
      <c r="D18" s="628"/>
      <c r="E18" s="628"/>
      <c r="F18" s="633">
        <f>IF((F16+(F17/10000)&gt;0.125),"ERROR",F16+(F17/10000))</f>
        <v>0.10349999999999999</v>
      </c>
      <c r="G18" s="634"/>
      <c r="H18" s="628"/>
      <c r="I18" s="630"/>
      <c r="J18" s="630"/>
      <c r="K18" s="631"/>
      <c r="L18" s="771" t="s">
        <v>455</v>
      </c>
      <c r="M18" s="772"/>
      <c r="N18" s="772"/>
      <c r="O18" s="772"/>
      <c r="P18" s="773"/>
      <c r="Q18" s="631"/>
    </row>
    <row r="19" spans="3:17">
      <c r="C19" s="62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8"/>
      <c r="F19" s="635"/>
      <c r="G19" s="635"/>
      <c r="H19" s="628"/>
      <c r="I19" s="630"/>
      <c r="J19" s="630"/>
      <c r="K19" s="631"/>
      <c r="L19" s="774"/>
      <c r="M19" s="631"/>
      <c r="N19" s="631" t="s">
        <v>255</v>
      </c>
      <c r="O19" s="631" t="s">
        <v>256</v>
      </c>
      <c r="P19" s="775" t="s">
        <v>257</v>
      </c>
      <c r="Q19" s="631"/>
    </row>
    <row r="20" spans="3:17">
      <c r="C20" s="631"/>
      <c r="D20" s="636" t="s">
        <v>147</v>
      </c>
      <c r="E20" s="636" t="s">
        <v>146</v>
      </c>
      <c r="F20" s="637" t="s">
        <v>254</v>
      </c>
      <c r="G20" s="637"/>
      <c r="H20" s="628"/>
      <c r="I20" s="630"/>
      <c r="J20" s="630"/>
      <c r="K20" s="631"/>
      <c r="L20" s="774" t="s">
        <v>453</v>
      </c>
      <c r="M20" s="776">
        <f>+TCOS!L4</f>
        <v>2021</v>
      </c>
      <c r="N20" s="618"/>
      <c r="O20" s="618"/>
      <c r="P20" s="777"/>
      <c r="Q20" s="631"/>
    </row>
    <row r="21" spans="3:17">
      <c r="C21" s="638" t="s">
        <v>258</v>
      </c>
      <c r="D21" s="778">
        <f>TCOS!H255</f>
        <v>0.5540509623452905</v>
      </c>
      <c r="E21" s="640">
        <f>TCOS!J255</f>
        <v>3.8913699763894076E-2</v>
      </c>
      <c r="F21" s="641">
        <f>E21*D21</f>
        <v>2.1560172802601217E-2</v>
      </c>
      <c r="G21" s="641"/>
      <c r="H21" s="628"/>
      <c r="I21" s="630"/>
      <c r="J21" s="642"/>
      <c r="K21" s="643"/>
      <c r="L21" s="779"/>
      <c r="M21" s="780" t="s">
        <v>454</v>
      </c>
      <c r="N21" s="905" t="e">
        <f>M90+#REF!+#REF!+#REF!+#REF!+#REF!+#REF!+#REF!+#REF!</f>
        <v>#N/A</v>
      </c>
      <c r="O21" s="905" t="e">
        <f>N90+#REF!+#REF!+#REF!+#REF!+#REF!+#REF!+#REF!+#REF!</f>
        <v>#N/A</v>
      </c>
      <c r="P21" s="781" t="e">
        <f>+O21-N21</f>
        <v>#N/A</v>
      </c>
      <c r="Q21" s="643"/>
    </row>
    <row r="22" spans="3:17" ht="13.5" thickBot="1">
      <c r="C22" s="638" t="s">
        <v>259</v>
      </c>
      <c r="D22" s="778">
        <f>TCOS!H256</f>
        <v>0</v>
      </c>
      <c r="E22" s="640">
        <f>TCOS!J256</f>
        <v>0</v>
      </c>
      <c r="F22" s="641">
        <f>E22*D22</f>
        <v>0</v>
      </c>
      <c r="G22" s="641"/>
      <c r="H22" s="644"/>
      <c r="I22" s="644"/>
      <c r="J22" s="645"/>
      <c r="K22" s="646"/>
      <c r="L22" s="779"/>
      <c r="M22" s="780" t="s">
        <v>260</v>
      </c>
      <c r="N22" s="906" t="e">
        <f>M91+#REF!+#REF!+#REF!+#REF!+#REF!+#REF!+#REF!+#REF!</f>
        <v>#N/A</v>
      </c>
      <c r="O22" s="906" t="e">
        <f>N91+#REF!+#REF!+#REF!+#REF!+#REF!+#REF!+#REF!+#REF!</f>
        <v>#N/A</v>
      </c>
      <c r="P22" s="782" t="e">
        <f>+O22-N22</f>
        <v>#N/A</v>
      </c>
      <c r="Q22" s="646"/>
    </row>
    <row r="23" spans="3:17">
      <c r="C23" s="647" t="s">
        <v>245</v>
      </c>
      <c r="D23" s="778">
        <f>TCOS!H257</f>
        <v>0.44594903765470945</v>
      </c>
      <c r="E23" s="640">
        <f>+F18</f>
        <v>0.10349999999999999</v>
      </c>
      <c r="F23" s="648">
        <f>E23*D23</f>
        <v>4.6155725397262426E-2</v>
      </c>
      <c r="G23" s="648"/>
      <c r="H23" s="644"/>
      <c r="I23" s="644"/>
      <c r="J23" s="645"/>
      <c r="K23" s="646"/>
      <c r="L23" s="779"/>
      <c r="M23" s="780" t="str">
        <f>"True-up of ARR For "&amp;TCOS!L4&amp;""</f>
        <v>True-up of ARR For 2021</v>
      </c>
      <c r="N23" s="703" t="e">
        <f>+N22-N21</f>
        <v>#N/A</v>
      </c>
      <c r="O23" s="703" t="e">
        <f>+O22-O21</f>
        <v>#N/A</v>
      </c>
      <c r="P23" s="783" t="e">
        <f>+P22-P21</f>
        <v>#N/A</v>
      </c>
      <c r="Q23" s="646"/>
    </row>
    <row r="24" spans="3:17">
      <c r="C24" s="649"/>
      <c r="D24" s="357"/>
      <c r="E24" s="650" t="s">
        <v>261</v>
      </c>
      <c r="F24" s="641">
        <f>SUM(F21:F23)</f>
        <v>6.771589819986365E-2</v>
      </c>
      <c r="G24" s="641"/>
      <c r="H24" s="644"/>
      <c r="I24" s="644"/>
      <c r="J24" s="645"/>
      <c r="K24" s="646"/>
      <c r="L24" s="779"/>
      <c r="M24" s="618"/>
      <c r="N24" s="618"/>
      <c r="O24" s="618"/>
      <c r="P24" s="777"/>
      <c r="Q24" s="646"/>
    </row>
    <row r="25" spans="3:17" ht="13.5" thickBot="1">
      <c r="C25" s="395"/>
      <c r="D25" s="655"/>
      <c r="E25" s="655"/>
      <c r="F25" s="644"/>
      <c r="G25" s="644"/>
      <c r="H25" s="644"/>
      <c r="I25" s="644"/>
      <c r="J25" s="644"/>
      <c r="K25" s="656"/>
      <c r="L25" s="784"/>
      <c r="M25" s="785"/>
      <c r="N25" s="786"/>
      <c r="O25" s="786"/>
      <c r="P25" s="782"/>
      <c r="Q25" s="656"/>
    </row>
    <row r="26" spans="3:17" ht="15.75">
      <c r="C26" s="626" t="str">
        <f>"B.   Determine Return using 'R' with hypothetical "&amp;F17&amp;" basis point ROE increase for Identified Projects."</f>
        <v>B.   Determine Return using 'R' with hypothetical 0 basis point ROE increase for Identified Projects.</v>
      </c>
      <c r="D26" s="655"/>
      <c r="E26" s="655"/>
      <c r="F26" s="660"/>
      <c r="G26" s="660"/>
      <c r="H26" s="644"/>
      <c r="I26" s="628"/>
      <c r="J26" s="644"/>
      <c r="K26" s="656"/>
      <c r="L26" s="644"/>
      <c r="M26" s="644"/>
      <c r="N26" s="644"/>
      <c r="O26" s="644"/>
      <c r="P26" s="644"/>
      <c r="Q26" s="656"/>
    </row>
    <row r="27" spans="3:17">
      <c r="C27" s="631"/>
      <c r="D27" s="655"/>
      <c r="E27" s="655"/>
      <c r="F27" s="656"/>
      <c r="G27" s="656"/>
      <c r="H27" s="656"/>
      <c r="I27" s="656"/>
      <c r="J27" s="656"/>
      <c r="K27" s="656"/>
      <c r="L27" s="656"/>
      <c r="M27" s="656"/>
      <c r="N27" s="656"/>
      <c r="O27" s="656"/>
      <c r="P27" s="656"/>
      <c r="Q27" s="656"/>
    </row>
    <row r="28" spans="3:17">
      <c r="C28" s="665" t="str">
        <f>"   Rate Base  (TCOS, ln "&amp;TCOS!B125&amp;")"</f>
        <v xml:space="preserve">   Rate Base  (TCOS, ln 68)</v>
      </c>
      <c r="D28" s="628"/>
      <c r="E28" s="666">
        <f>TCOS!L125</f>
        <v>999769571.14057338</v>
      </c>
      <c r="F28" s="787"/>
      <c r="G28" s="787"/>
      <c r="H28" s="656"/>
      <c r="I28" s="656"/>
      <c r="J28" s="656"/>
      <c r="K28" s="656"/>
      <c r="L28" s="656"/>
      <c r="M28" s="656"/>
      <c r="N28" s="656"/>
      <c r="O28" s="656"/>
      <c r="P28" s="787"/>
      <c r="Q28" s="656"/>
    </row>
    <row r="29" spans="3:17">
      <c r="C29" s="631" t="s">
        <v>475</v>
      </c>
      <c r="D29" s="668"/>
      <c r="E29" s="641">
        <f>F24</f>
        <v>6.771589819986365E-2</v>
      </c>
      <c r="F29" s="656"/>
      <c r="G29" s="656"/>
      <c r="H29" s="656"/>
      <c r="I29" s="656"/>
      <c r="J29" s="656"/>
      <c r="K29" s="656"/>
      <c r="L29" s="656"/>
      <c r="M29" s="656"/>
      <c r="N29" s="656"/>
      <c r="O29" s="656"/>
      <c r="P29" s="656"/>
      <c r="Q29" s="656"/>
    </row>
    <row r="30" spans="3:17">
      <c r="C30" s="669" t="s">
        <v>263</v>
      </c>
      <c r="D30" s="669"/>
      <c r="E30" s="645">
        <f>E28*E29</f>
        <v>67700294.502676412</v>
      </c>
      <c r="F30" s="656"/>
      <c r="G30" s="656"/>
      <c r="H30" s="656"/>
      <c r="I30" s="656"/>
      <c r="J30" s="646"/>
      <c r="K30" s="646"/>
      <c r="L30" s="646"/>
      <c r="M30" s="646"/>
      <c r="N30" s="646"/>
      <c r="O30" s="646"/>
      <c r="P30" s="656"/>
      <c r="Q30" s="646"/>
    </row>
    <row r="31" spans="3:17">
      <c r="C31" s="670"/>
      <c r="D31" s="630"/>
      <c r="E31" s="630"/>
      <c r="F31" s="656"/>
      <c r="G31" s="656"/>
      <c r="H31" s="656"/>
      <c r="I31" s="656"/>
      <c r="J31" s="646"/>
      <c r="K31" s="646"/>
      <c r="L31" s="646"/>
      <c r="M31" s="646"/>
      <c r="N31" s="646"/>
      <c r="O31" s="646"/>
      <c r="P31" s="656"/>
      <c r="Q31" s="646"/>
    </row>
    <row r="32" spans="3:17" ht="15.75">
      <c r="C32" s="626" t="str">
        <f>"C.   Determine Income Taxes using Return with hypothetical "&amp;F17&amp;" basis point ROE increase for Identified Projects."</f>
        <v>C.   Determine Income Taxes using Return with hypothetical 0 basis point ROE increase for Identified Projects.</v>
      </c>
      <c r="D32" s="671"/>
      <c r="E32" s="671"/>
      <c r="F32" s="672"/>
      <c r="G32" s="672"/>
      <c r="H32" s="672"/>
      <c r="I32" s="672"/>
      <c r="J32" s="673"/>
      <c r="K32" s="673"/>
      <c r="L32" s="673"/>
      <c r="M32" s="673"/>
      <c r="N32" s="673"/>
      <c r="O32" s="673"/>
      <c r="P32" s="672"/>
      <c r="Q32" s="673"/>
    </row>
    <row r="33" spans="2:17">
      <c r="C33" s="649"/>
      <c r="D33" s="630"/>
      <c r="E33" s="630"/>
      <c r="F33" s="656"/>
      <c r="G33" s="656"/>
      <c r="H33" s="656"/>
      <c r="I33" s="656"/>
      <c r="J33" s="646"/>
      <c r="K33" s="646"/>
      <c r="L33" s="646"/>
      <c r="M33" s="646"/>
      <c r="N33" s="646"/>
      <c r="O33" s="646"/>
      <c r="P33" s="656"/>
      <c r="Q33" s="646"/>
    </row>
    <row r="34" spans="2:17">
      <c r="C34" s="631" t="s">
        <v>264</v>
      </c>
      <c r="D34" s="650"/>
      <c r="E34" s="674">
        <f>E30</f>
        <v>67700294.502676412</v>
      </c>
      <c r="F34" s="656"/>
      <c r="G34" s="656"/>
      <c r="H34" s="656"/>
      <c r="I34" s="656"/>
      <c r="J34" s="656"/>
      <c r="K34" s="656"/>
      <c r="L34" s="656"/>
      <c r="M34" s="656"/>
      <c r="N34" s="656"/>
      <c r="O34" s="656"/>
      <c r="P34" s="656"/>
      <c r="Q34" s="656"/>
    </row>
    <row r="35" spans="2:17">
      <c r="C35" s="665" t="str">
        <f>"   Effective Tax Rate  (TCOS, ln "&amp;TCOS!B190&amp;")"</f>
        <v xml:space="preserve">   Effective Tax Rate  (TCOS, ln 114)</v>
      </c>
      <c r="D35" s="593"/>
      <c r="E35" s="675">
        <f>TCOS!G190</f>
        <v>0.22659733133352886</v>
      </c>
      <c r="F35" s="570"/>
      <c r="G35" s="570"/>
      <c r="H35" s="570"/>
      <c r="I35" s="676"/>
      <c r="J35" s="570"/>
      <c r="K35" s="618"/>
      <c r="Q35" s="618"/>
    </row>
    <row r="36" spans="2:17">
      <c r="C36" s="670" t="s">
        <v>265</v>
      </c>
      <c r="D36" s="593"/>
      <c r="E36" s="677">
        <f>E34*E35</f>
        <v>15340706.064800449</v>
      </c>
      <c r="F36" s="570"/>
      <c r="G36" s="570"/>
      <c r="H36" s="570"/>
      <c r="I36" s="676"/>
      <c r="J36" s="570"/>
      <c r="K36" s="618"/>
      <c r="Q36" s="618"/>
    </row>
    <row r="37" spans="2:17" ht="15">
      <c r="C37" s="649" t="s">
        <v>303</v>
      </c>
      <c r="D37" s="503"/>
      <c r="E37" s="678">
        <f>TCOS!L199</f>
        <v>-973758.56207541446</v>
      </c>
      <c r="F37" s="503"/>
      <c r="G37" s="503"/>
      <c r="H37" s="503"/>
      <c r="I37" s="503"/>
      <c r="J37" s="503"/>
      <c r="K37" s="503"/>
      <c r="L37" s="503"/>
      <c r="M37" s="503"/>
      <c r="N37" s="503"/>
      <c r="O37" s="503"/>
      <c r="P37" s="415"/>
      <c r="Q37" s="503"/>
    </row>
    <row r="38" spans="2:17" ht="15">
      <c r="C38" s="649" t="s">
        <v>534</v>
      </c>
      <c r="D38" s="503"/>
      <c r="E38" s="678">
        <f>TCOS!L200</f>
        <v>-4570286.4756828789</v>
      </c>
      <c r="F38" s="503"/>
      <c r="G38" s="503"/>
      <c r="H38" s="503"/>
      <c r="I38" s="503"/>
      <c r="J38" s="503"/>
      <c r="K38" s="503"/>
      <c r="L38" s="503"/>
      <c r="M38" s="503"/>
      <c r="N38" s="503"/>
      <c r="O38" s="503"/>
      <c r="P38" s="415"/>
      <c r="Q38" s="503"/>
    </row>
    <row r="39" spans="2:17" ht="15">
      <c r="C39" s="649" t="s">
        <v>535</v>
      </c>
      <c r="D39" s="503"/>
      <c r="E39" s="679">
        <f>TCOS!L201</f>
        <v>1696202.53164557</v>
      </c>
      <c r="F39" s="503"/>
      <c r="G39" s="503"/>
      <c r="H39" s="503"/>
      <c r="I39" s="503"/>
      <c r="J39" s="503"/>
      <c r="K39" s="503"/>
      <c r="L39" s="503"/>
      <c r="M39" s="503"/>
      <c r="N39" s="503"/>
      <c r="O39" s="503"/>
      <c r="P39" s="415"/>
      <c r="Q39" s="503"/>
    </row>
    <row r="40" spans="2:17" ht="15">
      <c r="C40" s="670" t="s">
        <v>266</v>
      </c>
      <c r="D40" s="503"/>
      <c r="E40" s="678">
        <f>E36+E37+E38+E39</f>
        <v>11492863.558687726</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75">
      <c r="B42" s="625" t="s">
        <v>173</v>
      </c>
      <c r="C42" s="624"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4"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4"/>
      <c r="D44" s="503"/>
      <c r="E44" s="503"/>
      <c r="F44" s="503"/>
      <c r="G44" s="503"/>
      <c r="H44" s="503"/>
      <c r="I44" s="503"/>
      <c r="J44" s="503"/>
      <c r="K44" s="503"/>
      <c r="L44" s="503"/>
      <c r="M44" s="503"/>
      <c r="N44" s="503"/>
      <c r="O44" s="503"/>
      <c r="P44" s="373"/>
      <c r="Q44" s="503"/>
    </row>
    <row r="45" spans="2:17" ht="15.75">
      <c r="C45" s="626" t="s">
        <v>466</v>
      </c>
      <c r="D45" s="503"/>
      <c r="E45" s="503"/>
      <c r="F45" s="502"/>
      <c r="G45" s="502"/>
      <c r="H45" s="503"/>
      <c r="I45" s="503"/>
      <c r="J45" s="503"/>
      <c r="K45" s="503"/>
      <c r="L45" s="503"/>
      <c r="M45" s="503"/>
      <c r="N45" s="503"/>
      <c r="O45" s="503"/>
      <c r="P45" s="373"/>
      <c r="Q45" s="503"/>
    </row>
    <row r="46" spans="2:17">
      <c r="B46" s="606"/>
      <c r="C46" s="627"/>
      <c r="D46" s="680"/>
      <c r="E46" s="680"/>
      <c r="F46" s="680"/>
      <c r="G46" s="680"/>
      <c r="H46" s="680"/>
      <c r="I46" s="680"/>
      <c r="J46" s="680"/>
      <c r="K46" s="680"/>
      <c r="L46" s="680"/>
      <c r="M46" s="680"/>
      <c r="N46" s="680"/>
      <c r="O46" s="680"/>
      <c r="P46" s="678"/>
      <c r="Q46" s="680"/>
    </row>
    <row r="47" spans="2:17" ht="12.75" customHeight="1">
      <c r="B47" s="606"/>
      <c r="C47" s="665" t="str">
        <f>"   Annual Revenue Requirement  (TCOS, ln "&amp;TCOS!B13&amp;")"</f>
        <v xml:space="preserve">   Annual Revenue Requirement  (TCOS, ln 1)</v>
      </c>
      <c r="D47" s="680"/>
      <c r="E47" s="680"/>
      <c r="F47" s="678">
        <f>TCOS!L13</f>
        <v>162340700.98301724</v>
      </c>
      <c r="G47" s="678"/>
      <c r="H47" s="788" t="s">
        <v>115</v>
      </c>
      <c r="I47" s="680"/>
      <c r="J47" s="680"/>
      <c r="K47" s="680"/>
      <c r="L47" s="680"/>
      <c r="M47" s="680"/>
      <c r="N47" s="680"/>
      <c r="O47" s="680"/>
      <c r="P47" s="678"/>
      <c r="Q47" s="680"/>
    </row>
    <row r="48" spans="2:17" ht="12.75" customHeight="1">
      <c r="B48" s="606"/>
      <c r="C48" s="665" t="str">
        <f>"   Lease Payments (TCOS, Ln "&amp;TCOS!B168&amp;")"</f>
        <v xml:space="preserve">   Lease Payments (TCOS, Ln 95)</v>
      </c>
      <c r="D48" s="680"/>
      <c r="E48" s="680"/>
      <c r="F48" s="678">
        <f>TCOS!L168</f>
        <v>0</v>
      </c>
      <c r="G48" s="678"/>
      <c r="H48" s="788"/>
      <c r="I48" s="680"/>
      <c r="J48" s="680"/>
      <c r="K48" s="680"/>
      <c r="L48" s="680"/>
      <c r="M48" s="680"/>
      <c r="N48" s="680"/>
      <c r="O48" s="680"/>
      <c r="P48" s="678"/>
      <c r="Q48" s="680"/>
    </row>
    <row r="49" spans="2:17">
      <c r="B49" s="606"/>
      <c r="C49" s="665" t="str">
        <f>"   Return  (TCOS, ln "&amp;TCOS!B205&amp;")"</f>
        <v xml:space="preserve">   Return  (TCOS, ln 126)</v>
      </c>
      <c r="D49" s="680"/>
      <c r="E49" s="680"/>
      <c r="F49" s="681">
        <f>TCOS!L205</f>
        <v>67700294.502676412</v>
      </c>
      <c r="G49" s="681"/>
      <c r="H49" s="682"/>
      <c r="I49" s="682"/>
      <c r="J49" s="682"/>
      <c r="K49" s="682"/>
      <c r="L49" s="682"/>
      <c r="M49" s="682"/>
      <c r="N49" s="682"/>
      <c r="O49" s="682"/>
      <c r="P49" s="678"/>
      <c r="Q49" s="682"/>
    </row>
    <row r="50" spans="2:17">
      <c r="B50" s="606"/>
      <c r="C50" s="665" t="str">
        <f>"   Income Taxes  (TCOS, ln "&amp;TCOS!B203&amp;")"</f>
        <v xml:space="preserve">   Income Taxes  (TCOS, ln 125)</v>
      </c>
      <c r="D50" s="680"/>
      <c r="E50" s="680"/>
      <c r="F50" s="683">
        <f>TCOS!L203</f>
        <v>11492863.558687726</v>
      </c>
      <c r="G50" s="683"/>
      <c r="H50" s="680"/>
      <c r="I50" s="680"/>
      <c r="J50" s="684"/>
      <c r="K50" s="684"/>
      <c r="L50" s="684"/>
      <c r="M50" s="684"/>
      <c r="N50" s="684"/>
      <c r="O50" s="684"/>
      <c r="P50" s="680"/>
      <c r="Q50" s="684"/>
    </row>
    <row r="51" spans="2:17">
      <c r="B51" s="606"/>
      <c r="C51" s="1520" t="s">
        <v>592</v>
      </c>
      <c r="D51" s="1519"/>
      <c r="E51" s="680"/>
      <c r="F51" s="681">
        <f>F47-F49-F50-F48</f>
        <v>83147542.921653092</v>
      </c>
      <c r="G51" s="681"/>
      <c r="H51" s="686"/>
      <c r="I51" s="680"/>
      <c r="J51" s="686"/>
      <c r="K51" s="686"/>
      <c r="L51" s="686"/>
      <c r="M51" s="686"/>
      <c r="N51" s="686"/>
      <c r="O51" s="686"/>
      <c r="P51" s="686"/>
      <c r="Q51" s="686"/>
    </row>
    <row r="52" spans="2:17">
      <c r="B52" s="606"/>
      <c r="C52" s="1519"/>
      <c r="D52" s="1519"/>
      <c r="E52" s="680"/>
      <c r="F52" s="678"/>
      <c r="G52" s="678"/>
      <c r="H52" s="687"/>
      <c r="I52" s="688"/>
      <c r="J52" s="688"/>
      <c r="K52" s="688"/>
      <c r="L52" s="688"/>
      <c r="M52" s="688"/>
      <c r="N52" s="688"/>
      <c r="O52" s="688"/>
      <c r="P52" s="688"/>
      <c r="Q52" s="688"/>
    </row>
    <row r="53" spans="2:17" ht="15.75">
      <c r="B53" s="606"/>
      <c r="C53" s="626" t="str">
        <f>"B.   Determine Annual Revenue Requirement with hypothetical "&amp;F17&amp;" basis point increase in ROE."</f>
        <v>B.   Determine Annual Revenue Requirement with hypothetical 0 basis point increase in ROE.</v>
      </c>
      <c r="D53" s="689"/>
      <c r="E53" s="689"/>
      <c r="F53" s="678"/>
      <c r="G53" s="678"/>
      <c r="H53" s="687"/>
      <c r="I53" s="688"/>
      <c r="J53" s="688"/>
      <c r="K53" s="688"/>
      <c r="L53" s="688"/>
      <c r="M53" s="688"/>
      <c r="N53" s="688"/>
      <c r="O53" s="688"/>
      <c r="P53" s="688"/>
      <c r="Q53" s="688"/>
    </row>
    <row r="54" spans="2:17">
      <c r="B54" s="606"/>
      <c r="C54" s="627"/>
      <c r="D54" s="689"/>
      <c r="E54" s="689"/>
      <c r="F54" s="678"/>
      <c r="G54" s="678"/>
      <c r="H54" s="687"/>
      <c r="I54" s="688"/>
      <c r="J54" s="688"/>
      <c r="K54" s="688"/>
      <c r="L54" s="688"/>
      <c r="M54" s="688"/>
      <c r="N54" s="688"/>
      <c r="O54" s="688"/>
      <c r="P54" s="688"/>
      <c r="Q54" s="688"/>
    </row>
    <row r="55" spans="2:17">
      <c r="B55" s="606"/>
      <c r="C55" s="627" t="str">
        <f>C51</f>
        <v xml:space="preserve">   Annual Revenue Requirement, Less Lease Payments, Return and Taxes</v>
      </c>
      <c r="D55" s="689"/>
      <c r="E55" s="689"/>
      <c r="F55" s="678">
        <f>F51</f>
        <v>83147542.921653092</v>
      </c>
      <c r="G55" s="678"/>
      <c r="H55" s="680"/>
      <c r="I55" s="680"/>
      <c r="J55" s="680"/>
      <c r="K55" s="680"/>
      <c r="L55" s="680"/>
      <c r="M55" s="680"/>
      <c r="N55" s="680"/>
      <c r="O55" s="680"/>
      <c r="P55" s="690"/>
      <c r="Q55" s="680"/>
    </row>
    <row r="56" spans="2:17">
      <c r="B56" s="606"/>
      <c r="C56" s="631" t="s">
        <v>300</v>
      </c>
      <c r="D56" s="691"/>
      <c r="E56" s="685"/>
      <c r="F56" s="692">
        <f>E30</f>
        <v>67700294.502676412</v>
      </c>
      <c r="G56" s="692"/>
      <c r="H56" s="685"/>
      <c r="I56" s="693"/>
      <c r="J56" s="685"/>
      <c r="K56" s="685"/>
      <c r="L56" s="685"/>
      <c r="M56" s="685"/>
      <c r="N56" s="685"/>
      <c r="O56" s="685"/>
      <c r="P56" s="685"/>
      <c r="Q56" s="685"/>
    </row>
    <row r="57" spans="2:17" ht="12.75" customHeight="1">
      <c r="B57" s="606"/>
      <c r="C57" s="649" t="s">
        <v>267</v>
      </c>
      <c r="D57" s="680"/>
      <c r="E57" s="680"/>
      <c r="F57" s="683">
        <f>E40</f>
        <v>11492863.558687726</v>
      </c>
      <c r="G57" s="683"/>
      <c r="H57" s="570"/>
      <c r="I57" s="676"/>
      <c r="J57" s="570"/>
      <c r="K57" s="618"/>
      <c r="Q57" s="618"/>
    </row>
    <row r="58" spans="2:17">
      <c r="B58" s="606"/>
      <c r="C58" s="685" t="str">
        <f>"   Annual Revenue Requirement, with "&amp;F17&amp;" Basis Point ROE increase"</f>
        <v xml:space="preserve">   Annual Revenue Requirement, with 0 Basis Point ROE increase</v>
      </c>
      <c r="D58" s="593"/>
      <c r="E58" s="570"/>
      <c r="F58" s="677">
        <f>SUM(F55:F57)</f>
        <v>162340700.98301724</v>
      </c>
      <c r="G58" s="677"/>
      <c r="H58" s="570"/>
      <c r="I58" s="676"/>
      <c r="J58" s="570"/>
      <c r="K58" s="618"/>
      <c r="Q58" s="618"/>
    </row>
    <row r="59" spans="2:17">
      <c r="B59" s="606"/>
      <c r="C59" s="665" t="str">
        <f>"   Depreciation  (TCOS, ln "&amp;TCOS!B174&amp;")"</f>
        <v xml:space="preserve">   Depreciation  (TCOS, ln 100)</v>
      </c>
      <c r="D59" s="593"/>
      <c r="E59" s="570"/>
      <c r="F59" s="694">
        <f>TCOS!L174</f>
        <v>41621217.743170053</v>
      </c>
      <c r="G59" s="694"/>
      <c r="H59" s="677"/>
      <c r="I59" s="676"/>
      <c r="J59" s="570"/>
      <c r="K59" s="618"/>
      <c r="Q59" s="618"/>
    </row>
    <row r="60" spans="2:17">
      <c r="B60" s="606"/>
      <c r="C60" s="1520" t="str">
        <f>"   Annual Rev. Req, w/ "&amp;F17&amp;" Basis Point ROE increase, less Depreciation"</f>
        <v xml:space="preserve">   Annual Rev. Req, w/ 0 Basis Point ROE increase, less Depreciation</v>
      </c>
      <c r="D60" s="1519"/>
      <c r="E60" s="570"/>
      <c r="F60" s="677">
        <f>F58-F59</f>
        <v>120719483.23984718</v>
      </c>
      <c r="G60" s="677"/>
      <c r="H60" s="570"/>
      <c r="I60" s="676"/>
      <c r="J60" s="570"/>
      <c r="K60" s="618"/>
      <c r="Q60" s="618"/>
    </row>
    <row r="61" spans="2:17">
      <c r="B61" s="606"/>
      <c r="C61" s="1519"/>
      <c r="D61" s="1519"/>
      <c r="E61" s="570"/>
      <c r="F61" s="570"/>
      <c r="G61" s="570"/>
      <c r="H61" s="570"/>
      <c r="I61" s="676"/>
      <c r="J61" s="570"/>
      <c r="K61" s="618"/>
      <c r="Q61" s="618"/>
    </row>
    <row r="62" spans="2:17" ht="15.75">
      <c r="B62" s="606"/>
      <c r="C62" s="626" t="str">
        <f>"C.   Determine FCR with hypothetical "&amp;F17&amp;" basis point ROE increase."</f>
        <v>C.   Determine FCR with hypothetical 0 basis point ROE increase.</v>
      </c>
      <c r="D62" s="593"/>
      <c r="E62" s="570"/>
      <c r="F62" s="570"/>
      <c r="G62" s="570"/>
      <c r="H62" s="570"/>
      <c r="I62" s="676"/>
      <c r="J62" s="570"/>
      <c r="K62" s="618"/>
      <c r="Q62" s="618"/>
    </row>
    <row r="63" spans="2:17">
      <c r="B63" s="606"/>
      <c r="C63" s="570"/>
      <c r="D63" s="593"/>
      <c r="E63" s="570"/>
      <c r="F63" s="570"/>
      <c r="G63" s="570"/>
      <c r="H63" s="570"/>
      <c r="I63" s="676"/>
      <c r="J63" s="570"/>
      <c r="K63" s="618"/>
      <c r="Q63" s="618"/>
    </row>
    <row r="64" spans="2:17">
      <c r="B64" s="606"/>
      <c r="C64" s="665" t="str">
        <f>"   Net Transmission Plant  (TCOS, ln "&amp;TCOS!B91&amp;")"</f>
        <v xml:space="preserve">   Net Transmission Plant  (TCOS, ln 42)</v>
      </c>
      <c r="D64" s="593"/>
      <c r="E64" s="570"/>
      <c r="F64" s="677">
        <f>TCOS!L91</f>
        <v>1217927000</v>
      </c>
      <c r="G64" s="677"/>
      <c r="H64" s="677"/>
      <c r="I64" s="695"/>
      <c r="J64" s="570"/>
      <c r="K64" s="618"/>
      <c r="Q64" s="618"/>
    </row>
    <row r="65" spans="2:17">
      <c r="B65" s="606"/>
      <c r="C65" s="685" t="str">
        <f>"   Annual Revenue Requirement, with "&amp;F17&amp;" Basis Point ROE increase"</f>
        <v xml:space="preserve">   Annual Revenue Requirement, with 0 Basis Point ROE increase</v>
      </c>
      <c r="D65" s="593"/>
      <c r="E65" s="570"/>
      <c r="F65" s="677">
        <f>F58</f>
        <v>162340700.98301724</v>
      </c>
      <c r="G65" s="677"/>
      <c r="H65" s="570"/>
      <c r="I65" s="676"/>
      <c r="J65" s="570"/>
      <c r="K65" s="618"/>
      <c r="Q65" s="618"/>
    </row>
    <row r="66" spans="2:17">
      <c r="B66" s="606"/>
      <c r="C66" s="685" t="str">
        <f>"   FCR with "&amp;F17&amp;" Basis Point increase in ROE"</f>
        <v xml:space="preserve">   FCR with 0 Basis Point increase in ROE</v>
      </c>
      <c r="D66" s="593"/>
      <c r="E66" s="570"/>
      <c r="F66" s="675">
        <f>F65/F64</f>
        <v>0.13329263657264945</v>
      </c>
      <c r="G66" s="675"/>
      <c r="H66" s="675"/>
      <c r="I66" s="676"/>
      <c r="J66" s="570"/>
      <c r="K66" s="618"/>
      <c r="Q66" s="618"/>
    </row>
    <row r="67" spans="2:17">
      <c r="B67" s="606"/>
      <c r="C67" s="395"/>
      <c r="D67" s="593"/>
      <c r="E67" s="570"/>
      <c r="F67" s="606"/>
      <c r="G67" s="606"/>
      <c r="H67" s="570"/>
      <c r="I67" s="676"/>
      <c r="J67" s="570"/>
      <c r="K67" s="618"/>
      <c r="Q67" s="618"/>
    </row>
    <row r="68" spans="2:17">
      <c r="B68" s="606"/>
      <c r="C68" s="685" t="str">
        <f>"   Annual Rev. Req, w / "&amp;F17&amp;" Basis Point ROE increase, less Dep."</f>
        <v xml:space="preserve">   Annual Rev. Req, w / 0 Basis Point ROE increase, less Dep.</v>
      </c>
      <c r="D68" s="593"/>
      <c r="E68" s="570"/>
      <c r="F68" s="677">
        <f>F60</f>
        <v>120719483.23984718</v>
      </c>
      <c r="G68" s="677"/>
      <c r="H68" s="570"/>
      <c r="I68" s="676"/>
      <c r="J68" s="570"/>
      <c r="K68" s="618"/>
      <c r="Q68" s="618"/>
    </row>
    <row r="69" spans="2:17">
      <c r="B69" s="606"/>
      <c r="C69" s="685" t="str">
        <f>"   FCR with "&amp;F17&amp;" Basis Point ROE increase, less Depreciation"</f>
        <v xml:space="preserve">   FCR with 0 Basis Point ROE increase, less Depreciation</v>
      </c>
      <c r="D69" s="593"/>
      <c r="E69" s="570"/>
      <c r="F69" s="675">
        <f>F68/F64</f>
        <v>9.9118816841934854E-2</v>
      </c>
      <c r="G69" s="675"/>
      <c r="H69" s="570"/>
      <c r="I69" s="676"/>
      <c r="J69" s="570"/>
      <c r="K69" s="618"/>
      <c r="Q69" s="618"/>
    </row>
    <row r="70" spans="2:17">
      <c r="B70" s="606"/>
      <c r="C70" s="665" t="str">
        <f>"   FCR less Depreciation  (TCOS, ln "&amp;TCOS!B34&amp;")"</f>
        <v xml:space="preserve">   FCR less Depreciation  (TCOS, ln 10)</v>
      </c>
      <c r="D70" s="593"/>
      <c r="E70" s="570"/>
      <c r="F70" s="696">
        <f>TCOS!L34</f>
        <v>9.9118816841934854E-2</v>
      </c>
      <c r="G70" s="696"/>
      <c r="H70" s="570"/>
      <c r="I70" s="676"/>
      <c r="J70" s="570"/>
      <c r="K70" s="618"/>
      <c r="Q70" s="618"/>
    </row>
    <row r="71" spans="2:17">
      <c r="B71" s="606"/>
      <c r="C71" s="1520" t="str">
        <f>"   Incremental FCR with "&amp;F17&amp;" Basis Point ROE increase, less Depreciation"</f>
        <v xml:space="preserve">   Incremental FCR with 0 Basis Point ROE increase, less Depreciation</v>
      </c>
      <c r="D71" s="1519"/>
      <c r="E71" s="570"/>
      <c r="F71" s="675">
        <f>F69-F70</f>
        <v>0</v>
      </c>
      <c r="G71" s="675"/>
      <c r="H71" s="570"/>
      <c r="I71" s="676"/>
      <c r="J71" s="570"/>
      <c r="K71" s="618"/>
      <c r="Q71" s="618"/>
    </row>
    <row r="72" spans="2:17">
      <c r="B72" s="606"/>
      <c r="C72" s="1519"/>
      <c r="D72" s="1519"/>
      <c r="E72" s="570"/>
      <c r="F72" s="675"/>
      <c r="G72" s="675"/>
      <c r="H72" s="570"/>
      <c r="I72" s="676"/>
      <c r="J72" s="570"/>
      <c r="K72" s="618"/>
      <c r="Q72" s="618"/>
    </row>
    <row r="73" spans="2:17" ht="18.75">
      <c r="B73" s="625" t="s">
        <v>174</v>
      </c>
      <c r="C73" s="624" t="s">
        <v>268</v>
      </c>
      <c r="D73" s="593"/>
      <c r="E73" s="570"/>
      <c r="F73" s="675"/>
      <c r="G73" s="675"/>
      <c r="H73" s="570"/>
      <c r="I73" s="676"/>
      <c r="J73" s="570"/>
      <c r="K73" s="618"/>
      <c r="Q73" s="618"/>
    </row>
    <row r="74" spans="2:17">
      <c r="B74" s="606"/>
      <c r="C74" s="685"/>
      <c r="D74" s="593"/>
      <c r="E74" s="570"/>
      <c r="F74" s="675"/>
      <c r="G74" s="675"/>
      <c r="H74" s="570"/>
      <c r="I74" s="676"/>
      <c r="J74" s="570"/>
      <c r="K74" s="618"/>
      <c r="Q74" s="618"/>
    </row>
    <row r="75" spans="2:17">
      <c r="B75" s="606"/>
      <c r="C75" s="685" t="str">
        <f>+"Average Transmission Plant Balance for "&amp;TCOS!L4&amp;" (TCOS, ln "&amp;TCOS!B68&amp;")"</f>
        <v>Average Transmission Plant Balance for 2021 (TCOS, ln 21)</v>
      </c>
      <c r="D75" s="593"/>
      <c r="H75" s="676">
        <f>TCOS!L68</f>
        <v>1689211000</v>
      </c>
      <c r="J75" s="570"/>
      <c r="K75" s="618"/>
      <c r="Q75" s="618"/>
    </row>
    <row r="76" spans="2:17">
      <c r="B76" s="606"/>
      <c r="C76" s="697" t="str">
        <f>"Annual Depreciation and Amortization Expense (TCOS, ln "&amp;TCOS!B174&amp;")"</f>
        <v>Annual Depreciation and Amortization Expense (TCOS, ln 100)</v>
      </c>
      <c r="D76" s="593"/>
      <c r="E76" s="570"/>
      <c r="H76" s="698">
        <f>TCOS!L174</f>
        <v>41621217.743170053</v>
      </c>
      <c r="I76" s="676"/>
      <c r="J76" s="570"/>
      <c r="K76" s="618"/>
      <c r="Q76" s="618"/>
    </row>
    <row r="77" spans="2:17">
      <c r="B77" s="606"/>
      <c r="C77" s="685" t="s">
        <v>269</v>
      </c>
      <c r="D77" s="593"/>
      <c r="E77" s="570"/>
      <c r="H77" s="675">
        <f>+H76/H75</f>
        <v>2.4639442759471761E-2</v>
      </c>
      <c r="I77" s="700"/>
      <c r="J77" s="570"/>
      <c r="K77" s="618"/>
      <c r="Q77" s="618"/>
    </row>
    <row r="78" spans="2:17">
      <c r="B78" s="606"/>
      <c r="C78" s="685" t="s">
        <v>270</v>
      </c>
      <c r="D78" s="593"/>
      <c r="E78" s="570"/>
      <c r="H78" s="700">
        <f>1/H77</f>
        <v>40.5853334331429</v>
      </c>
      <c r="I78" s="676"/>
      <c r="J78" s="570"/>
      <c r="K78" s="618"/>
      <c r="Q78" s="618"/>
    </row>
    <row r="79" spans="2:17">
      <c r="B79" s="606"/>
      <c r="C79" s="685" t="s">
        <v>271</v>
      </c>
      <c r="D79" s="593"/>
      <c r="E79" s="570"/>
      <c r="H79" s="701">
        <f>ROUND(H78,0)</f>
        <v>41</v>
      </c>
      <c r="I79" s="676"/>
      <c r="J79" s="570"/>
      <c r="K79" s="618"/>
      <c r="Q79" s="618"/>
    </row>
    <row r="80" spans="2:17">
      <c r="B80" s="606"/>
      <c r="C80" s="685"/>
      <c r="D80" s="593"/>
      <c r="E80" s="570"/>
      <c r="H80" s="701"/>
      <c r="I80" s="676"/>
      <c r="J80" s="570"/>
      <c r="K80" s="618"/>
      <c r="Q80" s="618"/>
    </row>
    <row r="81" spans="1:17">
      <c r="C81" s="702"/>
      <c r="D81" s="703"/>
      <c r="E81" s="703"/>
      <c r="F81" s="703"/>
      <c r="G81" s="703"/>
      <c r="H81" s="699"/>
      <c r="I81" s="699"/>
      <c r="J81" s="704"/>
      <c r="K81" s="704"/>
      <c r="L81" s="704"/>
      <c r="M81" s="704"/>
      <c r="N81" s="704"/>
      <c r="O81" s="704"/>
      <c r="Q81" s="704"/>
    </row>
    <row r="82" spans="1:17">
      <c r="B82" s="357"/>
      <c r="C82" s="702"/>
      <c r="D82" s="703"/>
      <c r="E82" s="703"/>
      <c r="F82" s="703"/>
      <c r="G82" s="703"/>
      <c r="H82" s="699"/>
      <c r="I82" s="699"/>
      <c r="J82" s="704"/>
      <c r="K82" s="704"/>
      <c r="L82" s="704"/>
      <c r="M82" s="704"/>
      <c r="N82" s="704"/>
      <c r="O82" s="704"/>
      <c r="Q82" s="704"/>
    </row>
    <row r="83" spans="1:17" ht="20.25">
      <c r="A83" s="705" t="s">
        <v>774</v>
      </c>
      <c r="B83" s="570"/>
      <c r="C83" s="685"/>
      <c r="D83" s="593"/>
      <c r="E83" s="570"/>
      <c r="F83" s="675"/>
      <c r="G83" s="675"/>
      <c r="H83" s="570"/>
      <c r="I83" s="676"/>
      <c r="L83" s="706"/>
      <c r="M83" s="706"/>
      <c r="N83" s="706"/>
      <c r="O83" s="621" t="str">
        <f>"Page "&amp;SUM(Q$3:Q83)&amp;" of "</f>
        <v xml:space="preserve">Page 2 of </v>
      </c>
      <c r="P83" s="622">
        <f>COUNT(Q$8:Q$58122)</f>
        <v>2</v>
      </c>
      <c r="Q83" s="789">
        <v>1</v>
      </c>
    </row>
    <row r="84" spans="1:17">
      <c r="B84" s="570"/>
      <c r="C84" s="570"/>
      <c r="D84" s="593"/>
      <c r="E84" s="570"/>
      <c r="F84" s="570"/>
      <c r="G84" s="570"/>
      <c r="H84" s="570"/>
      <c r="I84" s="676"/>
      <c r="J84" s="570"/>
      <c r="K84" s="618"/>
      <c r="Q84" s="618"/>
    </row>
    <row r="85" spans="1:17" ht="18">
      <c r="B85" s="625" t="s">
        <v>175</v>
      </c>
      <c r="C85" s="707" t="s">
        <v>291</v>
      </c>
      <c r="D85" s="593"/>
      <c r="E85" s="570"/>
      <c r="F85" s="570"/>
      <c r="G85" s="570"/>
      <c r="H85" s="570"/>
      <c r="I85" s="676"/>
      <c r="J85" s="676"/>
      <c r="K85" s="699"/>
      <c r="L85" s="676"/>
      <c r="M85" s="676"/>
      <c r="N85" s="676"/>
      <c r="O85" s="676"/>
      <c r="Q85" s="699"/>
    </row>
    <row r="86" spans="1:17" ht="18.75">
      <c r="B86" s="625"/>
      <c r="C86" s="624"/>
      <c r="D86" s="593"/>
      <c r="E86" s="570"/>
      <c r="F86" s="570"/>
      <c r="G86" s="570"/>
      <c r="H86" s="570"/>
      <c r="I86" s="676"/>
      <c r="J86" s="676"/>
      <c r="K86" s="699"/>
      <c r="L86" s="676"/>
      <c r="M86" s="676"/>
      <c r="N86" s="676"/>
      <c r="O86" s="676"/>
      <c r="Q86" s="699"/>
    </row>
    <row r="87" spans="1:17" ht="18.75">
      <c r="B87" s="625"/>
      <c r="C87" s="624" t="s">
        <v>292</v>
      </c>
      <c r="D87" s="593"/>
      <c r="E87" s="570"/>
      <c r="F87" s="570"/>
      <c r="G87" s="570"/>
      <c r="H87" s="570"/>
      <c r="I87" s="676"/>
      <c r="J87" s="676"/>
      <c r="K87" s="699"/>
      <c r="L87" s="676"/>
      <c r="M87" s="676"/>
      <c r="N87" s="676"/>
      <c r="O87" s="676"/>
      <c r="Q87" s="699"/>
    </row>
    <row r="88" spans="1:17" ht="15.75" thickBot="1">
      <c r="B88" s="357"/>
      <c r="C88" s="423"/>
      <c r="D88" s="593"/>
      <c r="E88" s="570"/>
      <c r="F88" s="570"/>
      <c r="G88" s="570"/>
      <c r="H88" s="570"/>
      <c r="I88" s="676"/>
      <c r="J88" s="676"/>
      <c r="K88" s="699"/>
      <c r="L88" s="676"/>
      <c r="M88" s="676"/>
      <c r="N88" s="676"/>
      <c r="O88" s="676"/>
      <c r="Q88" s="699"/>
    </row>
    <row r="89" spans="1:17" ht="15.75">
      <c r="B89" s="357"/>
      <c r="C89" s="626" t="s">
        <v>293</v>
      </c>
      <c r="D89" s="593"/>
      <c r="E89" s="570"/>
      <c r="F89" s="570"/>
      <c r="G89" s="570"/>
      <c r="H89" s="896"/>
      <c r="I89" s="570" t="s">
        <v>272</v>
      </c>
      <c r="J89" s="570"/>
      <c r="K89" s="618"/>
      <c r="L89" s="790">
        <f>+J95</f>
        <v>2016</v>
      </c>
      <c r="M89" s="772" t="s">
        <v>255</v>
      </c>
      <c r="N89" s="772" t="s">
        <v>256</v>
      </c>
      <c r="O89" s="773" t="s">
        <v>257</v>
      </c>
      <c r="Q89" s="618"/>
    </row>
    <row r="90" spans="1:17" ht="15.75">
      <c r="B90" s="357"/>
      <c r="C90" s="626"/>
      <c r="D90" s="593"/>
      <c r="E90" s="570"/>
      <c r="F90" s="570"/>
      <c r="H90" s="570"/>
      <c r="I90" s="711"/>
      <c r="J90" s="711"/>
      <c r="K90" s="712"/>
      <c r="L90" s="791" t="s">
        <v>456</v>
      </c>
      <c r="M90" s="792" t="e">
        <f>VLOOKUP(J95,C102:P161,10)</f>
        <v>#N/A</v>
      </c>
      <c r="N90" s="792" t="e">
        <f>VLOOKUP(J95,C102:P161,12)</f>
        <v>#N/A</v>
      </c>
      <c r="O90" s="793" t="e">
        <f>+N90-M90</f>
        <v>#N/A</v>
      </c>
      <c r="Q90" s="712"/>
    </row>
    <row r="91" spans="1:17">
      <c r="B91" s="357"/>
      <c r="C91" s="714" t="s">
        <v>294</v>
      </c>
      <c r="D91" s="907"/>
      <c r="E91" s="907"/>
      <c r="F91" s="907"/>
      <c r="G91" s="907"/>
      <c r="H91" s="907"/>
      <c r="I91" s="676"/>
      <c r="J91" s="676"/>
      <c r="K91" s="699"/>
      <c r="L91" s="791" t="s">
        <v>457</v>
      </c>
      <c r="M91" s="794" t="e">
        <f>VLOOKUP(J95,C102:P161,6)</f>
        <v>#N/A</v>
      </c>
      <c r="N91" s="794" t="e">
        <f>VLOOKUP(J95,C102:P161,7)</f>
        <v>#N/A</v>
      </c>
      <c r="O91" s="795" t="e">
        <f>+N91-M91</f>
        <v>#N/A</v>
      </c>
      <c r="Q91" s="699"/>
    </row>
    <row r="92" spans="1:17" ht="13.5" thickBot="1">
      <c r="B92" s="357"/>
      <c r="C92" s="716"/>
      <c r="D92" s="717"/>
      <c r="E92" s="701"/>
      <c r="F92" s="701"/>
      <c r="G92" s="701"/>
      <c r="H92" s="718"/>
      <c r="I92" s="676"/>
      <c r="J92" s="676"/>
      <c r="K92" s="699"/>
      <c r="L92" s="736" t="s">
        <v>458</v>
      </c>
      <c r="M92" s="796" t="e">
        <f>+M91-M90</f>
        <v>#N/A</v>
      </c>
      <c r="N92" s="796" t="e">
        <f>+N91-N90</f>
        <v>#N/A</v>
      </c>
      <c r="O92" s="797" t="e">
        <f>+O91-O90</f>
        <v>#N/A</v>
      </c>
      <c r="Q92" s="699"/>
    </row>
    <row r="93" spans="1:17" ht="13.5" thickBot="1">
      <c r="B93" s="357"/>
      <c r="C93" s="719"/>
      <c r="D93" s="720"/>
      <c r="E93" s="718"/>
      <c r="F93" s="718"/>
      <c r="G93" s="718"/>
      <c r="H93" s="718"/>
      <c r="I93" s="718"/>
      <c r="J93" s="718"/>
      <c r="K93" s="721"/>
      <c r="L93" s="718"/>
      <c r="M93" s="718"/>
      <c r="N93" s="718"/>
      <c r="O93" s="718"/>
      <c r="P93" s="606"/>
      <c r="Q93" s="721"/>
    </row>
    <row r="94" spans="1:17" ht="13.5" thickBot="1">
      <c r="B94" s="357"/>
      <c r="C94" s="722" t="s">
        <v>295</v>
      </c>
      <c r="D94" s="723"/>
      <c r="E94" s="723"/>
      <c r="F94" s="723"/>
      <c r="G94" s="723"/>
      <c r="H94" s="723"/>
      <c r="I94" s="723"/>
      <c r="J94" s="723"/>
      <c r="K94" s="725"/>
      <c r="P94" s="726"/>
      <c r="Q94" s="725"/>
    </row>
    <row r="95" spans="1:17" ht="15">
      <c r="A95" s="769"/>
      <c r="B95" s="357"/>
      <c r="C95" s="728" t="s">
        <v>273</v>
      </c>
      <c r="D95" s="897"/>
      <c r="E95" s="685" t="s">
        <v>274</v>
      </c>
      <c r="H95" s="729"/>
      <c r="I95" s="729"/>
      <c r="J95" s="730">
        <v>2016</v>
      </c>
      <c r="K95" s="616"/>
      <c r="L95" s="1521" t="s">
        <v>275</v>
      </c>
      <c r="M95" s="1521"/>
      <c r="N95" s="1521"/>
      <c r="O95" s="1521"/>
      <c r="P95" s="618"/>
      <c r="Q95" s="616"/>
    </row>
    <row r="96" spans="1:17">
      <c r="A96" s="769"/>
      <c r="B96" s="357"/>
      <c r="C96" s="728" t="s">
        <v>276</v>
      </c>
      <c r="D96" s="908"/>
      <c r="E96" s="728" t="s">
        <v>277</v>
      </c>
      <c r="F96" s="729"/>
      <c r="G96" s="729"/>
      <c r="I96" s="357"/>
      <c r="J96" s="901">
        <v>0</v>
      </c>
      <c r="K96" s="731"/>
      <c r="L96" s="699" t="s">
        <v>476</v>
      </c>
      <c r="P96" s="618"/>
      <c r="Q96" s="731"/>
    </row>
    <row r="97" spans="1:17">
      <c r="A97" s="769"/>
      <c r="B97" s="357"/>
      <c r="C97" s="728" t="s">
        <v>278</v>
      </c>
      <c r="D97" s="899"/>
      <c r="E97" s="728" t="s">
        <v>279</v>
      </c>
      <c r="F97" s="729"/>
      <c r="G97" s="729"/>
      <c r="I97" s="357"/>
      <c r="J97" s="732">
        <f>$F$70</f>
        <v>9.9118816841934854E-2</v>
      </c>
      <c r="K97" s="733"/>
      <c r="L97" s="570" t="str">
        <f>"          INPUT TRUE-UP ARR (WITH &amp; WITHOUT INCENTIVES) FROM EACH PRIOR YEAR"</f>
        <v xml:space="preserve">          INPUT TRUE-UP ARR (WITH &amp; WITHOUT INCENTIVES) FROM EACH PRIOR YEAR</v>
      </c>
      <c r="P97" s="618"/>
      <c r="Q97" s="733"/>
    </row>
    <row r="98" spans="1:17">
      <c r="A98" s="769"/>
      <c r="B98" s="357"/>
      <c r="C98" s="728" t="s">
        <v>280</v>
      </c>
      <c r="D98" s="734">
        <f>H79</f>
        <v>41</v>
      </c>
      <c r="E98" s="728" t="s">
        <v>281</v>
      </c>
      <c r="F98" s="729"/>
      <c r="G98" s="729"/>
      <c r="I98" s="357"/>
      <c r="J98" s="732">
        <f>IF(H89="",J97,$F$69)</f>
        <v>9.9118816841934854E-2</v>
      </c>
      <c r="K98" s="735"/>
      <c r="L98" s="570" t="s">
        <v>363</v>
      </c>
      <c r="M98" s="735"/>
      <c r="N98" s="735"/>
      <c r="O98" s="735"/>
      <c r="P98" s="618"/>
      <c r="Q98" s="735"/>
    </row>
    <row r="99" spans="1:17" ht="13.5" thickBot="1">
      <c r="A99" s="769"/>
      <c r="B99" s="357"/>
      <c r="C99" s="728" t="s">
        <v>282</v>
      </c>
      <c r="D99" s="900"/>
      <c r="E99" s="736" t="s">
        <v>283</v>
      </c>
      <c r="F99" s="737"/>
      <c r="G99" s="737"/>
      <c r="H99" s="738"/>
      <c r="I99" s="738"/>
      <c r="J99" s="715">
        <f>IF(D95=0,0,D95/D98)</f>
        <v>0</v>
      </c>
      <c r="K99" s="699"/>
      <c r="L99" s="699" t="s">
        <v>364</v>
      </c>
      <c r="M99" s="699"/>
      <c r="N99" s="699"/>
      <c r="O99" s="699"/>
      <c r="P99" s="618"/>
      <c r="Q99" s="699"/>
    </row>
    <row r="100" spans="1:17" ht="38.25">
      <c r="A100" s="557"/>
      <c r="B100" s="557"/>
      <c r="C100" s="739" t="s">
        <v>273</v>
      </c>
      <c r="D100" s="740" t="s">
        <v>284</v>
      </c>
      <c r="E100" s="741" t="s">
        <v>285</v>
      </c>
      <c r="F100" s="740" t="s">
        <v>286</v>
      </c>
      <c r="G100" s="740" t="s">
        <v>459</v>
      </c>
      <c r="H100" s="741" t="s">
        <v>357</v>
      </c>
      <c r="I100" s="742" t="s">
        <v>357</v>
      </c>
      <c r="J100" s="739" t="s">
        <v>296</v>
      </c>
      <c r="K100" s="743"/>
      <c r="L100" s="741" t="s">
        <v>359</v>
      </c>
      <c r="M100" s="741" t="s">
        <v>365</v>
      </c>
      <c r="N100" s="741" t="s">
        <v>359</v>
      </c>
      <c r="O100" s="741" t="s">
        <v>367</v>
      </c>
      <c r="P100" s="741" t="s">
        <v>287</v>
      </c>
      <c r="Q100" s="744"/>
    </row>
    <row r="101" spans="1:17" ht="13.5" thickBot="1">
      <c r="B101" s="357"/>
      <c r="C101" s="745" t="s">
        <v>178</v>
      </c>
      <c r="D101" s="746" t="s">
        <v>179</v>
      </c>
      <c r="E101" s="745" t="s">
        <v>38</v>
      </c>
      <c r="F101" s="746" t="s">
        <v>179</v>
      </c>
      <c r="G101" s="746" t="s">
        <v>179</v>
      </c>
      <c r="H101" s="747" t="s">
        <v>299</v>
      </c>
      <c r="I101" s="748" t="s">
        <v>301</v>
      </c>
      <c r="J101" s="749" t="s">
        <v>390</v>
      </c>
      <c r="K101" s="750"/>
      <c r="L101" s="747" t="s">
        <v>288</v>
      </c>
      <c r="M101" s="747" t="s">
        <v>288</v>
      </c>
      <c r="N101" s="747" t="s">
        <v>468</v>
      </c>
      <c r="O101" s="747" t="s">
        <v>468</v>
      </c>
      <c r="P101" s="747" t="s">
        <v>468</v>
      </c>
      <c r="Q101" s="616"/>
    </row>
    <row r="102" spans="1:17">
      <c r="B102" s="357"/>
      <c r="C102" s="751" t="str">
        <f>IF(D96= "","-",D96)</f>
        <v>-</v>
      </c>
      <c r="D102" s="703">
        <f>+D95</f>
        <v>0</v>
      </c>
      <c r="E102" s="752">
        <f>+J99/12*(12-D97)</f>
        <v>0</v>
      </c>
      <c r="F102" s="798">
        <f t="shared" ref="F102:F133" si="0">+D102-E102</f>
        <v>0</v>
      </c>
      <c r="G102" s="703">
        <f t="shared" ref="G102:G133" si="1">+(D102+F102)/2</f>
        <v>0</v>
      </c>
      <c r="H102" s="753">
        <f>+J97*G102+E102</f>
        <v>0</v>
      </c>
      <c r="I102" s="754">
        <f>+J98*G102+E102</f>
        <v>0</v>
      </c>
      <c r="J102" s="755">
        <f t="shared" ref="J102:J133" si="2">+I102-H102</f>
        <v>0</v>
      </c>
      <c r="K102" s="755"/>
      <c r="L102" s="756"/>
      <c r="M102" s="799">
        <f t="shared" ref="M102:M133" si="3">IF(L102&lt;&gt;0,+H102-L102,0)</f>
        <v>0</v>
      </c>
      <c r="N102" s="756"/>
      <c r="O102" s="799">
        <f t="shared" ref="O102:O133" si="4">IF(N102&lt;&gt;0,+I102-N102,0)</f>
        <v>0</v>
      </c>
      <c r="P102" s="799">
        <f t="shared" ref="P102:P133" si="5">+O102-M102</f>
        <v>0</v>
      </c>
      <c r="Q102" s="704"/>
    </row>
    <row r="103" spans="1:17">
      <c r="B103" s="357"/>
      <c r="C103" s="751" t="str">
        <f>IF(D96="","-",+C102+1)</f>
        <v>-</v>
      </c>
      <c r="D103" s="703">
        <f t="shared" ref="D103:D134" si="6">F102</f>
        <v>0</v>
      </c>
      <c r="E103" s="758">
        <f t="shared" ref="E103:E134" si="7">IF(D103&gt;$J$99,$J$99,D103)</f>
        <v>0</v>
      </c>
      <c r="F103" s="758">
        <f t="shared" si="0"/>
        <v>0</v>
      </c>
      <c r="G103" s="703">
        <f t="shared" si="1"/>
        <v>0</v>
      </c>
      <c r="H103" s="752">
        <f>+J97*G103+E103</f>
        <v>0</v>
      </c>
      <c r="I103" s="759">
        <f>+J98*G103+E103</f>
        <v>0</v>
      </c>
      <c r="J103" s="755">
        <f t="shared" si="2"/>
        <v>0</v>
      </c>
      <c r="K103" s="755"/>
      <c r="L103" s="760"/>
      <c r="M103" s="755">
        <f t="shared" si="3"/>
        <v>0</v>
      </c>
      <c r="N103" s="760"/>
      <c r="O103" s="755">
        <f t="shared" si="4"/>
        <v>0</v>
      </c>
      <c r="P103" s="755">
        <f t="shared" si="5"/>
        <v>0</v>
      </c>
      <c r="Q103" s="704"/>
    </row>
    <row r="104" spans="1:17">
      <c r="B104" s="357"/>
      <c r="C104" s="751" t="str">
        <f>IF(D96="","-",+C103+1)</f>
        <v>-</v>
      </c>
      <c r="D104" s="703">
        <f t="shared" si="6"/>
        <v>0</v>
      </c>
      <c r="E104" s="758">
        <f t="shared" si="7"/>
        <v>0</v>
      </c>
      <c r="F104" s="758">
        <f t="shared" si="0"/>
        <v>0</v>
      </c>
      <c r="G104" s="703">
        <f t="shared" si="1"/>
        <v>0</v>
      </c>
      <c r="H104" s="752">
        <f>+J97*G104+E104</f>
        <v>0</v>
      </c>
      <c r="I104" s="759">
        <f>+J98*G104+E104</f>
        <v>0</v>
      </c>
      <c r="J104" s="755">
        <f t="shared" si="2"/>
        <v>0</v>
      </c>
      <c r="K104" s="755"/>
      <c r="L104" s="760"/>
      <c r="M104" s="755">
        <f t="shared" si="3"/>
        <v>0</v>
      </c>
      <c r="N104" s="760"/>
      <c r="O104" s="755">
        <f t="shared" si="4"/>
        <v>0</v>
      </c>
      <c r="P104" s="755">
        <f t="shared" si="5"/>
        <v>0</v>
      </c>
      <c r="Q104" s="704"/>
    </row>
    <row r="105" spans="1:17">
      <c r="B105" s="357"/>
      <c r="C105" s="751" t="str">
        <f>IF(D96="","-",+C104+1)</f>
        <v>-</v>
      </c>
      <c r="D105" s="703">
        <f t="shared" si="6"/>
        <v>0</v>
      </c>
      <c r="E105" s="758">
        <f t="shared" si="7"/>
        <v>0</v>
      </c>
      <c r="F105" s="758">
        <f t="shared" si="0"/>
        <v>0</v>
      </c>
      <c r="G105" s="703">
        <f t="shared" si="1"/>
        <v>0</v>
      </c>
      <c r="H105" s="752">
        <f>+J97*G105+E105</f>
        <v>0</v>
      </c>
      <c r="I105" s="759">
        <f>+J98*G105+E105</f>
        <v>0</v>
      </c>
      <c r="J105" s="755">
        <f t="shared" si="2"/>
        <v>0</v>
      </c>
      <c r="K105" s="755"/>
      <c r="L105" s="760"/>
      <c r="M105" s="755">
        <f t="shared" si="3"/>
        <v>0</v>
      </c>
      <c r="N105" s="760"/>
      <c r="O105" s="755">
        <f t="shared" si="4"/>
        <v>0</v>
      </c>
      <c r="P105" s="755">
        <f t="shared" si="5"/>
        <v>0</v>
      </c>
      <c r="Q105" s="704"/>
    </row>
    <row r="106" spans="1:17">
      <c r="B106" s="357"/>
      <c r="C106" s="751" t="str">
        <f>IF(D96="","-",+C105+1)</f>
        <v>-</v>
      </c>
      <c r="D106" s="703">
        <f t="shared" si="6"/>
        <v>0</v>
      </c>
      <c r="E106" s="758">
        <f t="shared" si="7"/>
        <v>0</v>
      </c>
      <c r="F106" s="758">
        <f t="shared" si="0"/>
        <v>0</v>
      </c>
      <c r="G106" s="703">
        <f t="shared" si="1"/>
        <v>0</v>
      </c>
      <c r="H106" s="752">
        <f>+J97*G106+E106</f>
        <v>0</v>
      </c>
      <c r="I106" s="759">
        <f>+J98*G106+E106</f>
        <v>0</v>
      </c>
      <c r="J106" s="755">
        <f t="shared" si="2"/>
        <v>0</v>
      </c>
      <c r="K106" s="755"/>
      <c r="L106" s="760"/>
      <c r="M106" s="755">
        <f t="shared" si="3"/>
        <v>0</v>
      </c>
      <c r="N106" s="760"/>
      <c r="O106" s="755">
        <f t="shared" si="4"/>
        <v>0</v>
      </c>
      <c r="P106" s="755">
        <f t="shared" si="5"/>
        <v>0</v>
      </c>
      <c r="Q106" s="704"/>
    </row>
    <row r="107" spans="1:17">
      <c r="B107" s="357"/>
      <c r="C107" s="751" t="str">
        <f>IF(D96="","-",+C106+1)</f>
        <v>-</v>
      </c>
      <c r="D107" s="703">
        <f t="shared" si="6"/>
        <v>0</v>
      </c>
      <c r="E107" s="758">
        <f t="shared" si="7"/>
        <v>0</v>
      </c>
      <c r="F107" s="758">
        <f t="shared" si="0"/>
        <v>0</v>
      </c>
      <c r="G107" s="703">
        <f t="shared" si="1"/>
        <v>0</v>
      </c>
      <c r="H107" s="752">
        <f>+J97*G107+E107</f>
        <v>0</v>
      </c>
      <c r="I107" s="759">
        <f>+J98*G107+E107</f>
        <v>0</v>
      </c>
      <c r="J107" s="755">
        <f t="shared" si="2"/>
        <v>0</v>
      </c>
      <c r="K107" s="755"/>
      <c r="L107" s="760"/>
      <c r="M107" s="755">
        <f t="shared" si="3"/>
        <v>0</v>
      </c>
      <c r="N107" s="760"/>
      <c r="O107" s="755">
        <f t="shared" si="4"/>
        <v>0</v>
      </c>
      <c r="P107" s="755">
        <f t="shared" si="5"/>
        <v>0</v>
      </c>
      <c r="Q107" s="704"/>
    </row>
    <row r="108" spans="1:17">
      <c r="B108" s="357"/>
      <c r="C108" s="751" t="str">
        <f>IF(D96="","-",+C107+1)</f>
        <v>-</v>
      </c>
      <c r="D108" s="703">
        <f t="shared" si="6"/>
        <v>0</v>
      </c>
      <c r="E108" s="758">
        <f t="shared" si="7"/>
        <v>0</v>
      </c>
      <c r="F108" s="758">
        <f t="shared" si="0"/>
        <v>0</v>
      </c>
      <c r="G108" s="703">
        <f t="shared" si="1"/>
        <v>0</v>
      </c>
      <c r="H108" s="752">
        <f>+J97*G108+E108</f>
        <v>0</v>
      </c>
      <c r="I108" s="759">
        <f>+J98*G108+E108</f>
        <v>0</v>
      </c>
      <c r="J108" s="755">
        <f t="shared" si="2"/>
        <v>0</v>
      </c>
      <c r="K108" s="755"/>
      <c r="L108" s="760"/>
      <c r="M108" s="755">
        <f t="shared" si="3"/>
        <v>0</v>
      </c>
      <c r="N108" s="760"/>
      <c r="O108" s="755">
        <f t="shared" si="4"/>
        <v>0</v>
      </c>
      <c r="P108" s="755">
        <f t="shared" si="5"/>
        <v>0</v>
      </c>
      <c r="Q108" s="704"/>
    </row>
    <row r="109" spans="1:17">
      <c r="B109" s="357"/>
      <c r="C109" s="751" t="str">
        <f>IF(D96="","-",+C108+1)</f>
        <v>-</v>
      </c>
      <c r="D109" s="703">
        <f t="shared" si="6"/>
        <v>0</v>
      </c>
      <c r="E109" s="758">
        <f t="shared" si="7"/>
        <v>0</v>
      </c>
      <c r="F109" s="758">
        <f t="shared" si="0"/>
        <v>0</v>
      </c>
      <c r="G109" s="703">
        <f t="shared" si="1"/>
        <v>0</v>
      </c>
      <c r="H109" s="752">
        <f>+J97*G109+E109</f>
        <v>0</v>
      </c>
      <c r="I109" s="759">
        <f>+J98*G109+E109</f>
        <v>0</v>
      </c>
      <c r="J109" s="755">
        <f t="shared" si="2"/>
        <v>0</v>
      </c>
      <c r="K109" s="755"/>
      <c r="L109" s="760"/>
      <c r="M109" s="755">
        <f t="shared" si="3"/>
        <v>0</v>
      </c>
      <c r="N109" s="760"/>
      <c r="O109" s="755">
        <f t="shared" si="4"/>
        <v>0</v>
      </c>
      <c r="P109" s="755">
        <f t="shared" si="5"/>
        <v>0</v>
      </c>
      <c r="Q109" s="704"/>
    </row>
    <row r="110" spans="1:17">
      <c r="B110" s="357"/>
      <c r="C110" s="751" t="str">
        <f>IF(D96="","-",+C109+1)</f>
        <v>-</v>
      </c>
      <c r="D110" s="703">
        <f t="shared" si="6"/>
        <v>0</v>
      </c>
      <c r="E110" s="758">
        <f t="shared" si="7"/>
        <v>0</v>
      </c>
      <c r="F110" s="758">
        <f t="shared" si="0"/>
        <v>0</v>
      </c>
      <c r="G110" s="703">
        <f t="shared" si="1"/>
        <v>0</v>
      </c>
      <c r="H110" s="752">
        <f>+J97*G110+E110</f>
        <v>0</v>
      </c>
      <c r="I110" s="759">
        <f>+J98*G110+E110</f>
        <v>0</v>
      </c>
      <c r="J110" s="755">
        <f t="shared" si="2"/>
        <v>0</v>
      </c>
      <c r="K110" s="755"/>
      <c r="L110" s="760"/>
      <c r="M110" s="755">
        <f t="shared" si="3"/>
        <v>0</v>
      </c>
      <c r="N110" s="760"/>
      <c r="O110" s="755">
        <f t="shared" si="4"/>
        <v>0</v>
      </c>
      <c r="P110" s="755">
        <f t="shared" si="5"/>
        <v>0</v>
      </c>
      <c r="Q110" s="704"/>
    </row>
    <row r="111" spans="1:17">
      <c r="B111" s="357"/>
      <c r="C111" s="751" t="str">
        <f>IF(D96="","-",+C110+1)</f>
        <v>-</v>
      </c>
      <c r="D111" s="703">
        <f t="shared" si="6"/>
        <v>0</v>
      </c>
      <c r="E111" s="758">
        <f t="shared" si="7"/>
        <v>0</v>
      </c>
      <c r="F111" s="758">
        <f t="shared" si="0"/>
        <v>0</v>
      </c>
      <c r="G111" s="703">
        <f t="shared" si="1"/>
        <v>0</v>
      </c>
      <c r="H111" s="752">
        <f>+J97*G111+E111</f>
        <v>0</v>
      </c>
      <c r="I111" s="759">
        <f>+J98*G111+E111</f>
        <v>0</v>
      </c>
      <c r="J111" s="755">
        <f t="shared" si="2"/>
        <v>0</v>
      </c>
      <c r="K111" s="755"/>
      <c r="L111" s="760"/>
      <c r="M111" s="755">
        <f t="shared" si="3"/>
        <v>0</v>
      </c>
      <c r="N111" s="760"/>
      <c r="O111" s="755">
        <f t="shared" si="4"/>
        <v>0</v>
      </c>
      <c r="P111" s="755">
        <f t="shared" si="5"/>
        <v>0</v>
      </c>
      <c r="Q111" s="704"/>
    </row>
    <row r="112" spans="1:17">
      <c r="B112" s="357"/>
      <c r="C112" s="751" t="str">
        <f>IF(D96="","-",+C111+1)</f>
        <v>-</v>
      </c>
      <c r="D112" s="703">
        <f t="shared" si="6"/>
        <v>0</v>
      </c>
      <c r="E112" s="758">
        <f t="shared" si="7"/>
        <v>0</v>
      </c>
      <c r="F112" s="758">
        <f t="shared" si="0"/>
        <v>0</v>
      </c>
      <c r="G112" s="703">
        <f t="shared" si="1"/>
        <v>0</v>
      </c>
      <c r="H112" s="752">
        <f>+J97*G112+E112</f>
        <v>0</v>
      </c>
      <c r="I112" s="759">
        <f>+J98*G112+E112</f>
        <v>0</v>
      </c>
      <c r="J112" s="755">
        <f t="shared" si="2"/>
        <v>0</v>
      </c>
      <c r="K112" s="755"/>
      <c r="L112" s="760"/>
      <c r="M112" s="755">
        <f t="shared" si="3"/>
        <v>0</v>
      </c>
      <c r="N112" s="760"/>
      <c r="O112" s="755">
        <f t="shared" si="4"/>
        <v>0</v>
      </c>
      <c r="P112" s="755">
        <f t="shared" si="5"/>
        <v>0</v>
      </c>
      <c r="Q112" s="704"/>
    </row>
    <row r="113" spans="2:17">
      <c r="B113" s="357"/>
      <c r="C113" s="751" t="str">
        <f>IF(D96="","-",+C112+1)</f>
        <v>-</v>
      </c>
      <c r="D113" s="703">
        <f t="shared" si="6"/>
        <v>0</v>
      </c>
      <c r="E113" s="758">
        <f t="shared" si="7"/>
        <v>0</v>
      </c>
      <c r="F113" s="758">
        <f t="shared" si="0"/>
        <v>0</v>
      </c>
      <c r="G113" s="703">
        <f t="shared" si="1"/>
        <v>0</v>
      </c>
      <c r="H113" s="752">
        <f>+J97*G113+E113</f>
        <v>0</v>
      </c>
      <c r="I113" s="759">
        <f>+J98*G113+E113</f>
        <v>0</v>
      </c>
      <c r="J113" s="755">
        <f t="shared" si="2"/>
        <v>0</v>
      </c>
      <c r="K113" s="755"/>
      <c r="L113" s="760"/>
      <c r="M113" s="755">
        <f t="shared" si="3"/>
        <v>0</v>
      </c>
      <c r="N113" s="760"/>
      <c r="O113" s="755">
        <f t="shared" si="4"/>
        <v>0</v>
      </c>
      <c r="P113" s="755">
        <f t="shared" si="5"/>
        <v>0</v>
      </c>
      <c r="Q113" s="704"/>
    </row>
    <row r="114" spans="2:17">
      <c r="B114" s="357"/>
      <c r="C114" s="751" t="str">
        <f>IF(D96="","-",+C113+1)</f>
        <v>-</v>
      </c>
      <c r="D114" s="703">
        <f t="shared" si="6"/>
        <v>0</v>
      </c>
      <c r="E114" s="758">
        <f t="shared" si="7"/>
        <v>0</v>
      </c>
      <c r="F114" s="758">
        <f t="shared" si="0"/>
        <v>0</v>
      </c>
      <c r="G114" s="703">
        <f t="shared" si="1"/>
        <v>0</v>
      </c>
      <c r="H114" s="752">
        <f>+J97*G114+E114</f>
        <v>0</v>
      </c>
      <c r="I114" s="759">
        <f>+J98*G114+E114</f>
        <v>0</v>
      </c>
      <c r="J114" s="755">
        <f t="shared" si="2"/>
        <v>0</v>
      </c>
      <c r="K114" s="755"/>
      <c r="L114" s="760"/>
      <c r="M114" s="755">
        <f t="shared" si="3"/>
        <v>0</v>
      </c>
      <c r="N114" s="760"/>
      <c r="O114" s="755">
        <f t="shared" si="4"/>
        <v>0</v>
      </c>
      <c r="P114" s="755">
        <f t="shared" si="5"/>
        <v>0</v>
      </c>
      <c r="Q114" s="704"/>
    </row>
    <row r="115" spans="2:17">
      <c r="B115" s="357"/>
      <c r="C115" s="751" t="str">
        <f>IF(D96="","-",+C114+1)</f>
        <v>-</v>
      </c>
      <c r="D115" s="703">
        <f t="shared" si="6"/>
        <v>0</v>
      </c>
      <c r="E115" s="758">
        <f t="shared" si="7"/>
        <v>0</v>
      </c>
      <c r="F115" s="758">
        <f t="shared" si="0"/>
        <v>0</v>
      </c>
      <c r="G115" s="703">
        <f t="shared" si="1"/>
        <v>0</v>
      </c>
      <c r="H115" s="752">
        <f>+J97*G115+E115</f>
        <v>0</v>
      </c>
      <c r="I115" s="759">
        <f>+J98*G115+E115</f>
        <v>0</v>
      </c>
      <c r="J115" s="755">
        <f t="shared" si="2"/>
        <v>0</v>
      </c>
      <c r="K115" s="755"/>
      <c r="L115" s="760"/>
      <c r="M115" s="755">
        <f t="shared" si="3"/>
        <v>0</v>
      </c>
      <c r="N115" s="760"/>
      <c r="O115" s="755">
        <f t="shared" si="4"/>
        <v>0</v>
      </c>
      <c r="P115" s="755">
        <f t="shared" si="5"/>
        <v>0</v>
      </c>
      <c r="Q115" s="704"/>
    </row>
    <row r="116" spans="2:17">
      <c r="B116" s="357"/>
      <c r="C116" s="751" t="str">
        <f>IF(D96="","-",+C115+1)</f>
        <v>-</v>
      </c>
      <c r="D116" s="703">
        <f t="shared" si="6"/>
        <v>0</v>
      </c>
      <c r="E116" s="758">
        <f t="shared" si="7"/>
        <v>0</v>
      </c>
      <c r="F116" s="758">
        <f t="shared" si="0"/>
        <v>0</v>
      </c>
      <c r="G116" s="703">
        <f t="shared" si="1"/>
        <v>0</v>
      </c>
      <c r="H116" s="752">
        <f>+J97*G116+E116</f>
        <v>0</v>
      </c>
      <c r="I116" s="759">
        <f>+J98*G116+E116</f>
        <v>0</v>
      </c>
      <c r="J116" s="755">
        <f t="shared" si="2"/>
        <v>0</v>
      </c>
      <c r="K116" s="755"/>
      <c r="L116" s="760"/>
      <c r="M116" s="755">
        <f t="shared" si="3"/>
        <v>0</v>
      </c>
      <c r="N116" s="760"/>
      <c r="O116" s="755">
        <f t="shared" si="4"/>
        <v>0</v>
      </c>
      <c r="P116" s="755">
        <f t="shared" si="5"/>
        <v>0</v>
      </c>
      <c r="Q116" s="704"/>
    </row>
    <row r="117" spans="2:17">
      <c r="B117" s="357"/>
      <c r="C117" s="751" t="str">
        <f>IF(D96="","-",+C116+1)</f>
        <v>-</v>
      </c>
      <c r="D117" s="703">
        <f t="shared" si="6"/>
        <v>0</v>
      </c>
      <c r="E117" s="758">
        <f t="shared" si="7"/>
        <v>0</v>
      </c>
      <c r="F117" s="758">
        <f t="shared" si="0"/>
        <v>0</v>
      </c>
      <c r="G117" s="703">
        <f t="shared" si="1"/>
        <v>0</v>
      </c>
      <c r="H117" s="752">
        <f>+J97*G117+E117</f>
        <v>0</v>
      </c>
      <c r="I117" s="759">
        <f>+J98*G117+E117</f>
        <v>0</v>
      </c>
      <c r="J117" s="755">
        <f t="shared" si="2"/>
        <v>0</v>
      </c>
      <c r="K117" s="755"/>
      <c r="L117" s="760"/>
      <c r="M117" s="755">
        <f t="shared" si="3"/>
        <v>0</v>
      </c>
      <c r="N117" s="760"/>
      <c r="O117" s="755">
        <f t="shared" si="4"/>
        <v>0</v>
      </c>
      <c r="P117" s="755">
        <f t="shared" si="5"/>
        <v>0</v>
      </c>
      <c r="Q117" s="704"/>
    </row>
    <row r="118" spans="2:17">
      <c r="B118" s="357"/>
      <c r="C118" s="751" t="str">
        <f>IF(D96="","-",+C117+1)</f>
        <v>-</v>
      </c>
      <c r="D118" s="703">
        <f t="shared" si="6"/>
        <v>0</v>
      </c>
      <c r="E118" s="758">
        <f t="shared" si="7"/>
        <v>0</v>
      </c>
      <c r="F118" s="758">
        <f t="shared" si="0"/>
        <v>0</v>
      </c>
      <c r="G118" s="703">
        <f t="shared" si="1"/>
        <v>0</v>
      </c>
      <c r="H118" s="752">
        <f>+J97*G118+E118</f>
        <v>0</v>
      </c>
      <c r="I118" s="759">
        <f>+J98*G118+E118</f>
        <v>0</v>
      </c>
      <c r="J118" s="755">
        <f t="shared" si="2"/>
        <v>0</v>
      </c>
      <c r="K118" s="755"/>
      <c r="L118" s="760"/>
      <c r="M118" s="755">
        <f t="shared" si="3"/>
        <v>0</v>
      </c>
      <c r="N118" s="760"/>
      <c r="O118" s="755">
        <f t="shared" si="4"/>
        <v>0</v>
      </c>
      <c r="P118" s="755">
        <f t="shared" si="5"/>
        <v>0</v>
      </c>
      <c r="Q118" s="704"/>
    </row>
    <row r="119" spans="2:17">
      <c r="B119" s="357"/>
      <c r="C119" s="751" t="str">
        <f>IF(D96="","-",+C118+1)</f>
        <v>-</v>
      </c>
      <c r="D119" s="703">
        <f t="shared" si="6"/>
        <v>0</v>
      </c>
      <c r="E119" s="758">
        <f t="shared" si="7"/>
        <v>0</v>
      </c>
      <c r="F119" s="758">
        <f t="shared" si="0"/>
        <v>0</v>
      </c>
      <c r="G119" s="703">
        <f t="shared" si="1"/>
        <v>0</v>
      </c>
      <c r="H119" s="752">
        <f>+J97*G119+E119</f>
        <v>0</v>
      </c>
      <c r="I119" s="759">
        <f>+J98*G119+E119</f>
        <v>0</v>
      </c>
      <c r="J119" s="755">
        <f t="shared" si="2"/>
        <v>0</v>
      </c>
      <c r="K119" s="755"/>
      <c r="L119" s="760"/>
      <c r="M119" s="755">
        <f t="shared" si="3"/>
        <v>0</v>
      </c>
      <c r="N119" s="760"/>
      <c r="O119" s="755">
        <f t="shared" si="4"/>
        <v>0</v>
      </c>
      <c r="P119" s="755">
        <f t="shared" si="5"/>
        <v>0</v>
      </c>
      <c r="Q119" s="704"/>
    </row>
    <row r="120" spans="2:17">
      <c r="B120" s="357"/>
      <c r="C120" s="751" t="str">
        <f>IF(D96="","-",+C119+1)</f>
        <v>-</v>
      </c>
      <c r="D120" s="703">
        <f t="shared" si="6"/>
        <v>0</v>
      </c>
      <c r="E120" s="758">
        <f t="shared" si="7"/>
        <v>0</v>
      </c>
      <c r="F120" s="758">
        <f t="shared" si="0"/>
        <v>0</v>
      </c>
      <c r="G120" s="703">
        <f t="shared" si="1"/>
        <v>0</v>
      </c>
      <c r="H120" s="752">
        <f>+J97*G120+E120</f>
        <v>0</v>
      </c>
      <c r="I120" s="759">
        <f>+J98*G120+E120</f>
        <v>0</v>
      </c>
      <c r="J120" s="755">
        <f t="shared" si="2"/>
        <v>0</v>
      </c>
      <c r="K120" s="755"/>
      <c r="L120" s="760"/>
      <c r="M120" s="755">
        <f t="shared" si="3"/>
        <v>0</v>
      </c>
      <c r="N120" s="760"/>
      <c r="O120" s="755">
        <f t="shared" si="4"/>
        <v>0</v>
      </c>
      <c r="P120" s="755">
        <f t="shared" si="5"/>
        <v>0</v>
      </c>
      <c r="Q120" s="704"/>
    </row>
    <row r="121" spans="2:17">
      <c r="B121" s="357"/>
      <c r="C121" s="751" t="str">
        <f>IF(D96="","-",+C120+1)</f>
        <v>-</v>
      </c>
      <c r="D121" s="703">
        <f t="shared" si="6"/>
        <v>0</v>
      </c>
      <c r="E121" s="758">
        <f t="shared" si="7"/>
        <v>0</v>
      </c>
      <c r="F121" s="758">
        <f t="shared" si="0"/>
        <v>0</v>
      </c>
      <c r="G121" s="703">
        <f t="shared" si="1"/>
        <v>0</v>
      </c>
      <c r="H121" s="752">
        <f>+J97*G121+E121</f>
        <v>0</v>
      </c>
      <c r="I121" s="759">
        <f>+J98*G121+E121</f>
        <v>0</v>
      </c>
      <c r="J121" s="755">
        <f t="shared" si="2"/>
        <v>0</v>
      </c>
      <c r="K121" s="755"/>
      <c r="L121" s="760"/>
      <c r="M121" s="755">
        <f t="shared" si="3"/>
        <v>0</v>
      </c>
      <c r="N121" s="760"/>
      <c r="O121" s="755">
        <f t="shared" si="4"/>
        <v>0</v>
      </c>
      <c r="P121" s="755">
        <f t="shared" si="5"/>
        <v>0</v>
      </c>
      <c r="Q121" s="704"/>
    </row>
    <row r="122" spans="2:17">
      <c r="B122" s="357"/>
      <c r="C122" s="751" t="str">
        <f>IF(D96="","-",+C121+1)</f>
        <v>-</v>
      </c>
      <c r="D122" s="703">
        <f t="shared" si="6"/>
        <v>0</v>
      </c>
      <c r="E122" s="758">
        <f t="shared" si="7"/>
        <v>0</v>
      </c>
      <c r="F122" s="758">
        <f t="shared" si="0"/>
        <v>0</v>
      </c>
      <c r="G122" s="703">
        <f t="shared" si="1"/>
        <v>0</v>
      </c>
      <c r="H122" s="752">
        <f>+J97*G122+E122</f>
        <v>0</v>
      </c>
      <c r="I122" s="759">
        <f>+J98*G122+E122</f>
        <v>0</v>
      </c>
      <c r="J122" s="755">
        <f t="shared" si="2"/>
        <v>0</v>
      </c>
      <c r="K122" s="755"/>
      <c r="L122" s="760"/>
      <c r="M122" s="755">
        <f t="shared" si="3"/>
        <v>0</v>
      </c>
      <c r="N122" s="760"/>
      <c r="O122" s="755">
        <f t="shared" si="4"/>
        <v>0</v>
      </c>
      <c r="P122" s="755">
        <f t="shared" si="5"/>
        <v>0</v>
      </c>
      <c r="Q122" s="704"/>
    </row>
    <row r="123" spans="2:17">
      <c r="B123" s="357"/>
      <c r="C123" s="751" t="str">
        <f>IF(D96="","-",+C122+1)</f>
        <v>-</v>
      </c>
      <c r="D123" s="703">
        <f t="shared" si="6"/>
        <v>0</v>
      </c>
      <c r="E123" s="758">
        <f t="shared" si="7"/>
        <v>0</v>
      </c>
      <c r="F123" s="758">
        <f t="shared" si="0"/>
        <v>0</v>
      </c>
      <c r="G123" s="703">
        <f t="shared" si="1"/>
        <v>0</v>
      </c>
      <c r="H123" s="752">
        <f>+J97*G123+E123</f>
        <v>0</v>
      </c>
      <c r="I123" s="759">
        <f>+J98*G123+E123</f>
        <v>0</v>
      </c>
      <c r="J123" s="755">
        <f t="shared" si="2"/>
        <v>0</v>
      </c>
      <c r="K123" s="755"/>
      <c r="L123" s="760"/>
      <c r="M123" s="755">
        <f t="shared" si="3"/>
        <v>0</v>
      </c>
      <c r="N123" s="760"/>
      <c r="O123" s="755">
        <f t="shared" si="4"/>
        <v>0</v>
      </c>
      <c r="P123" s="755">
        <f t="shared" si="5"/>
        <v>0</v>
      </c>
      <c r="Q123" s="704"/>
    </row>
    <row r="124" spans="2:17">
      <c r="B124" s="357"/>
      <c r="C124" s="751" t="str">
        <f>IF(D96="","-",+C123+1)</f>
        <v>-</v>
      </c>
      <c r="D124" s="703">
        <f t="shared" si="6"/>
        <v>0</v>
      </c>
      <c r="E124" s="758">
        <f t="shared" si="7"/>
        <v>0</v>
      </c>
      <c r="F124" s="758">
        <f t="shared" si="0"/>
        <v>0</v>
      </c>
      <c r="G124" s="703">
        <f t="shared" si="1"/>
        <v>0</v>
      </c>
      <c r="H124" s="752">
        <f>+J97*G124+E124</f>
        <v>0</v>
      </c>
      <c r="I124" s="759">
        <f>+J98*G124+E124</f>
        <v>0</v>
      </c>
      <c r="J124" s="755">
        <f t="shared" si="2"/>
        <v>0</v>
      </c>
      <c r="K124" s="755"/>
      <c r="L124" s="760"/>
      <c r="M124" s="755">
        <f t="shared" si="3"/>
        <v>0</v>
      </c>
      <c r="N124" s="760"/>
      <c r="O124" s="755">
        <f t="shared" si="4"/>
        <v>0</v>
      </c>
      <c r="P124" s="755">
        <f t="shared" si="5"/>
        <v>0</v>
      </c>
      <c r="Q124" s="704"/>
    </row>
    <row r="125" spans="2:17">
      <c r="B125" s="357"/>
      <c r="C125" s="751" t="str">
        <f>IF(D96="","-",+C124+1)</f>
        <v>-</v>
      </c>
      <c r="D125" s="703">
        <f t="shared" si="6"/>
        <v>0</v>
      </c>
      <c r="E125" s="758">
        <f t="shared" si="7"/>
        <v>0</v>
      </c>
      <c r="F125" s="758">
        <f t="shared" si="0"/>
        <v>0</v>
      </c>
      <c r="G125" s="703">
        <f t="shared" si="1"/>
        <v>0</v>
      </c>
      <c r="H125" s="752">
        <f>+J97*G125+E125</f>
        <v>0</v>
      </c>
      <c r="I125" s="759">
        <f>+J98*G125+E125</f>
        <v>0</v>
      </c>
      <c r="J125" s="755">
        <f t="shared" si="2"/>
        <v>0</v>
      </c>
      <c r="K125" s="755"/>
      <c r="L125" s="760"/>
      <c r="M125" s="755">
        <f t="shared" si="3"/>
        <v>0</v>
      </c>
      <c r="N125" s="760"/>
      <c r="O125" s="755">
        <f t="shared" si="4"/>
        <v>0</v>
      </c>
      <c r="P125" s="755">
        <f t="shared" si="5"/>
        <v>0</v>
      </c>
      <c r="Q125" s="704"/>
    </row>
    <row r="126" spans="2:17">
      <c r="B126" s="357"/>
      <c r="C126" s="751" t="str">
        <f>IF(D96="","-",+C125+1)</f>
        <v>-</v>
      </c>
      <c r="D126" s="703">
        <f t="shared" si="6"/>
        <v>0</v>
      </c>
      <c r="E126" s="758">
        <f t="shared" si="7"/>
        <v>0</v>
      </c>
      <c r="F126" s="758">
        <f t="shared" si="0"/>
        <v>0</v>
      </c>
      <c r="G126" s="703">
        <f t="shared" si="1"/>
        <v>0</v>
      </c>
      <c r="H126" s="752">
        <f>+J97*G126+E126</f>
        <v>0</v>
      </c>
      <c r="I126" s="759">
        <f>+J98*G126+E126</f>
        <v>0</v>
      </c>
      <c r="J126" s="755">
        <f t="shared" si="2"/>
        <v>0</v>
      </c>
      <c r="K126" s="755"/>
      <c r="L126" s="760"/>
      <c r="M126" s="755">
        <f t="shared" si="3"/>
        <v>0</v>
      </c>
      <c r="N126" s="760"/>
      <c r="O126" s="755">
        <f t="shared" si="4"/>
        <v>0</v>
      </c>
      <c r="P126" s="755">
        <f t="shared" si="5"/>
        <v>0</v>
      </c>
      <c r="Q126" s="704"/>
    </row>
    <row r="127" spans="2:17">
      <c r="B127" s="357"/>
      <c r="C127" s="751" t="str">
        <f>IF(D96="","-",+C126+1)</f>
        <v>-</v>
      </c>
      <c r="D127" s="703">
        <f t="shared" si="6"/>
        <v>0</v>
      </c>
      <c r="E127" s="758">
        <f t="shared" si="7"/>
        <v>0</v>
      </c>
      <c r="F127" s="758">
        <f t="shared" si="0"/>
        <v>0</v>
      </c>
      <c r="G127" s="703">
        <f t="shared" si="1"/>
        <v>0</v>
      </c>
      <c r="H127" s="752">
        <f>+J97*G127+E127</f>
        <v>0</v>
      </c>
      <c r="I127" s="759">
        <f>+J98*G127+E127</f>
        <v>0</v>
      </c>
      <c r="J127" s="755">
        <f t="shared" si="2"/>
        <v>0</v>
      </c>
      <c r="K127" s="755"/>
      <c r="L127" s="760"/>
      <c r="M127" s="755">
        <f t="shared" si="3"/>
        <v>0</v>
      </c>
      <c r="N127" s="760"/>
      <c r="O127" s="755">
        <f t="shared" si="4"/>
        <v>0</v>
      </c>
      <c r="P127" s="755">
        <f t="shared" si="5"/>
        <v>0</v>
      </c>
      <c r="Q127" s="704"/>
    </row>
    <row r="128" spans="2:17">
      <c r="B128" s="357"/>
      <c r="C128" s="751" t="str">
        <f>IF(D96="","-",+C127+1)</f>
        <v>-</v>
      </c>
      <c r="D128" s="703">
        <f t="shared" si="6"/>
        <v>0</v>
      </c>
      <c r="E128" s="758">
        <f t="shared" si="7"/>
        <v>0</v>
      </c>
      <c r="F128" s="758">
        <f t="shared" si="0"/>
        <v>0</v>
      </c>
      <c r="G128" s="703">
        <f t="shared" si="1"/>
        <v>0</v>
      </c>
      <c r="H128" s="752">
        <f>+J97*G128+E128</f>
        <v>0</v>
      </c>
      <c r="I128" s="759">
        <f>+J98*G128+E128</f>
        <v>0</v>
      </c>
      <c r="J128" s="755">
        <f t="shared" si="2"/>
        <v>0</v>
      </c>
      <c r="K128" s="755"/>
      <c r="L128" s="760"/>
      <c r="M128" s="755">
        <f t="shared" si="3"/>
        <v>0</v>
      </c>
      <c r="N128" s="760"/>
      <c r="O128" s="755">
        <f t="shared" si="4"/>
        <v>0</v>
      </c>
      <c r="P128" s="755">
        <f t="shared" si="5"/>
        <v>0</v>
      </c>
      <c r="Q128" s="704"/>
    </row>
    <row r="129" spans="2:17">
      <c r="B129" s="357"/>
      <c r="C129" s="751" t="str">
        <f>IF(D96="","-",+C128+1)</f>
        <v>-</v>
      </c>
      <c r="D129" s="703">
        <f t="shared" si="6"/>
        <v>0</v>
      </c>
      <c r="E129" s="758">
        <f t="shared" si="7"/>
        <v>0</v>
      </c>
      <c r="F129" s="758">
        <f t="shared" si="0"/>
        <v>0</v>
      </c>
      <c r="G129" s="703">
        <f t="shared" si="1"/>
        <v>0</v>
      </c>
      <c r="H129" s="752">
        <f>+J97*G129+E129</f>
        <v>0</v>
      </c>
      <c r="I129" s="759">
        <f>+J98*G129+E129</f>
        <v>0</v>
      </c>
      <c r="J129" s="755">
        <f t="shared" si="2"/>
        <v>0</v>
      </c>
      <c r="K129" s="755"/>
      <c r="L129" s="760"/>
      <c r="M129" s="755">
        <f t="shared" si="3"/>
        <v>0</v>
      </c>
      <c r="N129" s="760"/>
      <c r="O129" s="755">
        <f t="shared" si="4"/>
        <v>0</v>
      </c>
      <c r="P129" s="755">
        <f t="shared" si="5"/>
        <v>0</v>
      </c>
      <c r="Q129" s="704"/>
    </row>
    <row r="130" spans="2:17">
      <c r="B130" s="357"/>
      <c r="C130" s="751" t="str">
        <f>IF(D96="","-",+C129+1)</f>
        <v>-</v>
      </c>
      <c r="D130" s="703">
        <f t="shared" si="6"/>
        <v>0</v>
      </c>
      <c r="E130" s="758">
        <f t="shared" si="7"/>
        <v>0</v>
      </c>
      <c r="F130" s="758">
        <f t="shared" si="0"/>
        <v>0</v>
      </c>
      <c r="G130" s="703">
        <f t="shared" si="1"/>
        <v>0</v>
      </c>
      <c r="H130" s="752">
        <f>+J97*G130+E130</f>
        <v>0</v>
      </c>
      <c r="I130" s="759">
        <f>+J98*G130+E130</f>
        <v>0</v>
      </c>
      <c r="J130" s="755">
        <f t="shared" si="2"/>
        <v>0</v>
      </c>
      <c r="K130" s="755"/>
      <c r="L130" s="760"/>
      <c r="M130" s="755">
        <f t="shared" si="3"/>
        <v>0</v>
      </c>
      <c r="N130" s="760"/>
      <c r="O130" s="755">
        <f t="shared" si="4"/>
        <v>0</v>
      </c>
      <c r="P130" s="755">
        <f t="shared" si="5"/>
        <v>0</v>
      </c>
      <c r="Q130" s="704"/>
    </row>
    <row r="131" spans="2:17">
      <c r="B131" s="357"/>
      <c r="C131" s="751" t="str">
        <f>IF(D96="","-",+C130+1)</f>
        <v>-</v>
      </c>
      <c r="D131" s="703">
        <f t="shared" si="6"/>
        <v>0</v>
      </c>
      <c r="E131" s="758">
        <f t="shared" si="7"/>
        <v>0</v>
      </c>
      <c r="F131" s="758">
        <f t="shared" si="0"/>
        <v>0</v>
      </c>
      <c r="G131" s="703">
        <f t="shared" si="1"/>
        <v>0</v>
      </c>
      <c r="H131" s="752">
        <f>+J97*G131+E131</f>
        <v>0</v>
      </c>
      <c r="I131" s="759">
        <f>+J98*G131+E131</f>
        <v>0</v>
      </c>
      <c r="J131" s="755">
        <f t="shared" si="2"/>
        <v>0</v>
      </c>
      <c r="K131" s="755"/>
      <c r="L131" s="760"/>
      <c r="M131" s="755">
        <f t="shared" si="3"/>
        <v>0</v>
      </c>
      <c r="N131" s="760"/>
      <c r="O131" s="755">
        <f t="shared" si="4"/>
        <v>0</v>
      </c>
      <c r="P131" s="755">
        <f t="shared" si="5"/>
        <v>0</v>
      </c>
      <c r="Q131" s="704"/>
    </row>
    <row r="132" spans="2:17">
      <c r="B132" s="357"/>
      <c r="C132" s="751" t="str">
        <f>IF(D96="","-",+C131+1)</f>
        <v>-</v>
      </c>
      <c r="D132" s="703">
        <f t="shared" si="6"/>
        <v>0</v>
      </c>
      <c r="E132" s="758">
        <f t="shared" si="7"/>
        <v>0</v>
      </c>
      <c r="F132" s="758">
        <f t="shared" si="0"/>
        <v>0</v>
      </c>
      <c r="G132" s="703">
        <f t="shared" si="1"/>
        <v>0</v>
      </c>
      <c r="H132" s="752">
        <f>+J97*G132+E132</f>
        <v>0</v>
      </c>
      <c r="I132" s="759">
        <f>+J98*G132+E132</f>
        <v>0</v>
      </c>
      <c r="J132" s="755">
        <f t="shared" si="2"/>
        <v>0</v>
      </c>
      <c r="K132" s="755"/>
      <c r="L132" s="760"/>
      <c r="M132" s="755">
        <f t="shared" si="3"/>
        <v>0</v>
      </c>
      <c r="N132" s="760"/>
      <c r="O132" s="755">
        <f t="shared" si="4"/>
        <v>0</v>
      </c>
      <c r="P132" s="755">
        <f t="shared" si="5"/>
        <v>0</v>
      </c>
      <c r="Q132" s="704"/>
    </row>
    <row r="133" spans="2:17">
      <c r="B133" s="357"/>
      <c r="C133" s="751" t="str">
        <f>IF(D96="","-",+C132+1)</f>
        <v>-</v>
      </c>
      <c r="D133" s="703">
        <f t="shared" si="6"/>
        <v>0</v>
      </c>
      <c r="E133" s="758">
        <f t="shared" si="7"/>
        <v>0</v>
      </c>
      <c r="F133" s="758">
        <f t="shared" si="0"/>
        <v>0</v>
      </c>
      <c r="G133" s="703">
        <f t="shared" si="1"/>
        <v>0</v>
      </c>
      <c r="H133" s="752">
        <f>+J97*G133+E133</f>
        <v>0</v>
      </c>
      <c r="I133" s="759">
        <f>+J98*G133+E133</f>
        <v>0</v>
      </c>
      <c r="J133" s="755">
        <f t="shared" si="2"/>
        <v>0</v>
      </c>
      <c r="K133" s="755"/>
      <c r="L133" s="760"/>
      <c r="M133" s="755">
        <f t="shared" si="3"/>
        <v>0</v>
      </c>
      <c r="N133" s="760"/>
      <c r="O133" s="755">
        <f t="shared" si="4"/>
        <v>0</v>
      </c>
      <c r="P133" s="755">
        <f t="shared" si="5"/>
        <v>0</v>
      </c>
      <c r="Q133" s="704"/>
    </row>
    <row r="134" spans="2:17">
      <c r="B134" s="357"/>
      <c r="C134" s="751" t="str">
        <f>IF(D96="","-",+C133+1)</f>
        <v>-</v>
      </c>
      <c r="D134" s="703">
        <f t="shared" si="6"/>
        <v>0</v>
      </c>
      <c r="E134" s="758">
        <f t="shared" si="7"/>
        <v>0</v>
      </c>
      <c r="F134" s="758">
        <f t="shared" ref="F134:F161" si="8">+D134-E134</f>
        <v>0</v>
      </c>
      <c r="G134" s="703">
        <f t="shared" ref="G134:G161" si="9">+(D134+F134)/2</f>
        <v>0</v>
      </c>
      <c r="H134" s="752">
        <f>+J97*G134+E134</f>
        <v>0</v>
      </c>
      <c r="I134" s="759">
        <f>+J98*G134+E134</f>
        <v>0</v>
      </c>
      <c r="J134" s="755">
        <f t="shared" ref="J134:J161" si="10">+I134-H134</f>
        <v>0</v>
      </c>
      <c r="K134" s="755"/>
      <c r="L134" s="760"/>
      <c r="M134" s="755">
        <f t="shared" ref="M134:M161" si="11">IF(L134&lt;&gt;0,+H134-L134,0)</f>
        <v>0</v>
      </c>
      <c r="N134" s="760"/>
      <c r="O134" s="755">
        <f t="shared" ref="O134:O161" si="12">IF(N134&lt;&gt;0,+I134-N134,0)</f>
        <v>0</v>
      </c>
      <c r="P134" s="755">
        <f t="shared" ref="P134:P161" si="13">+O134-M134</f>
        <v>0</v>
      </c>
      <c r="Q134" s="704"/>
    </row>
    <row r="135" spans="2:17">
      <c r="B135" s="357"/>
      <c r="C135" s="751" t="str">
        <f>IF(D96="","-",+C134+1)</f>
        <v>-</v>
      </c>
      <c r="D135" s="703">
        <f t="shared" ref="D135:D161" si="14">F134</f>
        <v>0</v>
      </c>
      <c r="E135" s="758">
        <f t="shared" ref="E135:E161" si="15">IF(D135&gt;$J$99,$J$99,D135)</f>
        <v>0</v>
      </c>
      <c r="F135" s="758">
        <f t="shared" si="8"/>
        <v>0</v>
      </c>
      <c r="G135" s="703">
        <f t="shared" si="9"/>
        <v>0</v>
      </c>
      <c r="H135" s="752">
        <f>+J97*G135+E135</f>
        <v>0</v>
      </c>
      <c r="I135" s="759">
        <f>+J98*G135+E135</f>
        <v>0</v>
      </c>
      <c r="J135" s="755">
        <f t="shared" si="10"/>
        <v>0</v>
      </c>
      <c r="K135" s="755"/>
      <c r="L135" s="760"/>
      <c r="M135" s="755">
        <f t="shared" si="11"/>
        <v>0</v>
      </c>
      <c r="N135" s="760"/>
      <c r="O135" s="755">
        <f t="shared" si="12"/>
        <v>0</v>
      </c>
      <c r="P135" s="755">
        <f t="shared" si="13"/>
        <v>0</v>
      </c>
      <c r="Q135" s="704"/>
    </row>
    <row r="136" spans="2:17">
      <c r="B136" s="357"/>
      <c r="C136" s="751" t="str">
        <f>IF(D96="","-",+C135+1)</f>
        <v>-</v>
      </c>
      <c r="D136" s="703">
        <f t="shared" si="14"/>
        <v>0</v>
      </c>
      <c r="E136" s="758">
        <f t="shared" si="15"/>
        <v>0</v>
      </c>
      <c r="F136" s="758">
        <f t="shared" si="8"/>
        <v>0</v>
      </c>
      <c r="G136" s="703">
        <f t="shared" si="9"/>
        <v>0</v>
      </c>
      <c r="H136" s="752">
        <f>+J97*G136+E136</f>
        <v>0</v>
      </c>
      <c r="I136" s="759">
        <f>+J98*G136+E136</f>
        <v>0</v>
      </c>
      <c r="J136" s="755">
        <f t="shared" si="10"/>
        <v>0</v>
      </c>
      <c r="K136" s="755"/>
      <c r="L136" s="760"/>
      <c r="M136" s="755">
        <f t="shared" si="11"/>
        <v>0</v>
      </c>
      <c r="N136" s="760"/>
      <c r="O136" s="755">
        <f t="shared" si="12"/>
        <v>0</v>
      </c>
      <c r="P136" s="755">
        <f t="shared" si="13"/>
        <v>0</v>
      </c>
      <c r="Q136" s="704"/>
    </row>
    <row r="137" spans="2:17">
      <c r="B137" s="357"/>
      <c r="C137" s="751" t="str">
        <f>IF(D96="","-",+C136+1)</f>
        <v>-</v>
      </c>
      <c r="D137" s="703">
        <f t="shared" si="14"/>
        <v>0</v>
      </c>
      <c r="E137" s="758">
        <f t="shared" si="15"/>
        <v>0</v>
      </c>
      <c r="F137" s="758">
        <f t="shared" si="8"/>
        <v>0</v>
      </c>
      <c r="G137" s="703">
        <f t="shared" si="9"/>
        <v>0</v>
      </c>
      <c r="H137" s="752">
        <f>+J97*G137+E137</f>
        <v>0</v>
      </c>
      <c r="I137" s="759">
        <f>+J98*G137+E137</f>
        <v>0</v>
      </c>
      <c r="J137" s="755">
        <f t="shared" si="10"/>
        <v>0</v>
      </c>
      <c r="K137" s="755"/>
      <c r="L137" s="760"/>
      <c r="M137" s="755">
        <f t="shared" si="11"/>
        <v>0</v>
      </c>
      <c r="N137" s="760"/>
      <c r="O137" s="755">
        <f t="shared" si="12"/>
        <v>0</v>
      </c>
      <c r="P137" s="755">
        <f t="shared" si="13"/>
        <v>0</v>
      </c>
      <c r="Q137" s="704"/>
    </row>
    <row r="138" spans="2:17">
      <c r="B138" s="357"/>
      <c r="C138" s="751" t="str">
        <f>IF(D96="","-",+C137+1)</f>
        <v>-</v>
      </c>
      <c r="D138" s="703">
        <f t="shared" si="14"/>
        <v>0</v>
      </c>
      <c r="E138" s="758">
        <f t="shared" si="15"/>
        <v>0</v>
      </c>
      <c r="F138" s="758">
        <f t="shared" si="8"/>
        <v>0</v>
      </c>
      <c r="G138" s="703">
        <f t="shared" si="9"/>
        <v>0</v>
      </c>
      <c r="H138" s="752">
        <f>+J97*G138+E138</f>
        <v>0</v>
      </c>
      <c r="I138" s="759">
        <f>+J98*G138+E138</f>
        <v>0</v>
      </c>
      <c r="J138" s="755">
        <f t="shared" si="10"/>
        <v>0</v>
      </c>
      <c r="K138" s="755"/>
      <c r="L138" s="760"/>
      <c r="M138" s="755">
        <f t="shared" si="11"/>
        <v>0</v>
      </c>
      <c r="N138" s="760"/>
      <c r="O138" s="755">
        <f t="shared" si="12"/>
        <v>0</v>
      </c>
      <c r="P138" s="755">
        <f t="shared" si="13"/>
        <v>0</v>
      </c>
      <c r="Q138" s="704"/>
    </row>
    <row r="139" spans="2:17">
      <c r="B139" s="357"/>
      <c r="C139" s="751" t="str">
        <f>IF(D96="","-",+C138+1)</f>
        <v>-</v>
      </c>
      <c r="D139" s="703">
        <f t="shared" si="14"/>
        <v>0</v>
      </c>
      <c r="E139" s="758">
        <f t="shared" si="15"/>
        <v>0</v>
      </c>
      <c r="F139" s="758">
        <f t="shared" si="8"/>
        <v>0</v>
      </c>
      <c r="G139" s="703">
        <f t="shared" si="9"/>
        <v>0</v>
      </c>
      <c r="H139" s="752">
        <f>+J97*G139+E139</f>
        <v>0</v>
      </c>
      <c r="I139" s="759">
        <f>+J98*G139+E139</f>
        <v>0</v>
      </c>
      <c r="J139" s="755">
        <f t="shared" si="10"/>
        <v>0</v>
      </c>
      <c r="K139" s="755"/>
      <c r="L139" s="760"/>
      <c r="M139" s="755">
        <f t="shared" si="11"/>
        <v>0</v>
      </c>
      <c r="N139" s="760"/>
      <c r="O139" s="755">
        <f t="shared" si="12"/>
        <v>0</v>
      </c>
      <c r="P139" s="755">
        <f t="shared" si="13"/>
        <v>0</v>
      </c>
      <c r="Q139" s="704"/>
    </row>
    <row r="140" spans="2:17">
      <c r="B140" s="357"/>
      <c r="C140" s="751" t="str">
        <f>IF(D96="","-",+C139+1)</f>
        <v>-</v>
      </c>
      <c r="D140" s="703">
        <f t="shared" si="14"/>
        <v>0</v>
      </c>
      <c r="E140" s="758">
        <f t="shared" si="15"/>
        <v>0</v>
      </c>
      <c r="F140" s="758">
        <f t="shared" si="8"/>
        <v>0</v>
      </c>
      <c r="G140" s="703">
        <f t="shared" si="9"/>
        <v>0</v>
      </c>
      <c r="H140" s="752">
        <f>+J97*G140+E140</f>
        <v>0</v>
      </c>
      <c r="I140" s="759">
        <f>+J98*G140+E140</f>
        <v>0</v>
      </c>
      <c r="J140" s="755">
        <f t="shared" si="10"/>
        <v>0</v>
      </c>
      <c r="K140" s="755"/>
      <c r="L140" s="760"/>
      <c r="M140" s="755">
        <f t="shared" si="11"/>
        <v>0</v>
      </c>
      <c r="N140" s="760"/>
      <c r="O140" s="755">
        <f t="shared" si="12"/>
        <v>0</v>
      </c>
      <c r="P140" s="755">
        <f t="shared" si="13"/>
        <v>0</v>
      </c>
      <c r="Q140" s="704"/>
    </row>
    <row r="141" spans="2:17">
      <c r="B141" s="357"/>
      <c r="C141" s="751" t="str">
        <f>IF(D96="","-",+C140+1)</f>
        <v>-</v>
      </c>
      <c r="D141" s="703">
        <f t="shared" si="14"/>
        <v>0</v>
      </c>
      <c r="E141" s="758">
        <f t="shared" si="15"/>
        <v>0</v>
      </c>
      <c r="F141" s="758">
        <f t="shared" si="8"/>
        <v>0</v>
      </c>
      <c r="G141" s="703">
        <f t="shared" si="9"/>
        <v>0</v>
      </c>
      <c r="H141" s="752">
        <f>+J97*G141+E141</f>
        <v>0</v>
      </c>
      <c r="I141" s="759">
        <f>+J98*G141+E141</f>
        <v>0</v>
      </c>
      <c r="J141" s="755">
        <f t="shared" si="10"/>
        <v>0</v>
      </c>
      <c r="K141" s="755"/>
      <c r="L141" s="760"/>
      <c r="M141" s="755">
        <f t="shared" si="11"/>
        <v>0</v>
      </c>
      <c r="N141" s="760"/>
      <c r="O141" s="755">
        <f t="shared" si="12"/>
        <v>0</v>
      </c>
      <c r="P141" s="755">
        <f t="shared" si="13"/>
        <v>0</v>
      </c>
      <c r="Q141" s="704"/>
    </row>
    <row r="142" spans="2:17">
      <c r="B142" s="357"/>
      <c r="C142" s="751" t="str">
        <f>IF(D96="","-",+C141+1)</f>
        <v>-</v>
      </c>
      <c r="D142" s="703">
        <f t="shared" si="14"/>
        <v>0</v>
      </c>
      <c r="E142" s="758">
        <f t="shared" si="15"/>
        <v>0</v>
      </c>
      <c r="F142" s="758">
        <f t="shared" si="8"/>
        <v>0</v>
      </c>
      <c r="G142" s="703">
        <f t="shared" si="9"/>
        <v>0</v>
      </c>
      <c r="H142" s="752">
        <f>+J97*G142+E142</f>
        <v>0</v>
      </c>
      <c r="I142" s="759">
        <f>+J98*G142+E142</f>
        <v>0</v>
      </c>
      <c r="J142" s="755">
        <f t="shared" si="10"/>
        <v>0</v>
      </c>
      <c r="K142" s="755"/>
      <c r="L142" s="760"/>
      <c r="M142" s="755">
        <f t="shared" si="11"/>
        <v>0</v>
      </c>
      <c r="N142" s="760"/>
      <c r="O142" s="755">
        <f t="shared" si="12"/>
        <v>0</v>
      </c>
      <c r="P142" s="755">
        <f t="shared" si="13"/>
        <v>0</v>
      </c>
      <c r="Q142" s="704"/>
    </row>
    <row r="143" spans="2:17">
      <c r="B143" s="357"/>
      <c r="C143" s="751" t="str">
        <f>IF(D96="","-",+C142+1)</f>
        <v>-</v>
      </c>
      <c r="D143" s="703">
        <f t="shared" si="14"/>
        <v>0</v>
      </c>
      <c r="E143" s="758">
        <f t="shared" si="15"/>
        <v>0</v>
      </c>
      <c r="F143" s="758">
        <f t="shared" si="8"/>
        <v>0</v>
      </c>
      <c r="G143" s="703">
        <f t="shared" si="9"/>
        <v>0</v>
      </c>
      <c r="H143" s="752">
        <f>+J97*G143+E143</f>
        <v>0</v>
      </c>
      <c r="I143" s="759">
        <f>+J98*G143+E143</f>
        <v>0</v>
      </c>
      <c r="J143" s="755">
        <f t="shared" si="10"/>
        <v>0</v>
      </c>
      <c r="K143" s="755"/>
      <c r="L143" s="760"/>
      <c r="M143" s="755">
        <f t="shared" si="11"/>
        <v>0</v>
      </c>
      <c r="N143" s="760"/>
      <c r="O143" s="755">
        <f t="shared" si="12"/>
        <v>0</v>
      </c>
      <c r="P143" s="755">
        <f t="shared" si="13"/>
        <v>0</v>
      </c>
      <c r="Q143" s="704"/>
    </row>
    <row r="144" spans="2:17">
      <c r="B144" s="357"/>
      <c r="C144" s="751" t="str">
        <f>IF(D96="","-",+C143+1)</f>
        <v>-</v>
      </c>
      <c r="D144" s="703">
        <f t="shared" si="14"/>
        <v>0</v>
      </c>
      <c r="E144" s="758">
        <f t="shared" si="15"/>
        <v>0</v>
      </c>
      <c r="F144" s="758">
        <f t="shared" si="8"/>
        <v>0</v>
      </c>
      <c r="G144" s="703">
        <f t="shared" si="9"/>
        <v>0</v>
      </c>
      <c r="H144" s="752">
        <f>+J97*G144+E144</f>
        <v>0</v>
      </c>
      <c r="I144" s="759">
        <f>+J98*G144+E144</f>
        <v>0</v>
      </c>
      <c r="J144" s="755">
        <f t="shared" si="10"/>
        <v>0</v>
      </c>
      <c r="K144" s="755"/>
      <c r="L144" s="760"/>
      <c r="M144" s="755">
        <f t="shared" si="11"/>
        <v>0</v>
      </c>
      <c r="N144" s="760"/>
      <c r="O144" s="755">
        <f t="shared" si="12"/>
        <v>0</v>
      </c>
      <c r="P144" s="755">
        <f t="shared" si="13"/>
        <v>0</v>
      </c>
      <c r="Q144" s="704"/>
    </row>
    <row r="145" spans="2:17">
      <c r="B145" s="357"/>
      <c r="C145" s="751" t="str">
        <f>IF(D96="","-",+C144+1)</f>
        <v>-</v>
      </c>
      <c r="D145" s="703">
        <f t="shared" si="14"/>
        <v>0</v>
      </c>
      <c r="E145" s="758">
        <f t="shared" si="15"/>
        <v>0</v>
      </c>
      <c r="F145" s="758">
        <f t="shared" si="8"/>
        <v>0</v>
      </c>
      <c r="G145" s="703">
        <f t="shared" si="9"/>
        <v>0</v>
      </c>
      <c r="H145" s="752">
        <f>+J97*G145+E145</f>
        <v>0</v>
      </c>
      <c r="I145" s="759">
        <f>+J98*G145+E145</f>
        <v>0</v>
      </c>
      <c r="J145" s="755">
        <f t="shared" si="10"/>
        <v>0</v>
      </c>
      <c r="K145" s="755"/>
      <c r="L145" s="760"/>
      <c r="M145" s="755">
        <f t="shared" si="11"/>
        <v>0</v>
      </c>
      <c r="N145" s="760"/>
      <c r="O145" s="755">
        <f t="shared" si="12"/>
        <v>0</v>
      </c>
      <c r="P145" s="755">
        <f t="shared" si="13"/>
        <v>0</v>
      </c>
      <c r="Q145" s="704"/>
    </row>
    <row r="146" spans="2:17">
      <c r="B146" s="357"/>
      <c r="C146" s="751" t="str">
        <f>IF(D96="","-",+C145+1)</f>
        <v>-</v>
      </c>
      <c r="D146" s="703">
        <f t="shared" si="14"/>
        <v>0</v>
      </c>
      <c r="E146" s="758">
        <f t="shared" si="15"/>
        <v>0</v>
      </c>
      <c r="F146" s="758">
        <f t="shared" si="8"/>
        <v>0</v>
      </c>
      <c r="G146" s="703">
        <f t="shared" si="9"/>
        <v>0</v>
      </c>
      <c r="H146" s="752">
        <f>+J97*G146+E146</f>
        <v>0</v>
      </c>
      <c r="I146" s="759">
        <f>+J98*G146+E146</f>
        <v>0</v>
      </c>
      <c r="J146" s="755">
        <f t="shared" si="10"/>
        <v>0</v>
      </c>
      <c r="K146" s="755"/>
      <c r="L146" s="760"/>
      <c r="M146" s="755">
        <f t="shared" si="11"/>
        <v>0</v>
      </c>
      <c r="N146" s="760"/>
      <c r="O146" s="755">
        <f t="shared" si="12"/>
        <v>0</v>
      </c>
      <c r="P146" s="755">
        <f t="shared" si="13"/>
        <v>0</v>
      </c>
      <c r="Q146" s="704"/>
    </row>
    <row r="147" spans="2:17">
      <c r="B147" s="357"/>
      <c r="C147" s="751" t="str">
        <f>IF(D96="","-",+C146+1)</f>
        <v>-</v>
      </c>
      <c r="D147" s="703">
        <f t="shared" si="14"/>
        <v>0</v>
      </c>
      <c r="E147" s="758">
        <f t="shared" si="15"/>
        <v>0</v>
      </c>
      <c r="F147" s="758">
        <f t="shared" si="8"/>
        <v>0</v>
      </c>
      <c r="G147" s="703">
        <f t="shared" si="9"/>
        <v>0</v>
      </c>
      <c r="H147" s="752">
        <f>+J97*G147+E147</f>
        <v>0</v>
      </c>
      <c r="I147" s="759">
        <f>+J98*G147+E147</f>
        <v>0</v>
      </c>
      <c r="J147" s="755">
        <f t="shared" si="10"/>
        <v>0</v>
      </c>
      <c r="K147" s="755"/>
      <c r="L147" s="760"/>
      <c r="M147" s="755">
        <f t="shared" si="11"/>
        <v>0</v>
      </c>
      <c r="N147" s="760"/>
      <c r="O147" s="755">
        <f t="shared" si="12"/>
        <v>0</v>
      </c>
      <c r="P147" s="755">
        <f t="shared" si="13"/>
        <v>0</v>
      </c>
      <c r="Q147" s="704"/>
    </row>
    <row r="148" spans="2:17">
      <c r="B148" s="357"/>
      <c r="C148" s="751" t="str">
        <f>IF(D96="","-",+C147+1)</f>
        <v>-</v>
      </c>
      <c r="D148" s="703">
        <f t="shared" si="14"/>
        <v>0</v>
      </c>
      <c r="E148" s="758">
        <f t="shared" si="15"/>
        <v>0</v>
      </c>
      <c r="F148" s="758">
        <f t="shared" si="8"/>
        <v>0</v>
      </c>
      <c r="G148" s="703">
        <f t="shared" si="9"/>
        <v>0</v>
      </c>
      <c r="H148" s="752">
        <f>+J97*G148+E148</f>
        <v>0</v>
      </c>
      <c r="I148" s="759">
        <f>+J98*G148+E148</f>
        <v>0</v>
      </c>
      <c r="J148" s="755">
        <f t="shared" si="10"/>
        <v>0</v>
      </c>
      <c r="K148" s="755"/>
      <c r="L148" s="760"/>
      <c r="M148" s="755">
        <f t="shared" si="11"/>
        <v>0</v>
      </c>
      <c r="N148" s="760"/>
      <c r="O148" s="755">
        <f t="shared" si="12"/>
        <v>0</v>
      </c>
      <c r="P148" s="755">
        <f t="shared" si="13"/>
        <v>0</v>
      </c>
      <c r="Q148" s="704"/>
    </row>
    <row r="149" spans="2:17">
      <c r="B149" s="357"/>
      <c r="C149" s="751" t="str">
        <f>IF(D96="","-",+C148+1)</f>
        <v>-</v>
      </c>
      <c r="D149" s="703">
        <f t="shared" si="14"/>
        <v>0</v>
      </c>
      <c r="E149" s="758">
        <f t="shared" si="15"/>
        <v>0</v>
      </c>
      <c r="F149" s="758">
        <f t="shared" si="8"/>
        <v>0</v>
      </c>
      <c r="G149" s="703">
        <f t="shared" si="9"/>
        <v>0</v>
      </c>
      <c r="H149" s="752">
        <f>+J97*G149+E149</f>
        <v>0</v>
      </c>
      <c r="I149" s="759">
        <f>+J98*G149+E149</f>
        <v>0</v>
      </c>
      <c r="J149" s="755">
        <f t="shared" si="10"/>
        <v>0</v>
      </c>
      <c r="K149" s="755"/>
      <c r="L149" s="760"/>
      <c r="M149" s="755">
        <f t="shared" si="11"/>
        <v>0</v>
      </c>
      <c r="N149" s="760"/>
      <c r="O149" s="755">
        <f t="shared" si="12"/>
        <v>0</v>
      </c>
      <c r="P149" s="755">
        <f t="shared" si="13"/>
        <v>0</v>
      </c>
      <c r="Q149" s="704"/>
    </row>
    <row r="150" spans="2:17">
      <c r="B150" s="357"/>
      <c r="C150" s="751" t="str">
        <f>IF(D96="","-",+C149+1)</f>
        <v>-</v>
      </c>
      <c r="D150" s="703">
        <f t="shared" si="14"/>
        <v>0</v>
      </c>
      <c r="E150" s="758">
        <f t="shared" si="15"/>
        <v>0</v>
      </c>
      <c r="F150" s="758">
        <f t="shared" si="8"/>
        <v>0</v>
      </c>
      <c r="G150" s="703">
        <f t="shared" si="9"/>
        <v>0</v>
      </c>
      <c r="H150" s="752">
        <f>+J97*G150+E150</f>
        <v>0</v>
      </c>
      <c r="I150" s="759">
        <f>+J98*G150+E150</f>
        <v>0</v>
      </c>
      <c r="J150" s="755">
        <f t="shared" si="10"/>
        <v>0</v>
      </c>
      <c r="K150" s="755"/>
      <c r="L150" s="760"/>
      <c r="M150" s="755">
        <f t="shared" si="11"/>
        <v>0</v>
      </c>
      <c r="N150" s="760"/>
      <c r="O150" s="755">
        <f t="shared" si="12"/>
        <v>0</v>
      </c>
      <c r="P150" s="755">
        <f t="shared" si="13"/>
        <v>0</v>
      </c>
      <c r="Q150" s="704"/>
    </row>
    <row r="151" spans="2:17">
      <c r="B151" s="357"/>
      <c r="C151" s="751" t="str">
        <f>IF(D96="","-",+C150+1)</f>
        <v>-</v>
      </c>
      <c r="D151" s="703">
        <f t="shared" si="14"/>
        <v>0</v>
      </c>
      <c r="E151" s="758">
        <f t="shared" si="15"/>
        <v>0</v>
      </c>
      <c r="F151" s="758">
        <f t="shared" si="8"/>
        <v>0</v>
      </c>
      <c r="G151" s="703">
        <f t="shared" si="9"/>
        <v>0</v>
      </c>
      <c r="H151" s="752">
        <f>+J97*G151+E151</f>
        <v>0</v>
      </c>
      <c r="I151" s="759">
        <f>+J98*G151+E151</f>
        <v>0</v>
      </c>
      <c r="J151" s="755">
        <f t="shared" si="10"/>
        <v>0</v>
      </c>
      <c r="K151" s="755"/>
      <c r="L151" s="760"/>
      <c r="M151" s="755">
        <f t="shared" si="11"/>
        <v>0</v>
      </c>
      <c r="N151" s="760"/>
      <c r="O151" s="755">
        <f t="shared" si="12"/>
        <v>0</v>
      </c>
      <c r="P151" s="755">
        <f t="shared" si="13"/>
        <v>0</v>
      </c>
      <c r="Q151" s="704"/>
    </row>
    <row r="152" spans="2:17">
      <c r="B152" s="357"/>
      <c r="C152" s="751" t="str">
        <f>IF(D96="","-",+C151+1)</f>
        <v>-</v>
      </c>
      <c r="D152" s="703">
        <f t="shared" si="14"/>
        <v>0</v>
      </c>
      <c r="E152" s="758">
        <f t="shared" si="15"/>
        <v>0</v>
      </c>
      <c r="F152" s="758">
        <f t="shared" si="8"/>
        <v>0</v>
      </c>
      <c r="G152" s="703">
        <f t="shared" si="9"/>
        <v>0</v>
      </c>
      <c r="H152" s="752">
        <f>+J97*G152+E152</f>
        <v>0</v>
      </c>
      <c r="I152" s="759">
        <f>+J98*G152+E152</f>
        <v>0</v>
      </c>
      <c r="J152" s="755">
        <f t="shared" si="10"/>
        <v>0</v>
      </c>
      <c r="K152" s="755"/>
      <c r="L152" s="760"/>
      <c r="M152" s="755">
        <f t="shared" si="11"/>
        <v>0</v>
      </c>
      <c r="N152" s="760"/>
      <c r="O152" s="755">
        <f t="shared" si="12"/>
        <v>0</v>
      </c>
      <c r="P152" s="755">
        <f t="shared" si="13"/>
        <v>0</v>
      </c>
      <c r="Q152" s="704"/>
    </row>
    <row r="153" spans="2:17">
      <c r="B153" s="357"/>
      <c r="C153" s="751" t="str">
        <f>IF(D96="","-",+C152+1)</f>
        <v>-</v>
      </c>
      <c r="D153" s="703">
        <f t="shared" si="14"/>
        <v>0</v>
      </c>
      <c r="E153" s="758">
        <f t="shared" si="15"/>
        <v>0</v>
      </c>
      <c r="F153" s="758">
        <f t="shared" si="8"/>
        <v>0</v>
      </c>
      <c r="G153" s="703">
        <f t="shared" si="9"/>
        <v>0</v>
      </c>
      <c r="H153" s="752">
        <f>+J97*G153+E153</f>
        <v>0</v>
      </c>
      <c r="I153" s="759">
        <f>+J98*G153+E153</f>
        <v>0</v>
      </c>
      <c r="J153" s="755">
        <f t="shared" si="10"/>
        <v>0</v>
      </c>
      <c r="K153" s="755"/>
      <c r="L153" s="760"/>
      <c r="M153" s="755">
        <f t="shared" si="11"/>
        <v>0</v>
      </c>
      <c r="N153" s="760"/>
      <c r="O153" s="755">
        <f t="shared" si="12"/>
        <v>0</v>
      </c>
      <c r="P153" s="755">
        <f t="shared" si="13"/>
        <v>0</v>
      </c>
      <c r="Q153" s="704"/>
    </row>
    <row r="154" spans="2:17">
      <c r="B154" s="357"/>
      <c r="C154" s="751" t="str">
        <f>IF(D96="","-",+C153+1)</f>
        <v>-</v>
      </c>
      <c r="D154" s="703">
        <f t="shared" si="14"/>
        <v>0</v>
      </c>
      <c r="E154" s="758">
        <f t="shared" si="15"/>
        <v>0</v>
      </c>
      <c r="F154" s="758">
        <f t="shared" si="8"/>
        <v>0</v>
      </c>
      <c r="G154" s="703">
        <f t="shared" si="9"/>
        <v>0</v>
      </c>
      <c r="H154" s="752">
        <f>+J97*G154+E154</f>
        <v>0</v>
      </c>
      <c r="I154" s="759">
        <f>+J98*G154+E154</f>
        <v>0</v>
      </c>
      <c r="J154" s="755">
        <f t="shared" si="10"/>
        <v>0</v>
      </c>
      <c r="K154" s="755"/>
      <c r="L154" s="760"/>
      <c r="M154" s="755">
        <f t="shared" si="11"/>
        <v>0</v>
      </c>
      <c r="N154" s="760"/>
      <c r="O154" s="755">
        <f t="shared" si="12"/>
        <v>0</v>
      </c>
      <c r="P154" s="755">
        <f t="shared" si="13"/>
        <v>0</v>
      </c>
      <c r="Q154" s="704"/>
    </row>
    <row r="155" spans="2:17">
      <c r="B155" s="357"/>
      <c r="C155" s="751" t="str">
        <f>IF(D96="","-",+C154+1)</f>
        <v>-</v>
      </c>
      <c r="D155" s="703">
        <f t="shared" si="14"/>
        <v>0</v>
      </c>
      <c r="E155" s="758">
        <f t="shared" si="15"/>
        <v>0</v>
      </c>
      <c r="F155" s="758">
        <f t="shared" si="8"/>
        <v>0</v>
      </c>
      <c r="G155" s="703">
        <f t="shared" si="9"/>
        <v>0</v>
      </c>
      <c r="H155" s="752">
        <f>+J97*G155+E155</f>
        <v>0</v>
      </c>
      <c r="I155" s="759">
        <f>+J98*G155+E155</f>
        <v>0</v>
      </c>
      <c r="J155" s="755">
        <f t="shared" si="10"/>
        <v>0</v>
      </c>
      <c r="K155" s="755"/>
      <c r="L155" s="760"/>
      <c r="M155" s="755">
        <f t="shared" si="11"/>
        <v>0</v>
      </c>
      <c r="N155" s="760"/>
      <c r="O155" s="755">
        <f t="shared" si="12"/>
        <v>0</v>
      </c>
      <c r="P155" s="755">
        <f t="shared" si="13"/>
        <v>0</v>
      </c>
      <c r="Q155" s="704"/>
    </row>
    <row r="156" spans="2:17">
      <c r="B156" s="357"/>
      <c r="C156" s="751" t="str">
        <f>IF(D96="","-",+C155+1)</f>
        <v>-</v>
      </c>
      <c r="D156" s="703">
        <f t="shared" si="14"/>
        <v>0</v>
      </c>
      <c r="E156" s="758">
        <f t="shared" si="15"/>
        <v>0</v>
      </c>
      <c r="F156" s="758">
        <f t="shared" si="8"/>
        <v>0</v>
      </c>
      <c r="G156" s="703">
        <f t="shared" si="9"/>
        <v>0</v>
      </c>
      <c r="H156" s="752">
        <f>+J97*G156+E156</f>
        <v>0</v>
      </c>
      <c r="I156" s="759">
        <f>+J98*G156+E156</f>
        <v>0</v>
      </c>
      <c r="J156" s="755">
        <f t="shared" si="10"/>
        <v>0</v>
      </c>
      <c r="K156" s="755"/>
      <c r="L156" s="760"/>
      <c r="M156" s="755">
        <f t="shared" si="11"/>
        <v>0</v>
      </c>
      <c r="N156" s="760"/>
      <c r="O156" s="755">
        <f t="shared" si="12"/>
        <v>0</v>
      </c>
      <c r="P156" s="755">
        <f t="shared" si="13"/>
        <v>0</v>
      </c>
      <c r="Q156" s="704"/>
    </row>
    <row r="157" spans="2:17">
      <c r="B157" s="357"/>
      <c r="C157" s="751" t="str">
        <f>IF(D96="","-",+C156+1)</f>
        <v>-</v>
      </c>
      <c r="D157" s="703">
        <f t="shared" si="14"/>
        <v>0</v>
      </c>
      <c r="E157" s="758">
        <f t="shared" si="15"/>
        <v>0</v>
      </c>
      <c r="F157" s="758">
        <f t="shared" si="8"/>
        <v>0</v>
      </c>
      <c r="G157" s="703">
        <f t="shared" si="9"/>
        <v>0</v>
      </c>
      <c r="H157" s="752">
        <f>+J97*G157+E157</f>
        <v>0</v>
      </c>
      <c r="I157" s="759">
        <f>+J98*G157+E157</f>
        <v>0</v>
      </c>
      <c r="J157" s="755">
        <f t="shared" si="10"/>
        <v>0</v>
      </c>
      <c r="K157" s="755"/>
      <c r="L157" s="760"/>
      <c r="M157" s="755">
        <f t="shared" si="11"/>
        <v>0</v>
      </c>
      <c r="N157" s="760"/>
      <c r="O157" s="755">
        <f t="shared" si="12"/>
        <v>0</v>
      </c>
      <c r="P157" s="755">
        <f t="shared" si="13"/>
        <v>0</v>
      </c>
      <c r="Q157" s="704"/>
    </row>
    <row r="158" spans="2:17">
      <c r="B158" s="357"/>
      <c r="C158" s="751" t="str">
        <f>IF(D96="","-",+C157+1)</f>
        <v>-</v>
      </c>
      <c r="D158" s="703">
        <f t="shared" si="14"/>
        <v>0</v>
      </c>
      <c r="E158" s="758">
        <f t="shared" si="15"/>
        <v>0</v>
      </c>
      <c r="F158" s="758">
        <f t="shared" si="8"/>
        <v>0</v>
      </c>
      <c r="G158" s="703">
        <f t="shared" si="9"/>
        <v>0</v>
      </c>
      <c r="H158" s="752">
        <f>+J97*G158+E158</f>
        <v>0</v>
      </c>
      <c r="I158" s="759">
        <f>+J98*G158+E158</f>
        <v>0</v>
      </c>
      <c r="J158" s="755">
        <f t="shared" si="10"/>
        <v>0</v>
      </c>
      <c r="K158" s="755"/>
      <c r="L158" s="760"/>
      <c r="M158" s="755">
        <f t="shared" si="11"/>
        <v>0</v>
      </c>
      <c r="N158" s="760"/>
      <c r="O158" s="755">
        <f t="shared" si="12"/>
        <v>0</v>
      </c>
      <c r="P158" s="755">
        <f t="shared" si="13"/>
        <v>0</v>
      </c>
      <c r="Q158" s="704"/>
    </row>
    <row r="159" spans="2:17">
      <c r="B159" s="357"/>
      <c r="C159" s="751" t="str">
        <f>IF(D96="","-",+C158+1)</f>
        <v>-</v>
      </c>
      <c r="D159" s="703">
        <f t="shared" si="14"/>
        <v>0</v>
      </c>
      <c r="E159" s="758">
        <f t="shared" si="15"/>
        <v>0</v>
      </c>
      <c r="F159" s="758">
        <f t="shared" si="8"/>
        <v>0</v>
      </c>
      <c r="G159" s="703">
        <f t="shared" si="9"/>
        <v>0</v>
      </c>
      <c r="H159" s="752">
        <f>+J97*G159+E159</f>
        <v>0</v>
      </c>
      <c r="I159" s="759">
        <f>+J98*G159+E159</f>
        <v>0</v>
      </c>
      <c r="J159" s="755">
        <f t="shared" si="10"/>
        <v>0</v>
      </c>
      <c r="K159" s="755"/>
      <c r="L159" s="760"/>
      <c r="M159" s="755">
        <f t="shared" si="11"/>
        <v>0</v>
      </c>
      <c r="N159" s="760"/>
      <c r="O159" s="755">
        <f t="shared" si="12"/>
        <v>0</v>
      </c>
      <c r="P159" s="755">
        <f t="shared" si="13"/>
        <v>0</v>
      </c>
      <c r="Q159" s="704"/>
    </row>
    <row r="160" spans="2:17">
      <c r="B160" s="357"/>
      <c r="C160" s="751" t="str">
        <f>IF(D96="","-",+C159+1)</f>
        <v>-</v>
      </c>
      <c r="D160" s="703">
        <f t="shared" si="14"/>
        <v>0</v>
      </c>
      <c r="E160" s="758">
        <f t="shared" si="15"/>
        <v>0</v>
      </c>
      <c r="F160" s="758">
        <f t="shared" si="8"/>
        <v>0</v>
      </c>
      <c r="G160" s="703">
        <f t="shared" si="9"/>
        <v>0</v>
      </c>
      <c r="H160" s="752">
        <f>+J97*G160+E160</f>
        <v>0</v>
      </c>
      <c r="I160" s="759">
        <f>+J98*G160+E160</f>
        <v>0</v>
      </c>
      <c r="J160" s="755">
        <f t="shared" si="10"/>
        <v>0</v>
      </c>
      <c r="K160" s="755"/>
      <c r="L160" s="760"/>
      <c r="M160" s="755">
        <f t="shared" si="11"/>
        <v>0</v>
      </c>
      <c r="N160" s="760"/>
      <c r="O160" s="755">
        <f t="shared" si="12"/>
        <v>0</v>
      </c>
      <c r="P160" s="755">
        <f t="shared" si="13"/>
        <v>0</v>
      </c>
      <c r="Q160" s="704"/>
    </row>
    <row r="161" spans="2:17" ht="13.5" thickBot="1">
      <c r="B161" s="357"/>
      <c r="C161" s="762" t="str">
        <f>IF(D96="","-",+C160+1)</f>
        <v>-</v>
      </c>
      <c r="D161" s="763">
        <f t="shared" si="14"/>
        <v>0</v>
      </c>
      <c r="E161" s="764">
        <f t="shared" si="15"/>
        <v>0</v>
      </c>
      <c r="F161" s="764">
        <f t="shared" si="8"/>
        <v>0</v>
      </c>
      <c r="G161" s="763">
        <f t="shared" si="9"/>
        <v>0</v>
      </c>
      <c r="H161" s="765">
        <f>+J97*G161+E161</f>
        <v>0</v>
      </c>
      <c r="I161" s="765">
        <f>+J98*G161+E161</f>
        <v>0</v>
      </c>
      <c r="J161" s="766">
        <f t="shared" si="10"/>
        <v>0</v>
      </c>
      <c r="K161" s="755"/>
      <c r="L161" s="767"/>
      <c r="M161" s="766">
        <f t="shared" si="11"/>
        <v>0</v>
      </c>
      <c r="N161" s="767"/>
      <c r="O161" s="766">
        <f t="shared" si="12"/>
        <v>0</v>
      </c>
      <c r="P161" s="766">
        <f t="shared" si="13"/>
        <v>0</v>
      </c>
      <c r="Q161" s="704"/>
    </row>
    <row r="162" spans="2:17">
      <c r="B162" s="357"/>
      <c r="C162" s="703" t="s">
        <v>289</v>
      </c>
      <c r="D162" s="699"/>
      <c r="E162" s="699">
        <f>SUM(E102:E161)</f>
        <v>0</v>
      </c>
      <c r="F162" s="699"/>
      <c r="G162" s="699"/>
      <c r="H162" s="699">
        <f>SUM(H102:H161)</f>
        <v>0</v>
      </c>
      <c r="I162" s="699">
        <f>SUM(I102:I161)</f>
        <v>0</v>
      </c>
      <c r="J162" s="699">
        <f>SUM(J102:J161)</f>
        <v>0</v>
      </c>
      <c r="K162" s="699"/>
      <c r="L162" s="699"/>
      <c r="M162" s="699"/>
      <c r="N162" s="699"/>
      <c r="O162" s="699"/>
      <c r="Q162" s="699"/>
    </row>
    <row r="163" spans="2:17">
      <c r="B163" s="357"/>
      <c r="D163" s="593"/>
      <c r="E163" s="570"/>
      <c r="F163" s="570"/>
      <c r="G163" s="570"/>
      <c r="H163" s="570"/>
      <c r="I163" s="676"/>
      <c r="J163" s="676"/>
      <c r="K163" s="699"/>
      <c r="L163" s="676"/>
      <c r="M163" s="676"/>
      <c r="N163" s="676"/>
      <c r="O163" s="676"/>
      <c r="Q163" s="699"/>
    </row>
    <row r="164" spans="2:17">
      <c r="B164" s="357"/>
      <c r="C164" s="570" t="s">
        <v>597</v>
      </c>
      <c r="D164" s="593"/>
      <c r="E164" s="570"/>
      <c r="F164" s="570"/>
      <c r="G164" s="570"/>
      <c r="H164" s="570"/>
      <c r="I164" s="676"/>
      <c r="J164" s="676"/>
      <c r="K164" s="699"/>
      <c r="L164" s="676"/>
      <c r="M164" s="676"/>
      <c r="N164" s="676"/>
      <c r="O164" s="676"/>
      <c r="Q164" s="699"/>
    </row>
    <row r="165" spans="2:17">
      <c r="B165" s="357"/>
      <c r="D165" s="593"/>
      <c r="E165" s="570"/>
      <c r="F165" s="570"/>
      <c r="G165" s="570"/>
      <c r="H165" s="570"/>
      <c r="I165" s="676"/>
      <c r="J165" s="676"/>
      <c r="K165" s="699"/>
      <c r="L165" s="676"/>
      <c r="M165" s="676"/>
      <c r="N165" s="676"/>
      <c r="O165" s="676"/>
      <c r="Q165" s="699"/>
    </row>
    <row r="166" spans="2:17">
      <c r="B166" s="357"/>
      <c r="C166" s="606" t="s">
        <v>598</v>
      </c>
      <c r="D166" s="703"/>
      <c r="E166" s="703"/>
      <c r="F166" s="703"/>
      <c r="G166" s="703"/>
      <c r="H166" s="699"/>
      <c r="I166" s="699"/>
      <c r="J166" s="704"/>
      <c r="K166" s="704"/>
      <c r="L166" s="704"/>
      <c r="M166" s="704"/>
      <c r="N166" s="704"/>
      <c r="O166" s="704"/>
      <c r="Q166" s="704"/>
    </row>
    <row r="167" spans="2:17">
      <c r="B167" s="357"/>
      <c r="C167" s="606" t="s">
        <v>477</v>
      </c>
      <c r="D167" s="703"/>
      <c r="E167" s="703"/>
      <c r="F167" s="703"/>
      <c r="G167" s="703"/>
      <c r="H167" s="699"/>
      <c r="I167" s="699"/>
      <c r="J167" s="704"/>
      <c r="K167" s="704"/>
      <c r="L167" s="704"/>
      <c r="M167" s="704"/>
      <c r="N167" s="704"/>
      <c r="O167" s="704"/>
      <c r="Q167" s="704"/>
    </row>
    <row r="168" spans="2:17">
      <c r="B168" s="357"/>
      <c r="C168" s="606" t="s">
        <v>290</v>
      </c>
      <c r="D168" s="703"/>
      <c r="E168" s="703"/>
      <c r="F168" s="703"/>
      <c r="G168" s="703"/>
      <c r="H168" s="699"/>
      <c r="I168" s="699"/>
      <c r="J168" s="704"/>
      <c r="K168" s="704"/>
      <c r="L168" s="704"/>
      <c r="M168" s="704"/>
      <c r="N168" s="704"/>
      <c r="O168" s="704"/>
      <c r="Q168" s="704"/>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1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RowHeight="12.75"/>
  <cols>
    <col min="1" max="1" width="9.140625" style="32"/>
    <col min="2" max="2" width="37.5703125" style="194" customWidth="1"/>
    <col min="3" max="3" width="31.5703125" style="191" customWidth="1"/>
    <col min="4" max="4" width="14.85546875" style="191" customWidth="1"/>
    <col min="5" max="5" width="18" style="191" customWidth="1"/>
    <col min="6" max="7" width="11.140625" style="191" bestFit="1" customWidth="1"/>
    <col min="8" max="8" width="11.140625" style="272" bestFit="1" customWidth="1"/>
    <col min="9" max="16384" width="9.140625" style="191"/>
  </cols>
  <sheetData>
    <row r="1" spans="1:30" ht="15.75">
      <c r="A1" s="920" t="s">
        <v>115</v>
      </c>
    </row>
    <row r="2" spans="1:30" ht="15.75">
      <c r="A2" s="920" t="s">
        <v>115</v>
      </c>
    </row>
    <row r="3" spans="1:30" ht="15">
      <c r="B3" s="1461" t="s">
        <v>388</v>
      </c>
      <c r="C3" s="1461"/>
      <c r="D3" s="1461"/>
      <c r="E3" s="1461"/>
      <c r="F3" s="1461"/>
      <c r="G3" s="40"/>
      <c r="H3" s="268"/>
      <c r="I3" s="40"/>
      <c r="J3" s="40"/>
      <c r="K3" s="40"/>
      <c r="L3" s="40"/>
      <c r="M3" s="40"/>
      <c r="N3" s="40"/>
      <c r="O3" s="40"/>
      <c r="P3" s="40"/>
    </row>
    <row r="4" spans="1:30" ht="15">
      <c r="B4" s="1462" t="str">
        <f>"Cost of Service Formula Rate Using "&amp;TCOS!L4&amp;" FF1 Balances"</f>
        <v>Cost of Service Formula Rate Using 2021 FF1 Balances</v>
      </c>
      <c r="C4" s="1462"/>
      <c r="D4" s="1462"/>
      <c r="E4" s="1462"/>
      <c r="F4" s="1462"/>
      <c r="G4" s="98"/>
      <c r="H4" s="269"/>
      <c r="I4" s="98"/>
      <c r="J4" s="98"/>
      <c r="K4" s="98"/>
      <c r="L4" s="98"/>
      <c r="M4" s="98"/>
      <c r="N4" s="98"/>
      <c r="O4" s="98"/>
      <c r="P4" s="98"/>
    </row>
    <row r="5" spans="1:30" ht="18">
      <c r="B5" s="1461" t="s">
        <v>549</v>
      </c>
      <c r="C5" s="1461"/>
      <c r="D5" s="1461"/>
      <c r="E5" s="1461"/>
      <c r="F5" s="1461"/>
      <c r="G5" s="160"/>
      <c r="H5" s="270"/>
      <c r="I5" s="160"/>
      <c r="J5" s="160"/>
      <c r="K5" s="160"/>
    </row>
    <row r="6" spans="1:30" ht="18">
      <c r="B6" s="1473" t="str">
        <f>+TCOS!F9</f>
        <v xml:space="preserve">Indiana Michigan Power Company </v>
      </c>
      <c r="C6" s="1461"/>
      <c r="D6" s="1461"/>
      <c r="E6" s="1461"/>
      <c r="F6" s="1461"/>
      <c r="G6" s="171"/>
      <c r="H6" s="271"/>
      <c r="I6" s="171"/>
      <c r="J6" s="171"/>
      <c r="K6" s="171"/>
    </row>
    <row r="8" spans="1:30" ht="18.75" customHeight="1">
      <c r="B8" s="19"/>
      <c r="C8" s="149"/>
      <c r="D8" s="193"/>
    </row>
    <row r="10" spans="1:30" ht="18">
      <c r="B10" s="8"/>
      <c r="C10" s="8"/>
      <c r="D10" s="8"/>
      <c r="E10" s="8"/>
      <c r="F10" s="8"/>
      <c r="R10" s="159"/>
      <c r="S10" s="159"/>
      <c r="T10" s="159"/>
      <c r="U10" s="159"/>
      <c r="V10" s="159"/>
      <c r="W10" s="159"/>
      <c r="X10" s="159"/>
      <c r="Y10" s="159"/>
      <c r="Z10" s="159"/>
      <c r="AA10" s="159"/>
      <c r="AB10" s="205"/>
      <c r="AC10" s="205"/>
      <c r="AD10" s="205"/>
    </row>
    <row r="11" spans="1:30">
      <c r="A11" s="909"/>
      <c r="B11" s="192"/>
      <c r="C11" s="193"/>
    </row>
    <row r="12" spans="1:30">
      <c r="A12" s="248"/>
      <c r="B12" s="12"/>
      <c r="C12" s="12"/>
      <c r="D12" s="12"/>
      <c r="E12" s="12"/>
      <c r="F12" s="12"/>
      <c r="G12" s="11"/>
    </row>
    <row r="13" spans="1:30">
      <c r="A13" s="250"/>
      <c r="B13" s="12"/>
      <c r="C13" s="12"/>
      <c r="D13" s="12"/>
      <c r="E13" s="12"/>
      <c r="F13" s="12"/>
      <c r="G13" s="11"/>
    </row>
    <row r="14" spans="1:30">
      <c r="A14" s="290"/>
      <c r="B14" s="12"/>
      <c r="C14" s="12"/>
      <c r="D14" s="12"/>
      <c r="E14" s="12"/>
      <c r="F14" s="12"/>
      <c r="H14" s="191"/>
    </row>
    <row r="15" spans="1:30">
      <c r="A15" s="290"/>
      <c r="B15" s="12"/>
      <c r="C15" s="12"/>
      <c r="D15" s="12"/>
      <c r="E15" s="12"/>
      <c r="F15" s="12"/>
      <c r="H15" s="191"/>
    </row>
    <row r="16" spans="1:30">
      <c r="A16" s="290"/>
      <c r="B16" s="12"/>
      <c r="C16" s="12"/>
      <c r="D16" s="12"/>
      <c r="E16" s="12"/>
      <c r="F16" s="12"/>
      <c r="H16" s="191"/>
    </row>
    <row r="17" spans="1:8" ht="12.75" customHeight="1">
      <c r="A17" s="290"/>
      <c r="B17" s="12"/>
      <c r="C17" s="12"/>
      <c r="D17" s="12"/>
      <c r="E17" s="12"/>
      <c r="F17" s="12"/>
      <c r="H17" s="191"/>
    </row>
    <row r="18" spans="1:8">
      <c r="A18" s="290"/>
      <c r="B18" s="12"/>
      <c r="C18" s="12"/>
      <c r="D18" s="12"/>
      <c r="E18" s="12"/>
      <c r="F18" s="12"/>
      <c r="H18" s="191"/>
    </row>
    <row r="19" spans="1:8">
      <c r="A19" s="290"/>
      <c r="B19" s="12"/>
      <c r="C19" s="12"/>
      <c r="D19" s="12"/>
      <c r="E19" s="12"/>
      <c r="F19" s="12"/>
      <c r="H19" s="191"/>
    </row>
    <row r="20" spans="1:8">
      <c r="A20" s="290"/>
      <c r="B20" s="12"/>
      <c r="C20" s="12"/>
      <c r="D20" s="12"/>
      <c r="E20" s="12"/>
      <c r="F20" s="12"/>
      <c r="H20" s="191"/>
    </row>
    <row r="21" spans="1:8">
      <c r="A21" s="290"/>
      <c r="B21" s="12"/>
      <c r="C21" s="12"/>
      <c r="D21" s="12"/>
      <c r="E21" s="12"/>
      <c r="F21" s="12"/>
      <c r="H21" s="191"/>
    </row>
    <row r="22" spans="1:8">
      <c r="A22" s="290"/>
      <c r="B22" s="12"/>
      <c r="C22" s="12"/>
      <c r="D22" s="12"/>
      <c r="E22" s="12"/>
      <c r="F22" s="12"/>
      <c r="H22" s="191"/>
    </row>
    <row r="23" spans="1:8" ht="12.75" customHeight="1">
      <c r="A23" s="290"/>
      <c r="B23" s="12"/>
      <c r="C23" s="12"/>
      <c r="D23" s="12"/>
      <c r="E23" s="12"/>
      <c r="F23" s="12"/>
      <c r="H23" s="191"/>
    </row>
    <row r="24" spans="1:8" ht="12.75" customHeight="1">
      <c r="A24" s="290"/>
      <c r="B24" s="12"/>
      <c r="C24" s="12"/>
      <c r="D24" s="12"/>
      <c r="E24" s="12"/>
      <c r="F24" s="12"/>
      <c r="H24" s="191"/>
    </row>
    <row r="25" spans="1:8" ht="12.75" customHeight="1">
      <c r="A25" s="290"/>
      <c r="B25" s="12"/>
      <c r="C25" s="12"/>
      <c r="D25" s="12"/>
      <c r="E25" s="12"/>
      <c r="F25" s="12"/>
      <c r="H25" s="191"/>
    </row>
    <row r="26" spans="1:8" ht="12.75" customHeight="1">
      <c r="A26" s="290"/>
      <c r="B26" s="12"/>
      <c r="C26" s="12"/>
      <c r="D26" s="12"/>
      <c r="E26" s="12"/>
      <c r="F26" s="12"/>
      <c r="H26" s="191"/>
    </row>
    <row r="27" spans="1:8" ht="12.75" customHeight="1">
      <c r="A27" s="290"/>
      <c r="B27" s="12"/>
      <c r="C27" s="12"/>
      <c r="D27" s="12"/>
      <c r="E27" s="12"/>
      <c r="F27" s="12"/>
      <c r="H27" s="191"/>
    </row>
    <row r="28" spans="1:8" ht="12.75" customHeight="1">
      <c r="A28" s="290"/>
      <c r="B28" s="12"/>
      <c r="C28" s="12"/>
      <c r="D28" s="12"/>
      <c r="E28" s="12"/>
      <c r="F28" s="12"/>
      <c r="H28" s="191"/>
    </row>
    <row r="29" spans="1:8" ht="12.75" customHeight="1">
      <c r="A29" s="290"/>
      <c r="B29" s="12"/>
      <c r="C29" s="12"/>
      <c r="D29" s="12"/>
      <c r="E29" s="12"/>
      <c r="F29" s="12"/>
      <c r="H29" s="191"/>
    </row>
    <row r="30" spans="1:8" ht="12.75" customHeight="1">
      <c r="A30" s="290"/>
      <c r="B30" s="12"/>
      <c r="C30" s="12"/>
      <c r="D30" s="12"/>
      <c r="E30" s="12"/>
      <c r="F30" s="12"/>
      <c r="H30" s="191"/>
    </row>
    <row r="31" spans="1:8" ht="12.75" customHeight="1">
      <c r="A31" s="290"/>
      <c r="B31" s="12"/>
      <c r="C31" s="12"/>
      <c r="D31" s="12"/>
      <c r="E31" s="12"/>
      <c r="F31" s="12"/>
      <c r="H31" s="191"/>
    </row>
    <row r="32" spans="1:8" ht="12.75" customHeight="1">
      <c r="A32" s="290"/>
      <c r="B32" s="12"/>
      <c r="C32" s="12"/>
      <c r="D32" s="12"/>
      <c r="E32" s="12"/>
      <c r="F32" s="12"/>
      <c r="H32" s="191"/>
    </row>
    <row r="33" spans="1:8" ht="12.75" customHeight="1">
      <c r="A33" s="290"/>
      <c r="B33" s="12"/>
      <c r="C33" s="12"/>
      <c r="D33" s="12"/>
      <c r="E33" s="12"/>
      <c r="F33" s="12"/>
      <c r="H33" s="191"/>
    </row>
    <row r="34" spans="1:8" ht="12.75" customHeight="1">
      <c r="A34" s="290"/>
      <c r="B34" s="12"/>
      <c r="C34" s="12"/>
      <c r="D34" s="12"/>
      <c r="E34" s="12"/>
      <c r="F34" s="12"/>
      <c r="H34" s="191"/>
    </row>
    <row r="35" spans="1:8" ht="12.75" customHeight="1">
      <c r="A35" s="290"/>
      <c r="B35" s="12"/>
      <c r="C35" s="12"/>
      <c r="D35" s="12"/>
      <c r="E35" s="12"/>
      <c r="F35" s="12"/>
      <c r="H35" s="191"/>
    </row>
    <row r="36" spans="1:8" ht="12.75" customHeight="1">
      <c r="A36" s="290"/>
      <c r="B36" s="12"/>
      <c r="C36" s="12"/>
      <c r="D36" s="12"/>
      <c r="E36" s="12"/>
      <c r="F36" s="12"/>
      <c r="H36" s="191"/>
    </row>
    <row r="37" spans="1:8" ht="12.75" customHeight="1">
      <c r="A37" s="290"/>
      <c r="B37" s="12"/>
      <c r="C37" s="12"/>
      <c r="D37" s="12"/>
      <c r="E37" s="12"/>
      <c r="F37" s="12"/>
      <c r="H37" s="191"/>
    </row>
    <row r="38" spans="1:8" ht="12.75" customHeight="1">
      <c r="A38" s="290"/>
      <c r="B38" s="12"/>
      <c r="C38" s="12"/>
      <c r="D38" s="12"/>
      <c r="E38" s="12"/>
      <c r="F38" s="12"/>
      <c r="H38" s="191"/>
    </row>
    <row r="39" spans="1:8" ht="12.75" customHeight="1">
      <c r="A39" s="290"/>
      <c r="B39" s="12"/>
      <c r="C39" s="12"/>
      <c r="D39" s="12"/>
      <c r="E39" s="12"/>
      <c r="F39" s="12"/>
      <c r="H39" s="191"/>
    </row>
    <row r="40" spans="1:8" ht="12.75" customHeight="1">
      <c r="A40" s="290"/>
      <c r="B40" s="12"/>
      <c r="C40" s="12"/>
      <c r="D40" s="12"/>
      <c r="E40" s="12"/>
      <c r="F40" s="12"/>
      <c r="H40" s="191"/>
    </row>
    <row r="41" spans="1:8" ht="12.75" customHeight="1">
      <c r="A41" s="290"/>
      <c r="B41" s="12"/>
      <c r="C41" s="12"/>
      <c r="D41" s="12"/>
      <c r="E41" s="12"/>
      <c r="F41" s="12"/>
      <c r="H41" s="191"/>
    </row>
    <row r="42" spans="1:8" ht="12.75" customHeight="1">
      <c r="A42" s="290"/>
      <c r="B42" s="12"/>
      <c r="C42" s="12"/>
      <c r="D42" s="12"/>
      <c r="E42" s="12"/>
      <c r="F42" s="12"/>
      <c r="H42" s="191"/>
    </row>
    <row r="43" spans="1:8" ht="12.6" customHeight="1">
      <c r="A43" s="290"/>
      <c r="B43" s="12"/>
      <c r="C43" s="12"/>
      <c r="D43" s="12"/>
      <c r="E43" s="12"/>
      <c r="F43" s="12"/>
      <c r="H43" s="191"/>
    </row>
    <row r="44" spans="1:8" ht="12.75" customHeight="1">
      <c r="A44" s="290"/>
      <c r="B44" s="12"/>
      <c r="C44" s="12"/>
      <c r="D44" s="12"/>
      <c r="E44" s="12"/>
      <c r="F44" s="12"/>
      <c r="H44" s="191"/>
    </row>
    <row r="45" spans="1:8">
      <c r="B45" s="12"/>
      <c r="C45" s="12"/>
      <c r="D45" s="12"/>
      <c r="E45" s="12"/>
      <c r="F45" s="12"/>
      <c r="H45" s="191"/>
    </row>
    <row r="46" spans="1:8">
      <c r="B46" s="12"/>
      <c r="C46" s="12"/>
      <c r="D46" s="12"/>
      <c r="E46" s="12"/>
      <c r="F46" s="12"/>
      <c r="H46" s="191"/>
    </row>
    <row r="47" spans="1:8">
      <c r="B47" s="12"/>
      <c r="C47" s="12"/>
      <c r="D47" s="12"/>
      <c r="E47" s="12"/>
      <c r="F47" s="12"/>
      <c r="H47" s="191"/>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opLeftCell="A13" zoomScale="90" zoomScaleNormal="90" zoomScaleSheetLayoutView="70" zoomScalePageLayoutView="85" workbookViewId="0">
      <selection activeCell="E50" sqref="E50"/>
    </sheetView>
  </sheetViews>
  <sheetFormatPr defaultColWidth="11.42578125" defaultRowHeight="12.75"/>
  <cols>
    <col min="1" max="1" width="10.28515625" style="1005" customWidth="1"/>
    <col min="2" max="2" width="52.28515625" style="985" customWidth="1"/>
    <col min="3" max="7" width="20.28515625" style="985" customWidth="1"/>
    <col min="8" max="8" width="23" style="985" customWidth="1"/>
    <col min="9" max="11" width="20.28515625" style="985" customWidth="1"/>
    <col min="12" max="12" width="20" style="985" customWidth="1"/>
    <col min="13" max="14" width="15.140625" style="985" customWidth="1"/>
    <col min="15" max="16384" width="11.42578125" style="985"/>
  </cols>
  <sheetData>
    <row r="1" spans="1:12" ht="15">
      <c r="A1" s="1461" t="s">
        <v>388</v>
      </c>
      <c r="B1" s="1461"/>
      <c r="C1" s="1461"/>
      <c r="D1" s="1461"/>
      <c r="E1" s="1461"/>
      <c r="F1" s="1461"/>
      <c r="G1" s="1461"/>
      <c r="H1" s="928"/>
    </row>
    <row r="2" spans="1:12" ht="15">
      <c r="A2" s="1462" t="str">
        <f>"Cost of Service Formula Rate Using Actual/Projected FF1 Balances"</f>
        <v>Cost of Service Formula Rate Using Actual/Projected FF1 Balances</v>
      </c>
      <c r="B2" s="1462"/>
      <c r="C2" s="1462"/>
      <c r="D2" s="1462"/>
      <c r="E2" s="1462"/>
      <c r="F2" s="1462"/>
      <c r="G2" s="1462"/>
      <c r="H2" s="986"/>
      <c r="I2" s="986"/>
      <c r="J2" s="986"/>
      <c r="L2" s="987"/>
    </row>
    <row r="3" spans="1:12" ht="15">
      <c r="A3" s="1462" t="s">
        <v>680</v>
      </c>
      <c r="B3" s="1462"/>
      <c r="C3" s="1462"/>
      <c r="D3" s="1462"/>
      <c r="E3" s="1462"/>
      <c r="F3" s="1462"/>
      <c r="G3" s="1462"/>
      <c r="H3" s="986"/>
      <c r="I3" s="986"/>
      <c r="J3" s="986"/>
    </row>
    <row r="4" spans="1:12" ht="15">
      <c r="A4" s="1469" t="str">
        <f>TCOS!F9</f>
        <v xml:space="preserve">Indiana Michigan Power Company </v>
      </c>
      <c r="B4" s="1469"/>
      <c r="C4" s="1469"/>
      <c r="D4" s="1469"/>
      <c r="E4" s="1469"/>
      <c r="F4" s="1469"/>
      <c r="G4" s="1469"/>
      <c r="H4" s="986"/>
      <c r="I4" s="986"/>
      <c r="J4" s="986"/>
    </row>
    <row r="5" spans="1:12">
      <c r="A5" s="986"/>
      <c r="B5" s="988"/>
      <c r="C5" s="988"/>
      <c r="D5" s="988"/>
      <c r="E5" s="989"/>
      <c r="F5" s="990"/>
      <c r="H5"/>
      <c r="I5"/>
      <c r="J5"/>
      <c r="K5"/>
      <c r="L5"/>
    </row>
    <row r="6" spans="1:12" ht="12.75" customHeight="1">
      <c r="A6" s="928"/>
      <c r="B6" s="968"/>
      <c r="C6" s="1463" t="s">
        <v>6</v>
      </c>
      <c r="D6" s="1464"/>
      <c r="E6" s="1464"/>
      <c r="F6" s="1464"/>
      <c r="G6" s="1465"/>
      <c r="H6" s="6"/>
      <c r="I6"/>
      <c r="J6"/>
      <c r="K6"/>
      <c r="L6"/>
    </row>
    <row r="7" spans="1:12" s="992" customFormat="1" ht="38.25">
      <c r="A7" s="967" t="s">
        <v>654</v>
      </c>
      <c r="B7" s="966" t="s">
        <v>653</v>
      </c>
      <c r="C7" s="945" t="s">
        <v>681</v>
      </c>
      <c r="D7" s="944" t="s">
        <v>369</v>
      </c>
      <c r="E7" s="944" t="s">
        <v>682</v>
      </c>
      <c r="F7" s="944" t="s">
        <v>683</v>
      </c>
      <c r="G7" s="991" t="s">
        <v>6</v>
      </c>
      <c r="H7" s="6"/>
      <c r="I7"/>
      <c r="J7"/>
      <c r="K7"/>
      <c r="L7"/>
    </row>
    <row r="8" spans="1:12" s="994" customFormat="1">
      <c r="A8" s="935"/>
      <c r="B8" s="941" t="s">
        <v>648</v>
      </c>
      <c r="C8" s="942" t="s">
        <v>647</v>
      </c>
      <c r="D8" s="940" t="s">
        <v>646</v>
      </c>
      <c r="E8" s="940" t="s">
        <v>645</v>
      </c>
      <c r="F8" s="940" t="s">
        <v>644</v>
      </c>
      <c r="G8" s="993" t="s">
        <v>684</v>
      </c>
      <c r="H8" s="6"/>
      <c r="I8"/>
      <c r="J8"/>
      <c r="K8"/>
      <c r="L8"/>
    </row>
    <row r="9" spans="1:12" s="994" customFormat="1" ht="44.25" customHeight="1">
      <c r="A9" s="935"/>
      <c r="B9" s="941" t="s">
        <v>643</v>
      </c>
      <c r="C9" s="995" t="s">
        <v>685</v>
      </c>
      <c r="D9" s="963" t="s">
        <v>686</v>
      </c>
      <c r="E9" s="963" t="s">
        <v>687</v>
      </c>
      <c r="F9" s="963" t="s">
        <v>688</v>
      </c>
      <c r="G9" s="996"/>
      <c r="H9" s="6"/>
      <c r="I9"/>
      <c r="J9"/>
      <c r="K9"/>
      <c r="L9"/>
    </row>
    <row r="10" spans="1:12">
      <c r="A10" s="935">
        <v>1</v>
      </c>
      <c r="B10" s="960" t="s">
        <v>641</v>
      </c>
      <c r="C10" s="997">
        <v>2661167000</v>
      </c>
      <c r="D10" s="997"/>
      <c r="E10" s="997">
        <v>-6033663.7000000002</v>
      </c>
      <c r="F10" s="997">
        <v>-8595000</v>
      </c>
      <c r="G10" s="998">
        <f t="shared" ref="G10:G22" si="0">+C10-D10-E10-F10</f>
        <v>2675795663.6999998</v>
      </c>
      <c r="H10" s="6"/>
      <c r="I10"/>
      <c r="J10"/>
      <c r="K10"/>
      <c r="L10"/>
    </row>
    <row r="11" spans="1:12">
      <c r="A11" s="935">
        <f t="shared" ref="A11:A23" si="1">+A10+1</f>
        <v>2</v>
      </c>
      <c r="B11" s="960" t="s">
        <v>186</v>
      </c>
      <c r="C11" s="997">
        <v>2695684000</v>
      </c>
      <c r="D11" s="997"/>
      <c r="E11" s="997">
        <v>-5968838.4000000004</v>
      </c>
      <c r="F11" s="997">
        <v>-8566000</v>
      </c>
      <c r="G11" s="998">
        <f t="shared" si="0"/>
        <v>2710218838.4000001</v>
      </c>
      <c r="H11" s="6"/>
      <c r="I11"/>
      <c r="J11"/>
      <c r="K11"/>
      <c r="L11"/>
    </row>
    <row r="12" spans="1:12">
      <c r="A12" s="935">
        <f t="shared" si="1"/>
        <v>3</v>
      </c>
      <c r="B12" s="959" t="s">
        <v>561</v>
      </c>
      <c r="C12" s="997">
        <v>2673017000</v>
      </c>
      <c r="D12" s="997"/>
      <c r="E12" s="997">
        <v>-5940323.8500000006</v>
      </c>
      <c r="F12" s="997">
        <v>-8537000</v>
      </c>
      <c r="G12" s="998">
        <f t="shared" si="0"/>
        <v>2687494323.8499999</v>
      </c>
      <c r="H12" s="6"/>
      <c r="I12"/>
      <c r="J12"/>
      <c r="K12"/>
      <c r="L12"/>
    </row>
    <row r="13" spans="1:12">
      <c r="A13" s="935">
        <f t="shared" si="1"/>
        <v>4</v>
      </c>
      <c r="B13" s="959" t="s">
        <v>640</v>
      </c>
      <c r="C13" s="997">
        <v>2701694000</v>
      </c>
      <c r="D13" s="997"/>
      <c r="E13" s="997">
        <v>-5910124.5700000003</v>
      </c>
      <c r="F13" s="997">
        <v>-8509000</v>
      </c>
      <c r="G13" s="998">
        <f t="shared" si="0"/>
        <v>2716113124.5700002</v>
      </c>
      <c r="H13" s="6"/>
      <c r="I13"/>
      <c r="J13"/>
      <c r="K13"/>
      <c r="L13"/>
    </row>
    <row r="14" spans="1:12">
      <c r="A14" s="935">
        <f t="shared" si="1"/>
        <v>5</v>
      </c>
      <c r="B14" s="959" t="s">
        <v>188</v>
      </c>
      <c r="C14" s="997">
        <v>2701999000</v>
      </c>
      <c r="D14" s="997"/>
      <c r="E14" s="997">
        <v>-5874530.0200000005</v>
      </c>
      <c r="F14" s="997">
        <v>-8480000</v>
      </c>
      <c r="G14" s="998">
        <f t="shared" si="0"/>
        <v>2716353530.02</v>
      </c>
      <c r="H14" s="6"/>
      <c r="I14"/>
      <c r="J14"/>
      <c r="K14"/>
      <c r="L14"/>
    </row>
    <row r="15" spans="1:12">
      <c r="A15" s="935">
        <f t="shared" si="1"/>
        <v>6</v>
      </c>
      <c r="B15" s="959" t="s">
        <v>189</v>
      </c>
      <c r="C15" s="997">
        <v>2674514000</v>
      </c>
      <c r="D15" s="997"/>
      <c r="E15" s="997">
        <v>-5712082.54</v>
      </c>
      <c r="F15" s="997">
        <v>-8452000</v>
      </c>
      <c r="G15" s="998">
        <f t="shared" si="0"/>
        <v>2688678082.54</v>
      </c>
      <c r="H15" s="6"/>
      <c r="I15"/>
      <c r="J15"/>
      <c r="K15"/>
      <c r="L15"/>
    </row>
    <row r="16" spans="1:12">
      <c r="A16" s="935">
        <f t="shared" si="1"/>
        <v>7</v>
      </c>
      <c r="B16" s="959" t="s">
        <v>383</v>
      </c>
      <c r="C16" s="997">
        <v>2698942000</v>
      </c>
      <c r="D16" s="997"/>
      <c r="E16" s="997">
        <v>-5700947.0200000005</v>
      </c>
      <c r="F16" s="997">
        <v>-8423000</v>
      </c>
      <c r="G16" s="998">
        <f t="shared" si="0"/>
        <v>2713065947.02</v>
      </c>
      <c r="H16" s="6"/>
      <c r="I16"/>
      <c r="J16"/>
      <c r="K16"/>
      <c r="L16"/>
    </row>
    <row r="17" spans="1:12">
      <c r="A17" s="935">
        <f t="shared" si="1"/>
        <v>8</v>
      </c>
      <c r="B17" s="959" t="s">
        <v>190</v>
      </c>
      <c r="C17" s="997">
        <v>2733990000</v>
      </c>
      <c r="D17" s="997"/>
      <c r="E17" s="997">
        <v>-5670735.75</v>
      </c>
      <c r="F17" s="997">
        <v>-8394000</v>
      </c>
      <c r="G17" s="998">
        <f t="shared" si="0"/>
        <v>2748054735.75</v>
      </c>
      <c r="H17" s="6"/>
      <c r="I17"/>
      <c r="J17"/>
      <c r="K17"/>
      <c r="L17"/>
    </row>
    <row r="18" spans="1:12">
      <c r="A18" s="935">
        <f t="shared" si="1"/>
        <v>9</v>
      </c>
      <c r="B18" s="959" t="s">
        <v>639</v>
      </c>
      <c r="C18" s="997">
        <v>2721313000</v>
      </c>
      <c r="D18" s="997"/>
      <c r="E18" s="997">
        <v>-5645279.1200000001</v>
      </c>
      <c r="F18" s="997">
        <v>-8366000</v>
      </c>
      <c r="G18" s="998">
        <f t="shared" si="0"/>
        <v>2735324279.1199999</v>
      </c>
      <c r="H18" s="6"/>
      <c r="I18"/>
      <c r="J18"/>
      <c r="K18"/>
      <c r="L18"/>
    </row>
    <row r="19" spans="1:12">
      <c r="A19" s="935">
        <f t="shared" si="1"/>
        <v>10</v>
      </c>
      <c r="B19" s="959" t="s">
        <v>193</v>
      </c>
      <c r="C19" s="997">
        <v>2734073000</v>
      </c>
      <c r="D19" s="997"/>
      <c r="E19" s="997">
        <v>-5632537.8799999999</v>
      </c>
      <c r="F19" s="997">
        <v>-8337000</v>
      </c>
      <c r="G19" s="998">
        <f t="shared" si="0"/>
        <v>2748042537.8800001</v>
      </c>
      <c r="H19" s="6"/>
      <c r="I19"/>
      <c r="J19"/>
      <c r="K19"/>
      <c r="L19"/>
    </row>
    <row r="20" spans="1:12">
      <c r="A20" s="935">
        <f t="shared" si="1"/>
        <v>11</v>
      </c>
      <c r="B20" s="959" t="s">
        <v>562</v>
      </c>
      <c r="C20" s="997">
        <v>2744896000</v>
      </c>
      <c r="D20" s="997"/>
      <c r="E20" s="997">
        <v>-5692146.5099999998</v>
      </c>
      <c r="F20" s="997">
        <v>-8308000</v>
      </c>
      <c r="G20" s="998">
        <f t="shared" si="0"/>
        <v>2758896146.5100002</v>
      </c>
      <c r="H20" s="6"/>
      <c r="I20"/>
      <c r="J20"/>
      <c r="K20"/>
      <c r="L20"/>
    </row>
    <row r="21" spans="1:12">
      <c r="A21" s="935">
        <f t="shared" si="1"/>
        <v>12</v>
      </c>
      <c r="B21" s="959" t="s">
        <v>563</v>
      </c>
      <c r="C21" s="997">
        <v>2715190000</v>
      </c>
      <c r="D21" s="997"/>
      <c r="E21" s="997">
        <v>-5675352.5</v>
      </c>
      <c r="F21" s="997">
        <v>-8280000</v>
      </c>
      <c r="G21" s="998">
        <f t="shared" si="0"/>
        <v>2729145352.5</v>
      </c>
      <c r="H21" s="6"/>
      <c r="I21"/>
      <c r="J21"/>
      <c r="K21"/>
      <c r="L21"/>
    </row>
    <row r="22" spans="1:12">
      <c r="A22" s="934">
        <f t="shared" si="1"/>
        <v>13</v>
      </c>
      <c r="B22" s="958" t="s">
        <v>638</v>
      </c>
      <c r="C22" s="997">
        <v>2732874000</v>
      </c>
      <c r="D22" s="997"/>
      <c r="E22" s="997">
        <v>-5658229.0700000003</v>
      </c>
      <c r="F22" s="997">
        <v>-8251000</v>
      </c>
      <c r="G22" s="998">
        <f t="shared" si="0"/>
        <v>2746783229.0700002</v>
      </c>
      <c r="H22" s="6"/>
      <c r="I22"/>
      <c r="J22"/>
      <c r="K22"/>
      <c r="L22"/>
    </row>
    <row r="23" spans="1:12" ht="13.5" thickBot="1">
      <c r="A23" s="956">
        <f t="shared" si="1"/>
        <v>14</v>
      </c>
      <c r="B23" s="955" t="s">
        <v>871</v>
      </c>
      <c r="C23" s="929">
        <f>ROUND((SUM(C10:C22)/13),-3)</f>
        <v>2706873000</v>
      </c>
      <c r="D23" s="929">
        <f>SUM(D10:D22)/13</f>
        <v>0</v>
      </c>
      <c r="E23" s="929">
        <f>ROUND((SUM(E10:E22)/13),-3)</f>
        <v>-5778000</v>
      </c>
      <c r="F23" s="929">
        <f>ROUND((SUM(F10:F22)/13),-3)</f>
        <v>-8423000</v>
      </c>
      <c r="G23" s="999">
        <f>ROUND(SUM(G10:G22)/13,-3)</f>
        <v>2721074000</v>
      </c>
      <c r="H23" s="6"/>
      <c r="I23"/>
      <c r="J23"/>
      <c r="K23"/>
      <c r="L23"/>
    </row>
    <row r="24" spans="1:12" ht="13.5" thickTop="1">
      <c r="A24" s="928"/>
      <c r="B24" s="927"/>
      <c r="C24" s="952"/>
      <c r="D24" s="925"/>
      <c r="E24" s="925"/>
      <c r="F24" s="925"/>
      <c r="G24" s="952"/>
      <c r="H24" s="952"/>
      <c r="I24"/>
      <c r="J24"/>
      <c r="K24"/>
      <c r="L24"/>
    </row>
    <row r="25" spans="1:12" ht="12.75" customHeight="1">
      <c r="A25" s="928"/>
      <c r="B25" s="968"/>
      <c r="C25" s="1528" t="s">
        <v>689</v>
      </c>
      <c r="D25" s="1529"/>
      <c r="E25" s="1529"/>
      <c r="F25" s="1529"/>
      <c r="G25" s="1529"/>
      <c r="H25" s="1530"/>
      <c r="I25"/>
      <c r="J25"/>
      <c r="K25"/>
      <c r="L25"/>
    </row>
    <row r="26" spans="1:12" s="992" customFormat="1" ht="38.25">
      <c r="A26" s="967" t="s">
        <v>654</v>
      </c>
      <c r="B26" s="966" t="s">
        <v>653</v>
      </c>
      <c r="C26" s="945" t="s">
        <v>701</v>
      </c>
      <c r="D26" s="944" t="s">
        <v>700</v>
      </c>
      <c r="E26" s="944" t="s">
        <v>699</v>
      </c>
      <c r="F26" s="944" t="s">
        <v>698</v>
      </c>
      <c r="G26" s="944" t="s">
        <v>690</v>
      </c>
      <c r="H26" s="991" t="s">
        <v>634</v>
      </c>
      <c r="I26"/>
      <c r="J26"/>
      <c r="K26"/>
      <c r="L26"/>
    </row>
    <row r="27" spans="1:12" s="994" customFormat="1">
      <c r="A27" s="935"/>
      <c r="B27" s="941" t="s">
        <v>648</v>
      </c>
      <c r="C27" s="942" t="s">
        <v>647</v>
      </c>
      <c r="D27" s="940" t="s">
        <v>646</v>
      </c>
      <c r="E27" s="940" t="s">
        <v>645</v>
      </c>
      <c r="F27" s="940" t="s">
        <v>644</v>
      </c>
      <c r="G27" s="940" t="s">
        <v>666</v>
      </c>
      <c r="H27" s="993" t="s">
        <v>691</v>
      </c>
      <c r="I27"/>
      <c r="J27"/>
      <c r="K27"/>
      <c r="L27"/>
    </row>
    <row r="28" spans="1:12" s="994" customFormat="1" ht="44.25" customHeight="1">
      <c r="A28" s="935"/>
      <c r="B28" s="941" t="s">
        <v>643</v>
      </c>
      <c r="C28" s="995" t="s">
        <v>692</v>
      </c>
      <c r="D28" s="963" t="s">
        <v>693</v>
      </c>
      <c r="E28" s="963" t="s">
        <v>694</v>
      </c>
      <c r="F28" s="963" t="s">
        <v>695</v>
      </c>
      <c r="G28" s="963" t="s">
        <v>696</v>
      </c>
      <c r="H28" s="1000"/>
      <c r="I28"/>
      <c r="J28"/>
      <c r="K28"/>
      <c r="L28"/>
    </row>
    <row r="29" spans="1:12">
      <c r="A29" s="935">
        <f>+A23+1</f>
        <v>15</v>
      </c>
      <c r="B29" s="960" t="s">
        <v>641</v>
      </c>
      <c r="C29" s="997"/>
      <c r="D29" s="997">
        <v>0</v>
      </c>
      <c r="E29" s="997"/>
      <c r="F29" s="997">
        <v>3408605000</v>
      </c>
      <c r="G29" s="997"/>
      <c r="H29" s="998">
        <f t="shared" ref="H29:H41" si="2">+C29-D29+E29+F29-G29</f>
        <v>3408605000</v>
      </c>
      <c r="I29"/>
      <c r="J29"/>
      <c r="K29"/>
      <c r="L29"/>
    </row>
    <row r="30" spans="1:12">
      <c r="A30" s="935">
        <f t="shared" ref="A30:A42" si="3">+A29+1</f>
        <v>16</v>
      </c>
      <c r="B30" s="960" t="s">
        <v>186</v>
      </c>
      <c r="C30" s="1270"/>
      <c r="D30" s="1270">
        <v>0</v>
      </c>
      <c r="E30" s="910"/>
      <c r="F30" s="997">
        <v>3397491000</v>
      </c>
      <c r="G30" s="1270"/>
      <c r="H30" s="998">
        <f t="shared" si="2"/>
        <v>3397491000</v>
      </c>
      <c r="I30"/>
      <c r="J30"/>
      <c r="K30"/>
      <c r="L30"/>
    </row>
    <row r="31" spans="1:12">
      <c r="A31" s="935">
        <f t="shared" si="3"/>
        <v>17</v>
      </c>
      <c r="B31" s="959" t="s">
        <v>561</v>
      </c>
      <c r="C31" s="1270"/>
      <c r="D31" s="1270">
        <v>0</v>
      </c>
      <c r="E31" s="910"/>
      <c r="F31" s="997">
        <v>3391642000</v>
      </c>
      <c r="G31" s="1270"/>
      <c r="H31" s="998">
        <f t="shared" si="2"/>
        <v>3391642000</v>
      </c>
      <c r="I31"/>
      <c r="J31"/>
      <c r="K31"/>
      <c r="L31"/>
    </row>
    <row r="32" spans="1:12">
      <c r="A32" s="935">
        <f t="shared" si="3"/>
        <v>18</v>
      </c>
      <c r="B32" s="959" t="s">
        <v>640</v>
      </c>
      <c r="C32" s="1270"/>
      <c r="D32" s="1270">
        <v>0</v>
      </c>
      <c r="E32" s="910"/>
      <c r="F32" s="997">
        <v>3386361000</v>
      </c>
      <c r="G32" s="1270"/>
      <c r="H32" s="998">
        <f t="shared" si="2"/>
        <v>3386361000</v>
      </c>
      <c r="I32"/>
      <c r="J32"/>
      <c r="K32"/>
      <c r="L32"/>
    </row>
    <row r="33" spans="1:12">
      <c r="A33" s="935">
        <f t="shared" si="3"/>
        <v>19</v>
      </c>
      <c r="B33" s="959" t="s">
        <v>188</v>
      </c>
      <c r="C33" s="1270"/>
      <c r="D33" s="1270">
        <v>0</v>
      </c>
      <c r="E33" s="910"/>
      <c r="F33" s="997">
        <v>3444114000</v>
      </c>
      <c r="G33" s="1270"/>
      <c r="H33" s="998">
        <f t="shared" si="2"/>
        <v>3444114000</v>
      </c>
      <c r="I33"/>
      <c r="J33"/>
      <c r="K33"/>
      <c r="L33"/>
    </row>
    <row r="34" spans="1:12">
      <c r="A34" s="935">
        <f t="shared" si="3"/>
        <v>20</v>
      </c>
      <c r="B34" s="959" t="s">
        <v>189</v>
      </c>
      <c r="C34" s="1270"/>
      <c r="D34" s="1270">
        <v>0</v>
      </c>
      <c r="E34" s="910"/>
      <c r="F34" s="997">
        <v>3440828000</v>
      </c>
      <c r="G34" s="1270"/>
      <c r="H34" s="998">
        <f t="shared" si="2"/>
        <v>3440828000</v>
      </c>
      <c r="I34"/>
      <c r="J34"/>
      <c r="K34"/>
      <c r="L34"/>
    </row>
    <row r="35" spans="1:12">
      <c r="A35" s="935">
        <f t="shared" si="3"/>
        <v>21</v>
      </c>
      <c r="B35" s="959" t="s">
        <v>383</v>
      </c>
      <c r="C35" s="1270"/>
      <c r="D35" s="1270">
        <v>0</v>
      </c>
      <c r="E35" s="910"/>
      <c r="F35" s="997">
        <v>3398261000</v>
      </c>
      <c r="G35" s="1270"/>
      <c r="H35" s="998">
        <f t="shared" si="2"/>
        <v>3398261000</v>
      </c>
      <c r="I35"/>
      <c r="J35"/>
      <c r="K35"/>
      <c r="L35"/>
    </row>
    <row r="36" spans="1:12">
      <c r="A36" s="935">
        <f t="shared" si="3"/>
        <v>22</v>
      </c>
      <c r="B36" s="959" t="s">
        <v>190</v>
      </c>
      <c r="C36" s="1270"/>
      <c r="D36" s="1270">
        <v>0</v>
      </c>
      <c r="E36" s="910"/>
      <c r="F36" s="997">
        <v>3381446000</v>
      </c>
      <c r="G36" s="1270"/>
      <c r="H36" s="998">
        <f t="shared" si="2"/>
        <v>3381446000</v>
      </c>
      <c r="I36"/>
      <c r="J36"/>
      <c r="K36"/>
      <c r="L36"/>
    </row>
    <row r="37" spans="1:12">
      <c r="A37" s="935">
        <f t="shared" si="3"/>
        <v>23</v>
      </c>
      <c r="B37" s="959" t="s">
        <v>639</v>
      </c>
      <c r="C37" s="1270"/>
      <c r="D37" s="1270">
        <v>0</v>
      </c>
      <c r="E37" s="910"/>
      <c r="F37" s="997">
        <v>3377746000</v>
      </c>
      <c r="G37" s="1270"/>
      <c r="H37" s="998">
        <f t="shared" si="2"/>
        <v>3377746000</v>
      </c>
      <c r="I37"/>
      <c r="J37"/>
      <c r="K37"/>
      <c r="L37"/>
    </row>
    <row r="38" spans="1:12">
      <c r="A38" s="935">
        <f t="shared" si="3"/>
        <v>24</v>
      </c>
      <c r="B38" s="959" t="s">
        <v>193</v>
      </c>
      <c r="C38" s="1270"/>
      <c r="D38" s="1270">
        <v>0</v>
      </c>
      <c r="E38" s="910"/>
      <c r="F38" s="997">
        <v>3374075000</v>
      </c>
      <c r="G38" s="1270"/>
      <c r="H38" s="998">
        <f t="shared" si="2"/>
        <v>3374075000</v>
      </c>
      <c r="I38"/>
      <c r="J38"/>
      <c r="K38"/>
      <c r="L38"/>
    </row>
    <row r="39" spans="1:12">
      <c r="A39" s="935">
        <f t="shared" si="3"/>
        <v>25</v>
      </c>
      <c r="B39" s="959" t="s">
        <v>562</v>
      </c>
      <c r="C39" s="1270"/>
      <c r="D39" s="1270">
        <v>0</v>
      </c>
      <c r="E39" s="910"/>
      <c r="F39" s="997">
        <v>3354434000</v>
      </c>
      <c r="G39" s="1270"/>
      <c r="H39" s="998">
        <f t="shared" si="2"/>
        <v>3354434000</v>
      </c>
      <c r="I39"/>
      <c r="J39"/>
      <c r="K39"/>
      <c r="L39"/>
    </row>
    <row r="40" spans="1:12">
      <c r="A40" s="935">
        <f t="shared" si="3"/>
        <v>26</v>
      </c>
      <c r="B40" s="959" t="s">
        <v>563</v>
      </c>
      <c r="C40" s="1270"/>
      <c r="D40" s="1270">
        <v>0</v>
      </c>
      <c r="E40" s="910"/>
      <c r="F40" s="997">
        <v>3298763000</v>
      </c>
      <c r="G40" s="1270"/>
      <c r="H40" s="998">
        <f t="shared" si="2"/>
        <v>3298763000</v>
      </c>
      <c r="I40"/>
      <c r="J40"/>
      <c r="K40"/>
      <c r="L40"/>
    </row>
    <row r="41" spans="1:12">
      <c r="A41" s="934">
        <f t="shared" si="3"/>
        <v>27</v>
      </c>
      <c r="B41" s="958" t="s">
        <v>638</v>
      </c>
      <c r="C41" s="997"/>
      <c r="D41" s="997">
        <v>0</v>
      </c>
      <c r="E41" s="910"/>
      <c r="F41" s="997">
        <v>3295153000</v>
      </c>
      <c r="G41" s="997"/>
      <c r="H41" s="998">
        <f t="shared" si="2"/>
        <v>3295153000</v>
      </c>
      <c r="I41"/>
      <c r="J41"/>
      <c r="K41"/>
      <c r="L41"/>
    </row>
    <row r="42" spans="1:12" ht="13.5" thickBot="1">
      <c r="A42" s="956">
        <f t="shared" si="3"/>
        <v>28</v>
      </c>
      <c r="B42" s="955" t="s">
        <v>871</v>
      </c>
      <c r="C42" s="930">
        <f>SUM(C29:C41)/13</f>
        <v>0</v>
      </c>
      <c r="D42" s="929">
        <f>SUM(D29:D41)/13</f>
        <v>0</v>
      </c>
      <c r="E42" s="929">
        <f>SUM(E29:E41)/13</f>
        <v>0</v>
      </c>
      <c r="F42" s="929">
        <f>ROUND((SUM(F29:F41)/13),-3)</f>
        <v>3380686000</v>
      </c>
      <c r="G42" s="929">
        <f>SUM(G29:G41)/13</f>
        <v>0</v>
      </c>
      <c r="H42" s="999">
        <f>ROUND(SUM(H29:H41)/13,-3)</f>
        <v>3380686000</v>
      </c>
      <c r="I42"/>
      <c r="J42"/>
      <c r="K42"/>
      <c r="L42"/>
    </row>
    <row r="43" spans="1:12" ht="13.5" thickTop="1">
      <c r="A43" s="986"/>
      <c r="B43" s="1001"/>
      <c r="C43" s="1002"/>
      <c r="D43" s="1003"/>
      <c r="E43" s="1003"/>
      <c r="F43" s="1003"/>
      <c r="G43" s="1002"/>
      <c r="H43" s="1002"/>
      <c r="I43"/>
      <c r="J43"/>
      <c r="K43"/>
      <c r="L43"/>
    </row>
    <row r="44" spans="1:12" ht="12.75" customHeight="1">
      <c r="A44" s="1004" t="s">
        <v>697</v>
      </c>
      <c r="F44" s="613"/>
      <c r="G44" s="613"/>
      <c r="H44" s="613"/>
      <c r="I44"/>
      <c r="J44"/>
      <c r="K44"/>
    </row>
    <row r="45" spans="1:12">
      <c r="E45" s="613"/>
      <c r="F45" s="613"/>
      <c r="G45" s="613"/>
      <c r="H45" s="613"/>
      <c r="J45" s="1001"/>
    </row>
    <row r="46" spans="1:12" ht="15">
      <c r="A46" s="1006" t="s">
        <v>7</v>
      </c>
      <c r="E46" s="613"/>
      <c r="F46" s="613"/>
      <c r="G46" s="613"/>
      <c r="H46" s="928"/>
    </row>
    <row r="47" spans="1:12" ht="15">
      <c r="A47" s="1006"/>
      <c r="B47" s="1007" t="s">
        <v>648</v>
      </c>
      <c r="C47" s="1007" t="s">
        <v>647</v>
      </c>
      <c r="D47" s="1008" t="s">
        <v>646</v>
      </c>
      <c r="E47" s="1007" t="s">
        <v>645</v>
      </c>
      <c r="F47" s="1008" t="s">
        <v>644</v>
      </c>
      <c r="G47" s="1007" t="s">
        <v>666</v>
      </c>
      <c r="H47" s="1007" t="s">
        <v>667</v>
      </c>
    </row>
    <row r="48" spans="1:12">
      <c r="A48" s="686">
        <f>+A42+1</f>
        <v>29</v>
      </c>
      <c r="B48" s="1009" t="str">
        <f>"Annual Interest Expense for "&amp;TCOS!L4</f>
        <v>Annual Interest Expense for 2021</v>
      </c>
      <c r="C48" s="1010"/>
      <c r="D48" s="1011"/>
      <c r="E48" s="1012"/>
      <c r="F48" s="1012"/>
      <c r="G48" s="1012"/>
      <c r="H48" s="1012"/>
      <c r="I48" s="1012"/>
      <c r="J48" s="1012"/>
      <c r="K48" s="1012"/>
      <c r="L48" s="1012"/>
    </row>
    <row r="49" spans="1:12">
      <c r="A49" s="686">
        <f t="shared" ref="A49:A56" si="4">+A48+1</f>
        <v>30</v>
      </c>
      <c r="B49" s="1169" t="s">
        <v>769</v>
      </c>
      <c r="C49" s="1010"/>
      <c r="D49" s="1011"/>
      <c r="E49" s="1014">
        <v>127770000</v>
      </c>
      <c r="F49" s="1012"/>
      <c r="G49" s="1012"/>
      <c r="H49" s="1012"/>
      <c r="I49" s="1012"/>
      <c r="J49" s="1012"/>
      <c r="K49" s="1012"/>
      <c r="L49" s="1012"/>
    </row>
    <row r="50" spans="1:12" ht="28.5" customHeight="1">
      <c r="A50" s="686">
        <f t="shared" si="4"/>
        <v>31</v>
      </c>
      <c r="B50" s="1522" t="str">
        <f>"Less: Total Hedge Gain/Expense Accumulated from p 256-257, col. (i) of FERC Form 1  included in Ln "&amp;A49&amp;" and shown in "&amp;A74&amp;" below."</f>
        <v>Less: Total Hedge Gain/Expense Accumulated from p 256-257, col. (i) of FERC Form 1  included in Ln 30 and shown in 50 below.</v>
      </c>
      <c r="C50" s="1523"/>
      <c r="D50" s="1011"/>
      <c r="E50" s="1010">
        <f>+C74</f>
        <v>2028000</v>
      </c>
      <c r="F50" s="1012"/>
      <c r="G50" s="1012"/>
      <c r="H50" s="1012"/>
      <c r="I50" s="1012"/>
      <c r="J50" s="1012"/>
      <c r="K50" s="1012"/>
      <c r="L50" s="1012"/>
    </row>
    <row r="51" spans="1:12" ht="16.5" customHeight="1">
      <c r="A51" s="686">
        <f t="shared" si="4"/>
        <v>32</v>
      </c>
      <c r="B51" s="1015" t="str">
        <f>"Plus:  Allowed Hedge Recovery From Ln "&amp;A80&amp;"  below."</f>
        <v>Plus:  Allowed Hedge Recovery From Ln 55  below.</v>
      </c>
      <c r="C51" s="1170"/>
      <c r="D51" s="1011"/>
      <c r="E51" s="1016">
        <f>+E80</f>
        <v>2028000</v>
      </c>
      <c r="F51" s="1012"/>
      <c r="G51" s="1012"/>
      <c r="H51" s="1012"/>
      <c r="I51" s="1012"/>
      <c r="J51" s="1012"/>
      <c r="K51" s="1012"/>
      <c r="L51" s="1012"/>
    </row>
    <row r="52" spans="1:12">
      <c r="A52" s="686">
        <f t="shared" si="4"/>
        <v>33</v>
      </c>
      <c r="B52" s="1169" t="s">
        <v>770</v>
      </c>
      <c r="C52" s="1171"/>
      <c r="D52" s="1017"/>
      <c r="E52" s="1014">
        <v>2145000</v>
      </c>
      <c r="F52" s="1012"/>
      <c r="G52" s="1012"/>
      <c r="H52" s="1012"/>
      <c r="I52" s="1012"/>
      <c r="J52" s="1012"/>
    </row>
    <row r="53" spans="1:12">
      <c r="A53" s="686">
        <f t="shared" si="4"/>
        <v>34</v>
      </c>
      <c r="B53" s="1169" t="s">
        <v>771</v>
      </c>
      <c r="C53" s="1018"/>
      <c r="D53" s="1011"/>
      <c r="E53" s="1014">
        <v>1640000</v>
      </c>
      <c r="F53" s="1012"/>
      <c r="G53" s="1012"/>
      <c r="H53" s="1012"/>
      <c r="I53" s="1012"/>
      <c r="J53" s="1012"/>
    </row>
    <row r="54" spans="1:12">
      <c r="A54" s="686">
        <f t="shared" si="4"/>
        <v>35</v>
      </c>
      <c r="B54" s="1169" t="s">
        <v>772</v>
      </c>
      <c r="C54" s="1018"/>
      <c r="D54" s="1011"/>
      <c r="E54" s="1014"/>
      <c r="F54" s="1012"/>
      <c r="G54" s="1012"/>
      <c r="H54" s="1012"/>
      <c r="I54" s="1012"/>
      <c r="J54" s="1012"/>
    </row>
    <row r="55" spans="1:12" ht="13.5" thickBot="1">
      <c r="A55" s="686">
        <f t="shared" si="4"/>
        <v>36</v>
      </c>
      <c r="B55" s="1169" t="s">
        <v>773</v>
      </c>
      <c r="C55" s="1018"/>
      <c r="D55" s="1011"/>
      <c r="E55" s="1019"/>
      <c r="F55" s="1012"/>
      <c r="G55" s="1012"/>
      <c r="H55" s="1012"/>
      <c r="I55" s="1012"/>
      <c r="J55" s="1012"/>
    </row>
    <row r="56" spans="1:12">
      <c r="A56" s="686">
        <f t="shared" si="4"/>
        <v>37</v>
      </c>
      <c r="B56" s="1009" t="str">
        <f>"Total Interest Expense (Ln "&amp;A49&amp;" - "&amp;A50&amp;" + "&amp;A52&amp;" + "&amp;A53&amp;" - "&amp;A54&amp;" - "&amp;A55&amp;")"</f>
        <v>Total Interest Expense (Ln 30 - 31 + 33 + 34 - 35 - 36)</v>
      </c>
      <c r="C56" s="1020"/>
      <c r="D56" s="1021"/>
      <c r="E56" s="1022">
        <f>+E49-E50+E51+E52+E53-E54-E55</f>
        <v>131555000</v>
      </c>
      <c r="F56" s="1012"/>
      <c r="G56" s="1012"/>
      <c r="H56" s="1012"/>
      <c r="I56" s="1012"/>
      <c r="J56" s="1012"/>
    </row>
    <row r="57" spans="1:12" ht="13.5" thickBot="1">
      <c r="A57" s="686"/>
      <c r="B57" s="1013"/>
      <c r="C57" s="1018"/>
      <c r="D57" s="1011"/>
      <c r="E57" s="1022"/>
      <c r="F57" s="1012"/>
      <c r="G57" s="1012"/>
      <c r="H57" s="1012"/>
      <c r="I57" s="1012"/>
      <c r="J57" s="1012"/>
    </row>
    <row r="58" spans="1:12" ht="13.5" thickBot="1">
      <c r="A58" s="686">
        <f>+A56+1</f>
        <v>38</v>
      </c>
      <c r="B58" s="1009" t="str">
        <f>"Average Cost of Debt for "&amp;TCOS!L4&amp;" (Ln "&amp;A56&amp;"/ ln "&amp;A42&amp;" (g))"</f>
        <v>Average Cost of Debt for 2021 (Ln 37/ ln 28 (g))</v>
      </c>
      <c r="C58" s="1020"/>
      <c r="D58" s="1011"/>
      <c r="E58" s="1023">
        <f>+E56/H42</f>
        <v>3.8913699763894076E-2</v>
      </c>
      <c r="F58" s="1012"/>
      <c r="G58" s="1012"/>
      <c r="H58" s="1012"/>
      <c r="I58" s="1012"/>
      <c r="J58" s="1012"/>
    </row>
    <row r="59" spans="1:12">
      <c r="A59" s="1024"/>
      <c r="B59" s="1013"/>
      <c r="C59" s="1018"/>
      <c r="D59" s="1011"/>
      <c r="E59" s="1018"/>
      <c r="F59" s="1012"/>
      <c r="G59" s="1012"/>
      <c r="H59" s="1012"/>
      <c r="I59" s="1012"/>
      <c r="J59" s="1012"/>
    </row>
    <row r="60" spans="1:12" s="1026" customFormat="1" ht="28.5" customHeight="1">
      <c r="A60" s="800"/>
      <c r="B60" s="1524" t="s">
        <v>0</v>
      </c>
      <c r="C60" s="1524"/>
      <c r="D60" s="1524"/>
      <c r="E60" s="1524"/>
      <c r="F60" s="801"/>
      <c r="G60" s="1025"/>
    </row>
    <row r="61" spans="1:12" s="1026" customFormat="1" ht="107.25" customHeight="1">
      <c r="A61" s="802">
        <f>+A58+1</f>
        <v>39</v>
      </c>
      <c r="B61" s="1525" t="s">
        <v>313</v>
      </c>
      <c r="C61" s="1526"/>
      <c r="D61" s="1526"/>
      <c r="E61" s="1526"/>
      <c r="F61" s="613"/>
      <c r="G61" s="1025"/>
    </row>
    <row r="62" spans="1:12" s="1026" customFormat="1" ht="12" customHeight="1">
      <c r="A62" s="800"/>
      <c r="B62" s="803"/>
      <c r="C62" s="803"/>
      <c r="D62" s="803"/>
      <c r="E62" s="803"/>
      <c r="F62" s="1025"/>
      <c r="G62" s="1527" t="s">
        <v>233</v>
      </c>
      <c r="H62" s="1527"/>
    </row>
    <row r="63" spans="1:12" s="1026" customFormat="1" ht="52.5" customHeight="1">
      <c r="A63" s="627"/>
      <c r="B63" s="1028" t="s">
        <v>360</v>
      </c>
      <c r="C63" s="1027" t="str">
        <f>"Total Hedge (Gain)/Loss for "&amp;TCOS!L4</f>
        <v>Total Hedge (Gain)/Loss for 2021</v>
      </c>
      <c r="D63" s="1027" t="str">
        <f>"Less Excludable Amounts (See NOTE on Line "&amp;A61&amp;")"</f>
        <v>Less Excludable Amounts (See NOTE on Line 39)</v>
      </c>
      <c r="E63" s="1027" t="s">
        <v>1</v>
      </c>
      <c r="F63" s="1027" t="s">
        <v>232</v>
      </c>
      <c r="G63" s="1027" t="s">
        <v>284</v>
      </c>
      <c r="H63" s="1027" t="s">
        <v>286</v>
      </c>
    </row>
    <row r="64" spans="1:12" s="1026" customFormat="1" ht="12.75" customHeight="1">
      <c r="A64" s="627">
        <f>+A61+1</f>
        <v>40</v>
      </c>
      <c r="B64" s="1029" t="s">
        <v>1113</v>
      </c>
      <c r="C64" s="1014">
        <v>0</v>
      </c>
      <c r="D64" s="1014">
        <v>0</v>
      </c>
      <c r="E64" s="1030">
        <f t="shared" ref="E64:E72" si="5">+C64-D64</f>
        <v>0</v>
      </c>
      <c r="F64" s="1014">
        <v>0</v>
      </c>
      <c r="G64" s="1326" t="s">
        <v>1114</v>
      </c>
      <c r="H64" s="1326" t="s">
        <v>1115</v>
      </c>
      <c r="I64" s="357"/>
      <c r="J64" s="357"/>
    </row>
    <row r="65" spans="1:8" s="1026" customFormat="1" ht="12.75" customHeight="1">
      <c r="A65" s="627">
        <f t="shared" ref="A65:A74" si="6">+A64+1</f>
        <v>41</v>
      </c>
      <c r="B65" s="1029" t="s">
        <v>1116</v>
      </c>
      <c r="C65" s="1014">
        <v>0</v>
      </c>
      <c r="D65" s="1014">
        <v>0</v>
      </c>
      <c r="E65" s="1030">
        <f t="shared" si="5"/>
        <v>0</v>
      </c>
      <c r="F65" s="1014">
        <v>0</v>
      </c>
      <c r="G65" s="1326">
        <v>38693</v>
      </c>
      <c r="H65" s="1326">
        <v>42338</v>
      </c>
    </row>
    <row r="66" spans="1:8" s="1026" customFormat="1" ht="12.75" customHeight="1">
      <c r="A66" s="627">
        <f t="shared" si="6"/>
        <v>42</v>
      </c>
      <c r="B66" s="1029" t="s">
        <v>1117</v>
      </c>
      <c r="C66" s="1014">
        <v>422000</v>
      </c>
      <c r="D66" s="1014">
        <v>0</v>
      </c>
      <c r="E66" s="1030">
        <f t="shared" si="5"/>
        <v>422000</v>
      </c>
      <c r="F66" s="1014">
        <v>7222000</v>
      </c>
      <c r="G66" s="1326">
        <v>39035</v>
      </c>
      <c r="H66" s="1326">
        <v>50099</v>
      </c>
    </row>
    <row r="67" spans="1:8" s="1026" customFormat="1" ht="12.75" customHeight="1">
      <c r="A67" s="627">
        <f t="shared" si="6"/>
        <v>43</v>
      </c>
      <c r="B67" s="1029" t="s">
        <v>1118</v>
      </c>
      <c r="C67" s="1014">
        <v>1606000</v>
      </c>
      <c r="D67" s="1014">
        <v>0</v>
      </c>
      <c r="E67" s="1030">
        <f t="shared" si="5"/>
        <v>1606000</v>
      </c>
      <c r="F67" s="1014">
        <v>5154000</v>
      </c>
      <c r="G67" s="1326">
        <v>41348</v>
      </c>
      <c r="H67" s="1326">
        <v>45000</v>
      </c>
    </row>
    <row r="68" spans="1:8" s="1026" customFormat="1" ht="12.75" customHeight="1">
      <c r="A68" s="627">
        <f t="shared" si="6"/>
        <v>44</v>
      </c>
      <c r="B68" s="1029"/>
      <c r="C68" s="910"/>
      <c r="D68" s="1029"/>
      <c r="E68" s="1030">
        <f t="shared" si="5"/>
        <v>0</v>
      </c>
      <c r="F68" s="910"/>
      <c r="G68" s="1031"/>
      <c r="H68" s="1031"/>
    </row>
    <row r="69" spans="1:8" s="1026" customFormat="1" ht="12.75" customHeight="1">
      <c r="A69" s="627">
        <f t="shared" si="6"/>
        <v>45</v>
      </c>
      <c r="B69" s="1029"/>
      <c r="C69" s="910"/>
      <c r="D69" s="1029"/>
      <c r="E69" s="1030">
        <f t="shared" si="5"/>
        <v>0</v>
      </c>
      <c r="F69" s="910"/>
      <c r="G69" s="1031"/>
      <c r="H69" s="1031"/>
    </row>
    <row r="70" spans="1:8" s="1026" customFormat="1" ht="12.75" customHeight="1">
      <c r="A70" s="627">
        <f t="shared" si="6"/>
        <v>46</v>
      </c>
      <c r="B70" s="1029"/>
      <c r="C70" s="910"/>
      <c r="D70" s="1029"/>
      <c r="E70" s="1030">
        <f t="shared" si="5"/>
        <v>0</v>
      </c>
      <c r="F70" s="910"/>
      <c r="G70" s="1031"/>
      <c r="H70" s="1031"/>
    </row>
    <row r="71" spans="1:8" s="1026" customFormat="1" ht="12.75" customHeight="1">
      <c r="A71" s="627">
        <f t="shared" si="6"/>
        <v>47</v>
      </c>
      <c r="B71" s="1029"/>
      <c r="C71" s="910"/>
      <c r="D71" s="1032"/>
      <c r="E71" s="1030">
        <f t="shared" si="5"/>
        <v>0</v>
      </c>
      <c r="F71" s="910"/>
      <c r="G71" s="1031"/>
      <c r="H71" s="1031"/>
    </row>
    <row r="72" spans="1:8" s="1026" customFormat="1" ht="12.75" customHeight="1">
      <c r="A72" s="627">
        <f t="shared" si="6"/>
        <v>48</v>
      </c>
      <c r="B72" s="1029"/>
      <c r="C72" s="910"/>
      <c r="D72" s="1014"/>
      <c r="E72" s="1030">
        <f t="shared" si="5"/>
        <v>0</v>
      </c>
      <c r="F72" s="1033"/>
      <c r="G72" s="1033"/>
      <c r="H72" s="1033"/>
    </row>
    <row r="73" spans="1:8" s="1026" customFormat="1" ht="12.75" customHeight="1">
      <c r="A73" s="627">
        <f t="shared" si="6"/>
        <v>49</v>
      </c>
      <c r="B73" s="570"/>
      <c r="C73" s="1034"/>
      <c r="D73" s="1034"/>
      <c r="E73" s="1035"/>
      <c r="F73" s="1030">
        <f>SUM(F64:F72)</f>
        <v>12376000</v>
      </c>
      <c r="G73" s="1025"/>
    </row>
    <row r="74" spans="1:8" s="1026" customFormat="1" ht="12.75" customHeight="1">
      <c r="A74" s="627">
        <f t="shared" si="6"/>
        <v>50</v>
      </c>
      <c r="B74" s="1013" t="s">
        <v>8</v>
      </c>
      <c r="C74" s="1022">
        <f>SUM(C64:C72)</f>
        <v>2028000</v>
      </c>
      <c r="D74" s="1022">
        <f>SUM(D64:D72)</f>
        <v>0</v>
      </c>
      <c r="F74" s="1025"/>
      <c r="G74" s="1025"/>
    </row>
    <row r="75" spans="1:8" s="1026" customFormat="1" ht="21" customHeight="1">
      <c r="A75" s="627"/>
      <c r="B75" s="1013"/>
      <c r="C75" s="1022"/>
      <c r="D75" s="1022"/>
      <c r="E75" s="1022"/>
      <c r="F75" s="1025"/>
      <c r="G75" s="1025"/>
    </row>
    <row r="76" spans="1:8" s="1026" customFormat="1" ht="14.25" customHeight="1">
      <c r="A76" s="627">
        <f>+A74+1</f>
        <v>51</v>
      </c>
      <c r="B76" s="1013" t="str">
        <f>"Hedge Gain or Loss Prior to Application of Recovery Limit (Sum of Lines "&amp;A64&amp;" to "&amp;A72&amp;")"</f>
        <v>Hedge Gain or Loss Prior to Application of Recovery Limit (Sum of Lines 40 to 48)</v>
      </c>
      <c r="C76" s="1022"/>
      <c r="D76" s="1022"/>
      <c r="E76" s="1022">
        <f>SUM(E64:E72)</f>
        <v>2028000</v>
      </c>
      <c r="F76" s="1025"/>
      <c r="G76" s="1025"/>
    </row>
    <row r="77" spans="1:8" s="1026" customFormat="1" ht="12.75" customHeight="1">
      <c r="A77" s="627">
        <f>+A76+1</f>
        <v>52</v>
      </c>
      <c r="B77" s="1036" t="str">
        <f>"Total Average Capital Structure Balance for "&amp;TCOS!L4&amp;" (TCOS, Ln "&amp;TCOS!B258&amp;")"</f>
        <v>Total Average Capital Structure Balance for 2021 (TCOS, Ln 157)</v>
      </c>
      <c r="C77" s="1018"/>
      <c r="D77" s="1011"/>
      <c r="E77" s="1037">
        <f>TCOS!G258</f>
        <v>6101760000</v>
      </c>
      <c r="F77" s="1025"/>
      <c r="G77" s="1025"/>
      <c r="H77" s="1038"/>
    </row>
    <row r="78" spans="1:8" s="1026" customFormat="1" ht="12.75" customHeight="1">
      <c r="A78" s="627">
        <f>+A77+1</f>
        <v>53</v>
      </c>
      <c r="B78" s="1013" t="s">
        <v>490</v>
      </c>
      <c r="C78" s="1018"/>
      <c r="D78" s="1011"/>
      <c r="E78" s="1039">
        <v>5.0000000000000001E-4</v>
      </c>
      <c r="F78" s="1025"/>
      <c r="G78" s="1040"/>
    </row>
    <row r="79" spans="1:8" s="1026" customFormat="1" ht="12.75" customHeight="1" thickBot="1">
      <c r="A79" s="627">
        <f>+A78+1</f>
        <v>54</v>
      </c>
      <c r="B79" s="1013" t="s">
        <v>491</v>
      </c>
      <c r="C79" s="1018"/>
      <c r="D79" s="1011"/>
      <c r="E79" s="1041">
        <f>+E77*E78</f>
        <v>3050880</v>
      </c>
      <c r="F79" s="1025"/>
      <c r="G79" s="1025"/>
    </row>
    <row r="80" spans="1:8" s="1026" customFormat="1" ht="12.75" customHeight="1" thickBot="1">
      <c r="A80" s="627">
        <f>+A79+1</f>
        <v>55</v>
      </c>
      <c r="B80" s="1009" t="str">
        <f>"Recoverable Hedge Amortization (Lesser of Ln "&amp;A76&amp;" or Ln "&amp;A79&amp;")"</f>
        <v>Recoverable Hedge Amortization (Lesser of Ln 51 or Ln 54)</v>
      </c>
      <c r="C80" s="1018"/>
      <c r="D80" s="1011"/>
      <c r="E80" s="1042">
        <f>+IF(E79&lt;E76,E79,E76)</f>
        <v>2028000</v>
      </c>
      <c r="F80" s="1025"/>
      <c r="G80" s="1025"/>
    </row>
    <row r="81" spans="1:7" s="1026" customFormat="1" ht="12.75" customHeight="1">
      <c r="A81" s="627"/>
      <c r="B81" s="1013"/>
      <c r="C81" s="1018"/>
      <c r="D81" s="1011"/>
      <c r="E81" s="1018"/>
      <c r="F81" s="1025"/>
      <c r="G81" s="1025"/>
    </row>
    <row r="82" spans="1:7" s="1026" customFormat="1" ht="12.75" customHeight="1">
      <c r="A82" s="1043" t="s">
        <v>9</v>
      </c>
      <c r="B82" s="1044"/>
      <c r="C82" s="1018"/>
      <c r="D82" s="1011"/>
      <c r="E82" s="1018"/>
      <c r="F82" s="1025"/>
      <c r="G82" s="1025"/>
    </row>
    <row r="83" spans="1:7" s="1026" customFormat="1" ht="12.75" customHeight="1">
      <c r="A83" s="627"/>
      <c r="B83" s="1013"/>
      <c r="C83" s="1018"/>
      <c r="D83" s="1011"/>
      <c r="E83" s="1018"/>
      <c r="F83" s="1025"/>
      <c r="G83" s="1025"/>
    </row>
    <row r="84" spans="1:7" s="1026" customFormat="1" ht="12.75" customHeight="1">
      <c r="A84" s="627"/>
      <c r="B84" s="1045" t="s">
        <v>259</v>
      </c>
      <c r="C84" s="1046"/>
      <c r="D84" s="1047"/>
      <c r="E84" s="1046" t="s">
        <v>507</v>
      </c>
      <c r="F84" s="1025"/>
      <c r="G84" s="1025"/>
    </row>
    <row r="85" spans="1:7" s="1026" customFormat="1" ht="12.75" customHeight="1">
      <c r="A85" s="627">
        <f>+A80+1</f>
        <v>56</v>
      </c>
      <c r="B85" s="1011" t="str">
        <f>""&amp;C$85*100&amp;"% Series - "&amp;C$86&amp;" - Dividend Rate (p. 250-251)"</f>
        <v>0% Series - 0 - Dividend Rate (p. 250-251)</v>
      </c>
      <c r="C85" s="1048">
        <v>0</v>
      </c>
      <c r="D85" s="1048">
        <v>0</v>
      </c>
      <c r="E85" s="1046"/>
      <c r="F85" s="1025"/>
      <c r="G85" s="1025"/>
    </row>
    <row r="86" spans="1:7" s="1026" customFormat="1" ht="12.75" customHeight="1">
      <c r="A86" s="627">
        <f>+A85+1</f>
        <v>57</v>
      </c>
      <c r="B86" s="1011" t="str">
        <f>""&amp;C$85*100&amp;"% Series - "&amp;C$86&amp;" - Par Value (p. 250-251)"</f>
        <v>0% Series - 0 - Par Value (p. 250-251)</v>
      </c>
      <c r="C86" s="1049">
        <v>0</v>
      </c>
      <c r="D86" s="1049">
        <v>0</v>
      </c>
      <c r="E86" s="1046"/>
      <c r="F86" s="1025"/>
      <c r="G86" s="1025"/>
    </row>
    <row r="87" spans="1:7" s="1026" customFormat="1" ht="12.75" customHeight="1">
      <c r="A87" s="627">
        <f>+A86+1</f>
        <v>58</v>
      </c>
      <c r="B87" s="1011" t="str">
        <f>""&amp;C$85*100&amp;"% Series - "&amp;C$86&amp;" - Shares O/S (p.250-251) "</f>
        <v xml:space="preserve">0% Series - 0 - Shares O/S (p.250-251) </v>
      </c>
      <c r="C87" s="1014">
        <v>0</v>
      </c>
      <c r="D87" s="1014">
        <v>0</v>
      </c>
      <c r="E87" s="1050"/>
      <c r="F87" s="1025"/>
      <c r="G87" s="1025"/>
    </row>
    <row r="88" spans="1:7" s="1026" customFormat="1" ht="12.75" customHeight="1">
      <c r="A88" s="627">
        <f>+A87+1</f>
        <v>59</v>
      </c>
      <c r="B88" s="1011" t="str">
        <f>""&amp;C$85*100&amp;"% Series - "&amp;C$86&amp;" - Monetary Value (Ln "&amp;A86&amp;" * Ln "&amp;A87&amp;")"</f>
        <v>0% Series - 0 - Monetary Value (Ln 57 * Ln 58)</v>
      </c>
      <c r="C88" s="1051">
        <f>+C87*C86</f>
        <v>0</v>
      </c>
      <c r="D88" s="1051">
        <f>+D87*D86</f>
        <v>0</v>
      </c>
      <c r="E88" s="1052">
        <f>IF(C88=D88=0,0,AVERAGE(C88:D88))</f>
        <v>0</v>
      </c>
      <c r="F88" s="1025"/>
      <c r="G88" s="1025"/>
    </row>
    <row r="89" spans="1:7" s="1026" customFormat="1" ht="12.75" customHeight="1">
      <c r="A89" s="627">
        <f>+A88+1</f>
        <v>60</v>
      </c>
      <c r="B89" s="1011" t="str">
        <f>""&amp;C$85*100&amp;"% Series - "&amp;C$86&amp;" -  Dividend Amount (Ln "&amp;A85&amp;" * Ln "&amp;A88&amp;")"</f>
        <v>0% Series - 0 -  Dividend Amount (Ln 56 * Ln 59)</v>
      </c>
      <c r="C89" s="1051">
        <f>+C88*C85</f>
        <v>0</v>
      </c>
      <c r="D89" s="1051">
        <f>+D88*D85</f>
        <v>0</v>
      </c>
      <c r="E89" s="1052">
        <f>IF(C89=D89=0,0,AVERAGE(C89:D89))</f>
        <v>0</v>
      </c>
      <c r="F89" s="1025"/>
      <c r="G89" s="1025"/>
    </row>
    <row r="90" spans="1:7" s="1026" customFormat="1" ht="12.75" customHeight="1">
      <c r="A90" s="627"/>
      <c r="B90" s="1011"/>
      <c r="C90" s="1051"/>
      <c r="D90" s="1040"/>
      <c r="E90" s="1053"/>
      <c r="F90" s="1025"/>
      <c r="G90" s="1025"/>
    </row>
    <row r="91" spans="1:7" s="1026" customFormat="1" ht="12.75" customHeight="1">
      <c r="A91" s="627">
        <f>+A89+1</f>
        <v>61</v>
      </c>
      <c r="B91" s="1011" t="str">
        <f>""&amp;C$91*100&amp;"% Series - "&amp;C$92&amp;" - Dividend Rate (p. 250-251)"</f>
        <v>0% Series - 0 - Dividend Rate (p. 250-251)</v>
      </c>
      <c r="C91" s="1048">
        <v>0</v>
      </c>
      <c r="D91" s="1048">
        <v>0</v>
      </c>
      <c r="E91" s="1053"/>
      <c r="F91" s="1025"/>
      <c r="G91" s="1025"/>
    </row>
    <row r="92" spans="1:7" s="1026" customFormat="1" ht="12.75" customHeight="1">
      <c r="A92" s="627">
        <f>+A91+1</f>
        <v>62</v>
      </c>
      <c r="B92" s="1011" t="str">
        <f>""&amp;C$91*100&amp;"% Series - "&amp;C$92&amp;" - Par Value (p. 250-251)"</f>
        <v>0% Series - 0 - Par Value (p. 250-251)</v>
      </c>
      <c r="C92" s="1049">
        <v>0</v>
      </c>
      <c r="D92" s="1049">
        <v>0</v>
      </c>
      <c r="E92" s="1053"/>
      <c r="F92" s="1025"/>
      <c r="G92" s="1025"/>
    </row>
    <row r="93" spans="1:7" s="1026" customFormat="1" ht="12.75" customHeight="1">
      <c r="A93" s="627">
        <f>+A92+1</f>
        <v>63</v>
      </c>
      <c r="B93" s="1011" t="str">
        <f>""&amp;C$91*100&amp;"% Series - "&amp;C$92&amp;" - Shares O/S (p.250-251) "</f>
        <v xml:space="preserve">0% Series - 0 - Shares O/S (p.250-251) </v>
      </c>
      <c r="C93" s="1014">
        <v>0</v>
      </c>
      <c r="D93" s="1014">
        <v>0</v>
      </c>
      <c r="E93" s="1053"/>
      <c r="F93" s="1025"/>
      <c r="G93" s="1025"/>
    </row>
    <row r="94" spans="1:7" s="1026" customFormat="1" ht="12.75" customHeight="1">
      <c r="A94" s="627">
        <f>+A93+1</f>
        <v>64</v>
      </c>
      <c r="B94" s="1011" t="str">
        <f>""&amp;C$91*100&amp;"% Series - "&amp;C$92&amp;" - Monetary Value (Ln "&amp;A92&amp;" * Ln "&amp;A93&amp;")"</f>
        <v>0% Series - 0 - Monetary Value (Ln 62 * Ln 63)</v>
      </c>
      <c r="C94" s="1010">
        <f>+C93*C92</f>
        <v>0</v>
      </c>
      <c r="D94" s="1010">
        <f>+D93*D92</f>
        <v>0</v>
      </c>
      <c r="E94" s="1052">
        <f>IF(C94=D94=0,0,AVERAGE(C94:D94))</f>
        <v>0</v>
      </c>
      <c r="F94" s="1025"/>
      <c r="G94" s="1025"/>
    </row>
    <row r="95" spans="1:7" s="1026" customFormat="1" ht="12.75" customHeight="1">
      <c r="A95" s="627">
        <f>+A94+1</f>
        <v>65</v>
      </c>
      <c r="B95" s="1011" t="str">
        <f>""&amp;C$91*100&amp;"% Series - "&amp;C$92&amp;" -  Dividend Amount (Ln "&amp;A91&amp;" * Ln "&amp;A94&amp;")"</f>
        <v>0% Series - 0 -  Dividend Amount (Ln 61 * Ln 64)</v>
      </c>
      <c r="C95" s="1010">
        <f>+C94*C91</f>
        <v>0</v>
      </c>
      <c r="D95" s="1010">
        <f>+D94*D91</f>
        <v>0</v>
      </c>
      <c r="E95" s="1052">
        <f>IF(C95=D95=0,0,AVERAGE(C95:D95))</f>
        <v>0</v>
      </c>
      <c r="F95" s="1025"/>
      <c r="G95" s="1025"/>
    </row>
    <row r="96" spans="1:7" s="1026" customFormat="1" ht="12.75" customHeight="1">
      <c r="A96" s="627"/>
      <c r="B96" s="1011"/>
      <c r="C96" s="1010"/>
      <c r="D96" s="1010"/>
      <c r="E96" s="1052"/>
      <c r="F96" s="1025"/>
      <c r="G96" s="1025"/>
    </row>
    <row r="97" spans="1:7" s="1026" customFormat="1" ht="12.75" customHeight="1">
      <c r="A97" s="627">
        <f>+A95+1</f>
        <v>66</v>
      </c>
      <c r="B97" s="1011" t="str">
        <f>""&amp;C$97*100&amp;"% Series - "&amp;C$98&amp;" - Dividend Rate (p. 250-251)"</f>
        <v>0% Series - 0 - Dividend Rate (p. 250-251)</v>
      </c>
      <c r="C97" s="1048">
        <v>0</v>
      </c>
      <c r="D97" s="1048">
        <v>0</v>
      </c>
      <c r="E97" s="1052"/>
      <c r="F97" s="1025"/>
      <c r="G97" s="1025"/>
    </row>
    <row r="98" spans="1:7" s="1026" customFormat="1" ht="12.75" customHeight="1">
      <c r="A98" s="627">
        <f>+A97+1</f>
        <v>67</v>
      </c>
      <c r="B98" s="1011" t="str">
        <f>""&amp;C$97*100&amp;"% Series - "&amp;C$98&amp;" - Par Value (p. 250-251)"</f>
        <v>0% Series - 0 - Par Value (p. 250-251)</v>
      </c>
      <c r="C98" s="1049">
        <v>0</v>
      </c>
      <c r="D98" s="1049">
        <v>0</v>
      </c>
      <c r="E98" s="1052"/>
      <c r="F98" s="1025"/>
      <c r="G98" s="1025"/>
    </row>
    <row r="99" spans="1:7" s="1026" customFormat="1" ht="12.75" customHeight="1">
      <c r="A99" s="627">
        <f>+A98+1</f>
        <v>68</v>
      </c>
      <c r="B99" s="1011" t="str">
        <f>""&amp;C$97*100&amp;"% Series - "&amp;C$98&amp;" - Shares O/S (p.250-251) "</f>
        <v xml:space="preserve">0% Series - 0 - Shares O/S (p.250-251) </v>
      </c>
      <c r="C99" s="1014">
        <v>0</v>
      </c>
      <c r="D99" s="1014">
        <v>0</v>
      </c>
      <c r="E99" s="1053"/>
      <c r="F99" s="1025"/>
      <c r="G99" s="1025"/>
    </row>
    <row r="100" spans="1:7" s="1026" customFormat="1" ht="12.75" customHeight="1">
      <c r="A100" s="627">
        <f>+A99+1</f>
        <v>69</v>
      </c>
      <c r="B100" s="1011" t="str">
        <f>""&amp;C$97*100&amp;"% Series - "&amp;C$98&amp;" - Monetary Value (Ln "&amp;A98&amp;" * Ln "&amp;A99&amp;")"</f>
        <v>0% Series - 0 - Monetary Value (Ln 67 * Ln 68)</v>
      </c>
      <c r="C100" s="1010">
        <f>+C99*C98</f>
        <v>0</v>
      </c>
      <c r="D100" s="1010">
        <f>+D99*D98</f>
        <v>0</v>
      </c>
      <c r="E100" s="1052">
        <f>IF(C100=D100=0,0,AVERAGE(C100:D100))</f>
        <v>0</v>
      </c>
      <c r="F100" s="1025"/>
      <c r="G100" s="1025"/>
    </row>
    <row r="101" spans="1:7" s="1026" customFormat="1" ht="12.75" customHeight="1">
      <c r="A101" s="627">
        <f>+A100+1</f>
        <v>70</v>
      </c>
      <c r="B101" s="1011" t="str">
        <f>""&amp;C$97*100&amp;"% Series - "&amp;C$98&amp;" -  Dividend Amount (Ln "&amp;A97&amp;" * Ln "&amp;A100&amp;")"</f>
        <v>0% Series - 0 -  Dividend Amount (Ln 66 * Ln 69)</v>
      </c>
      <c r="C101" s="1010">
        <f>+C100*C97</f>
        <v>0</v>
      </c>
      <c r="D101" s="1010">
        <f>+D100*D97</f>
        <v>0</v>
      </c>
      <c r="E101" s="1052">
        <f>IF(C101=D101=0,0,AVERAGE(C101:D101))</f>
        <v>0</v>
      </c>
      <c r="F101" s="1025"/>
      <c r="G101" s="1025"/>
    </row>
    <row r="102" spans="1:7" s="1026" customFormat="1" ht="12.75" customHeight="1">
      <c r="A102" s="627"/>
      <c r="B102" s="1011"/>
      <c r="C102" s="1010"/>
      <c r="D102" s="1010"/>
      <c r="E102" s="1025"/>
      <c r="F102" s="1025"/>
      <c r="G102" s="1025"/>
    </row>
    <row r="103" spans="1:7" s="1026" customFormat="1" ht="12.75" customHeight="1">
      <c r="A103" s="627">
        <f>+A101+1</f>
        <v>71</v>
      </c>
      <c r="B103" s="1021" t="str">
        <f>"Balance of Preferred Stock (Lns "&amp;A88&amp;", "&amp;A94&amp;", "&amp;A100&amp;")"</f>
        <v>Balance of Preferred Stock (Lns 59, 64, 69)</v>
      </c>
      <c r="C103" s="1010">
        <f>+C88+C94+C100</f>
        <v>0</v>
      </c>
      <c r="D103" s="1010">
        <f>+D88+D94+D100</f>
        <v>0</v>
      </c>
      <c r="E103" s="1054">
        <f>+E88+E94+E100</f>
        <v>0</v>
      </c>
      <c r="F103" s="1011" t="s">
        <v>314</v>
      </c>
      <c r="G103" s="1025"/>
    </row>
    <row r="104" spans="1:7" s="1026" customFormat="1" ht="12.75" customHeight="1" thickBot="1">
      <c r="A104" s="627">
        <f>+A103+1</f>
        <v>72</v>
      </c>
      <c r="B104" s="1021" t="str">
        <f>"Dividends on Preferred Stock (Lns "&amp;A89&amp;", "&amp;A95&amp;", "&amp;A101&amp;")"</f>
        <v>Dividends on Preferred Stock (Lns 60, 65, 70)</v>
      </c>
      <c r="C104" s="1055">
        <f>+C95+C89+C101</f>
        <v>0</v>
      </c>
      <c r="D104" s="1055">
        <f>+D95+D89+D101</f>
        <v>0</v>
      </c>
      <c r="E104" s="1056">
        <f>+E101+E95+E89</f>
        <v>0</v>
      </c>
      <c r="F104" s="1025"/>
      <c r="G104" s="1025"/>
    </row>
    <row r="105" spans="1:7" s="1026" customFormat="1" ht="12.75" customHeight="1" thickBot="1">
      <c r="A105" s="627">
        <f>+A104+1</f>
        <v>73</v>
      </c>
      <c r="B105" s="1057" t="str">
        <f>"Average Cost of Preferred Stock (Ln "&amp;A104&amp;"/"&amp;A103&amp;")"</f>
        <v>Average Cost of Preferred Stock (Ln 72/71)</v>
      </c>
      <c r="C105" s="1018">
        <f>IF(C103=0,0,C104/C103)</f>
        <v>0</v>
      </c>
      <c r="D105" s="1018">
        <f>IF(D103=0,0,D104/D103)</f>
        <v>0</v>
      </c>
      <c r="E105" s="1023">
        <f>IF(E103=0,0,+E104/E103)</f>
        <v>0</v>
      </c>
      <c r="F105" s="1025"/>
      <c r="G105" s="1025"/>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20" t="s">
        <v>115</v>
      </c>
    </row>
    <row r="2" spans="1:21" ht="15.75">
      <c r="A2" s="920" t="s">
        <v>115</v>
      </c>
    </row>
    <row r="3" spans="1:21" ht="18">
      <c r="A3" s="1505" t="s">
        <v>388</v>
      </c>
      <c r="B3" s="1505"/>
      <c r="C3" s="1505"/>
      <c r="D3" s="1505"/>
      <c r="E3" s="1505"/>
      <c r="F3" s="1505"/>
      <c r="G3" s="1505"/>
      <c r="H3" s="1505"/>
      <c r="I3" s="1505"/>
      <c r="J3" s="1505"/>
      <c r="K3" s="1505"/>
      <c r="L3" s="1505"/>
      <c r="M3" s="1505"/>
      <c r="N3" s="1505"/>
      <c r="O3" s="1505"/>
    </row>
    <row r="4" spans="1:21" ht="18">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c r="N4" s="1504"/>
      <c r="O4" s="1504"/>
    </row>
    <row r="5" spans="1:21" ht="18">
      <c r="A5" s="1504" t="s">
        <v>240</v>
      </c>
      <c r="B5" s="1504"/>
      <c r="C5" s="1504"/>
      <c r="D5" s="1504"/>
      <c r="E5" s="1504"/>
      <c r="F5" s="1504"/>
      <c r="G5" s="1504"/>
      <c r="H5" s="1504"/>
      <c r="I5" s="1504"/>
      <c r="J5" s="1504"/>
      <c r="K5" s="1504"/>
      <c r="L5" s="1504"/>
      <c r="M5" s="1504"/>
      <c r="N5" s="1504"/>
      <c r="O5" s="1504"/>
    </row>
    <row r="6" spans="1:21" ht="18">
      <c r="A6" s="1499" t="str">
        <f>+TCOS!F9</f>
        <v xml:space="preserve">Indiana Michigan Power Company </v>
      </c>
      <c r="B6" s="1499"/>
      <c r="C6" s="1499"/>
      <c r="D6" s="1499"/>
      <c r="E6" s="1499"/>
      <c r="F6" s="1499"/>
      <c r="G6" s="1499"/>
      <c r="H6" s="1499"/>
      <c r="I6" s="1499"/>
      <c r="J6" s="1499"/>
      <c r="K6" s="1499"/>
      <c r="L6" s="1499"/>
      <c r="M6" s="1499"/>
      <c r="N6" s="1499"/>
      <c r="O6" s="1499"/>
    </row>
    <row r="7" spans="1:21" ht="12.75" customHeight="1">
      <c r="A7" s="171"/>
      <c r="B7" s="171"/>
      <c r="C7" s="171"/>
      <c r="D7" s="171"/>
      <c r="E7" s="171"/>
      <c r="F7" s="171"/>
      <c r="G7" s="171"/>
      <c r="H7" s="171"/>
      <c r="I7" s="171"/>
      <c r="J7" s="171"/>
      <c r="K7" s="171"/>
      <c r="L7" s="171"/>
    </row>
    <row r="8" spans="1:21" ht="12.75" customHeight="1">
      <c r="A8" s="1535" t="s">
        <v>391</v>
      </c>
      <c r="B8" s="1535"/>
      <c r="C8" s="1535"/>
      <c r="D8" s="1535"/>
      <c r="E8" s="1535"/>
      <c r="F8" s="1535"/>
      <c r="G8" s="1535"/>
      <c r="H8" s="1535"/>
      <c r="I8" s="1535"/>
      <c r="J8" s="1535"/>
      <c r="K8" s="1535"/>
      <c r="L8" s="1535"/>
      <c r="M8" s="1535"/>
      <c r="N8" s="1535"/>
      <c r="O8" s="1535"/>
    </row>
    <row r="9" spans="1:21" ht="12.75" customHeight="1">
      <c r="A9" s="1535"/>
      <c r="B9" s="1535"/>
      <c r="C9" s="1535"/>
      <c r="D9" s="1535"/>
      <c r="E9" s="1535"/>
      <c r="F9" s="1535"/>
      <c r="G9" s="1535"/>
      <c r="H9" s="1535"/>
      <c r="I9" s="1535"/>
      <c r="J9" s="1535"/>
      <c r="K9" s="1535"/>
      <c r="L9" s="1535"/>
      <c r="M9" s="1535"/>
      <c r="N9" s="1535"/>
      <c r="O9" s="1535"/>
    </row>
    <row r="10" spans="1:21">
      <c r="A10" s="1535"/>
      <c r="B10" s="1535"/>
      <c r="C10" s="1535"/>
      <c r="D10" s="1535"/>
      <c r="E10" s="1535"/>
      <c r="F10" s="1535"/>
      <c r="G10" s="1535"/>
      <c r="H10" s="1535"/>
      <c r="I10" s="1535"/>
      <c r="J10" s="1535"/>
      <c r="K10" s="1535"/>
      <c r="L10" s="1535"/>
      <c r="M10" s="1535"/>
      <c r="N10" s="1535"/>
      <c r="O10" s="1535"/>
    </row>
    <row r="11" spans="1:21">
      <c r="A11" s="1535"/>
      <c r="B11" s="1535"/>
      <c r="C11" s="1535"/>
      <c r="D11" s="1535"/>
      <c r="E11" s="1535"/>
      <c r="F11" s="1535"/>
      <c r="G11" s="1535"/>
      <c r="H11" s="1535"/>
      <c r="I11" s="1535"/>
      <c r="J11" s="1535"/>
      <c r="K11" s="1535"/>
      <c r="L11" s="1535"/>
      <c r="M11" s="1535"/>
      <c r="N11" s="1535"/>
      <c r="O11" s="1535"/>
    </row>
    <row r="12" spans="1:21">
      <c r="B12" s="1" t="s">
        <v>163</v>
      </c>
      <c r="C12" s="1"/>
      <c r="D12" s="1534" t="s">
        <v>164</v>
      </c>
      <c r="E12" s="1534"/>
      <c r="F12" s="1534"/>
      <c r="G12" s="1534"/>
      <c r="H12" s="1"/>
      <c r="I12" s="1" t="s">
        <v>4</v>
      </c>
      <c r="J12" s="1"/>
      <c r="K12" s="1" t="s">
        <v>166</v>
      </c>
      <c r="L12" s="1"/>
      <c r="M12" s="1" t="s">
        <v>85</v>
      </c>
      <c r="N12" s="1"/>
      <c r="O12" s="1" t="s">
        <v>86</v>
      </c>
      <c r="P12" s="1"/>
      <c r="Q12" s="1" t="s">
        <v>20</v>
      </c>
      <c r="R12" s="1"/>
      <c r="S12" s="1" t="s">
        <v>92</v>
      </c>
      <c r="T12" s="1"/>
      <c r="U12" s="106" t="s">
        <v>501</v>
      </c>
    </row>
    <row r="13" spans="1:21">
      <c r="I13" s="1532" t="s">
        <v>18</v>
      </c>
      <c r="Q13" s="1536" t="s">
        <v>19</v>
      </c>
      <c r="S13" s="1532" t="s">
        <v>21</v>
      </c>
      <c r="U13" s="316" t="s">
        <v>81</v>
      </c>
    </row>
    <row r="14" spans="1:21">
      <c r="A14" s="180" t="s">
        <v>17</v>
      </c>
      <c r="B14" s="180" t="s">
        <v>13</v>
      </c>
      <c r="C14" s="180"/>
      <c r="D14" s="224" t="s">
        <v>14</v>
      </c>
      <c r="E14" s="180"/>
      <c r="F14" s="180"/>
      <c r="G14" s="180"/>
      <c r="H14" s="180"/>
      <c r="I14" s="1533"/>
      <c r="J14" s="180"/>
      <c r="K14" s="180" t="s">
        <v>15</v>
      </c>
      <c r="L14" s="180"/>
      <c r="M14" s="180" t="s">
        <v>16</v>
      </c>
      <c r="N14" s="180"/>
      <c r="O14" s="180" t="s">
        <v>494</v>
      </c>
      <c r="Q14" s="1536"/>
      <c r="S14" s="1532"/>
      <c r="U14" s="316" t="s">
        <v>307</v>
      </c>
    </row>
    <row r="15" spans="1:21">
      <c r="A15" s="180"/>
      <c r="B15" s="180"/>
      <c r="C15" s="180"/>
      <c r="D15" s="224"/>
      <c r="E15" s="180"/>
      <c r="F15" s="180"/>
      <c r="G15" s="180"/>
      <c r="H15" s="180"/>
      <c r="I15" s="3" t="s">
        <v>492</v>
      </c>
      <c r="J15" s="180"/>
      <c r="K15" s="180"/>
      <c r="L15" s="180"/>
      <c r="M15" s="180"/>
      <c r="N15" s="180"/>
      <c r="O15" s="180"/>
      <c r="Q15" s="253"/>
      <c r="S15" s="180" t="s">
        <v>494</v>
      </c>
    </row>
    <row r="16" spans="1:21">
      <c r="I16" t="s">
        <v>493</v>
      </c>
    </row>
    <row r="17" spans="1:21">
      <c r="A17" s="1">
        <v>1</v>
      </c>
      <c r="B17" s="912"/>
      <c r="D17" s="1531"/>
      <c r="E17" s="1531"/>
      <c r="F17" s="1531"/>
      <c r="G17" s="1531"/>
      <c r="I17" s="913"/>
      <c r="K17" s="911"/>
      <c r="L17" s="143"/>
      <c r="M17" s="911"/>
      <c r="O17" s="189">
        <f>+K17-M17</f>
        <v>0</v>
      </c>
      <c r="Q17" s="239">
        <f>IF(I17="G",TCOS!L241,IF(I17="T",1,0))</f>
        <v>0</v>
      </c>
      <c r="S17" s="189">
        <f>ROUND(O17*Q17,0)</f>
        <v>0</v>
      </c>
      <c r="U17" s="914"/>
    </row>
    <row r="18" spans="1:21">
      <c r="A18" s="1"/>
      <c r="D18" s="1531"/>
      <c r="E18" s="1531"/>
      <c r="F18" s="1531"/>
      <c r="G18" s="1531"/>
      <c r="K18" s="143"/>
      <c r="L18" s="143"/>
      <c r="M18" s="143"/>
      <c r="O18" s="143"/>
      <c r="Q18" s="239"/>
      <c r="S18" s="143"/>
    </row>
    <row r="19" spans="1:21">
      <c r="A19" s="1"/>
      <c r="D19" s="1531"/>
      <c r="E19" s="1531"/>
      <c r="F19" s="1531"/>
      <c r="G19" s="1531"/>
      <c r="K19" s="143"/>
      <c r="L19" s="143"/>
      <c r="M19" s="143"/>
      <c r="O19" s="143"/>
      <c r="Q19" s="239"/>
      <c r="S19" s="143"/>
    </row>
    <row r="20" spans="1:21">
      <c r="A20" s="1"/>
      <c r="K20" s="143"/>
      <c r="L20" s="143"/>
      <c r="M20" s="143"/>
      <c r="O20" s="143"/>
      <c r="Q20" s="239"/>
      <c r="S20" s="143"/>
    </row>
    <row r="21" spans="1:21">
      <c r="A21" s="1"/>
      <c r="K21" s="143"/>
      <c r="L21" s="143"/>
      <c r="M21" s="143"/>
      <c r="O21" s="143"/>
      <c r="Q21" s="239"/>
      <c r="S21" s="143"/>
    </row>
    <row r="22" spans="1:21" ht="12" customHeight="1">
      <c r="A22" s="1">
        <f>+A17+1</f>
        <v>2</v>
      </c>
      <c r="B22" s="912"/>
      <c r="D22" s="1531"/>
      <c r="E22" s="1531"/>
      <c r="F22" s="1531"/>
      <c r="G22" s="1531"/>
      <c r="I22" s="913"/>
      <c r="K22" s="911"/>
      <c r="L22" s="143"/>
      <c r="M22" s="911"/>
      <c r="O22" s="189">
        <f>+K22-M22</f>
        <v>0</v>
      </c>
      <c r="Q22" s="239">
        <f>IF(I22="G",TCOS!L241,IF(I22="T",1,0))</f>
        <v>0</v>
      </c>
      <c r="S22" s="189">
        <f>ROUND(O22*Q22,0)</f>
        <v>0</v>
      </c>
      <c r="U22" s="914"/>
    </row>
    <row r="23" spans="1:21">
      <c r="A23" s="1"/>
      <c r="D23" s="1531"/>
      <c r="E23" s="1531"/>
      <c r="F23" s="1531"/>
      <c r="G23" s="1531"/>
      <c r="K23" s="143"/>
      <c r="L23" s="143"/>
      <c r="M23" s="143"/>
      <c r="O23" s="143"/>
      <c r="Q23" s="239"/>
      <c r="S23" s="143"/>
    </row>
    <row r="24" spans="1:21">
      <c r="A24" s="1"/>
      <c r="D24" s="1531"/>
      <c r="E24" s="1531"/>
      <c r="F24" s="1531"/>
      <c r="G24" s="1531"/>
      <c r="K24" s="143"/>
      <c r="L24" s="143"/>
      <c r="M24" s="143"/>
      <c r="O24" s="143"/>
      <c r="Q24" s="239"/>
      <c r="S24" s="143"/>
    </row>
    <row r="25" spans="1:21">
      <c r="A25" s="1"/>
      <c r="I25" s="1"/>
      <c r="K25" s="143"/>
      <c r="L25" s="143"/>
      <c r="M25" s="143"/>
      <c r="O25" s="143"/>
      <c r="Q25" s="239"/>
      <c r="S25" s="143"/>
    </row>
    <row r="26" spans="1:21">
      <c r="A26" s="1"/>
      <c r="I26" s="1"/>
      <c r="K26" s="143"/>
      <c r="L26" s="143"/>
      <c r="M26" s="143"/>
      <c r="O26" s="143"/>
      <c r="Q26" s="239"/>
      <c r="S26" s="143"/>
    </row>
    <row r="27" spans="1:21">
      <c r="A27" s="1">
        <f>+A22+1</f>
        <v>3</v>
      </c>
      <c r="B27" s="912"/>
      <c r="D27" s="1531"/>
      <c r="E27" s="1531"/>
      <c r="F27" s="1531"/>
      <c r="G27" s="1531"/>
      <c r="I27" s="913"/>
      <c r="K27" s="911"/>
      <c r="L27" s="143"/>
      <c r="M27" s="911"/>
      <c r="O27" s="189">
        <f>+K27-M27</f>
        <v>0</v>
      </c>
      <c r="Q27" s="239">
        <f>IF(I27="G",TCOS!L241,IF(I27="T",1,0))</f>
        <v>0</v>
      </c>
      <c r="S27" s="189">
        <f>ROUND(O27*Q27,0)</f>
        <v>0</v>
      </c>
      <c r="U27" s="914"/>
    </row>
    <row r="28" spans="1:21">
      <c r="A28" s="1"/>
      <c r="D28" s="1531"/>
      <c r="E28" s="1531"/>
      <c r="F28" s="1531"/>
      <c r="G28" s="1531"/>
      <c r="K28" s="143"/>
      <c r="L28" s="143"/>
      <c r="M28" s="143"/>
      <c r="O28" s="143"/>
      <c r="Q28" s="239"/>
      <c r="S28" s="143"/>
    </row>
    <row r="29" spans="1:21">
      <c r="A29" s="1"/>
      <c r="D29" s="1531"/>
      <c r="E29" s="1531"/>
      <c r="F29" s="1531"/>
      <c r="G29" s="1531"/>
      <c r="K29" s="143"/>
      <c r="L29" s="143"/>
      <c r="M29" s="143"/>
      <c r="O29" s="143"/>
      <c r="Q29" s="239"/>
    </row>
    <row r="30" spans="1:21">
      <c r="A30" s="1"/>
      <c r="O30" s="143"/>
      <c r="Q30" s="239"/>
    </row>
    <row r="31" spans="1:21">
      <c r="A31" s="1"/>
      <c r="O31" s="143"/>
      <c r="Q31" s="239"/>
    </row>
    <row r="32" spans="1:21">
      <c r="A32" s="1"/>
      <c r="O32" s="143"/>
      <c r="Q32" s="239"/>
    </row>
    <row r="33" spans="1:19" ht="13.5" thickBot="1">
      <c r="A33" s="1">
        <f>+A27+1</f>
        <v>4</v>
      </c>
      <c r="K33" t="str">
        <f>"Net (Gain) or Loss for "&amp;TCOS!L4&amp;""</f>
        <v>Net (Gain) or Loss for 2021</v>
      </c>
      <c r="O33" s="251">
        <f>SUM(O17:O27)</f>
        <v>0</v>
      </c>
      <c r="Q33" s="252"/>
      <c r="S33" s="251">
        <f>SUM(S17:S27)</f>
        <v>0</v>
      </c>
    </row>
    <row r="34" spans="1:19" ht="13.5" thickTop="1">
      <c r="A34" s="1"/>
      <c r="O34" s="143"/>
      <c r="Q34" s="252"/>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zoomScaleNormal="100" zoomScaleSheetLayoutView="70" zoomScalePageLayoutView="50" workbookViewId="0">
      <selection activeCell="B23" sqref="B23"/>
    </sheetView>
  </sheetViews>
  <sheetFormatPr defaultColWidth="11.42578125" defaultRowHeight="12.75"/>
  <cols>
    <col min="1" max="1" width="10.28515625" style="924" customWidth="1"/>
    <col min="2" max="2" width="64.5703125" style="246" customWidth="1"/>
    <col min="3" max="3" width="26.7109375" style="246" bestFit="1" customWidth="1"/>
    <col min="4" max="11" width="20.28515625" style="246" customWidth="1"/>
    <col min="12" max="12" width="20" style="246" customWidth="1"/>
    <col min="13" max="14" width="15.140625" style="246" customWidth="1"/>
    <col min="15" max="16384" width="11.42578125" style="246"/>
  </cols>
  <sheetData>
    <row r="1" spans="1:12" ht="15">
      <c r="A1" s="1461" t="s">
        <v>388</v>
      </c>
      <c r="B1" s="1461"/>
      <c r="C1" s="1461"/>
      <c r="D1" s="1461"/>
      <c r="E1" s="1461"/>
      <c r="F1" s="1461"/>
      <c r="G1" s="1461"/>
      <c r="H1" s="928"/>
      <c r="I1" s="928"/>
    </row>
    <row r="2" spans="1:12" ht="15">
      <c r="A2" s="1462" t="str">
        <f>"Cost of Service Formula Rate Using Actual/Projected FF1 Balances"</f>
        <v>Cost of Service Formula Rate Using Actual/Projected FF1 Balances</v>
      </c>
      <c r="B2" s="1462"/>
      <c r="C2" s="1462"/>
      <c r="D2" s="1462"/>
      <c r="E2" s="1462"/>
      <c r="F2" s="1462"/>
      <c r="G2" s="1462"/>
      <c r="H2" s="928"/>
      <c r="I2" s="928"/>
      <c r="J2" s="928"/>
      <c r="L2" s="972"/>
    </row>
    <row r="3" spans="1:12" ht="15">
      <c r="A3" s="1462" t="s">
        <v>665</v>
      </c>
      <c r="B3" s="1462"/>
      <c r="C3" s="1462"/>
      <c r="D3" s="1462"/>
      <c r="E3" s="1462"/>
      <c r="F3" s="1462"/>
      <c r="G3" s="1462"/>
      <c r="H3" s="928"/>
      <c r="I3" s="928"/>
      <c r="J3" s="928"/>
    </row>
    <row r="4" spans="1:12" ht="15">
      <c r="A4" s="1469" t="str">
        <f>TCOS!F9</f>
        <v xml:space="preserve">Indiana Michigan Power Company </v>
      </c>
      <c r="B4" s="1469"/>
      <c r="C4" s="1469"/>
      <c r="D4" s="1469"/>
      <c r="E4" s="1469"/>
      <c r="F4" s="1469"/>
      <c r="G4" s="1469"/>
      <c r="H4" s="928"/>
      <c r="I4" s="928"/>
      <c r="J4" s="928"/>
    </row>
    <row r="5" spans="1:12">
      <c r="A5" s="928"/>
      <c r="B5" s="968"/>
      <c r="C5" s="968"/>
      <c r="D5" s="968"/>
      <c r="E5" s="971"/>
      <c r="F5" s="970"/>
      <c r="H5" s="970"/>
      <c r="J5" s="970"/>
      <c r="L5" s="970"/>
    </row>
    <row r="6" spans="1:12" ht="12.75" customHeight="1">
      <c r="A6" s="928"/>
      <c r="B6" s="968"/>
      <c r="C6" s="1463" t="s">
        <v>664</v>
      </c>
      <c r="D6" s="1464"/>
      <c r="E6" s="1464"/>
      <c r="F6" s="1464"/>
      <c r="G6" s="1464"/>
      <c r="H6" s="1464"/>
      <c r="I6" s="1464"/>
      <c r="J6" s="1464"/>
      <c r="K6" s="1465"/>
      <c r="L6" s="6"/>
    </row>
    <row r="7" spans="1:12" s="965" customFormat="1" ht="25.5">
      <c r="A7" s="967" t="s">
        <v>654</v>
      </c>
      <c r="B7" s="966" t="s">
        <v>653</v>
      </c>
      <c r="C7" s="944" t="s">
        <v>230</v>
      </c>
      <c r="D7" s="944" t="s">
        <v>662</v>
      </c>
      <c r="E7" s="944" t="s">
        <v>116</v>
      </c>
      <c r="F7" s="944" t="s">
        <v>661</v>
      </c>
      <c r="G7" s="944" t="s">
        <v>439</v>
      </c>
      <c r="H7" s="944" t="s">
        <v>660</v>
      </c>
      <c r="I7" s="944" t="s">
        <v>335</v>
      </c>
      <c r="J7" s="944" t="s">
        <v>659</v>
      </c>
      <c r="K7" s="943" t="s">
        <v>658</v>
      </c>
      <c r="L7" s="6"/>
    </row>
    <row r="8" spans="1:12" s="936" customFormat="1">
      <c r="A8" s="935"/>
      <c r="B8" s="941" t="s">
        <v>648</v>
      </c>
      <c r="C8" s="940" t="s">
        <v>647</v>
      </c>
      <c r="D8" s="940" t="s">
        <v>646</v>
      </c>
      <c r="E8" s="940" t="s">
        <v>645</v>
      </c>
      <c r="F8" s="940" t="s">
        <v>644</v>
      </c>
      <c r="G8" s="940" t="s">
        <v>666</v>
      </c>
      <c r="H8" s="940" t="s">
        <v>667</v>
      </c>
      <c r="I8" s="940" t="s">
        <v>657</v>
      </c>
      <c r="J8" s="940" t="s">
        <v>656</v>
      </c>
      <c r="K8" s="964" t="s">
        <v>655</v>
      </c>
      <c r="L8" s="6"/>
    </row>
    <row r="9" spans="1:12" s="936" customFormat="1" ht="44.25" customHeight="1">
      <c r="A9" s="935"/>
      <c r="B9" s="941" t="s">
        <v>643</v>
      </c>
      <c r="C9" s="963" t="s">
        <v>443</v>
      </c>
      <c r="D9" s="963" t="s">
        <v>448</v>
      </c>
      <c r="E9" s="963" t="s">
        <v>444</v>
      </c>
      <c r="F9" s="963" t="s">
        <v>668</v>
      </c>
      <c r="G9" s="963" t="s">
        <v>445</v>
      </c>
      <c r="H9" s="963" t="s">
        <v>446</v>
      </c>
      <c r="I9" s="963" t="s">
        <v>669</v>
      </c>
      <c r="J9" s="963" t="s">
        <v>670</v>
      </c>
      <c r="K9" s="962" t="s">
        <v>447</v>
      </c>
      <c r="L9" s="6"/>
    </row>
    <row r="10" spans="1:12">
      <c r="A10" s="935">
        <v>1</v>
      </c>
      <c r="B10" s="960" t="s">
        <v>641</v>
      </c>
      <c r="C10" s="933">
        <v>5286045000</v>
      </c>
      <c r="D10" s="933">
        <v>454818000</v>
      </c>
      <c r="E10" s="933">
        <v>1720329000</v>
      </c>
      <c r="F10" s="933"/>
      <c r="G10" s="933">
        <v>2684145000</v>
      </c>
      <c r="H10" s="933"/>
      <c r="I10" s="933">
        <v>174882000</v>
      </c>
      <c r="J10" s="933"/>
      <c r="K10" s="961">
        <v>295686000</v>
      </c>
      <c r="L10" s="6"/>
    </row>
    <row r="11" spans="1:12">
      <c r="A11" s="935">
        <f>+A10+1</f>
        <v>2</v>
      </c>
      <c r="B11" s="960" t="s">
        <v>186</v>
      </c>
      <c r="C11" s="933">
        <v>5285005000</v>
      </c>
      <c r="D11" s="933">
        <v>454812000</v>
      </c>
      <c r="E11" s="933">
        <v>1721292000</v>
      </c>
      <c r="F11" s="933"/>
      <c r="G11" s="933">
        <v>2720325000</v>
      </c>
      <c r="H11" s="933"/>
      <c r="I11" s="933">
        <v>175516000</v>
      </c>
      <c r="J11" s="933"/>
      <c r="K11" s="932">
        <v>294532000</v>
      </c>
      <c r="L11" s="6"/>
    </row>
    <row r="12" spans="1:12">
      <c r="A12" s="935">
        <f t="shared" ref="A12:A23" si="0">+A11+1</f>
        <v>3</v>
      </c>
      <c r="B12" s="959" t="s">
        <v>561</v>
      </c>
      <c r="C12" s="933">
        <v>5311992000</v>
      </c>
      <c r="D12" s="933">
        <v>454808000</v>
      </c>
      <c r="E12" s="933">
        <v>1723537000</v>
      </c>
      <c r="F12" s="933"/>
      <c r="G12" s="933">
        <v>2739044000</v>
      </c>
      <c r="H12" s="933"/>
      <c r="I12" s="933">
        <v>175878000</v>
      </c>
      <c r="J12" s="933"/>
      <c r="K12" s="932">
        <v>302352000</v>
      </c>
      <c r="L12" s="6"/>
    </row>
    <row r="13" spans="1:12">
      <c r="A13" s="935">
        <f t="shared" si="0"/>
        <v>4</v>
      </c>
      <c r="B13" s="959" t="s">
        <v>640</v>
      </c>
      <c r="C13" s="933">
        <v>5309113000</v>
      </c>
      <c r="D13" s="933">
        <v>454806000</v>
      </c>
      <c r="E13" s="933">
        <v>1724831000</v>
      </c>
      <c r="F13" s="933"/>
      <c r="G13" s="933">
        <v>2757704000</v>
      </c>
      <c r="H13" s="933"/>
      <c r="I13" s="933">
        <v>175961000</v>
      </c>
      <c r="J13" s="933"/>
      <c r="K13" s="932">
        <v>308059000</v>
      </c>
      <c r="L13" s="6"/>
    </row>
    <row r="14" spans="1:12">
      <c r="A14" s="935">
        <f t="shared" si="0"/>
        <v>5</v>
      </c>
      <c r="B14" s="959" t="s">
        <v>188</v>
      </c>
      <c r="C14" s="933">
        <v>5345479000</v>
      </c>
      <c r="D14" s="933">
        <v>454805000</v>
      </c>
      <c r="E14" s="933">
        <v>1727987000</v>
      </c>
      <c r="F14" s="933"/>
      <c r="G14" s="933">
        <v>2776286000</v>
      </c>
      <c r="H14" s="933"/>
      <c r="I14" s="933">
        <v>176045000</v>
      </c>
      <c r="J14" s="933"/>
      <c r="K14" s="932">
        <v>315605000</v>
      </c>
      <c r="L14" s="6"/>
    </row>
    <row r="15" spans="1:12">
      <c r="A15" s="935">
        <f t="shared" si="0"/>
        <v>6</v>
      </c>
      <c r="B15" s="959" t="s">
        <v>189</v>
      </c>
      <c r="C15" s="933">
        <v>5366332000</v>
      </c>
      <c r="D15" s="933">
        <v>454804000</v>
      </c>
      <c r="E15" s="933">
        <v>1735188000</v>
      </c>
      <c r="F15" s="933"/>
      <c r="G15" s="933">
        <v>2803182000</v>
      </c>
      <c r="H15" s="933"/>
      <c r="I15" s="933">
        <v>176112000</v>
      </c>
      <c r="J15" s="933"/>
      <c r="K15" s="932">
        <v>323043000</v>
      </c>
      <c r="L15" s="6"/>
    </row>
    <row r="16" spans="1:12">
      <c r="A16" s="935">
        <f t="shared" si="0"/>
        <v>7</v>
      </c>
      <c r="B16" s="959" t="s">
        <v>383</v>
      </c>
      <c r="C16" s="933">
        <v>5365659000</v>
      </c>
      <c r="D16" s="933">
        <v>454804000</v>
      </c>
      <c r="E16" s="933">
        <v>1750367000</v>
      </c>
      <c r="F16" s="933"/>
      <c r="G16" s="933">
        <v>2827240000</v>
      </c>
      <c r="H16" s="933"/>
      <c r="I16" s="933">
        <v>176175000</v>
      </c>
      <c r="J16" s="933"/>
      <c r="K16" s="932">
        <v>327986000</v>
      </c>
      <c r="L16" s="6"/>
    </row>
    <row r="17" spans="1:12">
      <c r="A17" s="935">
        <f t="shared" si="0"/>
        <v>8</v>
      </c>
      <c r="B17" s="959" t="s">
        <v>190</v>
      </c>
      <c r="C17" s="933">
        <v>5363921000</v>
      </c>
      <c r="D17" s="933">
        <v>454804000</v>
      </c>
      <c r="E17" s="933">
        <v>1751907000</v>
      </c>
      <c r="F17" s="933"/>
      <c r="G17" s="933">
        <v>2854196000</v>
      </c>
      <c r="H17" s="933"/>
      <c r="I17" s="933">
        <v>176232000</v>
      </c>
      <c r="J17" s="933"/>
      <c r="K17" s="932">
        <v>335428000</v>
      </c>
      <c r="L17" s="6"/>
    </row>
    <row r="18" spans="1:12">
      <c r="A18" s="935">
        <f t="shared" si="0"/>
        <v>9</v>
      </c>
      <c r="B18" s="959" t="s">
        <v>639</v>
      </c>
      <c r="C18" s="933">
        <v>5374741000</v>
      </c>
      <c r="D18" s="933">
        <v>454804000</v>
      </c>
      <c r="E18" s="933">
        <v>1758199000</v>
      </c>
      <c r="F18" s="933"/>
      <c r="G18" s="933">
        <v>2872132000</v>
      </c>
      <c r="H18" s="933"/>
      <c r="I18" s="933">
        <v>176297000</v>
      </c>
      <c r="J18" s="933"/>
      <c r="K18" s="932">
        <v>342935000</v>
      </c>
      <c r="L18" s="6"/>
    </row>
    <row r="19" spans="1:12">
      <c r="A19" s="935">
        <f t="shared" si="0"/>
        <v>10</v>
      </c>
      <c r="B19" s="959" t="s">
        <v>193</v>
      </c>
      <c r="C19" s="933">
        <v>5377496000</v>
      </c>
      <c r="D19" s="933">
        <v>454804000</v>
      </c>
      <c r="E19" s="933">
        <v>1762561000</v>
      </c>
      <c r="F19" s="933"/>
      <c r="G19" s="933">
        <v>2898051000</v>
      </c>
      <c r="H19" s="933"/>
      <c r="I19" s="933">
        <v>176381000</v>
      </c>
      <c r="J19" s="933"/>
      <c r="K19" s="932">
        <v>347095000</v>
      </c>
      <c r="L19" s="6"/>
    </row>
    <row r="20" spans="1:12">
      <c r="A20" s="935">
        <f t="shared" si="0"/>
        <v>11</v>
      </c>
      <c r="B20" s="959" t="s">
        <v>562</v>
      </c>
      <c r="C20" s="933">
        <v>5374296000</v>
      </c>
      <c r="D20" s="933">
        <v>454804000</v>
      </c>
      <c r="E20" s="933">
        <v>1769560000</v>
      </c>
      <c r="F20" s="933"/>
      <c r="G20" s="933">
        <v>2915271000</v>
      </c>
      <c r="H20" s="933"/>
      <c r="I20" s="933">
        <v>176473000</v>
      </c>
      <c r="J20" s="933"/>
      <c r="K20" s="932">
        <v>354548000</v>
      </c>
      <c r="L20" s="6"/>
    </row>
    <row r="21" spans="1:12">
      <c r="A21" s="935">
        <f t="shared" si="0"/>
        <v>12</v>
      </c>
      <c r="B21" s="959" t="s">
        <v>563</v>
      </c>
      <c r="C21" s="933">
        <v>5373457000</v>
      </c>
      <c r="D21" s="933">
        <v>454804000</v>
      </c>
      <c r="E21" s="933">
        <v>1785951000</v>
      </c>
      <c r="F21" s="933"/>
      <c r="G21" s="933">
        <v>2942462000</v>
      </c>
      <c r="H21" s="933"/>
      <c r="I21" s="933">
        <v>176556000</v>
      </c>
      <c r="J21" s="933"/>
      <c r="K21" s="932">
        <v>361929000</v>
      </c>
      <c r="L21" s="6"/>
    </row>
    <row r="22" spans="1:12">
      <c r="A22" s="934">
        <f t="shared" si="0"/>
        <v>13</v>
      </c>
      <c r="B22" s="958" t="s">
        <v>638</v>
      </c>
      <c r="C22" s="933">
        <v>5371634000</v>
      </c>
      <c r="D22" s="933">
        <v>454804000</v>
      </c>
      <c r="E22" s="933">
        <v>1795677000</v>
      </c>
      <c r="F22" s="933"/>
      <c r="G22" s="933">
        <v>2959810000</v>
      </c>
      <c r="H22" s="933"/>
      <c r="I22" s="933">
        <v>176694000</v>
      </c>
      <c r="J22" s="933"/>
      <c r="K22" s="957">
        <v>364366000</v>
      </c>
      <c r="L22" s="6"/>
    </row>
    <row r="23" spans="1:12" ht="13.5" thickBot="1">
      <c r="A23" s="1217">
        <f t="shared" si="0"/>
        <v>14</v>
      </c>
      <c r="B23" s="1218" t="s">
        <v>870</v>
      </c>
      <c r="C23" s="954">
        <f t="shared" ref="C23:K23" si="1">ROUND((SUM(C10:C22)/13),-3)</f>
        <v>5346552000</v>
      </c>
      <c r="D23" s="954">
        <f t="shared" si="1"/>
        <v>454806000</v>
      </c>
      <c r="E23" s="954">
        <f t="shared" si="1"/>
        <v>1748260000</v>
      </c>
      <c r="F23" s="954">
        <f t="shared" si="1"/>
        <v>0</v>
      </c>
      <c r="G23" s="954">
        <f t="shared" si="1"/>
        <v>2826911000</v>
      </c>
      <c r="H23" s="954">
        <f t="shared" si="1"/>
        <v>0</v>
      </c>
      <c r="I23" s="954">
        <f t="shared" si="1"/>
        <v>176092000</v>
      </c>
      <c r="J23" s="954">
        <f t="shared" si="1"/>
        <v>0</v>
      </c>
      <c r="K23" s="953">
        <f t="shared" si="1"/>
        <v>328736000</v>
      </c>
      <c r="L23" s="6"/>
    </row>
    <row r="24" spans="1:12" ht="13.5" thickTop="1">
      <c r="A24" s="928"/>
      <c r="B24" s="927"/>
      <c r="C24" s="952"/>
      <c r="D24" s="925"/>
      <c r="E24" s="925"/>
      <c r="F24" s="925"/>
      <c r="G24" s="952"/>
      <c r="H24" s="952"/>
      <c r="I24" s="952"/>
      <c r="J24" s="969"/>
      <c r="K24" s="969"/>
      <c r="L24" s="6"/>
    </row>
    <row r="25" spans="1:12" ht="12.75" customHeight="1">
      <c r="A25" s="928"/>
      <c r="B25" s="968"/>
      <c r="C25" s="1466" t="s">
        <v>663</v>
      </c>
      <c r="D25" s="1467"/>
      <c r="E25" s="1467"/>
      <c r="F25" s="1467"/>
      <c r="G25" s="1467"/>
      <c r="H25" s="1467"/>
      <c r="I25" s="1467"/>
      <c r="J25" s="1467"/>
      <c r="K25" s="1468"/>
      <c r="L25" s="6"/>
    </row>
    <row r="26" spans="1:12" s="965" customFormat="1" ht="25.5">
      <c r="A26" s="967" t="s">
        <v>654</v>
      </c>
      <c r="B26" s="966" t="s">
        <v>653</v>
      </c>
      <c r="C26" s="944" t="s">
        <v>230</v>
      </c>
      <c r="D26" s="944" t="s">
        <v>662</v>
      </c>
      <c r="E26" s="944" t="s">
        <v>116</v>
      </c>
      <c r="F26" s="944" t="s">
        <v>661</v>
      </c>
      <c r="G26" s="944" t="s">
        <v>439</v>
      </c>
      <c r="H26" s="944" t="s">
        <v>660</v>
      </c>
      <c r="I26" s="944" t="s">
        <v>335</v>
      </c>
      <c r="J26" s="944" t="s">
        <v>659</v>
      </c>
      <c r="K26" s="943" t="s">
        <v>658</v>
      </c>
      <c r="L26" s="6"/>
    </row>
    <row r="27" spans="1:12" s="936" customFormat="1">
      <c r="A27" s="935"/>
      <c r="B27" s="941" t="s">
        <v>648</v>
      </c>
      <c r="C27" s="940" t="s">
        <v>647</v>
      </c>
      <c r="D27" s="940" t="s">
        <v>646</v>
      </c>
      <c r="E27" s="940" t="s">
        <v>645</v>
      </c>
      <c r="F27" s="940" t="s">
        <v>644</v>
      </c>
      <c r="G27" s="940" t="s">
        <v>666</v>
      </c>
      <c r="H27" s="940" t="s">
        <v>667</v>
      </c>
      <c r="I27" s="940" t="s">
        <v>657</v>
      </c>
      <c r="J27" s="940" t="s">
        <v>656</v>
      </c>
      <c r="K27" s="964" t="s">
        <v>655</v>
      </c>
      <c r="L27" s="6"/>
    </row>
    <row r="28" spans="1:12" s="936" customFormat="1" ht="44.25" customHeight="1">
      <c r="A28" s="935"/>
      <c r="B28" s="941" t="s">
        <v>643</v>
      </c>
      <c r="C28" s="963" t="s">
        <v>380</v>
      </c>
      <c r="D28" s="963" t="s">
        <v>671</v>
      </c>
      <c r="E28" s="963" t="s">
        <v>381</v>
      </c>
      <c r="F28" s="963" t="s">
        <v>672</v>
      </c>
      <c r="G28" s="963" t="s">
        <v>508</v>
      </c>
      <c r="H28" s="963" t="s">
        <v>673</v>
      </c>
      <c r="I28" s="963" t="s">
        <v>482</v>
      </c>
      <c r="J28" s="963" t="s">
        <v>674</v>
      </c>
      <c r="K28" s="962" t="s">
        <v>509</v>
      </c>
      <c r="L28" s="6"/>
    </row>
    <row r="29" spans="1:12">
      <c r="A29" s="935">
        <f>+A23+1</f>
        <v>15</v>
      </c>
      <c r="B29" s="960" t="s">
        <v>641</v>
      </c>
      <c r="C29" s="933">
        <v>2237073000</v>
      </c>
      <c r="D29" s="933">
        <v>161600000</v>
      </c>
      <c r="E29" s="933">
        <v>480945000</v>
      </c>
      <c r="F29" s="933"/>
      <c r="G29" s="933">
        <v>723173000</v>
      </c>
      <c r="H29" s="933"/>
      <c r="I29" s="933">
        <v>36327000</v>
      </c>
      <c r="J29" s="933"/>
      <c r="K29" s="961">
        <v>112200000</v>
      </c>
      <c r="L29" s="6"/>
    </row>
    <row r="30" spans="1:12">
      <c r="A30" s="935">
        <f>+A29+1</f>
        <v>16</v>
      </c>
      <c r="B30" s="960" t="s">
        <v>186</v>
      </c>
      <c r="C30" s="933">
        <v>2260770000</v>
      </c>
      <c r="D30" s="933">
        <v>163358000</v>
      </c>
      <c r="E30" s="933">
        <v>481619000</v>
      </c>
      <c r="F30" s="933"/>
      <c r="G30" s="933">
        <v>727761000</v>
      </c>
      <c r="H30" s="933"/>
      <c r="I30" s="933">
        <v>35882000</v>
      </c>
      <c r="J30" s="933"/>
      <c r="K30" s="932">
        <v>106733000</v>
      </c>
      <c r="L30" s="6"/>
    </row>
    <row r="31" spans="1:12">
      <c r="A31" s="935">
        <f t="shared" ref="A31:A42" si="2">+A30+1</f>
        <v>17</v>
      </c>
      <c r="B31" s="959" t="s">
        <v>561</v>
      </c>
      <c r="C31" s="933">
        <v>2283681000</v>
      </c>
      <c r="D31" s="933">
        <v>165118000</v>
      </c>
      <c r="E31" s="933">
        <v>481948000</v>
      </c>
      <c r="F31" s="933"/>
      <c r="G31" s="933">
        <v>732815000</v>
      </c>
      <c r="H31" s="933"/>
      <c r="I31" s="933">
        <v>35439000</v>
      </c>
      <c r="J31" s="933"/>
      <c r="K31" s="932">
        <v>110413000</v>
      </c>
      <c r="L31" s="6"/>
    </row>
    <row r="32" spans="1:12">
      <c r="A32" s="935">
        <f t="shared" si="2"/>
        <v>18</v>
      </c>
      <c r="B32" s="959" t="s">
        <v>640</v>
      </c>
      <c r="C32" s="933">
        <v>2307089000</v>
      </c>
      <c r="D32" s="933">
        <v>166879000</v>
      </c>
      <c r="E32" s="933">
        <v>482282000</v>
      </c>
      <c r="F32" s="933"/>
      <c r="G32" s="933">
        <v>737942000</v>
      </c>
      <c r="H32" s="933"/>
      <c r="I32" s="933">
        <v>34999000</v>
      </c>
      <c r="J32" s="933"/>
      <c r="K32" s="932">
        <v>112353000</v>
      </c>
      <c r="L32" s="6"/>
    </row>
    <row r="33" spans="1:12">
      <c r="A33" s="935">
        <f t="shared" si="2"/>
        <v>19</v>
      </c>
      <c r="B33" s="959" t="s">
        <v>188</v>
      </c>
      <c r="C33" s="933">
        <v>2386715000</v>
      </c>
      <c r="D33" s="933">
        <v>168642000</v>
      </c>
      <c r="E33" s="933">
        <v>482618000</v>
      </c>
      <c r="F33" s="933"/>
      <c r="G33" s="933">
        <v>743148000</v>
      </c>
      <c r="H33" s="933"/>
      <c r="I33" s="933">
        <v>34554000</v>
      </c>
      <c r="J33" s="933"/>
      <c r="K33" s="932">
        <v>116194000</v>
      </c>
      <c r="L33" s="6"/>
    </row>
    <row r="34" spans="1:12">
      <c r="A34" s="935">
        <f t="shared" si="2"/>
        <v>20</v>
      </c>
      <c r="B34" s="959" t="s">
        <v>189</v>
      </c>
      <c r="C34" s="933">
        <v>2408546000</v>
      </c>
      <c r="D34" s="933">
        <v>170405000</v>
      </c>
      <c r="E34" s="933">
        <v>482960000</v>
      </c>
      <c r="F34" s="933"/>
      <c r="G34" s="933">
        <v>748430000</v>
      </c>
      <c r="H34" s="933"/>
      <c r="I34" s="933">
        <v>34109000</v>
      </c>
      <c r="J34" s="933"/>
      <c r="K34" s="932">
        <v>120126000</v>
      </c>
      <c r="L34" s="6"/>
    </row>
    <row r="35" spans="1:12">
      <c r="A35" s="935">
        <f t="shared" si="2"/>
        <v>21</v>
      </c>
      <c r="B35" s="959" t="s">
        <v>383</v>
      </c>
      <c r="C35" s="933">
        <v>2432155000</v>
      </c>
      <c r="D35" s="933">
        <v>172168000</v>
      </c>
      <c r="E35" s="933">
        <v>483317000</v>
      </c>
      <c r="F35" s="933"/>
      <c r="G35" s="933">
        <v>753819000</v>
      </c>
      <c r="H35" s="933"/>
      <c r="I35" s="933">
        <v>33666000</v>
      </c>
      <c r="J35" s="933"/>
      <c r="K35" s="932">
        <v>121662000</v>
      </c>
      <c r="L35" s="6"/>
    </row>
    <row r="36" spans="1:12">
      <c r="A36" s="935">
        <f t="shared" si="2"/>
        <v>22</v>
      </c>
      <c r="B36" s="959" t="s">
        <v>190</v>
      </c>
      <c r="C36" s="933">
        <v>2455992000</v>
      </c>
      <c r="D36" s="933">
        <v>173932000</v>
      </c>
      <c r="E36" s="933">
        <v>483704000</v>
      </c>
      <c r="F36" s="933"/>
      <c r="G36" s="933">
        <v>759295000</v>
      </c>
      <c r="H36" s="933"/>
      <c r="I36" s="933">
        <v>33224000</v>
      </c>
      <c r="J36" s="933"/>
      <c r="K36" s="932">
        <v>125739000</v>
      </c>
      <c r="L36" s="6"/>
    </row>
    <row r="37" spans="1:12">
      <c r="A37" s="935">
        <f t="shared" si="2"/>
        <v>23</v>
      </c>
      <c r="B37" s="959" t="s">
        <v>639</v>
      </c>
      <c r="C37" s="933">
        <v>2479781000</v>
      </c>
      <c r="D37" s="933">
        <v>175695000</v>
      </c>
      <c r="E37" s="933">
        <v>484094000</v>
      </c>
      <c r="F37" s="933"/>
      <c r="G37" s="933">
        <v>764876000</v>
      </c>
      <c r="H37" s="933"/>
      <c r="I37" s="933">
        <v>32783000</v>
      </c>
      <c r="J37" s="933"/>
      <c r="K37" s="932">
        <v>129905000</v>
      </c>
      <c r="L37" s="6"/>
    </row>
    <row r="38" spans="1:12">
      <c r="A38" s="935">
        <f t="shared" si="2"/>
        <v>24</v>
      </c>
      <c r="B38" s="959" t="s">
        <v>193</v>
      </c>
      <c r="C38" s="933">
        <v>2503254000</v>
      </c>
      <c r="D38" s="933">
        <v>177459000</v>
      </c>
      <c r="E38" s="933">
        <v>484497000</v>
      </c>
      <c r="F38" s="933"/>
      <c r="G38" s="933">
        <v>770529000</v>
      </c>
      <c r="H38" s="933"/>
      <c r="I38" s="933">
        <v>32343000</v>
      </c>
      <c r="J38" s="933"/>
      <c r="K38" s="932">
        <v>130865000</v>
      </c>
      <c r="L38" s="6"/>
    </row>
    <row r="39" spans="1:12">
      <c r="A39" s="935">
        <f t="shared" si="2"/>
        <v>25</v>
      </c>
      <c r="B39" s="959" t="s">
        <v>562</v>
      </c>
      <c r="C39" s="933">
        <v>2526988000</v>
      </c>
      <c r="D39" s="933">
        <v>179222000</v>
      </c>
      <c r="E39" s="933">
        <v>484908000</v>
      </c>
      <c r="F39" s="933"/>
      <c r="G39" s="933">
        <v>776287000</v>
      </c>
      <c r="H39" s="933"/>
      <c r="I39" s="933">
        <v>31902000</v>
      </c>
      <c r="J39" s="933"/>
      <c r="K39" s="932">
        <v>135165000</v>
      </c>
      <c r="L39" s="6"/>
    </row>
    <row r="40" spans="1:12">
      <c r="A40" s="935">
        <f t="shared" si="2"/>
        <v>26</v>
      </c>
      <c r="B40" s="959" t="s">
        <v>563</v>
      </c>
      <c r="C40" s="933">
        <v>2550542000</v>
      </c>
      <c r="D40" s="933">
        <v>180986000</v>
      </c>
      <c r="E40" s="933">
        <v>485334000</v>
      </c>
      <c r="F40" s="933"/>
      <c r="G40" s="933">
        <v>782118000</v>
      </c>
      <c r="H40" s="933"/>
      <c r="I40" s="933">
        <v>31458000</v>
      </c>
      <c r="J40" s="933"/>
      <c r="K40" s="932">
        <v>139555000</v>
      </c>
      <c r="L40" s="6"/>
    </row>
    <row r="41" spans="1:12">
      <c r="A41" s="934">
        <f t="shared" si="2"/>
        <v>27</v>
      </c>
      <c r="B41" s="958" t="s">
        <v>638</v>
      </c>
      <c r="C41" s="933">
        <v>2574434000</v>
      </c>
      <c r="D41" s="933">
        <v>182750000</v>
      </c>
      <c r="E41" s="933">
        <v>485792000</v>
      </c>
      <c r="F41" s="933"/>
      <c r="G41" s="933">
        <v>788052000</v>
      </c>
      <c r="H41" s="933"/>
      <c r="I41" s="933">
        <v>31014000</v>
      </c>
      <c r="J41" s="933"/>
      <c r="K41" s="957">
        <v>139024000</v>
      </c>
      <c r="L41" s="6"/>
    </row>
    <row r="42" spans="1:12" ht="13.5" thickBot="1">
      <c r="A42" s="956">
        <f t="shared" si="2"/>
        <v>28</v>
      </c>
      <c r="B42" s="1218" t="s">
        <v>870</v>
      </c>
      <c r="C42" s="954">
        <f t="shared" ref="C42:K42" si="3">ROUND((SUM(C29:C41)/13),-3)</f>
        <v>2415925000</v>
      </c>
      <c r="D42" s="954">
        <f t="shared" si="3"/>
        <v>172170000</v>
      </c>
      <c r="E42" s="954">
        <f t="shared" si="3"/>
        <v>483386000</v>
      </c>
      <c r="F42" s="954">
        <f t="shared" si="3"/>
        <v>0</v>
      </c>
      <c r="G42" s="954">
        <f t="shared" si="3"/>
        <v>754480000</v>
      </c>
      <c r="H42" s="954">
        <f t="shared" si="3"/>
        <v>0</v>
      </c>
      <c r="I42" s="954">
        <f t="shared" si="3"/>
        <v>33669000</v>
      </c>
      <c r="J42" s="954">
        <f t="shared" si="3"/>
        <v>0</v>
      </c>
      <c r="K42" s="953">
        <f t="shared" si="3"/>
        <v>123072000</v>
      </c>
      <c r="L42" s="6"/>
    </row>
    <row r="43" spans="1:12" ht="13.5" thickTop="1">
      <c r="A43" s="928"/>
      <c r="B43" s="927"/>
      <c r="C43" s="952"/>
      <c r="D43" s="925"/>
      <c r="E43" s="925"/>
      <c r="F43" s="925"/>
      <c r="G43" s="952"/>
      <c r="H43"/>
      <c r="I43"/>
      <c r="J43"/>
      <c r="K43"/>
      <c r="L43" s="6"/>
    </row>
    <row r="44" spans="1:12">
      <c r="A44" s="928"/>
      <c r="B44" s="927"/>
      <c r="C44" s="952"/>
      <c r="D44" s="925"/>
      <c r="E44" s="925"/>
      <c r="F44" s="925"/>
      <c r="G44" s="952"/>
      <c r="H44" s="952"/>
      <c r="I44" s="952"/>
    </row>
    <row r="45" spans="1:12">
      <c r="A45" s="951"/>
      <c r="B45" s="950"/>
      <c r="C45" s="949"/>
      <c r="D45" s="948"/>
      <c r="E45" s="948"/>
      <c r="F45" s="947"/>
      <c r="G45"/>
      <c r="H45"/>
      <c r="I45"/>
      <c r="J45"/>
      <c r="K45"/>
      <c r="L45" s="6"/>
    </row>
    <row r="46" spans="1:12" ht="72" customHeight="1">
      <c r="A46" s="946" t="s">
        <v>654</v>
      </c>
      <c r="B46" s="940" t="s">
        <v>653</v>
      </c>
      <c r="C46" s="945" t="s">
        <v>652</v>
      </c>
      <c r="D46" s="944" t="s">
        <v>651</v>
      </c>
      <c r="E46" s="944" t="s">
        <v>650</v>
      </c>
      <c r="F46" s="943" t="s">
        <v>649</v>
      </c>
      <c r="G46"/>
      <c r="H46"/>
      <c r="I46"/>
      <c r="J46"/>
      <c r="K46"/>
      <c r="L46" s="6"/>
    </row>
    <row r="47" spans="1:12" s="936" customFormat="1">
      <c r="A47" s="935"/>
      <c r="B47" s="940" t="s">
        <v>648</v>
      </c>
      <c r="C47" s="942" t="s">
        <v>647</v>
      </c>
      <c r="D47" s="940" t="s">
        <v>646</v>
      </c>
      <c r="E47" s="940" t="s">
        <v>645</v>
      </c>
      <c r="F47" s="941" t="s">
        <v>644</v>
      </c>
      <c r="G47"/>
      <c r="H47"/>
      <c r="I47"/>
      <c r="J47"/>
      <c r="K47"/>
      <c r="L47" s="6"/>
    </row>
    <row r="48" spans="1:12" s="936" customFormat="1" ht="63.75">
      <c r="A48" s="935"/>
      <c r="B48" s="940" t="s">
        <v>643</v>
      </c>
      <c r="C48" s="939" t="s">
        <v>675</v>
      </c>
      <c r="D48" s="939" t="s">
        <v>676</v>
      </c>
      <c r="E48" s="938" t="s">
        <v>642</v>
      </c>
      <c r="F48" s="937" t="s">
        <v>642</v>
      </c>
      <c r="G48"/>
      <c r="H48"/>
      <c r="I48"/>
      <c r="J48"/>
      <c r="K48"/>
      <c r="L48" s="6"/>
    </row>
    <row r="49" spans="1:12">
      <c r="A49" s="935">
        <f>+A42+1</f>
        <v>29</v>
      </c>
      <c r="B49" s="960" t="s">
        <v>641</v>
      </c>
      <c r="C49" s="933">
        <v>59049000</v>
      </c>
      <c r="D49" s="933">
        <v>11389000</v>
      </c>
      <c r="E49" s="933"/>
      <c r="F49" s="932"/>
      <c r="G49"/>
      <c r="H49"/>
      <c r="I49"/>
      <c r="J49"/>
      <c r="K49"/>
      <c r="L49" s="6"/>
    </row>
    <row r="50" spans="1:12">
      <c r="A50" s="935">
        <f>+A49+1</f>
        <v>30</v>
      </c>
      <c r="B50" s="960" t="s">
        <v>186</v>
      </c>
      <c r="C50" s="933">
        <v>59049000</v>
      </c>
      <c r="D50" s="933">
        <v>11508000</v>
      </c>
      <c r="E50" s="933"/>
      <c r="F50" s="932"/>
      <c r="G50"/>
      <c r="H50"/>
      <c r="I50"/>
      <c r="J50"/>
      <c r="K50"/>
      <c r="L50" s="6"/>
    </row>
    <row r="51" spans="1:12">
      <c r="A51" s="935">
        <f t="shared" ref="A51:A62" si="4">+A50+1</f>
        <v>31</v>
      </c>
      <c r="B51" s="959" t="s">
        <v>561</v>
      </c>
      <c r="C51" s="933">
        <v>59049000</v>
      </c>
      <c r="D51" s="933">
        <v>11627000</v>
      </c>
      <c r="E51" s="933"/>
      <c r="F51" s="932"/>
      <c r="G51"/>
      <c r="H51"/>
      <c r="I51"/>
      <c r="J51"/>
      <c r="K51"/>
      <c r="L51" s="6"/>
    </row>
    <row r="52" spans="1:12">
      <c r="A52" s="935">
        <f t="shared" si="4"/>
        <v>32</v>
      </c>
      <c r="B52" s="959" t="s">
        <v>640</v>
      </c>
      <c r="C52" s="933">
        <v>59049000</v>
      </c>
      <c r="D52" s="933">
        <v>11746000</v>
      </c>
      <c r="E52" s="933"/>
      <c r="F52" s="932"/>
      <c r="G52"/>
      <c r="H52"/>
      <c r="I52"/>
      <c r="J52"/>
      <c r="K52"/>
      <c r="L52" s="6"/>
    </row>
    <row r="53" spans="1:12">
      <c r="A53" s="935">
        <f t="shared" si="4"/>
        <v>33</v>
      </c>
      <c r="B53" s="959" t="s">
        <v>188</v>
      </c>
      <c r="C53" s="933">
        <v>59049000</v>
      </c>
      <c r="D53" s="933">
        <v>11864000</v>
      </c>
      <c r="E53" s="933"/>
      <c r="F53" s="932"/>
      <c r="G53"/>
      <c r="H53"/>
      <c r="I53"/>
      <c r="J53"/>
      <c r="K53"/>
      <c r="L53" s="6"/>
    </row>
    <row r="54" spans="1:12">
      <c r="A54" s="935">
        <f t="shared" si="4"/>
        <v>34</v>
      </c>
      <c r="B54" s="959" t="s">
        <v>189</v>
      </c>
      <c r="C54" s="933">
        <v>59049000</v>
      </c>
      <c r="D54" s="933">
        <v>11983000</v>
      </c>
      <c r="E54" s="933"/>
      <c r="F54" s="932"/>
      <c r="G54"/>
      <c r="H54"/>
      <c r="I54"/>
      <c r="J54"/>
      <c r="K54"/>
      <c r="L54" s="6"/>
    </row>
    <row r="55" spans="1:12">
      <c r="A55" s="935">
        <f t="shared" si="4"/>
        <v>35</v>
      </c>
      <c r="B55" s="959" t="s">
        <v>383</v>
      </c>
      <c r="C55" s="933">
        <v>59049000</v>
      </c>
      <c r="D55" s="933">
        <v>12102000</v>
      </c>
      <c r="E55" s="933"/>
      <c r="F55" s="932"/>
      <c r="G55"/>
      <c r="H55"/>
      <c r="I55"/>
      <c r="J55"/>
      <c r="K55"/>
      <c r="L55" s="6"/>
    </row>
    <row r="56" spans="1:12">
      <c r="A56" s="935">
        <f t="shared" si="4"/>
        <v>36</v>
      </c>
      <c r="B56" s="959" t="s">
        <v>190</v>
      </c>
      <c r="C56" s="933">
        <v>59049000</v>
      </c>
      <c r="D56" s="933">
        <v>12221000</v>
      </c>
      <c r="E56" s="933"/>
      <c r="F56" s="932"/>
      <c r="G56"/>
      <c r="H56"/>
      <c r="I56"/>
      <c r="J56"/>
      <c r="K56"/>
      <c r="L56" s="6"/>
    </row>
    <row r="57" spans="1:12">
      <c r="A57" s="935">
        <f t="shared" si="4"/>
        <v>37</v>
      </c>
      <c r="B57" s="959" t="s">
        <v>639</v>
      </c>
      <c r="C57" s="933">
        <v>59049000</v>
      </c>
      <c r="D57" s="933">
        <v>12340000</v>
      </c>
      <c r="E57" s="933"/>
      <c r="F57" s="932"/>
      <c r="G57"/>
      <c r="H57"/>
      <c r="I57"/>
      <c r="J57"/>
      <c r="K57"/>
      <c r="L57" s="6"/>
    </row>
    <row r="58" spans="1:12">
      <c r="A58" s="935">
        <f t="shared" si="4"/>
        <v>38</v>
      </c>
      <c r="B58" s="959" t="s">
        <v>193</v>
      </c>
      <c r="C58" s="933">
        <v>59049000</v>
      </c>
      <c r="D58" s="933">
        <v>12459000</v>
      </c>
      <c r="E58" s="933"/>
      <c r="F58" s="932"/>
      <c r="G58"/>
      <c r="H58"/>
      <c r="I58"/>
      <c r="J58"/>
      <c r="K58"/>
      <c r="L58" s="6"/>
    </row>
    <row r="59" spans="1:12">
      <c r="A59" s="935">
        <f t="shared" si="4"/>
        <v>39</v>
      </c>
      <c r="B59" s="959" t="s">
        <v>562</v>
      </c>
      <c r="C59" s="933">
        <v>59049000</v>
      </c>
      <c r="D59" s="933">
        <v>12577000</v>
      </c>
      <c r="E59" s="933"/>
      <c r="F59" s="932"/>
      <c r="G59"/>
      <c r="H59"/>
      <c r="I59"/>
      <c r="J59"/>
      <c r="K59"/>
      <c r="L59" s="6"/>
    </row>
    <row r="60" spans="1:12">
      <c r="A60" s="935">
        <f t="shared" si="4"/>
        <v>40</v>
      </c>
      <c r="B60" s="959" t="s">
        <v>563</v>
      </c>
      <c r="C60" s="933">
        <v>59049000</v>
      </c>
      <c r="D60" s="933">
        <v>12696000</v>
      </c>
      <c r="E60" s="933"/>
      <c r="F60" s="932"/>
      <c r="G60"/>
      <c r="H60"/>
      <c r="I60"/>
      <c r="J60"/>
      <c r="K60"/>
      <c r="L60" s="6"/>
    </row>
    <row r="61" spans="1:12">
      <c r="A61" s="934">
        <f t="shared" si="4"/>
        <v>41</v>
      </c>
      <c r="B61" s="958" t="s">
        <v>638</v>
      </c>
      <c r="C61" s="933">
        <v>59049000</v>
      </c>
      <c r="D61" s="933">
        <v>12815000</v>
      </c>
      <c r="E61" s="933"/>
      <c r="F61" s="932"/>
      <c r="G61"/>
      <c r="H61"/>
      <c r="I61"/>
      <c r="J61"/>
      <c r="K61"/>
      <c r="L61" s="6"/>
    </row>
    <row r="62" spans="1:12" ht="13.5" thickBot="1">
      <c r="A62" s="931">
        <f t="shared" si="4"/>
        <v>42</v>
      </c>
      <c r="B62" s="1218" t="s">
        <v>870</v>
      </c>
      <c r="C62" s="954">
        <f>ROUND((SUM(C49:C61)/13),-3)</f>
        <v>59049000</v>
      </c>
      <c r="D62" s="954">
        <f>ROUND((SUM(D49:D61)/13),-3)</f>
        <v>12102000</v>
      </c>
      <c r="E62" s="954">
        <f>ROUND((SUM(E49:E61)/13),-3)</f>
        <v>0</v>
      </c>
      <c r="F62" s="954">
        <f>ROUND((SUM(F49:F61)/13),-3)</f>
        <v>0</v>
      </c>
      <c r="G62" s="1314"/>
      <c r="H62"/>
      <c r="I62"/>
      <c r="J62"/>
      <c r="K62"/>
      <c r="L62" s="6"/>
    </row>
    <row r="63" spans="1:12" ht="13.5" thickTop="1">
      <c r="A63" s="928"/>
      <c r="B63" s="927"/>
      <c r="G63"/>
      <c r="H63"/>
      <c r="I63"/>
      <c r="J63"/>
      <c r="K63"/>
    </row>
    <row r="64" spans="1:12">
      <c r="A64" s="928">
        <v>43</v>
      </c>
      <c r="B64" s="927" t="s">
        <v>637</v>
      </c>
      <c r="D64" s="926">
        <f>+E42-D62</f>
        <v>471284000</v>
      </c>
      <c r="I64" s="925"/>
      <c r="K64" s="6"/>
    </row>
    <row r="65" spans="1:7" customFormat="1"/>
    <row r="66" spans="1:7" customFormat="1">
      <c r="A66" s="924"/>
      <c r="B66" s="304"/>
      <c r="C66" s="305"/>
      <c r="D66" s="306"/>
      <c r="E66" s="73"/>
      <c r="F66" s="73"/>
      <c r="G66" s="87"/>
    </row>
    <row r="67" spans="1:7" customFormat="1" ht="25.5">
      <c r="A67" s="977" t="s">
        <v>3</v>
      </c>
      <c r="B67" s="304"/>
      <c r="C67" s="974" t="s">
        <v>2</v>
      </c>
      <c r="D67" s="975" t="str">
        <f>"Balance @ December 31, "&amp;TCOS!L4&amp;""</f>
        <v>Balance @ December 31, 2021</v>
      </c>
      <c r="E67" s="976" t="str">
        <f>"Balance @ December 31, "&amp;TCOS!L4-1&amp;""</f>
        <v>Balance @ December 31, 2020</v>
      </c>
      <c r="F67" s="976" t="str">
        <f>"Average Balance for "&amp;TCOS!L4&amp;""</f>
        <v>Average Balance for 2021</v>
      </c>
      <c r="G67" s="87"/>
    </row>
    <row r="68" spans="1:7" customFormat="1">
      <c r="A68" s="92"/>
      <c r="B68" s="940" t="s">
        <v>648</v>
      </c>
      <c r="C68" s="940" t="s">
        <v>647</v>
      </c>
      <c r="D68" s="940" t="s">
        <v>646</v>
      </c>
      <c r="E68" s="940" t="s">
        <v>645</v>
      </c>
      <c r="F68" s="940" t="s">
        <v>644</v>
      </c>
      <c r="G68" s="87"/>
    </row>
    <row r="69" spans="1:7" customFormat="1">
      <c r="A69" s="307">
        <f>+A64+1</f>
        <v>44</v>
      </c>
      <c r="B69" s="92" t="s">
        <v>3</v>
      </c>
      <c r="C69" s="310" t="s">
        <v>375</v>
      </c>
      <c r="D69" s="870">
        <v>1445000</v>
      </c>
      <c r="E69" s="870">
        <v>1445000</v>
      </c>
      <c r="F69" s="142">
        <f>IF(E69="",0,AVERAGE(D69:E69))</f>
        <v>1445000</v>
      </c>
    </row>
    <row r="70" spans="1:7" customFormat="1">
      <c r="A70" s="303"/>
      <c r="B70" s="311"/>
      <c r="C70" s="311"/>
      <c r="F70" s="87"/>
    </row>
    <row r="71" spans="1:7" customFormat="1">
      <c r="A71" s="302">
        <f>+A69+1</f>
        <v>45</v>
      </c>
      <c r="B71" s="92" t="s">
        <v>833</v>
      </c>
      <c r="C71" s="328" t="s">
        <v>68</v>
      </c>
      <c r="D71" s="870">
        <v>208000</v>
      </c>
      <c r="E71" s="870">
        <v>208000</v>
      </c>
      <c r="F71" s="142">
        <f>IF(E71="",0,AVERAGE(D71:E71))</f>
        <v>208000</v>
      </c>
    </row>
    <row r="72" spans="1:7" customFormat="1">
      <c r="A72" s="249"/>
      <c r="B72" s="249"/>
      <c r="C72" s="249"/>
      <c r="D72" s="249"/>
    </row>
    <row r="73" spans="1:7" customFormat="1">
      <c r="A73" s="92" t="s">
        <v>237</v>
      </c>
      <c r="B73" s="249"/>
      <c r="C73" s="249"/>
      <c r="D73" s="249"/>
    </row>
    <row r="74" spans="1:7" customFormat="1">
      <c r="A74" s="308"/>
      <c r="B74" s="309" t="s">
        <v>361</v>
      </c>
      <c r="C74" s="309"/>
      <c r="D74" s="81"/>
      <c r="E74" s="81"/>
      <c r="F74" s="81"/>
    </row>
    <row r="75" spans="1:7" customFormat="1">
      <c r="A75" s="307">
        <f>+A71+1</f>
        <v>46</v>
      </c>
      <c r="B75" s="1271" t="s">
        <v>115</v>
      </c>
      <c r="C75" s="1133"/>
      <c r="D75" s="870"/>
      <c r="E75" s="870"/>
      <c r="F75" s="142">
        <f>IF(E75="",0,AVERAGE(D75:E75))</f>
        <v>0</v>
      </c>
    </row>
    <row r="76" spans="1:7" customFormat="1">
      <c r="A76" s="307">
        <f>+A75+1</f>
        <v>47</v>
      </c>
      <c r="B76" s="871"/>
      <c r="C76" s="871"/>
      <c r="D76" s="870"/>
      <c r="E76" s="870"/>
      <c r="F76" s="142">
        <f>IF(E76="",0,AVERAGE(D76:E76))</f>
        <v>0</v>
      </c>
    </row>
    <row r="77" spans="1:7" customFormat="1">
      <c r="A77" s="307">
        <f>+A76+1</f>
        <v>48</v>
      </c>
      <c r="B77" s="871"/>
      <c r="C77" s="871"/>
      <c r="D77" s="870"/>
      <c r="E77" s="870"/>
      <c r="F77" s="142">
        <f>IF(E77="",0,AVERAGE(D77:E77))</f>
        <v>0</v>
      </c>
    </row>
    <row r="78" spans="1:7" customFormat="1">
      <c r="A78" s="307">
        <f>+A77+1</f>
        <v>49</v>
      </c>
      <c r="B78" s="871"/>
      <c r="C78" s="871"/>
      <c r="D78" s="870"/>
      <c r="E78" s="870"/>
      <c r="F78" s="142">
        <f>IF(E78="",0,AVERAGE(D78:E78))</f>
        <v>0</v>
      </c>
    </row>
    <row r="79" spans="1:7" customFormat="1">
      <c r="A79" s="307">
        <f>+A78+1</f>
        <v>50</v>
      </c>
      <c r="B79" s="871"/>
      <c r="C79" s="871"/>
      <c r="D79" s="872"/>
      <c r="E79" s="872"/>
      <c r="F79" s="982">
        <f>IF(E79="",0,AVERAGE(D79:E79))</f>
        <v>0</v>
      </c>
    </row>
    <row r="80" spans="1:7" customFormat="1">
      <c r="A80" s="307">
        <f>+A79+1</f>
        <v>51</v>
      </c>
      <c r="B80" s="309" t="s">
        <v>498</v>
      </c>
      <c r="C80" s="309"/>
      <c r="D80" s="195">
        <f>SUM(D75:D79)</f>
        <v>0</v>
      </c>
      <c r="E80" s="195">
        <f>SUM(E75:E79)</f>
        <v>0</v>
      </c>
      <c r="F80" s="195">
        <f>SUM(F75:F79)</f>
        <v>0</v>
      </c>
    </row>
    <row r="81" spans="1:7" customFormat="1">
      <c r="A81" s="307"/>
      <c r="B81" s="309"/>
      <c r="C81" s="309"/>
      <c r="D81" s="195"/>
      <c r="E81" s="195"/>
      <c r="F81" s="195"/>
    </row>
    <row r="82" spans="1:7" customFormat="1" ht="18">
      <c r="A82" s="92" t="s">
        <v>760</v>
      </c>
      <c r="B82" s="921"/>
      <c r="C82" s="921"/>
      <c r="D82" s="921"/>
      <c r="E82" s="81"/>
      <c r="F82" s="81"/>
      <c r="G82" s="81"/>
    </row>
    <row r="83" spans="1:7" customFormat="1">
      <c r="A83" s="78"/>
      <c r="B83" s="255"/>
      <c r="C83" s="258"/>
      <c r="D83" s="8"/>
      <c r="E83" s="81"/>
      <c r="F83" s="81"/>
      <c r="G83" s="81"/>
    </row>
    <row r="84" spans="1:7" customFormat="1">
      <c r="A84" s="78">
        <f>+A80+1</f>
        <v>52</v>
      </c>
      <c r="B84" s="13" t="s">
        <v>168</v>
      </c>
      <c r="C84" s="13" t="s">
        <v>307</v>
      </c>
      <c r="D84" s="978"/>
      <c r="E84" s="21"/>
      <c r="F84" s="13"/>
      <c r="G84" s="21"/>
    </row>
    <row r="85" spans="1:7" customFormat="1" ht="14.25">
      <c r="A85" s="979" t="s">
        <v>753</v>
      </c>
      <c r="B85" s="1271" t="s">
        <v>875</v>
      </c>
      <c r="C85" s="1133"/>
      <c r="D85" s="870">
        <v>156000</v>
      </c>
      <c r="E85" s="870">
        <v>156000</v>
      </c>
      <c r="F85" s="983">
        <f>IF(E85="",0,AVERAGE(D85:E85))</f>
        <v>156000</v>
      </c>
      <c r="G85" s="21"/>
    </row>
    <row r="86" spans="1:7" customFormat="1" ht="14.25">
      <c r="A86" s="980" t="s">
        <v>754</v>
      </c>
      <c r="B86" s="870"/>
      <c r="C86" s="1133"/>
      <c r="D86" s="870"/>
      <c r="E86" s="870"/>
      <c r="F86" s="984">
        <f>IF(E86="",0,AVERAGE(D86:E86))</f>
        <v>0</v>
      </c>
      <c r="G86" s="21"/>
    </row>
    <row r="87" spans="1:7" customFormat="1" ht="18" customHeight="1">
      <c r="A87" s="981">
        <v>54</v>
      </c>
      <c r="B87" s="21"/>
      <c r="C87" s="5" t="s">
        <v>119</v>
      </c>
      <c r="D87" s="926">
        <f>SUM(D85:D86)</f>
        <v>156000</v>
      </c>
      <c r="E87" s="926">
        <f>SUM(E85:E86)</f>
        <v>156000</v>
      </c>
      <c r="F87" s="926">
        <f>SUM(F85:F86)</f>
        <v>156000</v>
      </c>
      <c r="G87" s="21"/>
    </row>
    <row r="88" spans="1:7" customFormat="1">
      <c r="A88" s="307"/>
      <c r="B88" s="309"/>
      <c r="C88" s="309"/>
      <c r="D88" s="309"/>
      <c r="G88" s="21"/>
    </row>
    <row r="89" spans="1:7">
      <c r="A89" s="973" t="s">
        <v>679</v>
      </c>
      <c r="B89" s="309"/>
      <c r="C89" s="309"/>
      <c r="D89" s="309"/>
      <c r="G89" s="978"/>
    </row>
    <row r="90" spans="1:7">
      <c r="A90" s="973" t="s">
        <v>678</v>
      </c>
      <c r="B90" s="309"/>
      <c r="C90" s="309"/>
      <c r="D90" s="309"/>
    </row>
    <row r="91" spans="1:7">
      <c r="A91"/>
      <c r="B91"/>
      <c r="C91"/>
      <c r="D91"/>
    </row>
    <row r="92" spans="1:7">
      <c r="A92"/>
      <c r="B92"/>
      <c r="C92"/>
      <c r="D92"/>
    </row>
    <row r="93" spans="1:7">
      <c r="A93"/>
      <c r="B93"/>
      <c r="C93"/>
      <c r="D93"/>
    </row>
    <row r="94" spans="1:7">
      <c r="A94"/>
      <c r="B94"/>
      <c r="C94"/>
      <c r="D94"/>
    </row>
    <row r="95" spans="1:7">
      <c r="A95"/>
      <c r="B95"/>
      <c r="C95"/>
      <c r="D95"/>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view="pageBreakPreview" topLeftCell="A13" zoomScaleNormal="75" zoomScaleSheetLayoutView="100" workbookViewId="0">
      <selection activeCell="D41" sqref="D41:J41"/>
    </sheetView>
  </sheetViews>
  <sheetFormatPr defaultRowHeight="12.75"/>
  <cols>
    <col min="1" max="1" width="8.140625" style="1220" customWidth="1"/>
    <col min="2" max="2" width="28.85546875" style="1220" customWidth="1"/>
    <col min="3" max="3" width="17.85546875" style="1220" customWidth="1"/>
    <col min="4" max="4" width="19.28515625" style="1220" customWidth="1"/>
    <col min="5" max="6" width="19.85546875" style="1220" customWidth="1"/>
    <col min="7" max="7" width="21.42578125" style="1220" customWidth="1"/>
    <col min="8" max="9" width="19.85546875" style="1220" customWidth="1"/>
    <col min="10" max="10" width="21.28515625" style="1220" customWidth="1"/>
    <col min="11" max="11" width="18.140625" style="1220" customWidth="1"/>
    <col min="12" max="12" width="22.42578125" style="1220" customWidth="1"/>
    <col min="13" max="13" width="22.140625" style="1220" customWidth="1"/>
    <col min="14" max="14" width="11.140625" style="1220" customWidth="1"/>
    <col min="15" max="15" width="11.28515625" style="1220" bestFit="1" customWidth="1"/>
    <col min="16" max="16" width="12.42578125" style="1220" customWidth="1"/>
    <col min="17" max="17" width="9.140625" style="1220"/>
    <col min="18" max="18" width="10.28515625" style="1220" bestFit="1" customWidth="1"/>
    <col min="19" max="19" width="9.140625" style="1220"/>
    <col min="20" max="20" width="12.85546875" style="1220" customWidth="1"/>
    <col min="21" max="21" width="13.5703125" style="1220" customWidth="1"/>
    <col min="22" max="16384" width="9.140625" style="1220"/>
  </cols>
  <sheetData>
    <row r="1" spans="1:17" ht="15.75">
      <c r="A1" s="1219" t="s">
        <v>115</v>
      </c>
    </row>
    <row r="2" spans="1:17" ht="15.75">
      <c r="A2" s="1219" t="s">
        <v>115</v>
      </c>
    </row>
    <row r="3" spans="1:17" ht="15.75">
      <c r="A3" s="1543" t="s">
        <v>388</v>
      </c>
      <c r="B3" s="1543"/>
      <c r="C3" s="1543"/>
      <c r="D3" s="1543"/>
      <c r="E3" s="1543"/>
      <c r="F3" s="1543"/>
      <c r="G3" s="1543"/>
      <c r="H3" s="1543"/>
      <c r="I3" s="1543"/>
      <c r="J3" s="1543"/>
      <c r="K3" s="1543"/>
      <c r="L3" s="1221"/>
      <c r="M3" s="1221"/>
      <c r="N3" s="1222"/>
      <c r="O3" s="1222"/>
      <c r="P3" s="1222"/>
      <c r="Q3" s="1222"/>
    </row>
    <row r="4" spans="1:17" ht="15.75">
      <c r="A4" s="1544" t="str">
        <f>"Cost of Service Formula Rate Using Actual/Projected FF1 Balances"</f>
        <v>Cost of Service Formula Rate Using Actual/Projected FF1 Balances</v>
      </c>
      <c r="B4" s="1545"/>
      <c r="C4" s="1545"/>
      <c r="D4" s="1545"/>
      <c r="E4" s="1545"/>
      <c r="F4" s="1545"/>
      <c r="G4" s="1545"/>
      <c r="H4" s="1545"/>
      <c r="I4" s="1545"/>
      <c r="J4" s="1545"/>
      <c r="K4" s="1545"/>
      <c r="L4" s="1223"/>
      <c r="M4" s="1225"/>
      <c r="N4" s="1226"/>
      <c r="O4" s="1226"/>
      <c r="P4" s="1226"/>
      <c r="Q4" s="1226"/>
    </row>
    <row r="5" spans="1:17" ht="15.75">
      <c r="A5" s="1546" t="s">
        <v>861</v>
      </c>
      <c r="B5" s="1546"/>
      <c r="C5" s="1546"/>
      <c r="D5" s="1546"/>
      <c r="E5" s="1546"/>
      <c r="F5" s="1546"/>
      <c r="G5" s="1546"/>
      <c r="H5" s="1546"/>
      <c r="I5" s="1546"/>
      <c r="J5" s="1546"/>
      <c r="K5" s="1546"/>
      <c r="L5" s="1223"/>
      <c r="M5" s="1227"/>
      <c r="N5" s="1227"/>
      <c r="O5" s="1227"/>
      <c r="P5" s="1227"/>
      <c r="Q5" s="1227"/>
    </row>
    <row r="6" spans="1:17" ht="15.75">
      <c r="A6" s="1547" t="str">
        <f>TCOS!F9</f>
        <v xml:space="preserve">Indiana Michigan Power Company </v>
      </c>
      <c r="B6" s="1547"/>
      <c r="C6" s="1547"/>
      <c r="D6" s="1547"/>
      <c r="E6" s="1547"/>
      <c r="F6" s="1547"/>
      <c r="G6" s="1547"/>
      <c r="H6" s="1547"/>
      <c r="I6" s="1547"/>
      <c r="J6" s="1547"/>
      <c r="K6" s="1547"/>
      <c r="L6" s="1228"/>
      <c r="M6" s="1228"/>
      <c r="N6" s="1229"/>
      <c r="O6" s="1229"/>
      <c r="P6" s="1229"/>
      <c r="Q6" s="1229"/>
    </row>
    <row r="9" spans="1:17">
      <c r="B9" s="1540"/>
      <c r="C9" s="1540"/>
      <c r="D9" s="1540"/>
      <c r="E9" s="1540"/>
      <c r="F9" s="1540"/>
      <c r="G9" s="1540"/>
      <c r="H9" s="1540"/>
      <c r="I9" s="1540"/>
      <c r="J9" s="1540"/>
      <c r="K9" s="1540"/>
      <c r="L9" s="1540"/>
      <c r="M9" s="1540"/>
      <c r="N9" s="1231"/>
      <c r="O9" s="1231"/>
      <c r="P9" s="1231"/>
      <c r="Q9" s="1231"/>
    </row>
    <row r="10" spans="1:17">
      <c r="I10" s="1231"/>
      <c r="J10" s="1231"/>
      <c r="K10" s="1231"/>
      <c r="L10" s="1231"/>
      <c r="M10" s="1231"/>
      <c r="N10" s="1231"/>
      <c r="O10" s="1231"/>
      <c r="P10" s="1231"/>
      <c r="Q10" s="1231"/>
    </row>
    <row r="11" spans="1:17">
      <c r="I11" s="1231"/>
      <c r="J11" s="1231"/>
      <c r="K11" s="1231"/>
      <c r="L11" s="1231"/>
      <c r="M11" s="1231"/>
      <c r="N11" s="1231"/>
      <c r="O11" s="1231"/>
      <c r="P11" s="1231"/>
      <c r="Q11" s="1231"/>
    </row>
    <row r="12" spans="1:17">
      <c r="A12" s="1224">
        <v>1</v>
      </c>
      <c r="B12" s="1220" t="s">
        <v>835</v>
      </c>
      <c r="E12" s="1263">
        <v>-127042000</v>
      </c>
      <c r="I12" s="1243"/>
      <c r="J12" s="1231"/>
      <c r="K12" s="1231"/>
      <c r="L12" s="1231"/>
      <c r="M12" s="1231"/>
      <c r="N12" s="1231"/>
      <c r="O12" s="1231"/>
      <c r="P12" s="1231"/>
      <c r="Q12" s="1231"/>
    </row>
    <row r="13" spans="1:17">
      <c r="I13" s="1243"/>
      <c r="J13" s="1231"/>
      <c r="K13" s="1231"/>
      <c r="L13" s="1231"/>
      <c r="M13" s="1231"/>
      <c r="N13" s="1231"/>
      <c r="O13" s="1231"/>
      <c r="P13" s="1231"/>
      <c r="Q13" s="1231"/>
    </row>
    <row r="14" spans="1:17">
      <c r="B14" s="1537" t="str">
        <f>"Allocation of PBOP Settlement Amount for "&amp;TCOS!L4&amp;""</f>
        <v>Allocation of PBOP Settlement Amount for 2021</v>
      </c>
      <c r="C14" s="1537"/>
      <c r="D14" s="1232"/>
      <c r="E14" s="1232"/>
      <c r="F14" s="1232"/>
      <c r="G14" s="1232"/>
      <c r="H14" s="1232"/>
      <c r="I14" s="1232"/>
      <c r="J14" s="1232"/>
      <c r="K14" s="1232"/>
      <c r="L14" s="1232"/>
      <c r="M14" s="1232"/>
      <c r="N14" s="1231"/>
      <c r="O14" s="1231"/>
      <c r="P14" s="1231"/>
      <c r="Q14" s="1231"/>
    </row>
    <row r="15" spans="1:17">
      <c r="C15" s="1540" t="s">
        <v>836</v>
      </c>
      <c r="D15" s="1540"/>
      <c r="E15" s="1540"/>
      <c r="F15" s="1230"/>
      <c r="N15" s="1231"/>
      <c r="O15" s="1231"/>
      <c r="P15" s="1231"/>
      <c r="Q15" s="1231"/>
    </row>
    <row r="16" spans="1:17">
      <c r="B16" s="1243"/>
      <c r="C16" s="1541" t="s">
        <v>837</v>
      </c>
      <c r="D16" s="1541" t="s">
        <v>838</v>
      </c>
      <c r="E16" s="1541" t="s">
        <v>839</v>
      </c>
      <c r="F16" s="1259"/>
      <c r="G16" s="1259"/>
      <c r="H16" s="1259"/>
      <c r="I16" s="1541" t="s">
        <v>840</v>
      </c>
      <c r="N16" s="1231"/>
      <c r="O16" s="1231"/>
      <c r="P16" s="1231"/>
      <c r="Q16" s="1231"/>
    </row>
    <row r="17" spans="1:17" ht="12.75" customHeight="1">
      <c r="C17" s="1538"/>
      <c r="D17" s="1538"/>
      <c r="E17" s="1538"/>
      <c r="F17" s="1541" t="str">
        <f>"Labor Allocator for "&amp;TCOS!L4&amp;""</f>
        <v>Labor Allocator for 2021</v>
      </c>
      <c r="G17" s="1262"/>
      <c r="H17" s="1542" t="s">
        <v>841</v>
      </c>
      <c r="I17" s="1541"/>
      <c r="N17" s="1231"/>
      <c r="O17" s="1231"/>
      <c r="P17" s="1231"/>
      <c r="Q17" s="1231"/>
    </row>
    <row r="18" spans="1:17">
      <c r="A18" s="1233" t="s">
        <v>842</v>
      </c>
      <c r="B18" s="1230" t="s">
        <v>184</v>
      </c>
      <c r="C18" s="1538"/>
      <c r="D18" s="1538"/>
      <c r="E18" s="1538"/>
      <c r="F18" s="1541"/>
      <c r="G18" s="1265" t="s">
        <v>843</v>
      </c>
      <c r="H18" s="1542"/>
      <c r="I18" s="1541"/>
      <c r="N18" s="1231"/>
      <c r="O18" s="1231"/>
      <c r="P18" s="1231"/>
      <c r="Q18" s="1231"/>
    </row>
    <row r="19" spans="1:17">
      <c r="B19" s="1230"/>
      <c r="C19" s="1242"/>
      <c r="D19" s="1242"/>
      <c r="E19" s="1242"/>
      <c r="F19" s="1259"/>
      <c r="G19" s="1262"/>
      <c r="H19" s="1262"/>
      <c r="I19" s="1242"/>
      <c r="N19" s="1231"/>
      <c r="O19" s="1231"/>
      <c r="P19" s="1231"/>
      <c r="Q19" s="1231"/>
    </row>
    <row r="20" spans="1:17" ht="25.5">
      <c r="B20" s="1230"/>
      <c r="C20" s="1259" t="s">
        <v>163</v>
      </c>
      <c r="D20" s="1259" t="s">
        <v>844</v>
      </c>
      <c r="E20" s="1260" t="str">
        <f>"(C )=(B) * "&amp;E12&amp;""</f>
        <v>(C )=(B) * -127042000</v>
      </c>
      <c r="F20" s="1259" t="s">
        <v>166</v>
      </c>
      <c r="G20" s="1266" t="s">
        <v>845</v>
      </c>
      <c r="H20" s="1266" t="s">
        <v>846</v>
      </c>
      <c r="I20" s="1260" t="s">
        <v>847</v>
      </c>
      <c r="N20" s="1231"/>
      <c r="O20" s="1231"/>
      <c r="P20" s="1231"/>
      <c r="Q20" s="1231"/>
    </row>
    <row r="21" spans="1:17">
      <c r="B21" s="1230"/>
      <c r="C21" s="1259" t="str">
        <f>"(Line "&amp;A47&amp;")"</f>
        <v>(Line 14)</v>
      </c>
      <c r="D21" s="1259"/>
      <c r="E21" s="1260"/>
      <c r="F21" s="1259"/>
      <c r="G21" s="1262"/>
      <c r="H21" s="1264"/>
      <c r="I21" s="1260"/>
      <c r="N21" s="1231"/>
      <c r="O21" s="1231"/>
      <c r="P21" s="1231"/>
      <c r="Q21" s="1231"/>
    </row>
    <row r="22" spans="1:17">
      <c r="A22" s="1220">
        <v>2</v>
      </c>
      <c r="B22" s="1220" t="s">
        <v>848</v>
      </c>
      <c r="C22" s="1323">
        <v>-16579000</v>
      </c>
      <c r="D22" s="1428">
        <f t="shared" ref="D22:D27" si="0">+C22/C$28</f>
        <v>0.36536130638869913</v>
      </c>
      <c r="E22" s="1241">
        <f t="shared" ref="E22:E27" si="1">ROUND(D22*E$28,0)</f>
        <v>-46416231</v>
      </c>
      <c r="F22" s="1325">
        <v>9.2070069597541285E-2</v>
      </c>
      <c r="G22" s="1429">
        <f t="shared" ref="G22:G27" si="2">+C22*F22</f>
        <v>-1526429.683857637</v>
      </c>
      <c r="H22" s="1429">
        <f t="shared" ref="H22:H27" si="3">+F22*E22</f>
        <v>-4273545.6186255533</v>
      </c>
      <c r="I22" s="1241">
        <f t="shared" ref="I22:I27" si="4">+G22-H22</f>
        <v>2747115.9347679163</v>
      </c>
      <c r="N22" s="1231"/>
      <c r="O22" s="1231"/>
      <c r="P22" s="1231"/>
      <c r="Q22" s="1231"/>
    </row>
    <row r="23" spans="1:17">
      <c r="A23" s="1220">
        <f t="shared" ref="A23:A28" si="5">+A22+1</f>
        <v>3</v>
      </c>
      <c r="B23" s="1220" t="s">
        <v>849</v>
      </c>
      <c r="C23" s="1323">
        <v>-12009000</v>
      </c>
      <c r="D23" s="1428">
        <f t="shared" si="0"/>
        <v>0.26464949203340898</v>
      </c>
      <c r="E23" s="1241">
        <f t="shared" si="1"/>
        <v>-33621601</v>
      </c>
      <c r="F23" s="1325">
        <v>4.4746272618028077E-2</v>
      </c>
      <c r="G23" s="1429">
        <f t="shared" si="2"/>
        <v>-537357.98786989914</v>
      </c>
      <c r="H23" s="1429">
        <f t="shared" si="3"/>
        <v>-1504441.3242005655</v>
      </c>
      <c r="I23" s="1241">
        <f t="shared" si="4"/>
        <v>967083.33633066632</v>
      </c>
      <c r="N23" s="1231"/>
      <c r="O23" s="1231"/>
      <c r="P23" s="1231"/>
      <c r="Q23" s="1231"/>
    </row>
    <row r="24" spans="1:17">
      <c r="A24" s="1220">
        <f t="shared" si="5"/>
        <v>4</v>
      </c>
      <c r="B24" s="1220" t="s">
        <v>850</v>
      </c>
      <c r="C24" s="1323">
        <v>-3821000</v>
      </c>
      <c r="D24" s="1428">
        <f t="shared" si="0"/>
        <v>8.420565484716927E-2</v>
      </c>
      <c r="E24" s="1241">
        <f t="shared" si="1"/>
        <v>-10697655</v>
      </c>
      <c r="F24" s="1325">
        <v>7.8239549007206574E-2</v>
      </c>
      <c r="G24" s="1429">
        <f t="shared" si="2"/>
        <v>-298953.31675653631</v>
      </c>
      <c r="H24" s="1429">
        <f t="shared" si="3"/>
        <v>-836979.70263468847</v>
      </c>
      <c r="I24" s="1241">
        <f t="shared" si="4"/>
        <v>538026.38587815221</v>
      </c>
      <c r="N24" s="1231"/>
      <c r="O24" s="1231"/>
      <c r="P24" s="1231"/>
      <c r="Q24" s="1231"/>
    </row>
    <row r="25" spans="1:17">
      <c r="A25" s="1220">
        <f t="shared" si="5"/>
        <v>5</v>
      </c>
      <c r="B25" s="1220" t="s">
        <v>851</v>
      </c>
      <c r="C25" s="1323">
        <v>-376000</v>
      </c>
      <c r="D25" s="1428">
        <f t="shared" si="0"/>
        <v>8.286136148268947E-3</v>
      </c>
      <c r="E25" s="1241">
        <f t="shared" si="1"/>
        <v>-1052687</v>
      </c>
      <c r="F25" s="1325">
        <v>0.11211991774719388</v>
      </c>
      <c r="G25" s="1429">
        <f t="shared" si="2"/>
        <v>-42157.089072944895</v>
      </c>
      <c r="H25" s="1429">
        <f t="shared" si="3"/>
        <v>-118027.17985354028</v>
      </c>
      <c r="I25" s="1241">
        <f t="shared" si="4"/>
        <v>75870.090780595376</v>
      </c>
      <c r="N25" s="1231"/>
      <c r="O25" s="1231"/>
      <c r="P25" s="1231"/>
      <c r="Q25" s="1231"/>
    </row>
    <row r="26" spans="1:17">
      <c r="A26" s="1220">
        <f t="shared" si="5"/>
        <v>6</v>
      </c>
      <c r="B26" s="1220" t="s">
        <v>852</v>
      </c>
      <c r="C26" s="1323">
        <v>-11910000</v>
      </c>
      <c r="D26" s="1428">
        <f t="shared" si="0"/>
        <v>0.2624677700156467</v>
      </c>
      <c r="E26" s="1241">
        <f t="shared" si="1"/>
        <v>-33344430</v>
      </c>
      <c r="F26" s="1325">
        <v>0.11569743588399903</v>
      </c>
      <c r="G26" s="1429">
        <f t="shared" si="2"/>
        <v>-1377956.4613784284</v>
      </c>
      <c r="H26" s="1429">
        <f t="shared" si="3"/>
        <v>-3857865.0520134936</v>
      </c>
      <c r="I26" s="1241">
        <f t="shared" si="4"/>
        <v>2479908.590635065</v>
      </c>
      <c r="N26" s="1231"/>
      <c r="O26" s="1231"/>
      <c r="P26" s="1231"/>
      <c r="Q26" s="1231"/>
    </row>
    <row r="27" spans="1:17">
      <c r="A27" s="1220">
        <f t="shared" si="5"/>
        <v>7</v>
      </c>
      <c r="B27" s="1220" t="s">
        <v>853</v>
      </c>
      <c r="C27" s="1324">
        <v>-682000</v>
      </c>
      <c r="D27" s="1428">
        <f t="shared" si="0"/>
        <v>1.5029640566806973E-2</v>
      </c>
      <c r="E27" s="1267">
        <f t="shared" si="1"/>
        <v>-1909396</v>
      </c>
      <c r="F27" s="1430">
        <v>3.184406770860998E-2</v>
      </c>
      <c r="G27" s="1431">
        <f t="shared" si="2"/>
        <v>-21717.654177272005</v>
      </c>
      <c r="H27" s="1431">
        <f t="shared" si="3"/>
        <v>-60802.93550654906</v>
      </c>
      <c r="I27" s="1267">
        <f t="shared" si="4"/>
        <v>39085.281329277059</v>
      </c>
      <c r="N27" s="1231"/>
      <c r="O27" s="1231"/>
      <c r="P27" s="1231"/>
      <c r="Q27" s="1231"/>
    </row>
    <row r="28" spans="1:17">
      <c r="A28" s="1220">
        <f t="shared" si="5"/>
        <v>8</v>
      </c>
      <c r="B28" s="1230" t="str">
        <f>"Sum of Lines "&amp;A22&amp;" to "&amp;A27&amp;""</f>
        <v>Sum of Lines 2 to 7</v>
      </c>
      <c r="C28" s="1241">
        <f>SUM(C22:C27)</f>
        <v>-45377000</v>
      </c>
      <c r="E28" s="1262">
        <f>+E12</f>
        <v>-127042000</v>
      </c>
      <c r="F28" s="1262"/>
      <c r="G28" s="1262">
        <f>SUM(G22:G27)</f>
        <v>-3804572.1931127184</v>
      </c>
      <c r="H28" s="1262">
        <f>SUM(H22:H27)</f>
        <v>-10651661.81283439</v>
      </c>
      <c r="I28" s="1262">
        <f>SUM(I22:I27)</f>
        <v>6847089.6197216725</v>
      </c>
      <c r="N28" s="1231"/>
      <c r="O28" s="1231"/>
      <c r="P28" s="1231"/>
      <c r="Q28" s="1231"/>
    </row>
    <row r="29" spans="1:17">
      <c r="C29" s="1241"/>
      <c r="N29" s="1231"/>
      <c r="O29" s="1231"/>
      <c r="P29" s="1231"/>
      <c r="Q29" s="1231"/>
    </row>
    <row r="30" spans="1:17">
      <c r="I30" s="1243"/>
      <c r="N30" s="1231"/>
      <c r="O30" s="1231"/>
      <c r="P30" s="1231"/>
      <c r="Q30" s="1231"/>
    </row>
    <row r="31" spans="1:17">
      <c r="I31" s="1243"/>
      <c r="J31" s="1231"/>
      <c r="K31" s="1231"/>
      <c r="L31" s="1231"/>
      <c r="M31" s="1231"/>
      <c r="N31" s="1231"/>
      <c r="O31" s="1231"/>
      <c r="P31" s="1231"/>
      <c r="Q31" s="1231"/>
    </row>
    <row r="32" spans="1:17">
      <c r="I32" s="1243"/>
      <c r="J32" s="1231"/>
      <c r="K32" s="1231"/>
      <c r="L32" s="1231"/>
      <c r="M32" s="1231"/>
      <c r="N32" s="1231"/>
      <c r="O32" s="1231"/>
      <c r="P32" s="1231"/>
      <c r="Q32" s="1231"/>
    </row>
    <row r="33" spans="1:17">
      <c r="B33" s="1233" t="s">
        <v>862</v>
      </c>
      <c r="F33" s="1234"/>
      <c r="I33" s="1243"/>
      <c r="J33" s="1231"/>
      <c r="K33" s="1231"/>
      <c r="L33" s="1231"/>
      <c r="M33" s="1231"/>
      <c r="N33" s="1231"/>
      <c r="O33" s="1231"/>
      <c r="P33" s="1231"/>
      <c r="Q33" s="1231"/>
    </row>
    <row r="34" spans="1:17">
      <c r="E34" s="1234"/>
      <c r="I34" s="1235"/>
      <c r="J34" s="1231"/>
      <c r="K34" s="1231"/>
      <c r="L34" s="1231"/>
      <c r="M34" s="1231"/>
      <c r="N34" s="1231"/>
      <c r="O34" s="1231"/>
      <c r="P34" s="1231"/>
      <c r="Q34" s="1231"/>
    </row>
    <row r="35" spans="1:17">
      <c r="D35" s="1236" t="s">
        <v>848</v>
      </c>
      <c r="E35" s="1237"/>
      <c r="F35" s="1236" t="s">
        <v>849</v>
      </c>
      <c r="G35" s="1236" t="s">
        <v>850</v>
      </c>
      <c r="H35" s="1236" t="s">
        <v>854</v>
      </c>
      <c r="I35" s="1238" t="s">
        <v>852</v>
      </c>
      <c r="J35" s="1238" t="s">
        <v>853</v>
      </c>
      <c r="K35" s="1238" t="s">
        <v>855</v>
      </c>
      <c r="L35" s="1231"/>
      <c r="M35" s="1231"/>
      <c r="N35" s="1231"/>
      <c r="O35" s="1231"/>
      <c r="P35" s="1231"/>
      <c r="Q35" s="1231"/>
    </row>
    <row r="36" spans="1:17">
      <c r="E36" s="1239"/>
      <c r="I36" s="1231"/>
      <c r="J36" s="1231"/>
      <c r="K36" s="1231"/>
      <c r="L36" s="1231"/>
      <c r="M36" s="1231"/>
      <c r="N36" s="1231"/>
      <c r="O36" s="1231"/>
      <c r="P36" s="1231"/>
      <c r="Q36" s="1231"/>
    </row>
    <row r="37" spans="1:17">
      <c r="A37" s="1220">
        <f>+A28+1</f>
        <v>9</v>
      </c>
      <c r="B37" s="1220" t="s">
        <v>856</v>
      </c>
      <c r="D37" s="1311">
        <v>-12806000</v>
      </c>
      <c r="E37" s="1310"/>
      <c r="F37" s="1311">
        <v>-10920000</v>
      </c>
      <c r="G37" s="1311">
        <v>-3094000</v>
      </c>
      <c r="H37" s="1311">
        <v>-262000</v>
      </c>
      <c r="I37" s="1311">
        <v>-8879000</v>
      </c>
      <c r="J37" s="1311">
        <v>-329000</v>
      </c>
      <c r="K37" s="1240">
        <f>SUM(D37:J37)</f>
        <v>-36290000</v>
      </c>
      <c r="L37" s="1231" t="s">
        <v>115</v>
      </c>
      <c r="M37" s="1231"/>
      <c r="N37" s="1231"/>
      <c r="O37" s="1231"/>
      <c r="P37" s="1231"/>
      <c r="Q37" s="1231"/>
    </row>
    <row r="38" spans="1:17">
      <c r="D38" s="1241"/>
      <c r="E38" s="1239"/>
      <c r="F38" s="1241"/>
      <c r="G38" s="1241"/>
      <c r="H38" s="1241"/>
      <c r="I38" s="1241"/>
      <c r="J38" s="1241"/>
    </row>
    <row r="39" spans="1:17">
      <c r="A39" s="1220">
        <f>+A37+1</f>
        <v>10</v>
      </c>
      <c r="B39" s="1538" t="s">
        <v>857</v>
      </c>
      <c r="C39" s="1538"/>
      <c r="D39" s="1311">
        <v>351000</v>
      </c>
      <c r="E39" s="1310"/>
      <c r="F39" s="1311">
        <v>1340000</v>
      </c>
      <c r="G39" s="1311">
        <v>306000</v>
      </c>
      <c r="H39" s="1311">
        <v>0</v>
      </c>
      <c r="I39" s="1311">
        <v>0</v>
      </c>
      <c r="J39" s="1311">
        <v>-263000</v>
      </c>
      <c r="K39" s="1240"/>
      <c r="L39" s="1231"/>
      <c r="M39" s="1231"/>
      <c r="N39" s="1231"/>
      <c r="O39" s="1231"/>
      <c r="P39" s="1231"/>
      <c r="Q39" s="1231"/>
    </row>
    <row r="40" spans="1:17">
      <c r="B40" s="1538"/>
      <c r="C40" s="1538"/>
      <c r="D40" s="1234"/>
      <c r="E40" s="1239"/>
      <c r="F40" s="1234"/>
      <c r="G40" s="1234"/>
      <c r="H40" s="1234"/>
      <c r="I40" s="1234"/>
      <c r="J40" s="1234"/>
      <c r="K40" s="1243"/>
      <c r="L40" s="1231"/>
      <c r="M40" s="1231"/>
      <c r="N40" s="1231"/>
      <c r="O40" s="1231"/>
      <c r="P40" s="1231"/>
      <c r="Q40" s="1231"/>
    </row>
    <row r="41" spans="1:17">
      <c r="A41" s="1220">
        <f>+A39+1</f>
        <v>11</v>
      </c>
      <c r="B41" s="1220" t="s">
        <v>858</v>
      </c>
      <c r="D41" s="1311">
        <v>0</v>
      </c>
      <c r="E41" s="1310"/>
      <c r="F41" s="1311">
        <v>0</v>
      </c>
      <c r="G41" s="1311">
        <v>0</v>
      </c>
      <c r="H41" s="1311">
        <v>0</v>
      </c>
      <c r="I41" s="1311">
        <v>0</v>
      </c>
      <c r="J41" s="1311">
        <v>0</v>
      </c>
      <c r="K41" s="1240">
        <f>SUM(D41:J41)</f>
        <v>0</v>
      </c>
      <c r="L41" s="1231"/>
      <c r="M41" s="1231"/>
      <c r="N41" s="1231"/>
      <c r="O41" s="1231"/>
      <c r="P41" s="1231"/>
      <c r="Q41" s="1231"/>
    </row>
    <row r="42" spans="1:17">
      <c r="D42" s="1244"/>
      <c r="E42" s="1245"/>
      <c r="F42" s="1244"/>
      <c r="G42" s="1244"/>
      <c r="H42" s="1244"/>
      <c r="I42" s="1246"/>
      <c r="J42" s="1246"/>
      <c r="K42" s="1247"/>
      <c r="L42" s="1231"/>
      <c r="M42" s="1231"/>
      <c r="N42" s="1231"/>
      <c r="O42" s="1231"/>
      <c r="P42" s="1231"/>
      <c r="Q42" s="1231"/>
    </row>
    <row r="43" spans="1:17">
      <c r="A43" s="1220">
        <f>+A41+1</f>
        <v>12</v>
      </c>
      <c r="B43" s="1220" t="str">
        <f>"Net Company Expense (Ln "&amp;A37&amp;" + Ln "&amp;A39&amp;" + Ln  "&amp;A41&amp;")"</f>
        <v>Net Company Expense (Ln 9 + Ln 10 + Ln  11)</v>
      </c>
      <c r="D43" s="1234">
        <f t="shared" ref="D43:J43" si="6">+D37+D41+D39</f>
        <v>-12455000</v>
      </c>
      <c r="E43" s="1248"/>
      <c r="F43" s="1234">
        <f t="shared" si="6"/>
        <v>-9580000</v>
      </c>
      <c r="G43" s="1234">
        <f t="shared" si="6"/>
        <v>-2788000</v>
      </c>
      <c r="H43" s="1234">
        <f t="shared" si="6"/>
        <v>-262000</v>
      </c>
      <c r="I43" s="1234">
        <f t="shared" si="6"/>
        <v>-8879000</v>
      </c>
      <c r="J43" s="1234">
        <f t="shared" si="6"/>
        <v>-592000</v>
      </c>
      <c r="K43" s="1240">
        <f>SUM(D43:J43)</f>
        <v>-34556000</v>
      </c>
      <c r="L43" s="1231"/>
      <c r="M43" s="1231"/>
      <c r="N43" s="1231"/>
      <c r="O43" s="1231"/>
      <c r="P43" s="1231"/>
      <c r="Q43" s="1231"/>
    </row>
    <row r="44" spans="1:17">
      <c r="E44" s="1239"/>
      <c r="G44" s="1234">
        <f>+G40+G42</f>
        <v>0</v>
      </c>
      <c r="I44" s="1231"/>
      <c r="J44" s="1231"/>
      <c r="K44" s="1243"/>
      <c r="L44" s="1249"/>
      <c r="M44" s="1231"/>
      <c r="N44" s="1231"/>
      <c r="O44" s="1231"/>
      <c r="P44" s="1231"/>
      <c r="Q44" s="1231"/>
    </row>
    <row r="45" spans="1:17">
      <c r="A45" s="1220">
        <f>+A43+1</f>
        <v>13</v>
      </c>
      <c r="B45" s="1538" t="s">
        <v>859</v>
      </c>
      <c r="C45" s="1538"/>
      <c r="D45" s="1311">
        <v>-4124000</v>
      </c>
      <c r="E45" s="1310"/>
      <c r="F45" s="1311">
        <v>-2429000</v>
      </c>
      <c r="G45" s="1311">
        <v>-1033000</v>
      </c>
      <c r="H45" s="1311">
        <v>-114000</v>
      </c>
      <c r="I45" s="1311">
        <v>-3031000</v>
      </c>
      <c r="J45" s="1311">
        <v>-89000</v>
      </c>
      <c r="K45" s="1240">
        <f>SUM(D45:J45)</f>
        <v>-10820000</v>
      </c>
      <c r="L45" s="1250" t="s">
        <v>115</v>
      </c>
      <c r="M45" s="1231"/>
      <c r="N45" s="1231"/>
      <c r="O45" s="1231"/>
      <c r="P45" s="1231"/>
      <c r="Q45" s="1231"/>
    </row>
    <row r="46" spans="1:17">
      <c r="B46" s="1538"/>
      <c r="C46" s="1538"/>
      <c r="D46" s="1251"/>
      <c r="E46" s="1239"/>
      <c r="I46" s="1231"/>
      <c r="J46" s="1231"/>
      <c r="K46" s="1243"/>
      <c r="L46" s="1231"/>
      <c r="M46" s="1231"/>
      <c r="N46" s="1231"/>
      <c r="O46" s="1231"/>
      <c r="P46" s="1231"/>
      <c r="Q46" s="1231"/>
    </row>
    <row r="47" spans="1:17" ht="13.5" thickBot="1">
      <c r="A47" s="1220">
        <f>+A45+1</f>
        <v>14</v>
      </c>
      <c r="B47" s="1220" t="str">
        <f>"Company PBOP Expense (Ln "&amp;A43&amp;" + Ln  "&amp;A45&amp;")"</f>
        <v>Company PBOP Expense (Ln 12 + Ln  13)</v>
      </c>
      <c r="D47" s="1252">
        <f>+D45+D41+D39+D37</f>
        <v>-16579000</v>
      </c>
      <c r="E47" s="1253"/>
      <c r="F47" s="1252">
        <f>+F45+F41+F39+F37</f>
        <v>-12009000</v>
      </c>
      <c r="G47" s="1252">
        <f>+G45+G41+G39+G37</f>
        <v>-3821000</v>
      </c>
      <c r="H47" s="1252">
        <f>+H45+H41+H39+H37</f>
        <v>-376000</v>
      </c>
      <c r="I47" s="1252">
        <f>+I45+I41+I39+I37</f>
        <v>-11910000</v>
      </c>
      <c r="J47" s="1252">
        <f>+J45+J41+J39+J37</f>
        <v>-681000</v>
      </c>
      <c r="K47" s="1254">
        <f>SUM(D47:J47)</f>
        <v>-45376000</v>
      </c>
      <c r="L47" s="1231"/>
      <c r="M47" s="1231"/>
      <c r="N47" s="1231"/>
      <c r="O47" s="1231"/>
      <c r="P47" s="1231"/>
      <c r="Q47" s="1231"/>
    </row>
    <row r="48" spans="1:17" ht="13.5" thickTop="1">
      <c r="I48" s="1231"/>
      <c r="J48" s="1231"/>
      <c r="K48" s="1231"/>
      <c r="L48" s="1231"/>
      <c r="M48" s="1231"/>
      <c r="N48" s="1231"/>
      <c r="O48" s="1231"/>
      <c r="P48" s="1231"/>
      <c r="Q48" s="1231"/>
    </row>
    <row r="49" spans="1:19">
      <c r="A49" s="1539" t="s">
        <v>860</v>
      </c>
      <c r="B49" s="1539"/>
      <c r="C49" s="1539"/>
      <c r="D49" s="1539"/>
      <c r="E49" s="1539"/>
      <c r="F49" s="1539"/>
      <c r="G49" s="1539"/>
      <c r="H49" s="1539"/>
      <c r="I49" s="1539"/>
      <c r="J49" s="1539"/>
      <c r="K49" s="1539"/>
      <c r="L49" s="1255"/>
      <c r="M49" s="1231"/>
      <c r="N49" s="1231"/>
      <c r="O49" s="1231"/>
      <c r="P49" s="1231"/>
      <c r="Q49" s="1231"/>
    </row>
    <row r="50" spans="1:19">
      <c r="A50" s="1539"/>
      <c r="B50" s="1539"/>
      <c r="C50" s="1539"/>
      <c r="D50" s="1539"/>
      <c r="E50" s="1539"/>
      <c r="F50" s="1539"/>
      <c r="G50" s="1539"/>
      <c r="H50" s="1539"/>
      <c r="I50" s="1539"/>
      <c r="J50" s="1539"/>
      <c r="K50" s="1539"/>
      <c r="L50" s="1231"/>
      <c r="M50" s="1231"/>
      <c r="N50" s="1231"/>
      <c r="O50" s="1231"/>
      <c r="P50" s="1231"/>
      <c r="Q50" s="1231"/>
    </row>
    <row r="51" spans="1:19">
      <c r="A51" s="1539"/>
      <c r="B51" s="1539"/>
      <c r="C51" s="1539"/>
      <c r="D51" s="1539"/>
      <c r="E51" s="1539"/>
      <c r="F51" s="1539"/>
      <c r="G51" s="1539"/>
      <c r="H51" s="1539"/>
      <c r="I51" s="1539"/>
      <c r="J51" s="1539"/>
      <c r="K51" s="1539"/>
      <c r="L51" s="1231"/>
      <c r="M51" s="1231"/>
      <c r="N51" s="1231"/>
      <c r="O51" s="1231"/>
      <c r="P51" s="1231"/>
      <c r="Q51" s="1231"/>
    </row>
    <row r="52" spans="1:19">
      <c r="A52" s="1539"/>
      <c r="B52" s="1539"/>
      <c r="C52" s="1539"/>
      <c r="D52" s="1539"/>
      <c r="E52" s="1539"/>
      <c r="F52" s="1539"/>
      <c r="G52" s="1539"/>
      <c r="H52" s="1539"/>
      <c r="I52" s="1539"/>
      <c r="J52" s="1539"/>
      <c r="K52" s="1539"/>
      <c r="Q52" s="1231"/>
    </row>
    <row r="53" spans="1:19">
      <c r="A53" s="1539"/>
      <c r="B53" s="1539"/>
      <c r="C53" s="1539"/>
      <c r="D53" s="1539"/>
      <c r="E53" s="1539"/>
      <c r="F53" s="1539"/>
      <c r="G53" s="1539"/>
      <c r="H53" s="1539"/>
      <c r="I53" s="1539"/>
      <c r="J53" s="1539"/>
      <c r="K53" s="1539"/>
      <c r="Q53" s="1231"/>
    </row>
    <row r="54" spans="1:19">
      <c r="A54" s="1539"/>
      <c r="B54" s="1539"/>
      <c r="C54" s="1539"/>
      <c r="D54" s="1539"/>
      <c r="E54" s="1539"/>
      <c r="F54" s="1539"/>
      <c r="G54" s="1539"/>
      <c r="H54" s="1539"/>
      <c r="I54" s="1539"/>
      <c r="J54" s="1539"/>
      <c r="K54" s="1539"/>
      <c r="Q54" s="1231"/>
    </row>
    <row r="55" spans="1:19">
      <c r="A55" s="1539"/>
      <c r="B55" s="1539"/>
      <c r="C55" s="1539"/>
      <c r="D55" s="1539"/>
      <c r="E55" s="1539"/>
      <c r="F55" s="1539"/>
      <c r="G55" s="1539"/>
      <c r="H55" s="1539"/>
      <c r="I55" s="1539"/>
      <c r="J55" s="1539"/>
      <c r="K55" s="1539"/>
      <c r="Q55" s="1231"/>
    </row>
    <row r="56" spans="1:19">
      <c r="A56" s="1539"/>
      <c r="B56" s="1539"/>
      <c r="C56" s="1539"/>
      <c r="D56" s="1539"/>
      <c r="E56" s="1539"/>
      <c r="F56" s="1539"/>
      <c r="G56" s="1539"/>
      <c r="H56" s="1539"/>
      <c r="I56" s="1539"/>
      <c r="J56" s="1539"/>
      <c r="K56" s="1539"/>
      <c r="Q56" s="1231"/>
    </row>
    <row r="57" spans="1:19">
      <c r="A57" s="1539"/>
      <c r="B57" s="1539"/>
      <c r="C57" s="1539"/>
      <c r="D57" s="1539"/>
      <c r="E57" s="1539"/>
      <c r="F57" s="1539"/>
      <c r="G57" s="1539"/>
      <c r="H57" s="1539"/>
      <c r="I57" s="1539"/>
      <c r="J57" s="1539"/>
      <c r="K57" s="1539"/>
      <c r="Q57" s="1231"/>
    </row>
    <row r="58" spans="1:19">
      <c r="Q58" s="1256"/>
    </row>
    <row r="59" spans="1:19" ht="18.75" customHeight="1"/>
    <row r="60" spans="1:19" ht="12.75" customHeight="1">
      <c r="Q60" s="1257"/>
      <c r="R60" s="1257"/>
      <c r="S60" s="1257"/>
    </row>
    <row r="61" spans="1:19" ht="68.25" customHeight="1"/>
    <row r="72" ht="39.75" customHeight="1"/>
    <row r="81" spans="17:22" ht="15.75" customHeight="1">
      <c r="Q81" s="1258"/>
      <c r="R81" s="1258"/>
      <c r="S81" s="1258"/>
      <c r="T81" s="1258"/>
      <c r="U81" s="1258"/>
      <c r="V81" s="1241"/>
    </row>
    <row r="82" spans="17:22" ht="6" customHeight="1">
      <c r="Q82" s="1258"/>
      <c r="R82" s="1258"/>
      <c r="S82" s="1258"/>
      <c r="T82" s="1258"/>
      <c r="U82" s="1258"/>
      <c r="V82" s="1241"/>
    </row>
    <row r="83" spans="17:22">
      <c r="Q83" s="1258"/>
      <c r="R83" s="1258"/>
      <c r="S83" s="1258"/>
      <c r="T83" s="1258"/>
      <c r="U83" s="1258"/>
      <c r="V83" s="1241"/>
    </row>
    <row r="84" spans="17:22" ht="6" customHeight="1">
      <c r="Q84" s="1258"/>
      <c r="R84" s="1258"/>
      <c r="S84" s="1258"/>
      <c r="T84" s="1258"/>
      <c r="U84" s="1258"/>
      <c r="V84" s="1241"/>
    </row>
    <row r="85" spans="17:22">
      <c r="Q85" s="1258"/>
      <c r="R85" s="1258"/>
      <c r="S85" s="1258"/>
      <c r="T85" s="1258"/>
      <c r="U85" s="1258"/>
      <c r="V85" s="1241"/>
    </row>
    <row r="86" spans="17:22" ht="12.75" customHeight="1">
      <c r="Q86" s="1258"/>
      <c r="R86" s="1258"/>
      <c r="S86" s="1258"/>
      <c r="T86" s="1258"/>
      <c r="U86" s="1258"/>
      <c r="V86" s="1241"/>
    </row>
    <row r="87" spans="17:22" ht="6.75" customHeight="1">
      <c r="Q87" s="1258"/>
      <c r="R87" s="1258"/>
      <c r="S87" s="1258"/>
      <c r="T87" s="1258"/>
      <c r="U87" s="1258"/>
      <c r="V87" s="1241"/>
    </row>
    <row r="88" spans="17:22">
      <c r="Q88" s="1258"/>
      <c r="R88" s="1258"/>
      <c r="S88" s="1258"/>
      <c r="T88" s="1258"/>
      <c r="U88" s="1258"/>
      <c r="V88" s="1241"/>
    </row>
    <row r="89" spans="17:22">
      <c r="Q89" s="1258"/>
      <c r="R89" s="1258"/>
      <c r="S89" s="1258"/>
      <c r="T89" s="1258"/>
      <c r="U89" s="1241"/>
    </row>
    <row r="90" spans="17:22">
      <c r="Q90" s="1258"/>
      <c r="R90" s="1258"/>
      <c r="S90" s="1258"/>
      <c r="T90" s="1258"/>
      <c r="U90" s="1241"/>
    </row>
    <row r="91" spans="17:22">
      <c r="Q91" s="1258"/>
      <c r="R91" s="1258"/>
      <c r="S91" s="1258"/>
      <c r="T91" s="1258"/>
      <c r="U91" s="1241"/>
    </row>
    <row r="92" spans="17:22">
      <c r="Q92" s="1256"/>
      <c r="R92" s="1256"/>
    </row>
    <row r="93" spans="17:22">
      <c r="Q93" s="1256"/>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41"/>
    </row>
    <row r="183" spans="13:13">
      <c r="M183" s="1259"/>
    </row>
    <row r="184" spans="13:13">
      <c r="M184" s="1242"/>
    </row>
    <row r="185" spans="13:13" ht="12.75" customHeight="1">
      <c r="M185" s="1242"/>
    </row>
    <row r="186" spans="13:13">
      <c r="M186" s="1242"/>
    </row>
    <row r="187" spans="13:13">
      <c r="M187" s="1242"/>
    </row>
    <row r="188" spans="13:13">
      <c r="M188" s="1260"/>
    </row>
    <row r="189" spans="13:13">
      <c r="M189" s="1260"/>
    </row>
    <row r="190" spans="13:13">
      <c r="M190" s="1241"/>
    </row>
    <row r="191" spans="13:13">
      <c r="M191" s="1241"/>
    </row>
    <row r="192" spans="13:13">
      <c r="M192" s="1241"/>
    </row>
    <row r="193" spans="13:13">
      <c r="M193" s="1241"/>
    </row>
    <row r="194" spans="13:13">
      <c r="M194" s="1241"/>
    </row>
    <row r="195" spans="13:13">
      <c r="M195" s="1241"/>
    </row>
    <row r="196" spans="13:13">
      <c r="M196" s="1261"/>
    </row>
    <row r="197" spans="13:13">
      <c r="M197" s="1262"/>
    </row>
    <row r="199" spans="13:13">
      <c r="M199" s="1241"/>
    </row>
    <row r="204" spans="13:13">
      <c r="M204" s="1241"/>
    </row>
    <row r="205" spans="13:13">
      <c r="M205" s="1259"/>
    </row>
    <row r="206" spans="13:13">
      <c r="M206" s="1242"/>
    </row>
    <row r="207" spans="13:13" ht="12.75" customHeight="1">
      <c r="M207" s="1242"/>
    </row>
    <row r="208" spans="13:13">
      <c r="M208" s="1242"/>
    </row>
    <row r="209" spans="13:13">
      <c r="M209" s="1242"/>
    </row>
    <row r="210" spans="13:13">
      <c r="M210" s="1260"/>
    </row>
    <row r="211" spans="13:13">
      <c r="M211" s="1260"/>
    </row>
    <row r="212" spans="13:13">
      <c r="M212" s="1241"/>
    </row>
    <row r="213" spans="13:13">
      <c r="M213" s="1241"/>
    </row>
    <row r="214" spans="13:13">
      <c r="M214" s="1241"/>
    </row>
    <row r="215" spans="13:13">
      <c r="M215" s="1241"/>
    </row>
    <row r="216" spans="13:13">
      <c r="M216" s="1241"/>
    </row>
    <row r="217" spans="13:13">
      <c r="M217" s="1241"/>
    </row>
    <row r="218" spans="13:13">
      <c r="M218" s="1261"/>
    </row>
    <row r="219" spans="13:13">
      <c r="M219" s="1262"/>
    </row>
    <row r="221" spans="13:13">
      <c r="M221" s="1241"/>
    </row>
    <row r="226" spans="13:13">
      <c r="M226" s="1241"/>
    </row>
    <row r="227" spans="13:13">
      <c r="M227" s="1259"/>
    </row>
    <row r="228" spans="13:13">
      <c r="M228" s="1242"/>
    </row>
    <row r="229" spans="13:13" ht="12.75" customHeight="1">
      <c r="M229" s="1242"/>
    </row>
    <row r="230" spans="13:13">
      <c r="M230" s="1242"/>
    </row>
    <row r="231" spans="13:13">
      <c r="M231" s="1242"/>
    </row>
    <row r="232" spans="13:13">
      <c r="M232" s="1260"/>
    </row>
    <row r="233" spans="13:13">
      <c r="M233" s="1260"/>
    </row>
    <row r="234" spans="13:13">
      <c r="M234" s="1241"/>
    </row>
    <row r="235" spans="13:13">
      <c r="M235" s="1241"/>
    </row>
    <row r="236" spans="13:13">
      <c r="M236" s="1241"/>
    </row>
    <row r="237" spans="13:13">
      <c r="M237" s="1241"/>
    </row>
    <row r="238" spans="13:13">
      <c r="M238" s="1241"/>
    </row>
    <row r="239" spans="13:13">
      <c r="M239" s="1241"/>
    </row>
    <row r="240" spans="13:13">
      <c r="M240" s="1261"/>
    </row>
    <row r="241" spans="13:13">
      <c r="M241" s="1262"/>
    </row>
    <row r="243" spans="13:13">
      <c r="M243" s="1241"/>
    </row>
    <row r="248" spans="13:13">
      <c r="M248" s="1241"/>
    </row>
    <row r="249" spans="13:13">
      <c r="M249" s="1259"/>
    </row>
    <row r="250" spans="13:13">
      <c r="M250" s="1242"/>
    </row>
    <row r="251" spans="13:13" ht="12.75" customHeight="1">
      <c r="M251" s="1242"/>
    </row>
    <row r="252" spans="13:13">
      <c r="M252" s="1242"/>
    </row>
    <row r="253" spans="13:13">
      <c r="M253" s="1242"/>
    </row>
    <row r="254" spans="13:13">
      <c r="M254" s="1260"/>
    </row>
    <row r="255" spans="13:13">
      <c r="M255" s="1260"/>
    </row>
    <row r="256" spans="13:13">
      <c r="M256" s="1241"/>
    </row>
    <row r="257" spans="13:13">
      <c r="M257" s="1241"/>
    </row>
    <row r="258" spans="13:13">
      <c r="M258" s="1241"/>
    </row>
    <row r="259" spans="13:13">
      <c r="M259" s="1241"/>
    </row>
    <row r="260" spans="13:13">
      <c r="M260" s="1241"/>
    </row>
    <row r="261" spans="13:13">
      <c r="M261" s="1241"/>
    </row>
    <row r="262" spans="13:13">
      <c r="M262" s="1261"/>
    </row>
    <row r="263" spans="13:13">
      <c r="M263" s="1262"/>
    </row>
    <row r="265" spans="13:13">
      <c r="M265" s="1241"/>
    </row>
    <row r="270" spans="13:13">
      <c r="M270" s="1241"/>
    </row>
    <row r="271" spans="13:13">
      <c r="M271" s="1259"/>
    </row>
    <row r="272" spans="13:13" ht="12.75" customHeight="1">
      <c r="M272" s="1242"/>
    </row>
    <row r="273" spans="13:13" ht="12.75" customHeight="1">
      <c r="M273" s="1242"/>
    </row>
    <row r="274" spans="13:13">
      <c r="M274" s="1242"/>
    </row>
    <row r="275" spans="13:13" ht="12.75" customHeight="1">
      <c r="M275" s="1242"/>
    </row>
    <row r="276" spans="13:13">
      <c r="M276" s="1260"/>
    </row>
    <row r="277" spans="13:13">
      <c r="M277" s="1260"/>
    </row>
    <row r="278" spans="13:13">
      <c r="M278" s="1241"/>
    </row>
    <row r="279" spans="13:13">
      <c r="M279" s="1241"/>
    </row>
    <row r="280" spans="13:13">
      <c r="M280" s="1241"/>
    </row>
    <row r="281" spans="13:13">
      <c r="M281" s="1241"/>
    </row>
    <row r="282" spans="13:13">
      <c r="M282" s="1241"/>
    </row>
    <row r="283" spans="13:13">
      <c r="M283" s="1241"/>
    </row>
    <row r="284" spans="13:13">
      <c r="M284" s="1261"/>
    </row>
    <row r="285" spans="13:13">
      <c r="M285" s="1262"/>
    </row>
    <row r="287" spans="13:13">
      <c r="M287" s="1241"/>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9"/>
  <sheetViews>
    <sheetView defaultGridColor="0" view="pageBreakPreview" colorId="22" zoomScale="60" zoomScaleNormal="70" workbookViewId="0">
      <selection activeCell="B20" sqref="B20:S39"/>
    </sheetView>
  </sheetViews>
  <sheetFormatPr defaultColWidth="14.7109375" defaultRowHeight="15"/>
  <cols>
    <col min="1" max="1" width="33.140625" style="805" customWidth="1"/>
    <col min="2" max="2" width="11" style="805" customWidth="1"/>
    <col min="3" max="3" width="16.85546875" style="805" customWidth="1"/>
    <col min="4" max="4" width="16.7109375" style="805" customWidth="1"/>
    <col min="5" max="5" width="14.7109375" style="805" customWidth="1"/>
    <col min="6" max="6" width="4.85546875" style="805" customWidth="1"/>
    <col min="7" max="7" width="14.7109375" style="298" customWidth="1"/>
    <col min="8" max="8" width="18.28515625" style="805" customWidth="1"/>
    <col min="9" max="9" width="15.5703125" style="805" customWidth="1"/>
    <col min="10" max="10" width="6.140625" style="805" customWidth="1"/>
    <col min="11" max="11" width="14.7109375" style="805" customWidth="1"/>
    <col min="12" max="12" width="16.140625" style="805" customWidth="1"/>
    <col min="13" max="13" width="14.7109375" style="805" customWidth="1"/>
    <col min="14" max="14" width="4.85546875" style="805" customWidth="1"/>
    <col min="15" max="15" width="18.5703125" style="805" customWidth="1"/>
    <col min="16" max="16384" width="14.7109375" style="805"/>
  </cols>
  <sheetData>
    <row r="1" spans="1:19" ht="15.75">
      <c r="A1" s="920" t="s">
        <v>115</v>
      </c>
    </row>
    <row r="2" spans="1:19" ht="15.75">
      <c r="A2" s="920" t="s">
        <v>115</v>
      </c>
    </row>
    <row r="3" spans="1:19" ht="19.5">
      <c r="A3" s="1548" t="s">
        <v>392</v>
      </c>
      <c r="B3" s="1548"/>
      <c r="C3" s="1548"/>
      <c r="D3" s="1548"/>
      <c r="E3" s="1548"/>
      <c r="F3" s="1548"/>
      <c r="G3" s="1548"/>
      <c r="H3" s="1548"/>
      <c r="I3" s="1548"/>
      <c r="J3" s="1548"/>
      <c r="K3" s="1548"/>
      <c r="L3" s="1548"/>
      <c r="M3" s="1548"/>
      <c r="N3" s="1548"/>
      <c r="O3" s="1548"/>
      <c r="P3" s="804"/>
      <c r="Q3" s="804"/>
      <c r="R3" s="804"/>
      <c r="S3" s="804"/>
    </row>
    <row r="4" spans="1:19" ht="19.5">
      <c r="A4" s="1548" t="s">
        <v>393</v>
      </c>
      <c r="B4" s="1548"/>
      <c r="C4" s="1548"/>
      <c r="D4" s="1548"/>
      <c r="E4" s="1548"/>
      <c r="F4" s="1548"/>
      <c r="G4" s="1548"/>
      <c r="H4" s="1548"/>
      <c r="I4" s="1548"/>
      <c r="J4" s="1548"/>
      <c r="K4" s="1548"/>
      <c r="L4" s="1548"/>
      <c r="M4" s="1548"/>
      <c r="N4" s="1548"/>
      <c r="O4" s="1548"/>
      <c r="P4" s="804"/>
      <c r="Q4" s="804"/>
      <c r="R4" s="804"/>
      <c r="S4" s="804"/>
    </row>
    <row r="5" spans="1:19" ht="19.5">
      <c r="A5" s="1548" t="s">
        <v>394</v>
      </c>
      <c r="B5" s="1548"/>
      <c r="C5" s="1548"/>
      <c r="D5" s="1548"/>
      <c r="E5" s="1548"/>
      <c r="F5" s="1548"/>
      <c r="G5" s="1548"/>
      <c r="H5" s="1548"/>
      <c r="I5" s="1548"/>
      <c r="J5" s="1548"/>
      <c r="K5" s="1548"/>
      <c r="L5" s="1548"/>
      <c r="M5" s="1548"/>
      <c r="N5" s="1548"/>
      <c r="O5" s="1548"/>
      <c r="P5" s="804"/>
      <c r="Q5" s="804"/>
      <c r="R5" s="804"/>
      <c r="S5" s="804"/>
    </row>
    <row r="6" spans="1:19" ht="19.5">
      <c r="A6" s="1548" t="s">
        <v>395</v>
      </c>
      <c r="B6" s="1548"/>
      <c r="C6" s="1548"/>
      <c r="D6" s="1548"/>
      <c r="E6" s="1548"/>
      <c r="F6" s="1548"/>
      <c r="G6" s="1548"/>
      <c r="H6" s="1548"/>
      <c r="I6" s="1548"/>
      <c r="J6" s="1548"/>
      <c r="K6" s="1548"/>
      <c r="L6" s="1548"/>
      <c r="M6" s="1548"/>
      <c r="N6" s="1548"/>
      <c r="O6" s="1548"/>
      <c r="P6" s="804"/>
      <c r="Q6" s="804"/>
      <c r="R6" s="804"/>
      <c r="S6" s="804"/>
    </row>
    <row r="7" spans="1:19" ht="19.5">
      <c r="A7" s="1548" t="s">
        <v>1003</v>
      </c>
      <c r="B7" s="1548"/>
      <c r="C7" s="1548"/>
      <c r="D7" s="1548"/>
      <c r="E7" s="1548"/>
      <c r="F7" s="1548"/>
      <c r="G7" s="1548"/>
      <c r="H7" s="1548"/>
      <c r="I7" s="1548"/>
      <c r="J7" s="1548"/>
      <c r="K7" s="1548"/>
      <c r="L7" s="1548"/>
      <c r="M7" s="1548"/>
      <c r="N7" s="1548"/>
      <c r="O7" s="1548"/>
      <c r="P7" s="804"/>
      <c r="Q7" s="804"/>
      <c r="R7" s="804"/>
      <c r="S7" s="804"/>
    </row>
    <row r="8" spans="1:19" ht="19.5">
      <c r="A8" s="1548" t="s">
        <v>396</v>
      </c>
      <c r="B8" s="1548"/>
      <c r="C8" s="1548"/>
      <c r="D8" s="1548"/>
      <c r="E8" s="1548"/>
      <c r="F8" s="1548"/>
      <c r="G8" s="1548"/>
      <c r="H8" s="1548"/>
      <c r="I8" s="1548"/>
      <c r="J8" s="1548"/>
      <c r="K8" s="1548"/>
      <c r="L8" s="1548"/>
      <c r="M8" s="1548"/>
      <c r="N8" s="1548"/>
      <c r="O8" s="1548"/>
      <c r="P8" s="804"/>
      <c r="Q8" s="804"/>
      <c r="R8" s="804"/>
      <c r="S8" s="804"/>
    </row>
    <row r="9" spans="1:19" ht="19.5">
      <c r="A9" s="1549" t="s">
        <v>1112</v>
      </c>
      <c r="B9" s="1548"/>
      <c r="C9" s="1548"/>
      <c r="D9" s="1548"/>
      <c r="E9" s="1548"/>
      <c r="F9" s="1548"/>
      <c r="G9" s="1548"/>
      <c r="H9" s="1548"/>
      <c r="I9" s="1548"/>
      <c r="J9" s="1548"/>
      <c r="K9" s="1548"/>
      <c r="L9" s="1548"/>
      <c r="M9" s="1548"/>
      <c r="N9" s="1548"/>
      <c r="O9" s="1548"/>
      <c r="P9" s="804"/>
      <c r="Q9" s="804"/>
      <c r="R9" s="804"/>
      <c r="S9" s="804"/>
    </row>
    <row r="10" spans="1:19" ht="19.5">
      <c r="A10" s="1550"/>
      <c r="B10" s="1550"/>
      <c r="C10" s="1550"/>
      <c r="D10" s="1550"/>
      <c r="E10" s="1550"/>
      <c r="F10" s="1550"/>
      <c r="G10" s="1550"/>
      <c r="H10" s="1550"/>
      <c r="I10" s="1550"/>
      <c r="J10" s="1550"/>
      <c r="K10" s="1550"/>
      <c r="L10" s="1550"/>
      <c r="M10" s="1550"/>
      <c r="N10" s="1550"/>
      <c r="O10" s="1550"/>
      <c r="P10" s="1329"/>
      <c r="Q10" s="1329"/>
      <c r="R10" s="1329"/>
      <c r="S10" s="1329"/>
    </row>
    <row r="12" spans="1:19" ht="16.5" thickBot="1">
      <c r="A12" s="806"/>
      <c r="B12" s="806"/>
      <c r="C12" s="1551" t="s">
        <v>599</v>
      </c>
      <c r="D12" s="1551"/>
      <c r="E12" s="1551"/>
      <c r="F12" s="806"/>
      <c r="G12" s="1551" t="s">
        <v>600</v>
      </c>
      <c r="H12" s="1551"/>
      <c r="I12" s="1551"/>
      <c r="J12" s="806"/>
      <c r="K12" s="1551" t="s">
        <v>397</v>
      </c>
      <c r="L12" s="1551"/>
      <c r="M12" s="1551"/>
      <c r="N12" s="806"/>
      <c r="O12" s="1551" t="s">
        <v>601</v>
      </c>
      <c r="P12" s="1551"/>
      <c r="Q12" s="1551"/>
      <c r="R12" s="806"/>
      <c r="S12" s="807" t="s">
        <v>398</v>
      </c>
    </row>
    <row r="13" spans="1:19">
      <c r="A13" s="806"/>
      <c r="B13" s="806"/>
      <c r="C13" s="808" t="s">
        <v>122</v>
      </c>
      <c r="D13" s="809"/>
      <c r="E13" s="809"/>
      <c r="F13" s="809"/>
      <c r="G13" s="810" t="s">
        <v>123</v>
      </c>
      <c r="H13" s="811"/>
      <c r="I13" s="811"/>
      <c r="J13" s="811"/>
      <c r="K13" s="812" t="s">
        <v>124</v>
      </c>
      <c r="L13" s="811"/>
      <c r="M13" s="811"/>
      <c r="N13" s="811"/>
      <c r="O13" s="813" t="s">
        <v>125</v>
      </c>
      <c r="P13" s="811"/>
      <c r="Q13" s="811"/>
      <c r="R13" s="811"/>
      <c r="S13" s="811"/>
    </row>
    <row r="14" spans="1:19">
      <c r="A14" s="806"/>
      <c r="B14" s="806"/>
      <c r="C14" s="808" t="s">
        <v>115</v>
      </c>
      <c r="D14" s="809"/>
      <c r="E14" s="808" t="s">
        <v>399</v>
      </c>
      <c r="F14" s="809"/>
      <c r="G14" s="810" t="s">
        <v>602</v>
      </c>
      <c r="H14" s="809"/>
      <c r="I14" s="808" t="s">
        <v>399</v>
      </c>
      <c r="J14" s="809"/>
      <c r="L14" s="809"/>
      <c r="M14" s="808" t="s">
        <v>399</v>
      </c>
      <c r="N14" s="809"/>
      <c r="P14" s="809"/>
      <c r="Q14" s="808" t="s">
        <v>399</v>
      </c>
      <c r="R14" s="809"/>
      <c r="S14" s="808" t="s">
        <v>399</v>
      </c>
    </row>
    <row r="15" spans="1:19">
      <c r="A15" s="806"/>
      <c r="B15" s="808" t="s">
        <v>400</v>
      </c>
      <c r="C15" s="808" t="s">
        <v>603</v>
      </c>
      <c r="D15" s="808" t="s">
        <v>401</v>
      </c>
      <c r="E15" s="808" t="s">
        <v>402</v>
      </c>
      <c r="F15" s="809"/>
      <c r="G15" s="810" t="s">
        <v>403</v>
      </c>
      <c r="H15" s="808" t="s">
        <v>401</v>
      </c>
      <c r="I15" s="808" t="s">
        <v>402</v>
      </c>
      <c r="J15" s="809"/>
      <c r="K15" s="808" t="s">
        <v>81</v>
      </c>
      <c r="L15" s="808" t="s">
        <v>401</v>
      </c>
      <c r="M15" s="808" t="s">
        <v>402</v>
      </c>
      <c r="N15" s="809"/>
      <c r="O15" s="808" t="s">
        <v>81</v>
      </c>
      <c r="P15" s="808" t="s">
        <v>401</v>
      </c>
      <c r="Q15" s="808" t="s">
        <v>402</v>
      </c>
      <c r="R15" s="809"/>
      <c r="S15" s="808" t="s">
        <v>402</v>
      </c>
    </row>
    <row r="16" spans="1:19">
      <c r="A16" s="808"/>
      <c r="B16" s="808" t="s">
        <v>404</v>
      </c>
      <c r="C16" s="808" t="s">
        <v>405</v>
      </c>
      <c r="D16" s="808" t="s">
        <v>604</v>
      </c>
      <c r="E16" s="808" t="s">
        <v>406</v>
      </c>
      <c r="F16" s="809"/>
      <c r="G16" s="810" t="s">
        <v>405</v>
      </c>
      <c r="H16" s="808" t="s">
        <v>604</v>
      </c>
      <c r="I16" s="808" t="s">
        <v>406</v>
      </c>
      <c r="J16" s="809"/>
      <c r="K16" s="808" t="s">
        <v>405</v>
      </c>
      <c r="L16" s="808" t="s">
        <v>604</v>
      </c>
      <c r="M16" s="808" t="s">
        <v>406</v>
      </c>
      <c r="N16" s="809"/>
      <c r="O16" s="808" t="s">
        <v>405</v>
      </c>
      <c r="P16" s="808" t="s">
        <v>604</v>
      </c>
      <c r="Q16" s="808" t="s">
        <v>406</v>
      </c>
      <c r="R16" s="809"/>
      <c r="S16" s="808" t="s">
        <v>406</v>
      </c>
    </row>
    <row r="18" spans="1:19" ht="15.75" thickBot="1">
      <c r="A18" s="814"/>
      <c r="B18" s="806"/>
      <c r="C18" s="292"/>
      <c r="D18" s="806"/>
      <c r="E18" s="806"/>
      <c r="F18" s="806"/>
      <c r="G18" s="292"/>
      <c r="H18" s="806"/>
      <c r="I18" s="806"/>
      <c r="J18" s="806"/>
      <c r="K18" s="338"/>
      <c r="L18" s="806"/>
      <c r="M18" s="806"/>
      <c r="N18" s="806"/>
      <c r="O18" s="338"/>
      <c r="P18" s="806"/>
      <c r="Q18" s="806"/>
      <c r="R18" s="806"/>
      <c r="S18" s="806"/>
    </row>
    <row r="19" spans="1:19">
      <c r="A19" s="815" t="s">
        <v>407</v>
      </c>
      <c r="B19" s="816"/>
      <c r="C19" s="293"/>
      <c r="D19" s="294"/>
      <c r="E19" s="295"/>
      <c r="F19" s="816"/>
      <c r="G19" s="293"/>
      <c r="H19" s="296"/>
      <c r="I19" s="295"/>
      <c r="J19" s="816"/>
      <c r="K19" s="816"/>
      <c r="L19" s="296"/>
      <c r="M19" s="295"/>
      <c r="N19" s="816"/>
      <c r="O19" s="816"/>
      <c r="P19" s="294"/>
      <c r="Q19" s="295"/>
      <c r="R19" s="816"/>
      <c r="S19" s="295"/>
    </row>
    <row r="20" spans="1:19">
      <c r="A20" s="817" t="s">
        <v>605</v>
      </c>
      <c r="B20" s="297">
        <v>350.1</v>
      </c>
      <c r="C20" s="292">
        <v>6.5839999999999996E-3</v>
      </c>
      <c r="D20" s="1339">
        <v>1</v>
      </c>
      <c r="E20" s="292">
        <v>6.6E-3</v>
      </c>
      <c r="F20" s="1342"/>
      <c r="G20" s="292"/>
      <c r="H20" s="1340"/>
      <c r="I20" s="298"/>
      <c r="J20" s="1342"/>
      <c r="K20" s="292"/>
      <c r="L20" s="1340"/>
      <c r="M20" s="1341"/>
      <c r="N20" s="1342"/>
      <c r="O20" s="292"/>
      <c r="P20" s="1339"/>
      <c r="Q20" s="1341"/>
      <c r="R20" s="1342"/>
      <c r="S20" s="292">
        <v>6.6E-3</v>
      </c>
    </row>
    <row r="21" spans="1:19">
      <c r="A21" s="817" t="s">
        <v>606</v>
      </c>
      <c r="B21" s="297">
        <v>351</v>
      </c>
      <c r="C21" s="292"/>
      <c r="D21" s="1339"/>
      <c r="E21" s="292"/>
      <c r="F21" s="1342"/>
      <c r="G21" s="292">
        <v>0.14219999999999999</v>
      </c>
      <c r="H21" s="1340">
        <v>1</v>
      </c>
      <c r="I21" s="292">
        <v>0.14219999999999999</v>
      </c>
      <c r="J21" s="1342"/>
      <c r="K21" s="292"/>
      <c r="L21" s="1340"/>
      <c r="M21" s="1341"/>
      <c r="N21" s="1342"/>
      <c r="O21" s="292"/>
      <c r="P21" s="1339"/>
      <c r="Q21" s="1341"/>
      <c r="R21" s="1342"/>
      <c r="S21" s="292">
        <v>0.14219999999999999</v>
      </c>
    </row>
    <row r="22" spans="1:19">
      <c r="A22" s="818" t="s">
        <v>408</v>
      </c>
      <c r="B22" s="297">
        <v>352</v>
      </c>
      <c r="C22" s="292">
        <v>1.55E-2</v>
      </c>
      <c r="D22" s="299">
        <v>0.4926481265323473</v>
      </c>
      <c r="E22" s="292">
        <v>7.6E-3</v>
      </c>
      <c r="F22" s="1342"/>
      <c r="G22" s="292">
        <v>1.6199999999999999E-2</v>
      </c>
      <c r="H22" s="299">
        <v>0.41460345789111802</v>
      </c>
      <c r="I22" s="292">
        <v>6.7000000000000002E-3</v>
      </c>
      <c r="J22" s="1342"/>
      <c r="K22" s="292">
        <v>2.1899999999999999E-2</v>
      </c>
      <c r="L22" s="299">
        <v>3.3874350437840824E-2</v>
      </c>
      <c r="M22" s="292">
        <v>6.9999999999999999E-4</v>
      </c>
      <c r="N22" s="1342"/>
      <c r="O22" s="292">
        <v>2.1899999999999999E-2</v>
      </c>
      <c r="P22" s="299">
        <v>5.8874065138694032E-2</v>
      </c>
      <c r="Q22" s="292">
        <v>1.2999999999999999E-3</v>
      </c>
      <c r="R22" s="1342"/>
      <c r="S22" s="292">
        <v>1.6299999999999999E-2</v>
      </c>
    </row>
    <row r="23" spans="1:19">
      <c r="A23" s="818" t="s">
        <v>409</v>
      </c>
      <c r="B23" s="297">
        <v>353</v>
      </c>
      <c r="C23" s="292">
        <v>1.95E-2</v>
      </c>
      <c r="D23" s="299">
        <v>0.4926481265323473</v>
      </c>
      <c r="E23" s="292">
        <v>9.5999999999999992E-3</v>
      </c>
      <c r="F23" s="1342"/>
      <c r="G23" s="292">
        <v>2.3699999999999999E-2</v>
      </c>
      <c r="H23" s="299">
        <v>0.41460345789111802</v>
      </c>
      <c r="I23" s="292">
        <v>9.7999999999999997E-3</v>
      </c>
      <c r="J23" s="1342"/>
      <c r="K23" s="292">
        <v>2.1899999999999999E-2</v>
      </c>
      <c r="L23" s="299">
        <v>3.3874350437840824E-2</v>
      </c>
      <c r="M23" s="292">
        <v>6.9999999999999999E-4</v>
      </c>
      <c r="N23" s="1342"/>
      <c r="O23" s="292">
        <v>2.1899999999999999E-2</v>
      </c>
      <c r="P23" s="299">
        <v>5.8874065138694032E-2</v>
      </c>
      <c r="Q23" s="292">
        <v>1.2999999999999999E-3</v>
      </c>
      <c r="R23" s="1342"/>
      <c r="S23" s="292">
        <v>2.1399999999999999E-2</v>
      </c>
    </row>
    <row r="24" spans="1:19">
      <c r="A24" s="818" t="s">
        <v>410</v>
      </c>
      <c r="B24" s="297">
        <v>354</v>
      </c>
      <c r="C24" s="292">
        <v>1.14E-2</v>
      </c>
      <c r="D24" s="299">
        <v>0.4926481265323473</v>
      </c>
      <c r="E24" s="292">
        <v>5.5999999999999999E-3</v>
      </c>
      <c r="F24" s="1342"/>
      <c r="G24" s="292">
        <v>1.5900000000000001E-2</v>
      </c>
      <c r="H24" s="299">
        <v>0.41460345789111802</v>
      </c>
      <c r="I24" s="292">
        <v>6.6E-3</v>
      </c>
      <c r="J24" s="1342"/>
      <c r="K24" s="292">
        <v>2.1899999999999999E-2</v>
      </c>
      <c r="L24" s="299">
        <v>3.3874350437840824E-2</v>
      </c>
      <c r="M24" s="292">
        <v>6.9999999999999999E-4</v>
      </c>
      <c r="N24" s="1342"/>
      <c r="O24" s="292">
        <v>2.1899999999999999E-2</v>
      </c>
      <c r="P24" s="299">
        <v>5.8874065138694032E-2</v>
      </c>
      <c r="Q24" s="292">
        <v>1.2999999999999999E-3</v>
      </c>
      <c r="R24" s="1342"/>
      <c r="S24" s="292">
        <v>1.4200000000000001E-2</v>
      </c>
    </row>
    <row r="25" spans="1:19">
      <c r="A25" s="818" t="s">
        <v>411</v>
      </c>
      <c r="B25" s="297">
        <v>355</v>
      </c>
      <c r="C25" s="292">
        <v>2.7699999999999999E-2</v>
      </c>
      <c r="D25" s="299">
        <v>0.4926481265323473</v>
      </c>
      <c r="E25" s="292">
        <v>1.3599999999999999E-2</v>
      </c>
      <c r="F25" s="1342"/>
      <c r="G25" s="292">
        <v>2.7099999999999999E-2</v>
      </c>
      <c r="H25" s="299">
        <v>0.41460345789111802</v>
      </c>
      <c r="I25" s="292">
        <v>1.12E-2</v>
      </c>
      <c r="J25" s="1342"/>
      <c r="K25" s="292">
        <v>2.1899999999999999E-2</v>
      </c>
      <c r="L25" s="299">
        <v>3.3874350437840824E-2</v>
      </c>
      <c r="M25" s="292">
        <v>6.9999999999999999E-4</v>
      </c>
      <c r="N25" s="1342"/>
      <c r="O25" s="292">
        <v>2.1899999999999999E-2</v>
      </c>
      <c r="P25" s="299">
        <v>5.8874065138694032E-2</v>
      </c>
      <c r="Q25" s="292">
        <v>1.2999999999999999E-3</v>
      </c>
      <c r="R25" s="1342"/>
      <c r="S25" s="292">
        <v>2.6800000000000001E-2</v>
      </c>
    </row>
    <row r="26" spans="1:19">
      <c r="A26" s="818" t="s">
        <v>607</v>
      </c>
      <c r="B26" s="297">
        <v>356</v>
      </c>
      <c r="C26" s="292">
        <v>1.01E-2</v>
      </c>
      <c r="D26" s="299">
        <v>0.4926481265323473</v>
      </c>
      <c r="E26" s="292">
        <v>5.0000000000000001E-3</v>
      </c>
      <c r="F26" s="1342"/>
      <c r="G26" s="292">
        <v>1.5299999999999999E-2</v>
      </c>
      <c r="H26" s="299">
        <v>0.41460345789111802</v>
      </c>
      <c r="I26" s="292">
        <v>6.3E-3</v>
      </c>
      <c r="J26" s="1342"/>
      <c r="K26" s="292">
        <v>2.1899999999999999E-2</v>
      </c>
      <c r="L26" s="299">
        <v>3.3874350437840824E-2</v>
      </c>
      <c r="M26" s="292">
        <v>6.9999999999999999E-4</v>
      </c>
      <c r="N26" s="1342"/>
      <c r="O26" s="292">
        <v>2.1899999999999999E-2</v>
      </c>
      <c r="P26" s="299">
        <v>5.8874065138694032E-2</v>
      </c>
      <c r="Q26" s="292">
        <v>1.2999999999999999E-3</v>
      </c>
      <c r="R26" s="1342"/>
      <c r="S26" s="292">
        <v>1.3299999999999999E-2</v>
      </c>
    </row>
    <row r="27" spans="1:19">
      <c r="A27" s="818" t="s">
        <v>412</v>
      </c>
      <c r="B27" s="297">
        <v>351</v>
      </c>
      <c r="C27" s="292">
        <v>1.23E-2</v>
      </c>
      <c r="D27" s="299">
        <v>0.4926481265323473</v>
      </c>
      <c r="E27" s="292">
        <v>6.1000000000000004E-3</v>
      </c>
      <c r="F27" s="1342"/>
      <c r="G27" s="292">
        <v>3.7100000000000001E-2</v>
      </c>
      <c r="H27" s="299">
        <v>0.41460345789111802</v>
      </c>
      <c r="I27" s="292">
        <v>1.54E-2</v>
      </c>
      <c r="J27" s="1342"/>
      <c r="K27" s="292">
        <v>2.1899999999999999E-2</v>
      </c>
      <c r="L27" s="299">
        <v>3.3874350437840824E-2</v>
      </c>
      <c r="M27" s="292">
        <v>6.9999999999999999E-4</v>
      </c>
      <c r="N27" s="1342"/>
      <c r="O27" s="292">
        <v>2.1899999999999999E-2</v>
      </c>
      <c r="P27" s="299">
        <v>5.8874065138694032E-2</v>
      </c>
      <c r="Q27" s="292">
        <v>1.2999999999999999E-3</v>
      </c>
      <c r="R27" s="1342"/>
      <c r="S27" s="292">
        <v>2.35E-2</v>
      </c>
    </row>
    <row r="28" spans="1:19">
      <c r="A28" s="818" t="s">
        <v>413</v>
      </c>
      <c r="B28" s="297">
        <v>351</v>
      </c>
      <c r="C28" s="292">
        <v>3.1800000000000002E-2</v>
      </c>
      <c r="D28" s="299">
        <v>0.4926481265323473</v>
      </c>
      <c r="E28" s="292">
        <v>1.5699999999999999E-2</v>
      </c>
      <c r="F28" s="1342"/>
      <c r="G28" s="292">
        <v>5.2400000000000002E-2</v>
      </c>
      <c r="H28" s="299">
        <v>0.41460345789111802</v>
      </c>
      <c r="I28" s="292">
        <v>2.1700000000000001E-2</v>
      </c>
      <c r="J28" s="1342"/>
      <c r="K28" s="338">
        <v>2.1899999999999999E-2</v>
      </c>
      <c r="L28" s="299">
        <v>3.3874350437840824E-2</v>
      </c>
      <c r="M28" s="292">
        <v>6.9999999999999999E-4</v>
      </c>
      <c r="N28" s="1342"/>
      <c r="O28" s="338">
        <v>2.1899999999999999E-2</v>
      </c>
      <c r="P28" s="299">
        <v>5.8874065138694032E-2</v>
      </c>
      <c r="Q28" s="292">
        <v>1.2999999999999999E-3</v>
      </c>
      <c r="R28" s="1342"/>
      <c r="S28" s="292">
        <v>3.9399999999999998E-2</v>
      </c>
    </row>
    <row r="29" spans="1:19" ht="15.75" thickBot="1">
      <c r="A29" s="818"/>
      <c r="B29" s="1342"/>
      <c r="C29" s="338"/>
      <c r="D29" s="1339"/>
      <c r="E29" s="1341"/>
      <c r="F29" s="1342"/>
      <c r="G29" s="338"/>
      <c r="H29" s="1339"/>
      <c r="I29" s="1341"/>
      <c r="J29" s="1342"/>
      <c r="K29" s="338"/>
      <c r="L29" s="1339"/>
      <c r="M29" s="1341"/>
      <c r="N29" s="1342"/>
      <c r="O29" s="338"/>
      <c r="P29" s="1339"/>
      <c r="Q29" s="292"/>
      <c r="R29" s="1342"/>
      <c r="S29" s="292"/>
    </row>
    <row r="30" spans="1:19">
      <c r="A30" s="1330" t="s">
        <v>1004</v>
      </c>
      <c r="B30" s="1343"/>
      <c r="C30" s="1344"/>
      <c r="D30" s="1345"/>
      <c r="E30" s="1346"/>
      <c r="F30" s="1343"/>
      <c r="G30" s="1344"/>
      <c r="H30" s="1345"/>
      <c r="I30" s="1346"/>
      <c r="J30" s="1343"/>
      <c r="K30" s="1343"/>
      <c r="L30" s="1345"/>
      <c r="M30" s="1346"/>
      <c r="N30" s="1343"/>
      <c r="O30" s="1343"/>
      <c r="P30" s="1345"/>
      <c r="Q30" s="1346"/>
      <c r="R30" s="1343"/>
      <c r="S30" s="1347"/>
    </row>
    <row r="31" spans="1:19">
      <c r="A31" s="817" t="s">
        <v>820</v>
      </c>
      <c r="B31" s="297">
        <v>390</v>
      </c>
      <c r="C31" s="292">
        <v>1.4999999999999999E-2</v>
      </c>
      <c r="D31" s="1339">
        <v>0.51955682288281835</v>
      </c>
      <c r="E31" s="292">
        <v>7.7999999999999996E-3</v>
      </c>
      <c r="F31" s="1342"/>
      <c r="G31" s="292">
        <v>1.9099999999999999E-2</v>
      </c>
      <c r="H31" s="1340">
        <v>0.42593496676624976</v>
      </c>
      <c r="I31" s="292">
        <v>8.0999999999999996E-3</v>
      </c>
      <c r="J31" s="1342"/>
      <c r="K31" s="292">
        <v>3.4300000000000004E-2</v>
      </c>
      <c r="L31" s="1340">
        <v>1.9779842847932196E-2</v>
      </c>
      <c r="M31" s="292">
        <v>6.9999999999999999E-4</v>
      </c>
      <c r="N31" s="1342"/>
      <c r="O31" s="292">
        <v>3.4300000000000004E-2</v>
      </c>
      <c r="P31" s="1339">
        <v>3.4728367502999846E-2</v>
      </c>
      <c r="Q31" s="292">
        <v>1.1999999999999999E-3</v>
      </c>
      <c r="R31" s="1342"/>
      <c r="S31" s="292">
        <v>1.78E-2</v>
      </c>
    </row>
    <row r="32" spans="1:19">
      <c r="A32" s="817" t="s">
        <v>821</v>
      </c>
      <c r="B32" s="297">
        <v>391</v>
      </c>
      <c r="C32" s="292">
        <v>2.7799999999999998E-2</v>
      </c>
      <c r="D32" s="1339">
        <v>0.51955682288281835</v>
      </c>
      <c r="E32" s="292">
        <v>1.44E-2</v>
      </c>
      <c r="F32" s="1342"/>
      <c r="G32" s="292">
        <v>3.1699999999999999E-2</v>
      </c>
      <c r="H32" s="1340">
        <v>0.42593496676624976</v>
      </c>
      <c r="I32" s="292">
        <v>1.35E-2</v>
      </c>
      <c r="J32" s="1342"/>
      <c r="K32" s="292">
        <v>3.4300000000000004E-2</v>
      </c>
      <c r="L32" s="1340">
        <v>1.9779842847932196E-2</v>
      </c>
      <c r="M32" s="292">
        <v>6.9999999999999999E-4</v>
      </c>
      <c r="N32" s="1342"/>
      <c r="O32" s="292">
        <v>3.4300000000000004E-2</v>
      </c>
      <c r="P32" s="1339">
        <v>3.4728367502999846E-2</v>
      </c>
      <c r="Q32" s="292">
        <v>1.1999999999999999E-3</v>
      </c>
      <c r="R32" s="1342"/>
      <c r="S32" s="292">
        <v>2.98E-2</v>
      </c>
    </row>
    <row r="33" spans="1:19">
      <c r="A33" s="817" t="s">
        <v>1005</v>
      </c>
      <c r="B33" s="297">
        <v>392</v>
      </c>
      <c r="C33" s="292">
        <v>0</v>
      </c>
      <c r="D33" s="299">
        <v>0.51955682288281835</v>
      </c>
      <c r="E33" s="292">
        <v>0</v>
      </c>
      <c r="F33" s="1342"/>
      <c r="G33" s="292">
        <v>3.4000000000000002E-2</v>
      </c>
      <c r="H33" s="299">
        <v>0.42593496676624976</v>
      </c>
      <c r="I33" s="292">
        <v>1.4500000000000001E-2</v>
      </c>
      <c r="J33" s="1342"/>
      <c r="K33" s="292">
        <v>3.4300000000000004E-2</v>
      </c>
      <c r="L33" s="299">
        <v>1.9779842847932196E-2</v>
      </c>
      <c r="M33" s="292">
        <v>6.9999999999999999E-4</v>
      </c>
      <c r="N33" s="1342"/>
      <c r="O33" s="292">
        <v>3.4300000000000004E-2</v>
      </c>
      <c r="P33" s="299">
        <v>3.4728367502999846E-2</v>
      </c>
      <c r="Q33" s="292">
        <v>1.1999999999999999E-3</v>
      </c>
      <c r="R33" s="1342"/>
      <c r="S33" s="292">
        <v>1.6400000000000001E-2</v>
      </c>
    </row>
    <row r="34" spans="1:19">
      <c r="A34" s="817" t="s">
        <v>822</v>
      </c>
      <c r="B34" s="297">
        <v>393</v>
      </c>
      <c r="C34" s="292">
        <v>1.6E-2</v>
      </c>
      <c r="D34" s="299">
        <v>0.51955682288281835</v>
      </c>
      <c r="E34" s="292">
        <v>8.3000000000000001E-3</v>
      </c>
      <c r="F34" s="1342"/>
      <c r="G34" s="292">
        <v>1.7999999999999999E-2</v>
      </c>
      <c r="H34" s="299">
        <v>0.42593496676624976</v>
      </c>
      <c r="I34" s="292">
        <v>7.7000000000000002E-3</v>
      </c>
      <c r="J34" s="1342"/>
      <c r="K34" s="292">
        <v>3.4300000000000004E-2</v>
      </c>
      <c r="L34" s="299">
        <v>1.9779842847932196E-2</v>
      </c>
      <c r="M34" s="292">
        <v>6.9999999999999999E-4</v>
      </c>
      <c r="N34" s="1342"/>
      <c r="O34" s="292">
        <v>3.4300000000000004E-2</v>
      </c>
      <c r="P34" s="299">
        <v>3.4728367502999846E-2</v>
      </c>
      <c r="Q34" s="292">
        <v>1.1999999999999999E-3</v>
      </c>
      <c r="R34" s="1342"/>
      <c r="S34" s="292">
        <v>1.7899999999999999E-2</v>
      </c>
    </row>
    <row r="35" spans="1:19" ht="15.75" customHeight="1">
      <c r="A35" s="817" t="s">
        <v>823</v>
      </c>
      <c r="B35" s="297">
        <v>394</v>
      </c>
      <c r="C35" s="292">
        <v>2.07E-2</v>
      </c>
      <c r="D35" s="299">
        <v>0.51955682288281835</v>
      </c>
      <c r="E35" s="292">
        <v>1.0800000000000001E-2</v>
      </c>
      <c r="F35" s="1342"/>
      <c r="G35" s="292">
        <v>2.5700000000000001E-2</v>
      </c>
      <c r="H35" s="299">
        <v>0.42593496676624976</v>
      </c>
      <c r="I35" s="292">
        <v>1.09E-2</v>
      </c>
      <c r="J35" s="1342"/>
      <c r="K35" s="292">
        <v>3.4300000000000004E-2</v>
      </c>
      <c r="L35" s="299">
        <v>1.9779842847932196E-2</v>
      </c>
      <c r="M35" s="292">
        <v>6.9999999999999999E-4</v>
      </c>
      <c r="N35" s="1342"/>
      <c r="O35" s="292">
        <v>3.4300000000000004E-2</v>
      </c>
      <c r="P35" s="299">
        <v>3.4728367502999846E-2</v>
      </c>
      <c r="Q35" s="292">
        <v>1.1999999999999999E-3</v>
      </c>
      <c r="R35" s="1342"/>
      <c r="S35" s="292">
        <v>2.3599999999999999E-2</v>
      </c>
    </row>
    <row r="36" spans="1:19" ht="15.75" customHeight="1">
      <c r="A36" s="817" t="s">
        <v>824</v>
      </c>
      <c r="B36" s="297">
        <v>395</v>
      </c>
      <c r="C36" s="292">
        <v>1.5299999999999999E-2</v>
      </c>
      <c r="D36" s="299">
        <v>0.51955682288281835</v>
      </c>
      <c r="E36" s="292">
        <v>7.9000000000000008E-3</v>
      </c>
      <c r="F36" s="1342"/>
      <c r="G36" s="292">
        <v>4.0099999999999997E-2</v>
      </c>
      <c r="H36" s="299">
        <v>0.42593496676624976</v>
      </c>
      <c r="I36" s="292">
        <v>1.7100000000000001E-2</v>
      </c>
      <c r="J36" s="1342"/>
      <c r="K36" s="292">
        <v>3.4300000000000004E-2</v>
      </c>
      <c r="L36" s="299">
        <v>1.9779842847932196E-2</v>
      </c>
      <c r="M36" s="292">
        <v>6.9999999999999999E-4</v>
      </c>
      <c r="N36" s="1342"/>
      <c r="O36" s="292">
        <v>3.4300000000000004E-2</v>
      </c>
      <c r="P36" s="299">
        <v>3.4728367502999846E-2</v>
      </c>
      <c r="Q36" s="292">
        <v>1.1999999999999999E-3</v>
      </c>
      <c r="R36" s="1342"/>
      <c r="S36" s="292">
        <v>2.69E-2</v>
      </c>
    </row>
    <row r="37" spans="1:19" ht="15.75" customHeight="1">
      <c r="A37" s="817" t="s">
        <v>1006</v>
      </c>
      <c r="B37" s="297">
        <v>396</v>
      </c>
      <c r="C37" s="292">
        <v>0</v>
      </c>
      <c r="D37" s="299">
        <v>0.51955682288281835</v>
      </c>
      <c r="E37" s="292">
        <v>0</v>
      </c>
      <c r="F37" s="1342"/>
      <c r="G37" s="292">
        <v>3.9E-2</v>
      </c>
      <c r="H37" s="299">
        <v>0.42593496676624976</v>
      </c>
      <c r="I37" s="292">
        <v>1.66E-2</v>
      </c>
      <c r="J37" s="1342"/>
      <c r="K37" s="292">
        <v>3.4300000000000004E-2</v>
      </c>
      <c r="L37" s="299">
        <v>1.9779842847932196E-2</v>
      </c>
      <c r="M37" s="292">
        <v>6.9999999999999999E-4</v>
      </c>
      <c r="N37" s="1342"/>
      <c r="O37" s="292">
        <v>3.4300000000000004E-2</v>
      </c>
      <c r="P37" s="299">
        <v>3.4728367502999846E-2</v>
      </c>
      <c r="Q37" s="292">
        <v>1.1999999999999999E-3</v>
      </c>
      <c r="R37" s="1342"/>
      <c r="S37" s="292">
        <v>1.8499999999999999E-2</v>
      </c>
    </row>
    <row r="38" spans="1:19">
      <c r="A38" s="817" t="s">
        <v>825</v>
      </c>
      <c r="B38" s="297">
        <v>397</v>
      </c>
      <c r="C38" s="292">
        <v>3.27E-2</v>
      </c>
      <c r="D38" s="299">
        <v>0.51955682288281835</v>
      </c>
      <c r="E38" s="292">
        <v>1.7000000000000001E-2</v>
      </c>
      <c r="F38" s="1342"/>
      <c r="G38" s="292">
        <v>4.9799999999999997E-2</v>
      </c>
      <c r="H38" s="299">
        <v>0.42593496676624976</v>
      </c>
      <c r="I38" s="292">
        <v>2.12E-2</v>
      </c>
      <c r="J38" s="1342"/>
      <c r="K38" s="292">
        <v>3.4300000000000004E-2</v>
      </c>
      <c r="L38" s="299">
        <v>1.9779842847932196E-2</v>
      </c>
      <c r="M38" s="292">
        <v>6.9999999999999999E-4</v>
      </c>
      <c r="N38" s="1342"/>
      <c r="O38" s="292">
        <v>3.4300000000000004E-2</v>
      </c>
      <c r="P38" s="299">
        <v>3.4728367502999846E-2</v>
      </c>
      <c r="Q38" s="292">
        <v>1.1999999999999999E-3</v>
      </c>
      <c r="R38" s="1342"/>
      <c r="S38" s="292">
        <v>4.0099999999999997E-2</v>
      </c>
    </row>
    <row r="39" spans="1:19">
      <c r="A39" s="817" t="s">
        <v>826</v>
      </c>
      <c r="B39" s="297">
        <v>398</v>
      </c>
      <c r="C39" s="292">
        <v>2.5100000000000001E-2</v>
      </c>
      <c r="D39" s="299">
        <v>0.51955682288281835</v>
      </c>
      <c r="E39" s="292">
        <v>1.2999999999999999E-2</v>
      </c>
      <c r="F39" s="1342"/>
      <c r="G39" s="292">
        <v>2.7E-2</v>
      </c>
      <c r="H39" s="299">
        <v>0.42593496676624976</v>
      </c>
      <c r="I39" s="292">
        <v>1.15E-2</v>
      </c>
      <c r="J39" s="1342"/>
      <c r="K39" s="338">
        <v>3.4300000000000004E-2</v>
      </c>
      <c r="L39" s="299">
        <v>1.9779842847932196E-2</v>
      </c>
      <c r="M39" s="292">
        <v>6.9999999999999999E-4</v>
      </c>
      <c r="N39" s="1342"/>
      <c r="O39" s="338">
        <v>3.4300000000000004E-2</v>
      </c>
      <c r="P39" s="299">
        <v>3.4728367502999846E-2</v>
      </c>
      <c r="Q39" s="292">
        <v>1.1999999999999999E-3</v>
      </c>
      <c r="R39" s="1342"/>
      <c r="S39" s="292">
        <v>2.64E-2</v>
      </c>
    </row>
    <row r="40" spans="1:19" ht="15.75" thickBot="1">
      <c r="A40" s="1331"/>
      <c r="B40" s="1332"/>
      <c r="C40" s="1333"/>
      <c r="D40" s="1334"/>
      <c r="E40" s="1335"/>
      <c r="F40" s="1332"/>
      <c r="G40" s="1335"/>
      <c r="H40" s="1334"/>
      <c r="I40" s="1335"/>
      <c r="J40" s="1332"/>
      <c r="K40" s="1333"/>
      <c r="L40" s="1334"/>
      <c r="M40" s="1335"/>
      <c r="N40" s="1332"/>
      <c r="O40" s="1333"/>
      <c r="P40" s="1334"/>
      <c r="Q40" s="1335"/>
      <c r="R40" s="1332"/>
      <c r="S40" s="1335"/>
    </row>
    <row r="41" spans="1:19">
      <c r="B41" s="806"/>
      <c r="C41" s="292"/>
    </row>
    <row r="42" spans="1:19" ht="15" customHeight="1">
      <c r="A42" s="805" t="s">
        <v>608</v>
      </c>
      <c r="B42" s="819"/>
      <c r="C42" s="300"/>
      <c r="D42" s="819"/>
      <c r="F42" s="820" t="s">
        <v>609</v>
      </c>
      <c r="G42" s="298" t="s">
        <v>610</v>
      </c>
      <c r="H42" s="806"/>
      <c r="L42" s="820"/>
    </row>
    <row r="43" spans="1:19" ht="15.75">
      <c r="A43" s="805" t="s">
        <v>611</v>
      </c>
      <c r="B43" s="819"/>
      <c r="C43" s="300"/>
      <c r="D43" s="819"/>
      <c r="E43" s="819"/>
      <c r="F43" s="821"/>
      <c r="H43" s="806"/>
    </row>
    <row r="44" spans="1:19" ht="15" customHeight="1">
      <c r="B44" s="819"/>
      <c r="C44" s="300"/>
      <c r="D44" s="822"/>
      <c r="E44" s="822"/>
      <c r="F44" s="820" t="s">
        <v>612</v>
      </c>
      <c r="G44" s="298" t="s">
        <v>613</v>
      </c>
    </row>
    <row r="45" spans="1:19" ht="15.75">
      <c r="A45" s="805" t="s">
        <v>614</v>
      </c>
      <c r="B45" s="819"/>
      <c r="C45" s="300"/>
      <c r="D45" s="819"/>
      <c r="E45" s="819"/>
      <c r="F45" s="821"/>
      <c r="H45" s="806"/>
    </row>
    <row r="46" spans="1:19" ht="15.75">
      <c r="A46" s="805" t="s">
        <v>615</v>
      </c>
      <c r="B46" s="819"/>
      <c r="C46" s="300"/>
      <c r="D46" s="819"/>
      <c r="E46" s="819"/>
      <c r="F46" s="820" t="s">
        <v>616</v>
      </c>
      <c r="G46" s="1552" t="s">
        <v>617</v>
      </c>
      <c r="H46" s="1552"/>
      <c r="I46" s="1552"/>
      <c r="J46" s="1552"/>
      <c r="K46" s="1552"/>
      <c r="L46" s="1552"/>
    </row>
    <row r="47" spans="1:19" ht="15.75">
      <c r="B47" s="819"/>
      <c r="C47" s="300"/>
      <c r="D47" s="819"/>
      <c r="E47" s="819"/>
      <c r="F47" s="820"/>
      <c r="G47" s="1552" t="s">
        <v>618</v>
      </c>
      <c r="H47" s="1552"/>
      <c r="I47" s="1552"/>
      <c r="J47" s="1552"/>
      <c r="K47" s="1552"/>
      <c r="L47" s="1552"/>
    </row>
    <row r="48" spans="1:19" ht="15.75">
      <c r="B48" s="819"/>
      <c r="C48" s="300"/>
      <c r="D48" s="819"/>
      <c r="E48" s="819"/>
      <c r="F48" s="820"/>
      <c r="G48" s="1552" t="s">
        <v>619</v>
      </c>
      <c r="H48" s="1552"/>
      <c r="I48" s="1552"/>
      <c r="J48" s="1552"/>
      <c r="K48" s="1552"/>
      <c r="L48" s="1552"/>
    </row>
    <row r="49" spans="1:19" ht="15.75">
      <c r="A49" s="824"/>
      <c r="B49" s="806"/>
      <c r="C49" s="292"/>
      <c r="G49" s="1552" t="s">
        <v>115</v>
      </c>
      <c r="H49" s="1552"/>
      <c r="I49" s="1552"/>
      <c r="J49" s="1552"/>
      <c r="K49" s="1552"/>
      <c r="L49" s="1552"/>
    </row>
    <row r="50" spans="1:19" ht="15.75">
      <c r="A50" s="824"/>
      <c r="B50" s="806"/>
      <c r="C50" s="292"/>
      <c r="F50" s="820" t="s">
        <v>620</v>
      </c>
      <c r="G50" s="298" t="s">
        <v>621</v>
      </c>
      <c r="L50" s="823"/>
    </row>
    <row r="51" spans="1:19" ht="15.75">
      <c r="A51" s="824" t="s">
        <v>414</v>
      </c>
      <c r="B51" s="806"/>
      <c r="C51" s="292"/>
      <c r="G51" s="805"/>
      <c r="O51" s="825"/>
    </row>
    <row r="52" spans="1:19">
      <c r="A52" s="1336" t="s">
        <v>29</v>
      </c>
      <c r="B52" s="1337"/>
      <c r="C52" s="1337"/>
      <c r="D52" s="1338"/>
      <c r="O52" s="825"/>
    </row>
    <row r="53" spans="1:19">
      <c r="A53" s="1553" t="s">
        <v>622</v>
      </c>
      <c r="B53" s="1554"/>
      <c r="C53" s="1554"/>
      <c r="D53" s="1554"/>
      <c r="E53" s="1554"/>
      <c r="F53" s="1554"/>
      <c r="G53" s="1554"/>
      <c r="H53" s="1554"/>
      <c r="I53" s="1554"/>
      <c r="J53" s="1554"/>
      <c r="K53" s="1554"/>
      <c r="L53" s="1554"/>
      <c r="M53" s="1554"/>
      <c r="N53" s="1554"/>
    </row>
    <row r="54" spans="1:19">
      <c r="A54" s="1554"/>
      <c r="B54" s="1554"/>
      <c r="C54" s="1554"/>
      <c r="D54" s="1554"/>
      <c r="E54" s="1554"/>
      <c r="F54" s="1554"/>
      <c r="G54" s="1554"/>
      <c r="H54" s="1554"/>
      <c r="I54" s="1554"/>
      <c r="J54" s="1554"/>
      <c r="K54" s="1554"/>
      <c r="L54" s="1554"/>
      <c r="M54" s="1554"/>
      <c r="N54" s="1554"/>
    </row>
    <row r="55" spans="1:19">
      <c r="A55" s="1433" t="s">
        <v>834</v>
      </c>
      <c r="B55" s="1433"/>
      <c r="C55" s="1433"/>
      <c r="D55" s="1433"/>
      <c r="E55" s="1433"/>
      <c r="F55" s="1433"/>
      <c r="G55" s="1433"/>
      <c r="H55" s="1433"/>
      <c r="I55" s="1433"/>
      <c r="J55" s="1433"/>
      <c r="K55" s="1433"/>
      <c r="L55" s="1433"/>
      <c r="M55" s="1433"/>
      <c r="N55" s="1433"/>
    </row>
    <row r="56" spans="1:19">
      <c r="A56" s="1433"/>
      <c r="B56" s="1433"/>
      <c r="C56" s="1433"/>
      <c r="D56" s="1433"/>
      <c r="E56" s="1433"/>
      <c r="F56" s="1433"/>
      <c r="G56" s="1433"/>
      <c r="H56" s="1433"/>
      <c r="I56" s="1433"/>
      <c r="J56" s="1433"/>
      <c r="K56" s="1433"/>
      <c r="L56" s="1433"/>
      <c r="M56" s="1433"/>
      <c r="N56" s="1433"/>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sheetData>
  <mergeCells count="18">
    <mergeCell ref="G49:L49"/>
    <mergeCell ref="A53:N54"/>
    <mergeCell ref="A55:N56"/>
    <mergeCell ref="A3:O3"/>
    <mergeCell ref="A6:O6"/>
    <mergeCell ref="A7:O7"/>
    <mergeCell ref="A4:O4"/>
    <mergeCell ref="A5:O5"/>
    <mergeCell ref="A8:O8"/>
    <mergeCell ref="A9:O9"/>
    <mergeCell ref="A10:O10"/>
    <mergeCell ref="C12:E12"/>
    <mergeCell ref="G12:I12"/>
    <mergeCell ref="K12:M12"/>
    <mergeCell ref="O12:Q12"/>
    <mergeCell ref="G46:L46"/>
    <mergeCell ref="G47:L47"/>
    <mergeCell ref="G48:L48"/>
  </mergeCells>
  <phoneticPr fontId="2" type="noConversion"/>
  <conditionalFormatting sqref="A3 A4:S6">
    <cfRule type="cellIs" dxfId="13" priority="22" stopIfTrue="1" operator="lessThan">
      <formula>0</formula>
    </cfRule>
  </conditionalFormatting>
  <conditionalFormatting sqref="P10:S10 A7:S9 A10 A12:S30 O40:S56 A40:N45 A31:B39">
    <cfRule type="cellIs" dxfId="12" priority="11" stopIfTrue="1" operator="lessThan">
      <formula>0</formula>
    </cfRule>
  </conditionalFormatting>
  <conditionalFormatting sqref="A52:N52 A51:E51 L51:N51 F50:K50">
    <cfRule type="cellIs" dxfId="11" priority="10" stopIfTrue="1" operator="lessThan">
      <formula>0</formula>
    </cfRule>
  </conditionalFormatting>
  <conditionalFormatting sqref="A53 A46:G46 A47:F49 M46:N50 A50:E50">
    <cfRule type="cellIs" dxfId="10" priority="9" stopIfTrue="1" operator="lessThan">
      <formula>0</formula>
    </cfRule>
  </conditionalFormatting>
  <conditionalFormatting sqref="G46">
    <cfRule type="colorScale" priority="8">
      <colorScale>
        <cfvo type="min"/>
        <cfvo type="percentile" val="50"/>
        <cfvo type="max"/>
        <color rgb="FF5A8AC6"/>
        <color rgb="FFFCFCFF"/>
        <color rgb="FFF8696B"/>
      </colorScale>
    </cfRule>
  </conditionalFormatting>
  <conditionalFormatting sqref="G47">
    <cfRule type="cellIs" dxfId="9" priority="7" stopIfTrue="1" operator="lessThan">
      <formula>0</formula>
    </cfRule>
  </conditionalFormatting>
  <conditionalFormatting sqref="G47">
    <cfRule type="colorScale" priority="6">
      <colorScale>
        <cfvo type="min"/>
        <cfvo type="percentile" val="50"/>
        <cfvo type="max"/>
        <color rgb="FF5A8AC6"/>
        <color rgb="FFFCFCFF"/>
        <color rgb="FFF8696B"/>
      </colorScale>
    </cfRule>
  </conditionalFormatting>
  <conditionalFormatting sqref="G48">
    <cfRule type="cellIs" dxfId="8" priority="5" stopIfTrue="1" operator="lessThan">
      <formula>0</formula>
    </cfRule>
  </conditionalFormatting>
  <conditionalFormatting sqref="G48">
    <cfRule type="colorScale" priority="4">
      <colorScale>
        <cfvo type="min"/>
        <cfvo type="percentile" val="50"/>
        <cfvo type="max"/>
        <color rgb="FF5A8AC6"/>
        <color rgb="FFFCFCFF"/>
        <color rgb="FFF8696B"/>
      </colorScale>
    </cfRule>
  </conditionalFormatting>
  <conditionalFormatting sqref="G49">
    <cfRule type="cellIs" dxfId="7" priority="3" stopIfTrue="1" operator="lessThan">
      <formula>0</formula>
    </cfRule>
  </conditionalFormatting>
  <conditionalFormatting sqref="G49">
    <cfRule type="colorScale" priority="2">
      <colorScale>
        <cfvo type="min"/>
        <cfvo type="percentile" val="50"/>
        <cfvo type="max"/>
        <color rgb="FF5A8AC6"/>
        <color rgb="FFFCFCFF"/>
        <color rgb="FFF8696B"/>
      </colorScale>
    </cfRule>
  </conditionalFormatting>
  <conditionalFormatting sqref="C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60" zoomScaleNormal="70" workbookViewId="0">
      <selection activeCell="A3" sqref="A3:O3"/>
    </sheetView>
  </sheetViews>
  <sheetFormatPr defaultRowHeight="12.75"/>
  <cols>
    <col min="1" max="1" width="31" style="1174" customWidth="1"/>
    <col min="2" max="2" width="9.140625" style="1174"/>
    <col min="3" max="3" width="11.85546875" style="1174" customWidth="1"/>
    <col min="4" max="4" width="13" style="1174" customWidth="1"/>
    <col min="5" max="5" width="12.5703125" style="1174" customWidth="1"/>
    <col min="6" max="6" width="9.140625" style="1174"/>
    <col min="7" max="7" width="12.140625" style="1174" customWidth="1"/>
    <col min="8" max="8" width="11.5703125" style="1174" customWidth="1"/>
    <col min="9" max="9" width="11" style="1174" customWidth="1"/>
    <col min="10" max="10" width="9.140625" style="1174"/>
    <col min="11" max="11" width="10.7109375" style="1174" customWidth="1"/>
    <col min="12" max="12" width="12.5703125" style="1174" customWidth="1"/>
    <col min="13" max="13" width="12.85546875" style="1174" customWidth="1"/>
    <col min="14" max="16384" width="9.140625" style="1174"/>
  </cols>
  <sheetData>
    <row r="1" spans="1:15" s="805" customFormat="1" ht="15.75">
      <c r="A1" s="920" t="s">
        <v>115</v>
      </c>
      <c r="G1" s="298"/>
    </row>
    <row r="2" spans="1:15" s="805" customFormat="1" ht="15.75">
      <c r="A2" s="920" t="s">
        <v>115</v>
      </c>
      <c r="G2" s="298"/>
    </row>
    <row r="3" spans="1:15" ht="19.5">
      <c r="A3" s="1555" t="s">
        <v>392</v>
      </c>
      <c r="B3" s="1555"/>
      <c r="C3" s="1555"/>
      <c r="D3" s="1555"/>
      <c r="E3" s="1555"/>
      <c r="F3" s="1555"/>
      <c r="G3" s="1555"/>
      <c r="H3" s="1555"/>
      <c r="I3" s="1555"/>
      <c r="J3" s="1555"/>
      <c r="K3" s="1555"/>
      <c r="L3" s="1555"/>
      <c r="M3" s="1555"/>
      <c r="N3" s="1555"/>
      <c r="O3" s="1555"/>
    </row>
    <row r="4" spans="1:15" ht="19.5">
      <c r="A4" s="1555" t="s">
        <v>393</v>
      </c>
      <c r="B4" s="1555"/>
      <c r="C4" s="1555"/>
      <c r="D4" s="1555"/>
      <c r="E4" s="1555"/>
      <c r="F4" s="1555"/>
      <c r="G4" s="1555"/>
      <c r="H4" s="1555"/>
      <c r="I4" s="1555"/>
      <c r="J4" s="1555"/>
      <c r="K4" s="1555"/>
      <c r="L4" s="1555"/>
      <c r="M4" s="1555"/>
      <c r="N4" s="1555"/>
      <c r="O4" s="1555"/>
    </row>
    <row r="5" spans="1:15" ht="19.5">
      <c r="A5" s="1555" t="s">
        <v>394</v>
      </c>
      <c r="B5" s="1555"/>
      <c r="C5" s="1555"/>
      <c r="D5" s="1555"/>
      <c r="E5" s="1555"/>
      <c r="F5" s="1555"/>
      <c r="G5" s="1555"/>
      <c r="H5" s="1555"/>
      <c r="I5" s="1555"/>
      <c r="J5" s="1555"/>
      <c r="K5" s="1555"/>
      <c r="L5" s="1555"/>
      <c r="M5" s="1555"/>
      <c r="N5" s="1555"/>
      <c r="O5" s="1555"/>
    </row>
    <row r="6" spans="1:15" ht="19.5">
      <c r="A6" s="1555" t="s">
        <v>395</v>
      </c>
      <c r="B6" s="1555"/>
      <c r="C6" s="1555"/>
      <c r="D6" s="1555"/>
      <c r="E6" s="1555"/>
      <c r="F6" s="1555"/>
      <c r="G6" s="1555"/>
      <c r="H6" s="1555"/>
      <c r="I6" s="1555"/>
      <c r="J6" s="1555"/>
      <c r="K6" s="1555"/>
      <c r="L6" s="1555"/>
      <c r="M6" s="1555"/>
      <c r="N6" s="1555"/>
      <c r="O6" s="1555"/>
    </row>
    <row r="7" spans="1:15" ht="19.5">
      <c r="A7" s="1555" t="s">
        <v>984</v>
      </c>
      <c r="B7" s="1555"/>
      <c r="C7" s="1555"/>
      <c r="D7" s="1555"/>
      <c r="E7" s="1555"/>
      <c r="F7" s="1555"/>
      <c r="G7" s="1555"/>
      <c r="H7" s="1555"/>
      <c r="I7" s="1555"/>
      <c r="J7" s="1555"/>
      <c r="K7" s="1555"/>
      <c r="L7" s="1555"/>
      <c r="M7" s="1555"/>
      <c r="N7" s="1555"/>
      <c r="O7" s="1555"/>
    </row>
    <row r="8" spans="1:15" ht="19.5">
      <c r="A8" s="1555" t="s">
        <v>396</v>
      </c>
      <c r="B8" s="1555"/>
      <c r="C8" s="1555"/>
      <c r="D8" s="1555"/>
      <c r="E8" s="1555"/>
      <c r="F8" s="1555"/>
      <c r="G8" s="1555"/>
      <c r="H8" s="1555"/>
      <c r="I8" s="1555"/>
      <c r="J8" s="1555"/>
      <c r="K8" s="1555"/>
      <c r="L8" s="1555"/>
      <c r="M8" s="1555"/>
      <c r="N8" s="1555"/>
      <c r="O8" s="1555"/>
    </row>
    <row r="9" spans="1:15" ht="19.5">
      <c r="A9" s="1555" t="s">
        <v>775</v>
      </c>
      <c r="B9" s="1555"/>
      <c r="C9" s="1555"/>
      <c r="D9" s="1555"/>
      <c r="E9" s="1555"/>
      <c r="F9" s="1555"/>
      <c r="G9" s="1555"/>
      <c r="H9" s="1555"/>
      <c r="I9" s="1555"/>
      <c r="J9" s="1555"/>
      <c r="K9" s="1555"/>
      <c r="L9" s="1555"/>
      <c r="M9" s="1555"/>
      <c r="N9" s="1555"/>
      <c r="O9" s="1555"/>
    </row>
    <row r="10" spans="1:15" ht="19.5">
      <c r="A10" s="1558"/>
      <c r="B10" s="1558"/>
      <c r="C10" s="1558"/>
      <c r="D10" s="1558"/>
      <c r="E10" s="1558"/>
      <c r="F10" s="1558"/>
      <c r="G10" s="1558"/>
      <c r="H10" s="1558"/>
      <c r="I10" s="1558"/>
      <c r="J10" s="1558"/>
      <c r="K10" s="1558"/>
      <c r="L10" s="1558"/>
      <c r="M10" s="1558"/>
      <c r="N10" s="1558"/>
      <c r="O10" s="1558"/>
    </row>
    <row r="11" spans="1:15" ht="16.5" thickBot="1">
      <c r="A11" s="1175"/>
      <c r="B11" s="1175"/>
      <c r="C11" s="1559" t="s">
        <v>776</v>
      </c>
      <c r="D11" s="1559"/>
      <c r="E11" s="1559"/>
      <c r="F11" s="1175"/>
      <c r="G11" s="1559" t="s">
        <v>777</v>
      </c>
      <c r="H11" s="1559"/>
      <c r="I11" s="1559"/>
      <c r="J11" s="1175"/>
      <c r="K11" s="1559" t="s">
        <v>397</v>
      </c>
      <c r="L11" s="1559"/>
      <c r="M11" s="1559"/>
      <c r="N11" s="1175"/>
      <c r="O11" s="1176" t="s">
        <v>398</v>
      </c>
    </row>
    <row r="12" spans="1:15" ht="15.75">
      <c r="A12" s="1177"/>
      <c r="B12" s="1175"/>
      <c r="C12" s="1178" t="s">
        <v>122</v>
      </c>
      <c r="D12" s="1179"/>
      <c r="E12" s="1179"/>
      <c r="F12" s="1179"/>
      <c r="G12" s="1180" t="s">
        <v>123</v>
      </c>
      <c r="H12" s="1181"/>
      <c r="I12" s="1181"/>
      <c r="J12" s="1181"/>
      <c r="K12" s="1182">
        <v>-3</v>
      </c>
      <c r="L12" s="1181"/>
      <c r="M12" s="1181"/>
      <c r="N12" s="1181"/>
      <c r="O12" s="1181"/>
    </row>
    <row r="13" spans="1:15" ht="15">
      <c r="A13" s="1175"/>
      <c r="B13" s="1175"/>
      <c r="C13" s="1178" t="s">
        <v>115</v>
      </c>
      <c r="D13" s="1179"/>
      <c r="E13" s="1178" t="s">
        <v>399</v>
      </c>
      <c r="F13" s="1179"/>
      <c r="G13" s="1180" t="s">
        <v>778</v>
      </c>
      <c r="H13" s="1179"/>
      <c r="I13" s="1178" t="s">
        <v>399</v>
      </c>
      <c r="J13" s="1179"/>
      <c r="K13" s="1183"/>
      <c r="L13" s="1179"/>
      <c r="M13" s="1178" t="s">
        <v>399</v>
      </c>
      <c r="N13" s="1179"/>
      <c r="O13" s="1178" t="s">
        <v>399</v>
      </c>
    </row>
    <row r="14" spans="1:15" ht="15">
      <c r="A14" s="1175"/>
      <c r="B14" s="1178" t="s">
        <v>400</v>
      </c>
      <c r="C14" s="1178" t="s">
        <v>779</v>
      </c>
      <c r="D14" s="1178" t="s">
        <v>401</v>
      </c>
      <c r="E14" s="1178" t="s">
        <v>402</v>
      </c>
      <c r="F14" s="1179"/>
      <c r="G14" s="1180" t="s">
        <v>403</v>
      </c>
      <c r="H14" s="1178" t="s">
        <v>401</v>
      </c>
      <c r="I14" s="1178" t="s">
        <v>402</v>
      </c>
      <c r="J14" s="1179"/>
      <c r="K14" s="1178" t="s">
        <v>81</v>
      </c>
      <c r="L14" s="1178" t="s">
        <v>401</v>
      </c>
      <c r="M14" s="1178" t="s">
        <v>402</v>
      </c>
      <c r="N14" s="1179"/>
      <c r="O14" s="1178" t="s">
        <v>402</v>
      </c>
    </row>
    <row r="15" spans="1:15" ht="15">
      <c r="A15" s="1178"/>
      <c r="B15" s="1178" t="s">
        <v>404</v>
      </c>
      <c r="C15" s="1178" t="s">
        <v>405</v>
      </c>
      <c r="D15" s="1178" t="s">
        <v>780</v>
      </c>
      <c r="E15" s="1178" t="s">
        <v>406</v>
      </c>
      <c r="F15" s="1179"/>
      <c r="G15" s="1180" t="s">
        <v>405</v>
      </c>
      <c r="H15" s="1178" t="s">
        <v>780</v>
      </c>
      <c r="I15" s="1178" t="s">
        <v>406</v>
      </c>
      <c r="J15" s="1179"/>
      <c r="K15" s="1178" t="s">
        <v>405</v>
      </c>
      <c r="L15" s="1178" t="s">
        <v>780</v>
      </c>
      <c r="M15" s="1178" t="s">
        <v>406</v>
      </c>
      <c r="N15" s="1179"/>
      <c r="O15" s="1178" t="s">
        <v>406</v>
      </c>
    </row>
    <row r="16" spans="1:15" ht="15">
      <c r="A16" s="1183"/>
      <c r="B16" s="1183"/>
      <c r="C16" s="1183"/>
      <c r="D16" s="1183"/>
      <c r="E16" s="1183"/>
      <c r="F16" s="1183"/>
      <c r="G16" s="1184"/>
      <c r="H16" s="1183"/>
      <c r="I16" s="1183"/>
      <c r="J16" s="1183"/>
      <c r="K16" s="1183"/>
      <c r="L16" s="1183"/>
      <c r="M16" s="1183"/>
      <c r="N16" s="1183"/>
      <c r="O16" s="1183"/>
    </row>
    <row r="17" spans="1:15" ht="15.75" thickBot="1">
      <c r="A17" s="1185"/>
      <c r="B17" s="1175"/>
      <c r="C17" s="292"/>
      <c r="D17" s="1175"/>
      <c r="E17" s="1175"/>
      <c r="F17" s="1175"/>
      <c r="G17" s="1186"/>
      <c r="H17" s="1175"/>
      <c r="I17" s="1175"/>
      <c r="J17" s="1175"/>
      <c r="K17" s="1186"/>
      <c r="L17" s="1175"/>
      <c r="M17" s="1175"/>
      <c r="N17" s="1175"/>
      <c r="O17" s="1175"/>
    </row>
    <row r="18" spans="1:15" ht="15">
      <c r="A18" s="1187" t="s">
        <v>407</v>
      </c>
      <c r="B18" s="1188"/>
      <c r="C18" s="293"/>
      <c r="D18" s="294"/>
      <c r="E18" s="295"/>
      <c r="F18" s="1188"/>
      <c r="G18" s="295"/>
      <c r="H18" s="296"/>
      <c r="I18" s="295"/>
      <c r="J18" s="1188"/>
      <c r="K18" s="295"/>
      <c r="L18" s="296"/>
      <c r="M18" s="295"/>
      <c r="N18" s="1188"/>
      <c r="O18" s="295"/>
    </row>
    <row r="19" spans="1:15" ht="15">
      <c r="A19" s="1183" t="s">
        <v>781</v>
      </c>
      <c r="B19" s="297">
        <v>350.1</v>
      </c>
      <c r="C19" s="298">
        <v>1.4800000000000001E-2</v>
      </c>
      <c r="D19" s="299">
        <v>0.65210290000000004</v>
      </c>
      <c r="E19" s="298">
        <f t="shared" ref="E19:E27" si="0">ROUND((C19*D19),6)</f>
        <v>9.6509999999999999E-3</v>
      </c>
      <c r="F19" s="1189"/>
      <c r="G19" s="298">
        <v>1.44E-2</v>
      </c>
      <c r="H19" s="299">
        <v>0.1442059</v>
      </c>
      <c r="I19" s="298">
        <f t="shared" ref="I19:I27" si="1">ROUND((G19*H19),6)</f>
        <v>2.0769999999999999E-3</v>
      </c>
      <c r="J19" s="1189"/>
      <c r="K19" s="298">
        <v>1.44E-2</v>
      </c>
      <c r="L19" s="299">
        <v>0.20369119999999999</v>
      </c>
      <c r="M19" s="298">
        <f>ROUND((K19*L19),6)</f>
        <v>2.9329999999999998E-3</v>
      </c>
      <c r="N19" s="1189"/>
      <c r="O19" s="292">
        <f t="shared" ref="O19:O27" si="2">ROUND(E19+I19+M19,4)</f>
        <v>1.47E-2</v>
      </c>
    </row>
    <row r="20" spans="1:15" ht="15">
      <c r="A20" s="1190" t="s">
        <v>408</v>
      </c>
      <c r="B20" s="297">
        <v>352</v>
      </c>
      <c r="C20" s="298">
        <v>1.55E-2</v>
      </c>
      <c r="D20" s="299">
        <v>0.65210290000000004</v>
      </c>
      <c r="E20" s="298">
        <f t="shared" si="0"/>
        <v>1.0108000000000001E-2</v>
      </c>
      <c r="F20" s="1189"/>
      <c r="G20" s="298">
        <v>1.4999999999999999E-2</v>
      </c>
      <c r="H20" s="299">
        <v>0.1442059</v>
      </c>
      <c r="I20" s="298">
        <f t="shared" si="1"/>
        <v>2.163E-3</v>
      </c>
      <c r="J20" s="1189"/>
      <c r="K20" s="298">
        <v>1.4999999999999999E-2</v>
      </c>
      <c r="L20" s="299">
        <v>0.20369119999999999</v>
      </c>
      <c r="M20" s="298">
        <f t="shared" ref="M20:M27" si="3">ROUND((K20*L20),6)</f>
        <v>3.055E-3</v>
      </c>
      <c r="N20" s="1189"/>
      <c r="O20" s="292">
        <f t="shared" si="2"/>
        <v>1.5299999999999999E-2</v>
      </c>
    </row>
    <row r="21" spans="1:15" ht="15">
      <c r="A21" s="1190" t="s">
        <v>409</v>
      </c>
      <c r="B21" s="297">
        <v>353</v>
      </c>
      <c r="C21" s="298">
        <v>1.8599999999999998E-2</v>
      </c>
      <c r="D21" s="299">
        <v>0.65210290000000004</v>
      </c>
      <c r="E21" s="298">
        <f t="shared" si="0"/>
        <v>1.2128999999999999E-2</v>
      </c>
      <c r="F21" s="1189"/>
      <c r="G21" s="298">
        <v>1.84E-2</v>
      </c>
      <c r="H21" s="299">
        <v>0.1442059</v>
      </c>
      <c r="I21" s="298">
        <f t="shared" si="1"/>
        <v>2.653E-3</v>
      </c>
      <c r="J21" s="1189"/>
      <c r="K21" s="298">
        <v>1.84E-2</v>
      </c>
      <c r="L21" s="299">
        <v>0.20369119999999999</v>
      </c>
      <c r="M21" s="298">
        <f t="shared" si="3"/>
        <v>3.748E-3</v>
      </c>
      <c r="N21" s="1189"/>
      <c r="O21" s="292">
        <f t="shared" si="2"/>
        <v>1.8499999999999999E-2</v>
      </c>
    </row>
    <row r="22" spans="1:15" ht="15">
      <c r="A22" s="1190" t="s">
        <v>410</v>
      </c>
      <c r="B22" s="297">
        <v>354</v>
      </c>
      <c r="C22" s="298">
        <v>1.6899999999999998E-2</v>
      </c>
      <c r="D22" s="299">
        <v>0.65210290000000004</v>
      </c>
      <c r="E22" s="298">
        <f t="shared" si="0"/>
        <v>1.1021E-2</v>
      </c>
      <c r="F22" s="1189"/>
      <c r="G22" s="298">
        <v>1.5699999999999999E-2</v>
      </c>
      <c r="H22" s="299">
        <v>0.1442059</v>
      </c>
      <c r="I22" s="298">
        <f t="shared" si="1"/>
        <v>2.264E-3</v>
      </c>
      <c r="J22" s="1189"/>
      <c r="K22" s="298">
        <v>1.5699999999999999E-2</v>
      </c>
      <c r="L22" s="299">
        <v>0.20369119999999999</v>
      </c>
      <c r="M22" s="298">
        <f t="shared" si="3"/>
        <v>3.1979999999999999E-3</v>
      </c>
      <c r="N22" s="1189"/>
      <c r="O22" s="292">
        <f t="shared" si="2"/>
        <v>1.6500000000000001E-2</v>
      </c>
    </row>
    <row r="23" spans="1:15" ht="15">
      <c r="A23" s="1190" t="s">
        <v>411</v>
      </c>
      <c r="B23" s="297">
        <v>355</v>
      </c>
      <c r="C23" s="298">
        <v>2.8500000000000001E-2</v>
      </c>
      <c r="D23" s="299">
        <v>0.65210290000000004</v>
      </c>
      <c r="E23" s="298">
        <f t="shared" si="0"/>
        <v>1.8585000000000001E-2</v>
      </c>
      <c r="F23" s="1189"/>
      <c r="G23" s="298">
        <v>2.8299999999999999E-2</v>
      </c>
      <c r="H23" s="299">
        <v>0.1442059</v>
      </c>
      <c r="I23" s="298">
        <f t="shared" si="1"/>
        <v>4.0810000000000004E-3</v>
      </c>
      <c r="J23" s="1189"/>
      <c r="K23" s="298">
        <v>2.8299999999999999E-2</v>
      </c>
      <c r="L23" s="299">
        <v>0.20369119999999999</v>
      </c>
      <c r="M23" s="298">
        <f t="shared" si="3"/>
        <v>5.764E-3</v>
      </c>
      <c r="N23" s="1189"/>
      <c r="O23" s="292">
        <f t="shared" si="2"/>
        <v>2.8400000000000002E-2</v>
      </c>
    </row>
    <row r="24" spans="1:15" ht="15">
      <c r="A24" s="1190" t="s">
        <v>782</v>
      </c>
      <c r="B24" s="297">
        <v>356</v>
      </c>
      <c r="C24" s="298">
        <v>1.9699999999999999E-2</v>
      </c>
      <c r="D24" s="299">
        <v>0.65210290000000004</v>
      </c>
      <c r="E24" s="298">
        <f t="shared" si="0"/>
        <v>1.2846E-2</v>
      </c>
      <c r="F24" s="1189"/>
      <c r="G24" s="298">
        <v>1.89E-2</v>
      </c>
      <c r="H24" s="299">
        <v>0.1442059</v>
      </c>
      <c r="I24" s="298">
        <f t="shared" si="1"/>
        <v>2.725E-3</v>
      </c>
      <c r="J24" s="1189"/>
      <c r="K24" s="298">
        <v>1.89E-2</v>
      </c>
      <c r="L24" s="299">
        <v>0.20369119999999999</v>
      </c>
      <c r="M24" s="298">
        <f t="shared" si="3"/>
        <v>3.8500000000000001E-3</v>
      </c>
      <c r="N24" s="1189"/>
      <c r="O24" s="292">
        <f t="shared" si="2"/>
        <v>1.9400000000000001E-2</v>
      </c>
    </row>
    <row r="25" spans="1:15" ht="15">
      <c r="A25" s="1190" t="s">
        <v>412</v>
      </c>
      <c r="B25" s="297">
        <v>357</v>
      </c>
      <c r="C25" s="298">
        <v>1.8599999999999998E-2</v>
      </c>
      <c r="D25" s="299">
        <v>0.65210290000000004</v>
      </c>
      <c r="E25" s="298">
        <f t="shared" si="0"/>
        <v>1.2128999999999999E-2</v>
      </c>
      <c r="F25" s="1189"/>
      <c r="G25" s="298">
        <v>1.77E-2</v>
      </c>
      <c r="H25" s="299">
        <v>0.1442059</v>
      </c>
      <c r="I25" s="298">
        <f t="shared" si="1"/>
        <v>2.552E-3</v>
      </c>
      <c r="J25" s="1189"/>
      <c r="K25" s="298">
        <v>1.77E-2</v>
      </c>
      <c r="L25" s="299">
        <v>0.20369119999999999</v>
      </c>
      <c r="M25" s="298">
        <f t="shared" si="3"/>
        <v>3.6050000000000001E-3</v>
      </c>
      <c r="N25" s="1189"/>
      <c r="O25" s="292">
        <f t="shared" si="2"/>
        <v>1.83E-2</v>
      </c>
    </row>
    <row r="26" spans="1:15" ht="15">
      <c r="A26" s="1190" t="s">
        <v>413</v>
      </c>
      <c r="B26" s="297">
        <v>358</v>
      </c>
      <c r="C26" s="298">
        <v>1.7000000000000001E-2</v>
      </c>
      <c r="D26" s="299">
        <v>0.65210290000000004</v>
      </c>
      <c r="E26" s="298">
        <f t="shared" si="0"/>
        <v>1.1086E-2</v>
      </c>
      <c r="F26" s="1189"/>
      <c r="G26" s="298">
        <v>1.66E-2</v>
      </c>
      <c r="H26" s="299">
        <v>0.1442059</v>
      </c>
      <c r="I26" s="298">
        <f t="shared" si="1"/>
        <v>2.3939999999999999E-3</v>
      </c>
      <c r="J26" s="1189"/>
      <c r="K26" s="298">
        <v>1.66E-2</v>
      </c>
      <c r="L26" s="299">
        <v>0.20369119999999999</v>
      </c>
      <c r="M26" s="298">
        <f t="shared" si="3"/>
        <v>3.3809999999999999E-3</v>
      </c>
      <c r="N26" s="1189"/>
      <c r="O26" s="292">
        <f t="shared" si="2"/>
        <v>1.6899999999999998E-2</v>
      </c>
    </row>
    <row r="27" spans="1:15" ht="15">
      <c r="A27" s="1190" t="s">
        <v>783</v>
      </c>
      <c r="B27" s="297">
        <v>359</v>
      </c>
      <c r="C27" s="298">
        <v>1.4999999999999999E-2</v>
      </c>
      <c r="D27" s="299">
        <v>0.65210290000000004</v>
      </c>
      <c r="E27" s="298">
        <f t="shared" si="0"/>
        <v>9.7820000000000008E-3</v>
      </c>
      <c r="F27" s="1189"/>
      <c r="G27" s="298">
        <v>1.4800000000000001E-2</v>
      </c>
      <c r="H27" s="299">
        <v>0.1442059</v>
      </c>
      <c r="I27" s="298">
        <f t="shared" si="1"/>
        <v>2.134E-3</v>
      </c>
      <c r="J27" s="1189"/>
      <c r="K27" s="298">
        <v>1.4800000000000001E-2</v>
      </c>
      <c r="L27" s="299">
        <v>0.20369119999999999</v>
      </c>
      <c r="M27" s="298">
        <f t="shared" si="3"/>
        <v>3.0149999999999999E-3</v>
      </c>
      <c r="N27" s="1189"/>
      <c r="O27" s="292">
        <f t="shared" si="2"/>
        <v>1.49E-2</v>
      </c>
    </row>
    <row r="28" spans="1:15" ht="15">
      <c r="A28" s="1183"/>
      <c r="B28" s="1183"/>
      <c r="C28" s="1183"/>
      <c r="D28" s="1183"/>
      <c r="E28" s="1183"/>
      <c r="F28" s="1183"/>
      <c r="G28" s="1183"/>
      <c r="H28" s="1183"/>
      <c r="I28" s="1183"/>
      <c r="J28" s="1183"/>
      <c r="K28" s="1183"/>
      <c r="L28" s="1183"/>
      <c r="M28" s="1183"/>
      <c r="N28" s="1183"/>
      <c r="O28" s="1183"/>
    </row>
    <row r="29" spans="1:15" ht="15">
      <c r="A29" s="1183"/>
      <c r="B29" s="1183"/>
      <c r="C29" s="1183"/>
      <c r="D29" s="1183"/>
      <c r="E29" s="1183"/>
      <c r="F29" s="1183"/>
      <c r="G29" s="1183"/>
      <c r="H29" s="1183"/>
      <c r="I29" s="1183"/>
      <c r="J29" s="1183"/>
      <c r="K29" s="1183"/>
      <c r="L29" s="1183"/>
      <c r="M29" s="1183"/>
      <c r="N29" s="1183"/>
      <c r="O29" s="1183"/>
    </row>
    <row r="30" spans="1:15" ht="15">
      <c r="A30" s="1183"/>
      <c r="B30" s="1175"/>
      <c r="C30" s="292"/>
      <c r="D30" s="1183"/>
      <c r="E30" s="1183"/>
      <c r="F30" s="1183"/>
      <c r="G30" s="1184"/>
      <c r="H30" s="1183"/>
      <c r="I30" s="1183"/>
      <c r="J30" s="1183"/>
      <c r="K30" s="1183"/>
      <c r="L30" s="1183"/>
      <c r="M30" s="1183"/>
      <c r="N30" s="1183"/>
      <c r="O30" s="1183"/>
    </row>
    <row r="31" spans="1:15" ht="15.75">
      <c r="A31" s="1177" t="s">
        <v>985</v>
      </c>
      <c r="B31" s="1191"/>
      <c r="C31" s="300"/>
      <c r="D31" s="1191"/>
      <c r="E31" s="1183"/>
      <c r="F31" s="1191"/>
      <c r="G31" s="1183"/>
      <c r="H31" s="1175"/>
      <c r="I31" s="1183"/>
      <c r="J31" s="1183"/>
      <c r="K31" s="1183"/>
      <c r="L31" s="1183"/>
      <c r="M31" s="1183"/>
      <c r="N31" s="1183"/>
      <c r="O31" s="1183"/>
    </row>
    <row r="32" spans="1:15" ht="15.75">
      <c r="A32" s="1177" t="s">
        <v>986</v>
      </c>
      <c r="B32" s="1191"/>
      <c r="C32" s="300"/>
      <c r="D32" s="1191"/>
      <c r="E32" s="1191"/>
      <c r="F32" s="1191"/>
      <c r="G32" s="1183"/>
      <c r="H32" s="1175"/>
      <c r="I32" s="1183"/>
      <c r="J32" s="1183"/>
      <c r="K32" s="1183"/>
      <c r="L32" s="1183"/>
      <c r="M32" s="1183"/>
      <c r="N32" s="1183"/>
      <c r="O32" s="1183"/>
    </row>
    <row r="33" spans="1:15" ht="15.75">
      <c r="A33" s="1177" t="s">
        <v>784</v>
      </c>
      <c r="B33" s="1191"/>
      <c r="C33" s="300"/>
      <c r="D33" s="1192"/>
      <c r="E33" s="1192"/>
      <c r="F33" s="1192"/>
      <c r="G33" s="1183"/>
      <c r="H33" s="1183"/>
      <c r="I33" s="1183"/>
      <c r="J33" s="1183"/>
      <c r="K33" s="1183"/>
      <c r="L33" s="1183"/>
      <c r="M33" s="1183"/>
      <c r="N33" s="1183"/>
      <c r="O33" s="1183"/>
    </row>
    <row r="34" spans="1:15" ht="15">
      <c r="A34" s="1560" t="s">
        <v>785</v>
      </c>
      <c r="B34" s="1561"/>
      <c r="C34" s="1561"/>
      <c r="D34" s="1561"/>
      <c r="E34" s="1561"/>
      <c r="F34" s="1561"/>
      <c r="G34" s="1561"/>
      <c r="H34" s="1561"/>
      <c r="I34" s="1561"/>
      <c r="J34" s="1561"/>
      <c r="K34" s="1561"/>
      <c r="L34" s="1561"/>
      <c r="M34" s="1183"/>
      <c r="N34" s="1183"/>
      <c r="O34" s="1183"/>
    </row>
    <row r="35" spans="1:15" ht="15">
      <c r="A35" s="1561"/>
      <c r="B35" s="1561"/>
      <c r="C35" s="1561"/>
      <c r="D35" s="1561"/>
      <c r="E35" s="1561"/>
      <c r="F35" s="1561"/>
      <c r="G35" s="1561"/>
      <c r="H35" s="1561"/>
      <c r="I35" s="1561"/>
      <c r="J35" s="1561"/>
      <c r="K35" s="1561"/>
      <c r="L35" s="1561"/>
      <c r="M35" s="1183"/>
      <c r="N35" s="1183"/>
      <c r="O35" s="1183"/>
    </row>
    <row r="36" spans="1:15" ht="15">
      <c r="A36" s="1561"/>
      <c r="B36" s="1561"/>
      <c r="C36" s="1561"/>
      <c r="D36" s="1561"/>
      <c r="E36" s="1561"/>
      <c r="F36" s="1561"/>
      <c r="G36" s="1561"/>
      <c r="H36" s="1561"/>
      <c r="I36" s="1561"/>
      <c r="J36" s="1561"/>
      <c r="K36" s="1561"/>
      <c r="L36" s="1561"/>
      <c r="M36" s="1183"/>
      <c r="N36" s="1183"/>
      <c r="O36" s="1183"/>
    </row>
    <row r="37" spans="1:15" ht="15.75">
      <c r="A37" s="1183"/>
      <c r="B37" s="1191"/>
      <c r="C37" s="300"/>
      <c r="D37" s="1192"/>
      <c r="E37" s="1192"/>
      <c r="F37" s="1192"/>
      <c r="G37" s="1184"/>
      <c r="H37" s="1183"/>
      <c r="I37" s="1183"/>
      <c r="J37" s="1183"/>
      <c r="K37" s="1183"/>
      <c r="L37" s="1183"/>
      <c r="M37" s="1183"/>
      <c r="N37" s="1183"/>
      <c r="O37" s="1183"/>
    </row>
    <row r="38" spans="1:15" ht="15.75">
      <c r="A38" s="1193" t="s">
        <v>414</v>
      </c>
      <c r="B38" s="1175"/>
      <c r="C38" s="292"/>
      <c r="D38" s="1183"/>
      <c r="E38" s="1183"/>
      <c r="F38" s="1183"/>
      <c r="G38" s="1184"/>
      <c r="H38" s="1183"/>
      <c r="I38" s="1183"/>
      <c r="J38" s="1183"/>
      <c r="K38" s="1183"/>
      <c r="L38" s="1183"/>
      <c r="M38" s="1183"/>
      <c r="N38" s="1183"/>
      <c r="O38" s="1183"/>
    </row>
    <row r="39" spans="1:15" ht="15">
      <c r="A39" s="1194" t="s">
        <v>29</v>
      </c>
      <c r="B39" s="1195"/>
      <c r="C39" s="1195"/>
      <c r="D39" s="1196"/>
      <c r="E39" s="1183"/>
      <c r="F39" s="1183"/>
      <c r="G39" s="1184"/>
      <c r="H39" s="1183"/>
      <c r="I39" s="1183"/>
      <c r="J39" s="1183"/>
      <c r="K39" s="1183"/>
      <c r="L39" s="1183"/>
      <c r="M39" s="1183"/>
      <c r="N39" s="1183"/>
      <c r="O39" s="1183"/>
    </row>
    <row r="40" spans="1:15" ht="15">
      <c r="A40" s="1556" t="s">
        <v>786</v>
      </c>
      <c r="B40" s="1556"/>
      <c r="C40" s="1556"/>
      <c r="D40" s="1556"/>
      <c r="E40" s="1556"/>
      <c r="F40" s="1556"/>
      <c r="G40" s="1556"/>
      <c r="H40" s="1556"/>
      <c r="I40" s="1556"/>
      <c r="J40" s="1556"/>
      <c r="K40" s="1556"/>
      <c r="L40" s="1556"/>
      <c r="M40" s="1556"/>
      <c r="N40" s="1556"/>
      <c r="O40" s="1183"/>
    </row>
    <row r="41" spans="1:15" ht="15">
      <c r="A41" s="1556"/>
      <c r="B41" s="1556"/>
      <c r="C41" s="1556"/>
      <c r="D41" s="1556"/>
      <c r="E41" s="1556"/>
      <c r="F41" s="1556"/>
      <c r="G41" s="1556"/>
      <c r="H41" s="1556"/>
      <c r="I41" s="1556"/>
      <c r="J41" s="1556"/>
      <c r="K41" s="1556"/>
      <c r="L41" s="1556"/>
      <c r="M41" s="1556"/>
      <c r="N41" s="1556"/>
      <c r="O41" s="1183"/>
    </row>
    <row r="42" spans="1:15" ht="15">
      <c r="A42" s="1557" t="s">
        <v>834</v>
      </c>
      <c r="B42" s="1557"/>
      <c r="C42" s="1557"/>
      <c r="D42" s="1557"/>
      <c r="E42" s="1557"/>
      <c r="F42" s="1557"/>
      <c r="G42" s="1557"/>
      <c r="H42" s="1557"/>
      <c r="I42" s="1557"/>
      <c r="J42" s="1557"/>
      <c r="K42" s="1557"/>
      <c r="L42" s="1557"/>
      <c r="M42" s="1557"/>
      <c r="N42" s="1557"/>
      <c r="O42" s="1183"/>
    </row>
    <row r="43" spans="1:15" ht="15">
      <c r="A43" s="1557"/>
      <c r="B43" s="1557"/>
      <c r="C43" s="1557"/>
      <c r="D43" s="1557"/>
      <c r="E43" s="1557"/>
      <c r="F43" s="1557"/>
      <c r="G43" s="1557"/>
      <c r="H43" s="1557"/>
      <c r="I43" s="1557"/>
      <c r="J43" s="1557"/>
      <c r="K43" s="1557"/>
      <c r="L43" s="1557"/>
      <c r="M43" s="1557"/>
      <c r="N43" s="1557"/>
      <c r="O43" s="1183"/>
    </row>
    <row r="44" spans="1:15" ht="15">
      <c r="A44" s="1183"/>
      <c r="B44" s="1183"/>
      <c r="C44" s="1183"/>
      <c r="D44" s="1183"/>
      <c r="E44" s="1183"/>
      <c r="F44" s="1183"/>
      <c r="G44" s="1184"/>
      <c r="H44" s="1183"/>
      <c r="I44" s="1183"/>
      <c r="J44" s="1183"/>
      <c r="K44" s="1183"/>
      <c r="L44" s="1183"/>
      <c r="M44" s="1183"/>
      <c r="N44" s="1183"/>
      <c r="O44" s="1183"/>
    </row>
    <row r="45" spans="1:15" ht="15">
      <c r="A45" s="1183"/>
      <c r="B45" s="1183"/>
      <c r="C45" s="1183"/>
      <c r="D45" s="1183"/>
      <c r="E45" s="1183"/>
      <c r="F45" s="1183"/>
      <c r="G45" s="1184"/>
      <c r="H45" s="1183"/>
      <c r="I45" s="1183"/>
      <c r="J45" s="1183"/>
      <c r="K45" s="1183"/>
      <c r="L45" s="1183"/>
      <c r="M45" s="1183"/>
      <c r="N45" s="1183"/>
      <c r="O45" s="1183"/>
    </row>
    <row r="46" spans="1:15" ht="15">
      <c r="A46" s="1183"/>
      <c r="B46" s="1183"/>
      <c r="C46" s="1183"/>
      <c r="D46" s="1183"/>
      <c r="E46" s="1183"/>
      <c r="F46" s="1183"/>
      <c r="G46" s="1184"/>
      <c r="H46" s="1183"/>
      <c r="I46" s="1183"/>
      <c r="J46" s="1183"/>
      <c r="K46" s="1183"/>
      <c r="L46" s="1183"/>
      <c r="M46" s="1183"/>
      <c r="N46" s="1183"/>
      <c r="O46" s="1183"/>
    </row>
  </sheetData>
  <mergeCells count="14">
    <mergeCell ref="A40:N41"/>
    <mergeCell ref="A42:N43"/>
    <mergeCell ref="A9:O9"/>
    <mergeCell ref="A10:O10"/>
    <mergeCell ref="C11:E11"/>
    <mergeCell ref="G11:I11"/>
    <mergeCell ref="K11:M11"/>
    <mergeCell ref="A34:L36"/>
    <mergeCell ref="A8:O8"/>
    <mergeCell ref="A3:O3"/>
    <mergeCell ref="A4:O4"/>
    <mergeCell ref="A5:O5"/>
    <mergeCell ref="A6:O6"/>
    <mergeCell ref="A7:O7"/>
  </mergeCells>
  <conditionalFormatting sqref="A3 A4:O9 A10 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RowHeight="12.75"/>
  <cols>
    <col min="1" max="1" width="33.5703125" style="1174" customWidth="1"/>
    <col min="2" max="2" width="17.140625" style="1174" customWidth="1"/>
    <col min="3" max="3" width="23.42578125" style="1174" customWidth="1"/>
    <col min="4" max="4" width="9.140625" style="1174"/>
    <col min="5" max="5" width="21.85546875" style="1174" customWidth="1"/>
    <col min="6" max="16384" width="9.140625" style="1174"/>
  </cols>
  <sheetData>
    <row r="1" spans="1:7" s="805" customFormat="1" ht="15.75">
      <c r="A1" s="920" t="s">
        <v>115</v>
      </c>
      <c r="G1" s="298"/>
    </row>
    <row r="2" spans="1:7" s="805" customFormat="1" ht="15.75">
      <c r="A2" s="920" t="s">
        <v>115</v>
      </c>
      <c r="G2" s="298"/>
    </row>
    <row r="3" spans="1:7" ht="19.5">
      <c r="A3" s="1183"/>
      <c r="B3" s="1563" t="s">
        <v>392</v>
      </c>
      <c r="C3" s="1563"/>
      <c r="D3" s="1563"/>
      <c r="E3" s="1563"/>
    </row>
    <row r="4" spans="1:7" ht="19.5">
      <c r="A4" s="1183"/>
      <c r="B4" s="1563" t="s">
        <v>787</v>
      </c>
      <c r="C4" s="1563"/>
      <c r="D4" s="1563"/>
      <c r="E4" s="1563"/>
    </row>
    <row r="5" spans="1:7" ht="19.5">
      <c r="A5" s="1183"/>
      <c r="B5" s="1563" t="s">
        <v>788</v>
      </c>
      <c r="C5" s="1563"/>
      <c r="D5" s="1563"/>
      <c r="E5" s="1563"/>
    </row>
    <row r="6" spans="1:7" ht="19.5">
      <c r="A6" s="1183"/>
      <c r="B6" s="1563" t="s">
        <v>789</v>
      </c>
      <c r="C6" s="1563"/>
      <c r="D6" s="1563"/>
      <c r="E6" s="1563"/>
    </row>
    <row r="7" spans="1:7" ht="19.5">
      <c r="A7" s="1183"/>
      <c r="B7" s="1563" t="s">
        <v>790</v>
      </c>
      <c r="C7" s="1563"/>
      <c r="D7" s="1563"/>
      <c r="E7" s="1563"/>
    </row>
    <row r="8" spans="1:7" ht="19.5">
      <c r="A8" s="1183"/>
      <c r="B8" s="1563" t="s">
        <v>791</v>
      </c>
      <c r="C8" s="1563"/>
      <c r="D8" s="1563"/>
      <c r="E8" s="1563"/>
    </row>
    <row r="9" spans="1:7" ht="15">
      <c r="A9" s="1183"/>
      <c r="B9" s="1175"/>
      <c r="C9" s="1175"/>
      <c r="D9" s="1178" t="s">
        <v>115</v>
      </c>
      <c r="E9" s="1183"/>
    </row>
    <row r="10" spans="1:7" ht="15.75">
      <c r="A10" s="1175"/>
      <c r="B10" s="1197" t="s">
        <v>400</v>
      </c>
      <c r="C10" s="1183"/>
      <c r="D10" s="1183"/>
      <c r="E10" s="1198"/>
    </row>
    <row r="11" spans="1:7" ht="15.75">
      <c r="A11" s="1178"/>
      <c r="B11" s="1197" t="s">
        <v>404</v>
      </c>
      <c r="C11" s="1197" t="s">
        <v>405</v>
      </c>
      <c r="D11" s="1197"/>
      <c r="E11" s="1183"/>
    </row>
    <row r="12" spans="1:7" ht="15.75" thickBot="1">
      <c r="A12" s="1185"/>
      <c r="B12" s="1175"/>
      <c r="C12" s="1199" t="s">
        <v>500</v>
      </c>
      <c r="D12" s="1183"/>
      <c r="E12" s="1183"/>
    </row>
    <row r="13" spans="1:7" ht="15">
      <c r="A13" s="1187" t="s">
        <v>407</v>
      </c>
      <c r="B13" s="1188"/>
      <c r="C13" s="293"/>
      <c r="D13" s="1183"/>
      <c r="E13" s="1183"/>
    </row>
    <row r="14" spans="1:7" ht="15">
      <c r="A14" s="1183"/>
      <c r="B14" s="1200"/>
      <c r="C14" s="292"/>
      <c r="D14" s="1201"/>
      <c r="E14" s="1183"/>
    </row>
    <row r="15" spans="1:7" ht="15">
      <c r="A15" s="1183" t="s">
        <v>408</v>
      </c>
      <c r="B15" s="297">
        <v>352</v>
      </c>
      <c r="C15" s="292">
        <v>1.04E-2</v>
      </c>
      <c r="D15" s="1201"/>
      <c r="E15" s="1183"/>
    </row>
    <row r="16" spans="1:7" ht="15">
      <c r="A16" s="1183" t="s">
        <v>409</v>
      </c>
      <c r="B16" s="297">
        <v>353</v>
      </c>
      <c r="C16" s="292">
        <v>1.49E-2</v>
      </c>
      <c r="D16" s="1201"/>
      <c r="E16" s="1183"/>
    </row>
    <row r="17" spans="1:5" ht="15">
      <c r="A17" s="1183" t="s">
        <v>410</v>
      </c>
      <c r="B17" s="297">
        <v>354</v>
      </c>
      <c r="C17" s="292">
        <v>1.1999999999999999E-3</v>
      </c>
      <c r="D17" s="1201"/>
      <c r="E17" s="1183"/>
    </row>
    <row r="18" spans="1:5" ht="15">
      <c r="A18" s="1183" t="s">
        <v>411</v>
      </c>
      <c r="B18" s="297">
        <v>355</v>
      </c>
      <c r="C18" s="292">
        <v>2.1399999999999999E-2</v>
      </c>
      <c r="D18" s="1201"/>
      <c r="E18" s="1183"/>
    </row>
    <row r="19" spans="1:5" ht="15">
      <c r="A19" s="1183" t="s">
        <v>782</v>
      </c>
      <c r="B19" s="297">
        <v>356</v>
      </c>
      <c r="C19" s="292">
        <v>7.7000000000000002E-3</v>
      </c>
      <c r="D19" s="1201"/>
      <c r="E19" s="1183"/>
    </row>
    <row r="20" spans="1:5" ht="15">
      <c r="A20" s="1190" t="s">
        <v>412</v>
      </c>
      <c r="B20" s="297">
        <v>357</v>
      </c>
      <c r="C20" s="1202" t="s">
        <v>623</v>
      </c>
      <c r="D20" s="1183"/>
      <c r="E20" s="1183"/>
    </row>
    <row r="21" spans="1:5" ht="15">
      <c r="A21" s="1190" t="s">
        <v>413</v>
      </c>
      <c r="B21" s="297">
        <v>358</v>
      </c>
      <c r="C21" s="1202" t="s">
        <v>623</v>
      </c>
      <c r="D21" s="1201"/>
      <c r="E21" s="1183"/>
    </row>
    <row r="22" spans="1:5" ht="15.75">
      <c r="A22" s="1177" t="s">
        <v>792</v>
      </c>
      <c r="B22" s="1203"/>
      <c r="C22" s="1204">
        <v>1.46E-2</v>
      </c>
      <c r="D22" s="1201"/>
      <c r="E22" s="1183"/>
    </row>
    <row r="23" spans="1:5" ht="15.75">
      <c r="A23" s="1177"/>
      <c r="B23" s="1203"/>
      <c r="C23" s="1204"/>
      <c r="D23" s="1201"/>
      <c r="E23" s="1183"/>
    </row>
    <row r="24" spans="1:5" s="3" customFormat="1" ht="15.75">
      <c r="A24" s="1211" t="s">
        <v>819</v>
      </c>
      <c r="C24" s="1"/>
    </row>
    <row r="25" spans="1:5" s="3" customFormat="1">
      <c r="C25" s="1"/>
    </row>
    <row r="26" spans="1:5" s="3" customFormat="1" ht="15">
      <c r="A26" s="1212" t="s">
        <v>820</v>
      </c>
      <c r="B26" s="1216">
        <v>390</v>
      </c>
      <c r="C26" s="1215">
        <v>1.7100000000000001E-2</v>
      </c>
    </row>
    <row r="27" spans="1:5" s="3" customFormat="1" ht="15">
      <c r="A27" s="1212" t="s">
        <v>821</v>
      </c>
      <c r="B27" s="1216">
        <v>391</v>
      </c>
      <c r="C27" s="1215">
        <v>2.8199999999999999E-2</v>
      </c>
    </row>
    <row r="28" spans="1:5" s="3" customFormat="1" ht="15">
      <c r="A28" s="1212" t="s">
        <v>822</v>
      </c>
      <c r="B28" s="1216">
        <v>393</v>
      </c>
      <c r="C28" s="1215">
        <v>2.2200000000000001E-2</v>
      </c>
    </row>
    <row r="29" spans="1:5" s="3" customFormat="1" ht="15">
      <c r="A29" s="1212" t="s">
        <v>823</v>
      </c>
      <c r="B29" s="1216">
        <v>394</v>
      </c>
      <c r="C29" s="1215">
        <v>3.1199999999999999E-2</v>
      </c>
    </row>
    <row r="30" spans="1:5" s="3" customFormat="1" ht="15">
      <c r="A30" s="1212" t="s">
        <v>824</v>
      </c>
      <c r="B30" s="1216">
        <v>395</v>
      </c>
      <c r="C30" s="1215">
        <v>3.1699999999999999E-2</v>
      </c>
    </row>
    <row r="31" spans="1:5" s="3" customFormat="1" ht="15">
      <c r="A31" s="1212" t="s">
        <v>825</v>
      </c>
      <c r="B31" s="1216">
        <v>397</v>
      </c>
      <c r="C31" s="1215">
        <v>3.32E-2</v>
      </c>
    </row>
    <row r="32" spans="1:5" s="3" customFormat="1" ht="15">
      <c r="A32" s="1212" t="s">
        <v>826</v>
      </c>
      <c r="B32" s="1216">
        <v>398</v>
      </c>
      <c r="C32" s="1215">
        <v>4.9200000000000001E-2</v>
      </c>
    </row>
    <row r="33" spans="1:5" s="3" customFormat="1" ht="15">
      <c r="A33" s="40"/>
      <c r="B33" s="1212"/>
      <c r="C33" s="1215"/>
    </row>
    <row r="34" spans="1:5" s="3" customFormat="1" ht="15.75">
      <c r="A34" s="40"/>
      <c r="B34" s="1214" t="s">
        <v>827</v>
      </c>
      <c r="C34" s="1215">
        <v>3.2500000000000001E-2</v>
      </c>
    </row>
    <row r="35" spans="1:5" s="3" customFormat="1" ht="15.75">
      <c r="A35" s="40"/>
      <c r="B35" s="1214"/>
      <c r="C35" s="1213"/>
    </row>
    <row r="36" spans="1:5" ht="15.75">
      <c r="A36" s="1183" t="s">
        <v>793</v>
      </c>
      <c r="B36" s="1191"/>
      <c r="C36" s="300"/>
      <c r="D36" s="1183"/>
      <c r="E36" s="1183"/>
    </row>
    <row r="37" spans="1:5" ht="15">
      <c r="A37" s="1564"/>
      <c r="B37" s="1564"/>
      <c r="C37" s="1564"/>
      <c r="D37" s="1564"/>
      <c r="E37" s="1183"/>
    </row>
    <row r="38" spans="1:5" ht="15">
      <c r="A38" s="1564" t="s">
        <v>794</v>
      </c>
      <c r="B38" s="1564"/>
      <c r="C38" s="1564"/>
      <c r="D38" s="1564"/>
      <c r="E38" s="1183"/>
    </row>
    <row r="39" spans="1:5" ht="15">
      <c r="A39" s="1205" t="s">
        <v>159</v>
      </c>
      <c r="B39" s="1205"/>
      <c r="C39" s="1205"/>
      <c r="D39" s="1205"/>
      <c r="E39" s="1183"/>
    </row>
    <row r="40" spans="1:5" ht="15">
      <c r="A40" s="1564" t="s">
        <v>795</v>
      </c>
      <c r="B40" s="1564"/>
      <c r="C40" s="1564"/>
      <c r="D40" s="1183"/>
      <c r="E40" s="1183"/>
    </row>
    <row r="41" spans="1:5" ht="15">
      <c r="A41" s="1564"/>
      <c r="B41" s="1564"/>
      <c r="C41" s="1564"/>
      <c r="D41" s="1183"/>
      <c r="E41" s="1183"/>
    </row>
    <row r="42" spans="1:5" ht="15">
      <c r="A42" s="1183"/>
      <c r="B42" s="1175"/>
      <c r="C42" s="292"/>
      <c r="D42" s="1183"/>
      <c r="E42" s="1183"/>
    </row>
    <row r="43" spans="1:5" ht="15">
      <c r="A43" s="1564"/>
      <c r="B43" s="1564"/>
      <c r="C43" s="1564"/>
      <c r="D43" s="1564"/>
      <c r="E43" s="1183"/>
    </row>
    <row r="44" spans="1:5" ht="15.75">
      <c r="A44" s="1193" t="s">
        <v>796</v>
      </c>
      <c r="B44" s="1175"/>
      <c r="C44" s="292"/>
      <c r="D44" s="1183"/>
      <c r="E44" s="1183"/>
    </row>
    <row r="45" spans="1:5" ht="15">
      <c r="A45" s="1562" t="s">
        <v>834</v>
      </c>
      <c r="B45" s="1562"/>
      <c r="C45" s="1562"/>
      <c r="D45" s="1198"/>
      <c r="E45" s="1183"/>
    </row>
    <row r="46" spans="1:5" ht="15">
      <c r="A46" s="1562"/>
      <c r="B46" s="1562"/>
      <c r="C46" s="1562"/>
      <c r="D46" s="1198"/>
      <c r="E46" s="1183"/>
    </row>
    <row r="47" spans="1:5" ht="15">
      <c r="A47" s="1562"/>
      <c r="B47" s="1562"/>
      <c r="C47" s="1562"/>
      <c r="D47" s="1198"/>
      <c r="E47" s="1183"/>
    </row>
    <row r="48" spans="1:5" ht="15">
      <c r="A48" s="1562"/>
      <c r="B48" s="1562"/>
      <c r="C48" s="1562"/>
      <c r="D48" s="1198"/>
      <c r="E48" s="1183"/>
    </row>
    <row r="49" spans="1:5" ht="15">
      <c r="A49" s="1562"/>
      <c r="B49" s="1562"/>
      <c r="C49" s="1562"/>
      <c r="D49" s="1198"/>
      <c r="E49" s="1183"/>
    </row>
  </sheetData>
  <mergeCells count="11">
    <mergeCell ref="B3:E3"/>
    <mergeCell ref="B4:E4"/>
    <mergeCell ref="B5:E5"/>
    <mergeCell ref="B6:E6"/>
    <mergeCell ref="B7:E7"/>
    <mergeCell ref="A45:C49"/>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RowHeight="12.75"/>
  <cols>
    <col min="1" max="1" width="9.140625" style="1174"/>
    <col min="2" max="2" width="38.5703125" style="1174" customWidth="1"/>
    <col min="3" max="3" width="21.85546875" style="1174" customWidth="1"/>
    <col min="4" max="4" width="25.85546875" style="1174" customWidth="1"/>
    <col min="5" max="16384" width="9.140625" style="1174"/>
  </cols>
  <sheetData>
    <row r="1" spans="1:7" s="805" customFormat="1" ht="15.75">
      <c r="A1" s="920" t="s">
        <v>115</v>
      </c>
      <c r="G1" s="298"/>
    </row>
    <row r="2" spans="1:7" s="805" customFormat="1" ht="15.75">
      <c r="A2" s="920" t="s">
        <v>115</v>
      </c>
      <c r="G2" s="298"/>
    </row>
    <row r="3" spans="1:7" ht="19.5">
      <c r="A3" s="1183"/>
      <c r="B3" s="1563" t="s">
        <v>392</v>
      </c>
      <c r="C3" s="1563"/>
      <c r="D3" s="1563"/>
      <c r="E3" s="1563"/>
    </row>
    <row r="4" spans="1:7" ht="19.5">
      <c r="A4" s="1183"/>
      <c r="B4" s="1563" t="s">
        <v>787</v>
      </c>
      <c r="C4" s="1563"/>
      <c r="D4" s="1563"/>
      <c r="E4" s="1563"/>
    </row>
    <row r="5" spans="1:7" ht="19.5">
      <c r="A5" s="1183"/>
      <c r="B5" s="1563" t="s">
        <v>788</v>
      </c>
      <c r="C5" s="1563"/>
      <c r="D5" s="1563"/>
      <c r="E5" s="1563"/>
    </row>
    <row r="6" spans="1:7" ht="19.5">
      <c r="A6" s="1183"/>
      <c r="B6" s="1563" t="s">
        <v>797</v>
      </c>
      <c r="C6" s="1563"/>
      <c r="D6" s="1563"/>
      <c r="E6" s="1563"/>
    </row>
    <row r="7" spans="1:7" ht="19.5">
      <c r="A7" s="1183"/>
      <c r="B7" s="1563" t="s">
        <v>790</v>
      </c>
      <c r="C7" s="1563"/>
      <c r="D7" s="1563"/>
      <c r="E7" s="1563"/>
    </row>
    <row r="8" spans="1:7" ht="19.5">
      <c r="A8" s="1183"/>
      <c r="B8" s="1563" t="s">
        <v>798</v>
      </c>
      <c r="C8" s="1563"/>
      <c r="D8" s="1563"/>
      <c r="E8" s="1563"/>
    </row>
    <row r="9" spans="1:7" ht="15">
      <c r="A9" s="1183"/>
      <c r="B9" s="1175"/>
      <c r="C9" s="1175"/>
      <c r="D9" s="1178" t="s">
        <v>115</v>
      </c>
      <c r="E9" s="1183"/>
    </row>
    <row r="10" spans="1:7" ht="15.75">
      <c r="A10" s="1183"/>
      <c r="B10" s="1175"/>
      <c r="C10" s="1197" t="s">
        <v>400</v>
      </c>
      <c r="D10" s="1183"/>
      <c r="E10" s="1183"/>
    </row>
    <row r="11" spans="1:7" ht="15.75">
      <c r="A11" s="1183"/>
      <c r="B11" s="1178"/>
      <c r="C11" s="1197" t="s">
        <v>404</v>
      </c>
      <c r="D11" s="1197" t="s">
        <v>405</v>
      </c>
      <c r="E11" s="1197"/>
    </row>
    <row r="12" spans="1:7" ht="15.75" thickBot="1">
      <c r="A12" s="1183"/>
      <c r="B12" s="1185"/>
      <c r="C12" s="1175"/>
      <c r="D12" s="1199" t="s">
        <v>500</v>
      </c>
      <c r="E12" s="1183"/>
    </row>
    <row r="13" spans="1:7" ht="15">
      <c r="A13" s="1183"/>
      <c r="B13" s="1187" t="s">
        <v>407</v>
      </c>
      <c r="C13" s="1188"/>
      <c r="D13" s="293"/>
      <c r="E13" s="1183"/>
    </row>
    <row r="14" spans="1:7" ht="15">
      <c r="A14" s="1183"/>
      <c r="B14" s="1183"/>
      <c r="C14" s="1200"/>
      <c r="D14" s="292"/>
      <c r="E14" s="1201"/>
    </row>
    <row r="15" spans="1:7" ht="15">
      <c r="A15" s="1183"/>
      <c r="B15" s="1183" t="s">
        <v>799</v>
      </c>
      <c r="C15" s="1190">
        <v>350.1</v>
      </c>
      <c r="D15" s="292">
        <v>1.44E-2</v>
      </c>
      <c r="E15" s="1201"/>
    </row>
    <row r="16" spans="1:7" ht="15">
      <c r="A16" s="1183"/>
      <c r="B16" s="1183" t="s">
        <v>408</v>
      </c>
      <c r="C16" s="297">
        <v>352</v>
      </c>
      <c r="D16" s="292">
        <v>2.0799999999999999E-2</v>
      </c>
      <c r="E16" s="1201"/>
    </row>
    <row r="17" spans="1:5" ht="15">
      <c r="A17" s="1183"/>
      <c r="B17" s="1183" t="s">
        <v>409</v>
      </c>
      <c r="C17" s="297">
        <v>353</v>
      </c>
      <c r="D17" s="292">
        <v>2.1499999999999998E-2</v>
      </c>
      <c r="E17" s="1201"/>
    </row>
    <row r="18" spans="1:5" ht="15">
      <c r="A18" s="1183"/>
      <c r="B18" s="1183" t="s">
        <v>410</v>
      </c>
      <c r="C18" s="297">
        <v>354</v>
      </c>
      <c r="D18" s="292">
        <v>2.6100000000000002E-2</v>
      </c>
      <c r="E18" s="1201"/>
    </row>
    <row r="19" spans="1:5" ht="15">
      <c r="A19" s="1183"/>
      <c r="B19" s="1183" t="s">
        <v>411</v>
      </c>
      <c r="C19" s="297">
        <v>355</v>
      </c>
      <c r="D19" s="292">
        <v>3.95E-2</v>
      </c>
      <c r="E19" s="1201"/>
    </row>
    <row r="20" spans="1:5" ht="15">
      <c r="A20" s="1183"/>
      <c r="B20" s="1183" t="s">
        <v>782</v>
      </c>
      <c r="C20" s="297">
        <v>356</v>
      </c>
      <c r="D20" s="292">
        <v>2.9100000000000001E-2</v>
      </c>
      <c r="E20" s="1201"/>
    </row>
    <row r="21" spans="1:5" ht="15">
      <c r="A21" s="1183"/>
      <c r="B21" s="1183" t="s">
        <v>412</v>
      </c>
      <c r="C21" s="297">
        <v>357</v>
      </c>
      <c r="D21" s="292">
        <v>2.9899999999999999E-2</v>
      </c>
      <c r="E21" s="1201"/>
    </row>
    <row r="22" spans="1:5" ht="15">
      <c r="A22" s="1183"/>
      <c r="B22" s="1183" t="s">
        <v>413</v>
      </c>
      <c r="C22" s="297">
        <v>358</v>
      </c>
      <c r="D22" s="292">
        <v>2.6200000000000001E-2</v>
      </c>
      <c r="E22" s="1201"/>
    </row>
    <row r="23" spans="1:5" ht="15">
      <c r="A23" s="1183"/>
      <c r="B23" s="1183"/>
      <c r="C23" s="1175"/>
      <c r="D23" s="292"/>
      <c r="E23" s="1183"/>
    </row>
    <row r="24" spans="1:5" ht="15.75">
      <c r="A24" s="1183"/>
      <c r="B24" s="1183" t="s">
        <v>793</v>
      </c>
      <c r="C24" s="1191"/>
      <c r="D24" s="300"/>
      <c r="E24" s="1183"/>
    </row>
    <row r="25" spans="1:5" ht="15">
      <c r="A25" s="1183"/>
      <c r="B25" s="1564"/>
      <c r="C25" s="1564"/>
      <c r="D25" s="1564"/>
      <c r="E25" s="1564"/>
    </row>
    <row r="26" spans="1:5" ht="15">
      <c r="A26" s="1183"/>
      <c r="B26" s="1564" t="s">
        <v>800</v>
      </c>
      <c r="C26" s="1564"/>
      <c r="D26" s="1564"/>
      <c r="E26" s="1564"/>
    </row>
    <row r="27" spans="1:5" ht="15">
      <c r="A27" s="1183"/>
      <c r="B27" s="1564"/>
      <c r="C27" s="1564"/>
      <c r="D27" s="1564"/>
      <c r="E27" s="1564"/>
    </row>
    <row r="28" spans="1:5" ht="15.75">
      <c r="A28" s="1183"/>
      <c r="B28" s="1193" t="s">
        <v>796</v>
      </c>
      <c r="C28" s="1175"/>
      <c r="D28" s="292"/>
      <c r="E28" s="1183"/>
    </row>
    <row r="29" spans="1:5" ht="15">
      <c r="A29" s="1183"/>
      <c r="B29" s="1562" t="s">
        <v>834</v>
      </c>
      <c r="C29" s="1562"/>
      <c r="D29" s="1562"/>
      <c r="E29" s="1198"/>
    </row>
    <row r="30" spans="1:5" ht="15">
      <c r="A30" s="1183"/>
      <c r="B30" s="1562"/>
      <c r="C30" s="1562"/>
      <c r="D30" s="1562"/>
      <c r="E30" s="1198"/>
    </row>
    <row r="31" spans="1:5" ht="15">
      <c r="A31" s="1183"/>
      <c r="B31" s="1562"/>
      <c r="C31" s="1562"/>
      <c r="D31" s="1562"/>
      <c r="E31" s="1198"/>
    </row>
    <row r="32" spans="1:5" ht="15">
      <c r="A32" s="1183"/>
      <c r="B32" s="1562"/>
      <c r="C32" s="1562"/>
      <c r="D32" s="1562"/>
      <c r="E32" s="1198"/>
    </row>
    <row r="33" spans="1:5" ht="15">
      <c r="A33" s="1183"/>
      <c r="B33" s="1562"/>
      <c r="C33" s="1562"/>
      <c r="D33" s="1562"/>
      <c r="E33" s="119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3" sqref="A3:D3"/>
    </sheetView>
  </sheetViews>
  <sheetFormatPr defaultRowHeight="12.75"/>
  <cols>
    <col min="1" max="1" width="38.85546875" style="1174" customWidth="1"/>
    <col min="2" max="2" width="28.28515625" style="1174" customWidth="1"/>
    <col min="3" max="3" width="23.140625" style="1174" customWidth="1"/>
    <col min="4" max="16384" width="9.140625" style="1174"/>
  </cols>
  <sheetData>
    <row r="1" spans="1:7" s="805" customFormat="1" ht="15.75">
      <c r="A1" s="920" t="s">
        <v>115</v>
      </c>
      <c r="G1" s="298"/>
    </row>
    <row r="2" spans="1:7" s="805" customFormat="1" ht="15.75">
      <c r="A2" s="920" t="s">
        <v>115</v>
      </c>
      <c r="G2" s="298"/>
    </row>
    <row r="3" spans="1:7" ht="19.5">
      <c r="A3" s="1563" t="s">
        <v>392</v>
      </c>
      <c r="B3" s="1563"/>
      <c r="C3" s="1563"/>
      <c r="D3" s="1563"/>
    </row>
    <row r="4" spans="1:7" ht="19.5">
      <c r="A4" s="1563" t="s">
        <v>787</v>
      </c>
      <c r="B4" s="1563"/>
      <c r="C4" s="1563"/>
      <c r="D4" s="1563"/>
    </row>
    <row r="5" spans="1:7" ht="19.5">
      <c r="A5" s="1563" t="s">
        <v>788</v>
      </c>
      <c r="B5" s="1563"/>
      <c r="C5" s="1563"/>
      <c r="D5" s="1563"/>
    </row>
    <row r="6" spans="1:7" ht="19.5">
      <c r="A6" s="1563" t="s">
        <v>801</v>
      </c>
      <c r="B6" s="1563"/>
      <c r="C6" s="1563"/>
      <c r="D6" s="1563"/>
    </row>
    <row r="7" spans="1:7" ht="19.5">
      <c r="A7" s="1563" t="s">
        <v>790</v>
      </c>
      <c r="B7" s="1563"/>
      <c r="C7" s="1563"/>
      <c r="D7" s="1563"/>
    </row>
    <row r="8" spans="1:7" ht="19.5">
      <c r="A8" s="1563" t="s">
        <v>802</v>
      </c>
      <c r="B8" s="1563"/>
      <c r="C8" s="1563"/>
      <c r="D8" s="1563"/>
    </row>
    <row r="9" spans="1:7" ht="15">
      <c r="A9" s="1175"/>
      <c r="B9" s="1175"/>
      <c r="C9" s="1178" t="s">
        <v>115</v>
      </c>
      <c r="D9" s="1183"/>
    </row>
    <row r="10" spans="1:7" ht="15.75">
      <c r="A10" s="1175"/>
      <c r="B10" s="1197" t="s">
        <v>400</v>
      </c>
      <c r="C10" s="1183"/>
      <c r="D10" s="1183"/>
    </row>
    <row r="11" spans="1:7" ht="15.75">
      <c r="A11" s="1178"/>
      <c r="B11" s="1197" t="s">
        <v>404</v>
      </c>
      <c r="C11" s="1197" t="s">
        <v>405</v>
      </c>
      <c r="D11" s="1197"/>
    </row>
    <row r="12" spans="1:7" ht="15.75" thickBot="1">
      <c r="A12" s="1185"/>
      <c r="B12" s="1175"/>
      <c r="C12" s="1199" t="s">
        <v>500</v>
      </c>
      <c r="D12" s="1183"/>
    </row>
    <row r="13" spans="1:7" ht="15">
      <c r="A13" s="1187" t="s">
        <v>407</v>
      </c>
      <c r="B13" s="1188"/>
      <c r="C13" s="293"/>
      <c r="D13" s="1183"/>
    </row>
    <row r="14" spans="1:7" ht="15">
      <c r="A14" s="1190" t="s">
        <v>408</v>
      </c>
      <c r="B14" s="297">
        <v>352</v>
      </c>
      <c r="C14" s="292">
        <v>2.0199999999999999E-2</v>
      </c>
      <c r="D14" s="1201"/>
    </row>
    <row r="15" spans="1:7" ht="15">
      <c r="A15" s="1190" t="s">
        <v>409</v>
      </c>
      <c r="B15" s="297">
        <v>353</v>
      </c>
      <c r="C15" s="292">
        <v>2.29E-2</v>
      </c>
      <c r="D15" s="1201"/>
    </row>
    <row r="16" spans="1:7" ht="15">
      <c r="A16" s="1200"/>
      <c r="B16" s="297"/>
      <c r="C16" s="292"/>
      <c r="D16" s="1201"/>
    </row>
    <row r="17" spans="1:4" ht="15">
      <c r="A17" s="1190" t="s">
        <v>803</v>
      </c>
      <c r="B17" s="297">
        <v>354</v>
      </c>
      <c r="C17" s="292">
        <v>1.8800000000000001E-2</v>
      </c>
      <c r="D17" s="1201"/>
    </row>
    <row r="18" spans="1:4" ht="15">
      <c r="A18" s="1190" t="s">
        <v>804</v>
      </c>
      <c r="B18" s="297">
        <v>354</v>
      </c>
      <c r="C18" s="292">
        <v>1.8800000000000001E-2</v>
      </c>
      <c r="D18" s="1201"/>
    </row>
    <row r="19" spans="1:4" ht="15">
      <c r="A19" s="1206"/>
      <c r="B19" s="1207"/>
      <c r="C19" s="338"/>
      <c r="D19" s="1201"/>
    </row>
    <row r="20" spans="1:4" ht="15">
      <c r="A20" s="1190" t="s">
        <v>805</v>
      </c>
      <c r="B20" s="297">
        <v>355</v>
      </c>
      <c r="C20" s="292">
        <v>3.5200000000000002E-2</v>
      </c>
      <c r="D20" s="1201"/>
    </row>
    <row r="21" spans="1:4" ht="15">
      <c r="A21" s="1190" t="s">
        <v>806</v>
      </c>
      <c r="B21" s="297">
        <v>355</v>
      </c>
      <c r="C21" s="292">
        <v>3.5200000000000002E-2</v>
      </c>
      <c r="D21" s="1201"/>
    </row>
    <row r="22" spans="1:4" ht="15">
      <c r="A22" s="1206"/>
      <c r="B22" s="297"/>
      <c r="C22" s="292"/>
      <c r="D22" s="1201"/>
    </row>
    <row r="23" spans="1:4" ht="15">
      <c r="A23" s="1190" t="s">
        <v>807</v>
      </c>
      <c r="B23" s="297">
        <v>356</v>
      </c>
      <c r="C23" s="292">
        <v>1.9099999999999999E-2</v>
      </c>
      <c r="D23" s="1201"/>
    </row>
    <row r="24" spans="1:4" ht="15">
      <c r="A24" s="1190" t="s">
        <v>808</v>
      </c>
      <c r="B24" s="297">
        <v>356</v>
      </c>
      <c r="C24" s="292">
        <v>1.9099999999999999E-2</v>
      </c>
      <c r="D24" s="1201"/>
    </row>
    <row r="25" spans="1:4" ht="15">
      <c r="A25" s="1190" t="s">
        <v>809</v>
      </c>
      <c r="B25" s="297">
        <v>356</v>
      </c>
      <c r="C25" s="292">
        <v>1.9099999999999999E-2</v>
      </c>
      <c r="D25" s="1201"/>
    </row>
    <row r="26" spans="1:4" ht="15">
      <c r="A26" s="1190" t="s">
        <v>810</v>
      </c>
      <c r="B26" s="297">
        <v>356</v>
      </c>
      <c r="C26" s="292">
        <v>1.9099999999999999E-2</v>
      </c>
      <c r="D26" s="1201"/>
    </row>
    <row r="27" spans="1:4" ht="15">
      <c r="A27" s="1190" t="s">
        <v>811</v>
      </c>
      <c r="B27" s="297">
        <v>356</v>
      </c>
      <c r="C27" s="292">
        <v>1.9099999999999999E-2</v>
      </c>
      <c r="D27" s="1201"/>
    </row>
    <row r="28" spans="1:4" ht="15">
      <c r="A28" s="1190"/>
      <c r="B28" s="297"/>
      <c r="C28" s="292"/>
      <c r="D28" s="1201"/>
    </row>
    <row r="29" spans="1:4" ht="15">
      <c r="A29" s="1190" t="s">
        <v>412</v>
      </c>
      <c r="B29" s="297">
        <v>357</v>
      </c>
      <c r="C29" s="292">
        <v>2.2599999999999999E-2</v>
      </c>
      <c r="D29" s="1201"/>
    </row>
    <row r="30" spans="1:4" ht="15">
      <c r="A30" s="1190" t="s">
        <v>413</v>
      </c>
      <c r="B30" s="297">
        <v>358</v>
      </c>
      <c r="C30" s="292">
        <v>3.27E-2</v>
      </c>
      <c r="D30" s="1201"/>
    </row>
    <row r="31" spans="1:4" ht="15">
      <c r="A31" s="1200"/>
      <c r="B31" s="1189"/>
      <c r="C31" s="338"/>
      <c r="D31" s="1183"/>
    </row>
    <row r="32" spans="1:4" ht="15.75" thickBot="1">
      <c r="A32" s="1208"/>
      <c r="B32" s="1209"/>
      <c r="C32" s="1210"/>
      <c r="D32" s="1183"/>
    </row>
    <row r="33" spans="1:4" ht="15">
      <c r="A33" s="1185"/>
      <c r="B33" s="1175"/>
      <c r="C33" s="292"/>
      <c r="D33" s="1183"/>
    </row>
    <row r="34" spans="1:4" ht="15">
      <c r="A34" s="1183"/>
      <c r="B34" s="1175"/>
      <c r="C34" s="292"/>
      <c r="D34" s="1183"/>
    </row>
    <row r="35" spans="1:4" ht="15.75">
      <c r="A35" s="1183" t="s">
        <v>793</v>
      </c>
      <c r="B35" s="1191"/>
      <c r="C35" s="300"/>
      <c r="D35" s="1183"/>
    </row>
    <row r="36" spans="1:4" ht="15">
      <c r="A36" s="1183"/>
      <c r="B36" s="1183"/>
      <c r="C36" s="1183"/>
      <c r="D36" s="1183"/>
    </row>
    <row r="37" spans="1:4" ht="15">
      <c r="A37" s="1564" t="s">
        <v>812</v>
      </c>
      <c r="B37" s="1564"/>
      <c r="C37" s="1564"/>
      <c r="D37" s="1564"/>
    </row>
    <row r="38" spans="1:4" ht="15">
      <c r="A38" s="1183" t="s">
        <v>813</v>
      </c>
      <c r="B38" s="1183"/>
      <c r="C38" s="1183"/>
      <c r="D38" s="1183"/>
    </row>
    <row r="39" spans="1:4" ht="15">
      <c r="A39" s="1183" t="s">
        <v>814</v>
      </c>
      <c r="B39" s="1183"/>
      <c r="C39" s="1183"/>
      <c r="D39" s="1183"/>
    </row>
    <row r="40" spans="1:4" ht="15">
      <c r="A40" s="1183"/>
      <c r="B40" s="1183"/>
      <c r="C40" s="1183"/>
      <c r="D40" s="1183"/>
    </row>
    <row r="41" spans="1:4" ht="15.75">
      <c r="A41" s="1193" t="s">
        <v>815</v>
      </c>
      <c r="B41" s="1175"/>
      <c r="C41" s="292"/>
      <c r="D41" s="1183"/>
    </row>
    <row r="42" spans="1:4">
      <c r="A42" s="1562" t="s">
        <v>834</v>
      </c>
      <c r="B42" s="1562"/>
      <c r="C42" s="1562"/>
      <c r="D42" s="1198"/>
    </row>
    <row r="43" spans="1:4">
      <c r="A43" s="1562"/>
      <c r="B43" s="1562"/>
      <c r="C43" s="1562"/>
      <c r="D43" s="1198"/>
    </row>
    <row r="44" spans="1:4">
      <c r="A44" s="1562"/>
      <c r="B44" s="1562"/>
      <c r="C44" s="1562"/>
      <c r="D44" s="1198"/>
    </row>
    <row r="45" spans="1:4">
      <c r="A45" s="1562"/>
      <c r="B45" s="1562"/>
      <c r="C45" s="1562"/>
      <c r="D45" s="1198"/>
    </row>
    <row r="46" spans="1:4">
      <c r="A46" s="1562"/>
      <c r="B46" s="1562"/>
      <c r="C46" s="1562"/>
      <c r="D46" s="1198"/>
    </row>
    <row r="47" spans="1:4" ht="15">
      <c r="A47" s="1183"/>
      <c r="B47" s="1183"/>
      <c r="C47" s="1183"/>
      <c r="D47" s="118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sqref="A1:E45"/>
    </sheetView>
  </sheetViews>
  <sheetFormatPr defaultColWidth="14.7109375" defaultRowHeight="15"/>
  <cols>
    <col min="1" max="1" width="41.7109375" style="1183" customWidth="1"/>
    <col min="2" max="2" width="33.140625" style="1183" customWidth="1"/>
    <col min="3" max="4" width="31.85546875" style="1183" customWidth="1"/>
    <col min="5" max="5" width="16.7109375" style="1183" customWidth="1"/>
    <col min="6" max="6" width="14.7109375" style="1183" customWidth="1"/>
    <col min="7" max="7" width="4.85546875" style="1183" customWidth="1"/>
    <col min="8" max="8" width="14.7109375" style="1184" customWidth="1"/>
    <col min="9" max="9" width="18.28515625" style="1183" customWidth="1"/>
    <col min="10" max="10" width="15.5703125" style="1183" customWidth="1"/>
    <col min="11" max="11" width="6.140625" style="1183" customWidth="1"/>
    <col min="12" max="12" width="14.7109375" style="1183" customWidth="1"/>
    <col min="13" max="13" width="16.140625" style="1183" customWidth="1"/>
    <col min="14" max="14" width="14.7109375" style="1183" customWidth="1"/>
    <col min="15" max="15" width="4.85546875" style="1183" customWidth="1"/>
    <col min="16" max="16" width="18.5703125" style="1183" customWidth="1"/>
    <col min="17" max="16384" width="14.7109375" style="1183"/>
  </cols>
  <sheetData>
    <row r="1" spans="1:7" s="805" customFormat="1" ht="15.75">
      <c r="A1" s="920" t="s">
        <v>115</v>
      </c>
      <c r="G1" s="298"/>
    </row>
    <row r="2" spans="1:7" s="805" customFormat="1" ht="15.75">
      <c r="A2" s="920" t="s">
        <v>115</v>
      </c>
      <c r="G2" s="298"/>
    </row>
    <row r="3" spans="1:7" ht="19.5">
      <c r="B3" s="1563" t="s">
        <v>392</v>
      </c>
      <c r="C3" s="1563"/>
      <c r="D3" s="1563"/>
      <c r="E3" s="1563"/>
    </row>
    <row r="4" spans="1:7" ht="19.5">
      <c r="B4" s="1563" t="s">
        <v>787</v>
      </c>
      <c r="C4" s="1563"/>
      <c r="D4" s="1563"/>
      <c r="E4" s="1563"/>
    </row>
    <row r="5" spans="1:7" ht="19.5">
      <c r="B5" s="1563" t="s">
        <v>788</v>
      </c>
      <c r="C5" s="1563"/>
      <c r="D5" s="1563"/>
      <c r="E5" s="1563"/>
    </row>
    <row r="6" spans="1:7" ht="19.5">
      <c r="B6" s="1563" t="s">
        <v>1003</v>
      </c>
      <c r="C6" s="1563"/>
      <c r="D6" s="1563"/>
      <c r="E6" s="1563"/>
    </row>
    <row r="7" spans="1:7" ht="19.5">
      <c r="B7" s="1563" t="s">
        <v>790</v>
      </c>
      <c r="C7" s="1563"/>
      <c r="D7" s="1563"/>
      <c r="E7" s="1563"/>
    </row>
    <row r="8" spans="1:7" ht="19.5">
      <c r="B8" s="1563" t="s">
        <v>816</v>
      </c>
      <c r="C8" s="1563"/>
      <c r="D8" s="1563"/>
      <c r="E8" s="1563"/>
    </row>
    <row r="9" spans="1:7">
      <c r="B9" s="1175"/>
      <c r="C9" s="1175"/>
      <c r="D9" s="1178" t="s">
        <v>115</v>
      </c>
    </row>
    <row r="10" spans="1:7">
      <c r="A10" s="1562"/>
      <c r="B10" s="1562"/>
      <c r="C10" s="1562"/>
      <c r="D10" s="1198"/>
    </row>
    <row r="11" spans="1:7" ht="15.75">
      <c r="A11" s="1175"/>
      <c r="B11" s="1197" t="s">
        <v>400</v>
      </c>
    </row>
    <row r="12" spans="1:7" ht="15.75">
      <c r="A12" s="1178"/>
      <c r="B12" s="1197" t="s">
        <v>404</v>
      </c>
      <c r="C12" s="1197" t="s">
        <v>405</v>
      </c>
      <c r="D12" s="1197"/>
    </row>
    <row r="13" spans="1:7" ht="15.75" thickBot="1">
      <c r="C13" s="1201" t="s">
        <v>500</v>
      </c>
    </row>
    <row r="14" spans="1:7">
      <c r="A14" s="1187" t="s">
        <v>407</v>
      </c>
      <c r="B14" s="1188"/>
      <c r="C14" s="293"/>
    </row>
    <row r="15" spans="1:7">
      <c r="A15" s="1200"/>
      <c r="D15" s="1201"/>
    </row>
    <row r="16" spans="1:7">
      <c r="A16" s="1190" t="s">
        <v>408</v>
      </c>
      <c r="B16" s="297">
        <v>352</v>
      </c>
      <c r="C16" s="292">
        <v>1.15E-2</v>
      </c>
      <c r="D16" s="1201"/>
    </row>
    <row r="17" spans="1:4">
      <c r="A17" s="1206" t="s">
        <v>409</v>
      </c>
      <c r="B17" s="297">
        <v>353</v>
      </c>
      <c r="C17" s="292">
        <v>2.2200000000000001E-2</v>
      </c>
      <c r="D17" s="1201"/>
    </row>
    <row r="18" spans="1:4">
      <c r="A18" s="1206" t="s">
        <v>410</v>
      </c>
      <c r="B18" s="297">
        <v>354</v>
      </c>
      <c r="C18" s="292">
        <v>2.6499999999999999E-2</v>
      </c>
      <c r="D18" s="1201"/>
    </row>
    <row r="19" spans="1:4">
      <c r="A19" s="1206" t="s">
        <v>411</v>
      </c>
      <c r="B19" s="297">
        <v>355</v>
      </c>
      <c r="C19" s="292">
        <v>2.41E-2</v>
      </c>
      <c r="D19" s="1201"/>
    </row>
    <row r="20" spans="1:4">
      <c r="A20" s="1206" t="s">
        <v>782</v>
      </c>
      <c r="B20" s="297">
        <v>356</v>
      </c>
      <c r="C20" s="292">
        <v>1.32E-2</v>
      </c>
      <c r="D20" s="1201"/>
    </row>
    <row r="21" spans="1:4">
      <c r="A21" s="1206" t="s">
        <v>412</v>
      </c>
      <c r="B21" s="297">
        <v>351</v>
      </c>
      <c r="C21" s="292">
        <v>9.9400000000000002E-2</v>
      </c>
      <c r="D21" s="1201"/>
    </row>
    <row r="22" spans="1:4">
      <c r="A22" s="1206" t="s">
        <v>413</v>
      </c>
      <c r="B22" s="297">
        <v>351</v>
      </c>
      <c r="C22" s="292">
        <v>0.13980000000000001</v>
      </c>
      <c r="D22" s="1201"/>
    </row>
    <row r="23" spans="1:4">
      <c r="A23" s="1206" t="s">
        <v>783</v>
      </c>
      <c r="B23" s="297">
        <v>359</v>
      </c>
      <c r="C23" s="1199" t="s">
        <v>817</v>
      </c>
      <c r="D23" s="1201"/>
    </row>
    <row r="24" spans="1:4" ht="15.75" thickBot="1">
      <c r="A24" s="1206"/>
      <c r="B24" s="297"/>
      <c r="C24" s="292"/>
      <c r="D24" s="1201"/>
    </row>
    <row r="25" spans="1:4">
      <c r="A25" s="1187" t="s">
        <v>819</v>
      </c>
      <c r="B25" s="1188"/>
      <c r="C25" s="293"/>
      <c r="D25" s="1201"/>
    </row>
    <row r="26" spans="1:4" ht="15" customHeight="1">
      <c r="A26" s="1206"/>
      <c r="B26" s="297"/>
      <c r="C26" s="292"/>
      <c r="D26" s="1201"/>
    </row>
    <row r="27" spans="1:4">
      <c r="A27" s="1206" t="s">
        <v>820</v>
      </c>
      <c r="B27" s="297">
        <v>390</v>
      </c>
      <c r="C27" s="292">
        <v>1.0800000000000001E-2</v>
      </c>
      <c r="D27" s="1201"/>
    </row>
    <row r="28" spans="1:4">
      <c r="A28" s="1206" t="s">
        <v>821</v>
      </c>
      <c r="B28" s="297">
        <v>391</v>
      </c>
      <c r="C28" s="292">
        <v>2.1299999999999999E-2</v>
      </c>
      <c r="D28" s="1201"/>
    </row>
    <row r="29" spans="1:4">
      <c r="A29" s="1206" t="s">
        <v>822</v>
      </c>
      <c r="B29" s="297">
        <v>393</v>
      </c>
      <c r="C29" s="292">
        <v>1.78E-2</v>
      </c>
      <c r="D29" s="1201"/>
    </row>
    <row r="30" spans="1:4" ht="15" customHeight="1">
      <c r="A30" s="1206" t="s">
        <v>823</v>
      </c>
      <c r="B30" s="297">
        <v>394</v>
      </c>
      <c r="C30" s="292">
        <v>1.6500000000000001E-2</v>
      </c>
      <c r="D30" s="1201"/>
    </row>
    <row r="31" spans="1:4">
      <c r="A31" s="1206" t="s">
        <v>825</v>
      </c>
      <c r="B31" s="297">
        <v>397</v>
      </c>
      <c r="C31" s="292">
        <v>5.0900000000000001E-2</v>
      </c>
      <c r="D31" s="1201"/>
    </row>
    <row r="32" spans="1:4">
      <c r="A32" s="1206" t="s">
        <v>826</v>
      </c>
      <c r="B32" s="297">
        <v>398</v>
      </c>
      <c r="C32" s="292">
        <v>2.76E-2</v>
      </c>
      <c r="D32" s="1201"/>
    </row>
    <row r="33" spans="1:4">
      <c r="A33" s="1206"/>
      <c r="B33" s="297"/>
      <c r="C33" s="292"/>
      <c r="D33" s="1201"/>
    </row>
    <row r="34" spans="1:4">
      <c r="A34" s="1206"/>
      <c r="B34" s="297"/>
      <c r="C34" s="292"/>
      <c r="D34" s="1201"/>
    </row>
    <row r="35" spans="1:4">
      <c r="A35" s="1206"/>
      <c r="B35" s="297"/>
      <c r="C35" s="292"/>
      <c r="D35" s="1201"/>
    </row>
    <row r="36" spans="1:4">
      <c r="A36" s="1200"/>
      <c r="B36" s="1189"/>
      <c r="C36" s="338"/>
    </row>
    <row r="37" spans="1:4">
      <c r="A37" s="1564" t="s">
        <v>818</v>
      </c>
      <c r="B37" s="1564"/>
      <c r="C37" s="1564"/>
      <c r="D37" s="1564"/>
    </row>
    <row r="38" spans="1:4" ht="15.75">
      <c r="B38" s="1191"/>
      <c r="C38" s="300"/>
    </row>
    <row r="39" spans="1:4">
      <c r="A39" s="1564"/>
      <c r="B39" s="1564"/>
      <c r="C39" s="1564"/>
      <c r="D39" s="1564"/>
    </row>
    <row r="40" spans="1:4" ht="15.75">
      <c r="A40" s="1193" t="s">
        <v>815</v>
      </c>
      <c r="B40" s="1175"/>
      <c r="C40" s="292"/>
    </row>
    <row r="41" spans="1:4">
      <c r="A41" s="1562" t="s">
        <v>834</v>
      </c>
      <c r="B41" s="1562"/>
      <c r="C41" s="1562"/>
      <c r="D41" s="1198"/>
    </row>
    <row r="42" spans="1:4">
      <c r="A42" s="1562"/>
      <c r="B42" s="1562"/>
      <c r="C42" s="1562"/>
      <c r="D42" s="1198"/>
    </row>
    <row r="43" spans="1:4">
      <c r="A43" s="1562"/>
      <c r="B43" s="1562"/>
      <c r="C43" s="1562"/>
      <c r="D43" s="1198"/>
    </row>
    <row r="44" spans="1:4">
      <c r="A44" s="1562"/>
      <c r="B44" s="1562"/>
      <c r="C44" s="1562"/>
      <c r="D44" s="1198"/>
    </row>
    <row r="45" spans="1:4">
      <c r="A45" s="1562"/>
      <c r="B45" s="1562"/>
      <c r="C45" s="1562"/>
      <c r="D45" s="1198"/>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1" sqref="D11"/>
    </sheetView>
  </sheetViews>
  <sheetFormatPr defaultRowHeight="12.75"/>
  <cols>
    <col min="1" max="1" width="32.85546875" customWidth="1"/>
    <col min="4" max="4" width="31.140625" customWidth="1"/>
    <col min="6" max="6" width="14.42578125" customWidth="1"/>
    <col min="8" max="8" width="20.28515625" customWidth="1"/>
    <col min="9" max="9" width="17.28515625" customWidth="1"/>
    <col min="11" max="11" width="16.7109375" customWidth="1"/>
  </cols>
  <sheetData>
    <row r="1" spans="1:11" ht="15.75">
      <c r="A1" s="1565" t="s">
        <v>388</v>
      </c>
      <c r="B1" s="1565"/>
      <c r="C1" s="1565"/>
      <c r="D1" s="1565"/>
      <c r="E1" s="1565"/>
      <c r="F1" s="1565"/>
      <c r="G1" s="1565"/>
      <c r="H1" s="1565"/>
      <c r="I1" s="1565"/>
      <c r="J1" s="1565"/>
      <c r="K1" s="1565"/>
    </row>
    <row r="2" spans="1:11" ht="15.75">
      <c r="A2" s="1566" t="s">
        <v>569</v>
      </c>
      <c r="B2" s="1566"/>
      <c r="C2" s="1566"/>
      <c r="D2" s="1566"/>
      <c r="E2" s="1566"/>
      <c r="F2" s="1566"/>
      <c r="G2" s="1566"/>
      <c r="H2" s="1566"/>
      <c r="I2" s="1566"/>
      <c r="J2" s="1566"/>
      <c r="K2" s="1566"/>
    </row>
    <row r="3" spans="1:11" ht="15.75">
      <c r="A3" s="1566" t="s">
        <v>570</v>
      </c>
      <c r="B3" s="1566"/>
      <c r="C3" s="1566"/>
      <c r="D3" s="1566"/>
      <c r="E3" s="1566"/>
      <c r="F3" s="1566"/>
      <c r="G3" s="1566"/>
      <c r="H3" s="1566"/>
      <c r="I3" s="1566"/>
      <c r="J3" s="1566"/>
      <c r="K3" s="1566"/>
    </row>
    <row r="4" spans="1:11" ht="15.75">
      <c r="A4" s="545"/>
      <c r="B4" s="545"/>
      <c r="C4" s="545"/>
      <c r="D4" s="1566"/>
      <c r="E4" s="1566"/>
      <c r="F4" s="1566"/>
      <c r="G4" s="1566"/>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6"/>
      <c r="B7" s="827"/>
      <c r="C7" s="827"/>
      <c r="D7" s="827"/>
      <c r="E7" s="827"/>
      <c r="F7" s="827"/>
      <c r="G7" s="827"/>
      <c r="H7" s="827"/>
      <c r="I7" s="827"/>
      <c r="J7" s="827"/>
      <c r="K7" s="827"/>
    </row>
    <row r="8" spans="1:11" ht="47.25">
      <c r="A8" s="828" t="str">
        <f>"Reconciliation Revenue Requirement For Year 2019 Available May 25, 2020"</f>
        <v>Reconciliation Revenue Requirement For Year 2019 Available May 25, 2020</v>
      </c>
      <c r="B8" s="827"/>
      <c r="C8" s="827"/>
      <c r="D8" s="828" t="s">
        <v>1111</v>
      </c>
      <c r="E8" s="827"/>
      <c r="F8" s="827"/>
      <c r="G8" s="545"/>
      <c r="H8" s="828" t="s">
        <v>550</v>
      </c>
      <c r="I8" s="545"/>
      <c r="J8" s="545"/>
      <c r="K8" s="545"/>
    </row>
    <row r="9" spans="1:11" ht="15.75">
      <c r="A9" s="829" t="s">
        <v>115</v>
      </c>
      <c r="B9" s="827"/>
      <c r="C9" s="827"/>
      <c r="D9" s="829"/>
      <c r="E9" s="827"/>
      <c r="F9" s="827"/>
      <c r="G9" s="545"/>
      <c r="H9" s="830"/>
      <c r="I9" s="545"/>
      <c r="J9" s="545"/>
      <c r="K9" s="545"/>
    </row>
    <row r="10" spans="1:11" ht="16.5" thickBot="1">
      <c r="A10" s="915">
        <v>134215103.19407143</v>
      </c>
      <c r="B10" s="831" t="str">
        <f>"-"</f>
        <v>-</v>
      </c>
      <c r="C10" s="832"/>
      <c r="D10" s="915">
        <v>128079760.90157899</v>
      </c>
      <c r="E10" s="833"/>
      <c r="F10" s="834" t="str">
        <f>"="</f>
        <v>=</v>
      </c>
      <c r="G10" s="835"/>
      <c r="H10" s="836">
        <f>IF(A10=0,0,D10-A10)</f>
        <v>-6135342.2924924344</v>
      </c>
      <c r="I10" s="545"/>
      <c r="J10" s="545"/>
      <c r="K10" s="545"/>
    </row>
    <row r="11" spans="1:11" ht="15.75">
      <c r="A11" s="837"/>
      <c r="B11" s="838"/>
      <c r="C11" s="838"/>
      <c r="D11" s="837"/>
      <c r="E11" s="837"/>
      <c r="F11" s="838"/>
      <c r="G11" s="837"/>
      <c r="H11" s="545"/>
      <c r="I11" s="545"/>
      <c r="J11" s="545"/>
      <c r="K11" s="545"/>
    </row>
    <row r="12" spans="1:11" ht="16.5" thickBot="1">
      <c r="A12" s="839"/>
      <c r="B12" s="840"/>
      <c r="C12" s="840"/>
      <c r="D12" s="839"/>
      <c r="E12" s="839"/>
      <c r="F12" s="840"/>
      <c r="G12" s="839"/>
      <c r="H12" s="841"/>
      <c r="I12" s="841"/>
      <c r="J12" s="841"/>
      <c r="K12" s="841"/>
    </row>
    <row r="13" spans="1:11" ht="15.75">
      <c r="A13" s="842"/>
      <c r="B13" s="838"/>
      <c r="C13" s="838"/>
      <c r="D13" s="837"/>
      <c r="E13" s="837"/>
      <c r="F13" s="838"/>
      <c r="G13" s="837"/>
      <c r="H13" s="545"/>
      <c r="I13" s="545"/>
      <c r="J13" s="545"/>
      <c r="K13" s="545"/>
    </row>
    <row r="14" spans="1:11" ht="47.25">
      <c r="A14" s="843" t="s">
        <v>551</v>
      </c>
      <c r="B14" s="838"/>
      <c r="C14" s="838"/>
      <c r="D14" s="844" t="s">
        <v>552</v>
      </c>
      <c r="E14" s="837"/>
      <c r="F14" s="844" t="s">
        <v>553</v>
      </c>
      <c r="G14" s="845" t="s">
        <v>554</v>
      </c>
      <c r="H14" s="846" t="s">
        <v>555</v>
      </c>
      <c r="I14" s="844" t="s">
        <v>556</v>
      </c>
      <c r="J14" s="847"/>
      <c r="K14" s="844" t="s">
        <v>557</v>
      </c>
    </row>
    <row r="15" spans="1:11" ht="15.75">
      <c r="A15" s="843" t="s">
        <v>558</v>
      </c>
      <c r="B15" s="838"/>
      <c r="C15" s="838"/>
      <c r="D15" s="545"/>
      <c r="E15" s="848"/>
      <c r="F15" s="916">
        <v>4.1949999999999999E-3</v>
      </c>
      <c r="G15" s="357"/>
      <c r="H15" s="545"/>
      <c r="I15" s="545"/>
      <c r="J15" s="545"/>
      <c r="K15" s="545"/>
    </row>
    <row r="16" spans="1:11" ht="15.75">
      <c r="A16" s="843"/>
      <c r="B16" s="838"/>
      <c r="C16" s="838"/>
      <c r="D16" s="545"/>
      <c r="E16" s="848"/>
      <c r="F16" s="848"/>
      <c r="G16" s="837"/>
      <c r="H16" s="545"/>
      <c r="I16" s="545"/>
      <c r="J16" s="545"/>
      <c r="K16" s="545"/>
    </row>
    <row r="17" spans="1:11" ht="15.75">
      <c r="A17" s="843" t="s">
        <v>1002</v>
      </c>
      <c r="B17" s="838"/>
      <c r="C17" s="838"/>
      <c r="D17" s="545"/>
      <c r="E17" s="848"/>
      <c r="F17" s="848"/>
      <c r="G17" s="837"/>
      <c r="H17" s="545"/>
      <c r="I17" s="545"/>
      <c r="J17" s="545"/>
      <c r="K17" s="545"/>
    </row>
    <row r="18" spans="1:11" ht="15.75">
      <c r="A18" s="849" t="s">
        <v>115</v>
      </c>
      <c r="B18" s="838"/>
      <c r="C18" s="838"/>
      <c r="D18" s="838"/>
      <c r="E18" s="838"/>
      <c r="F18" s="838" t="s">
        <v>115</v>
      </c>
      <c r="G18" s="545"/>
      <c r="H18" s="545"/>
      <c r="I18" s="545"/>
      <c r="J18" s="545"/>
      <c r="K18" s="545"/>
    </row>
    <row r="19" spans="1:11" ht="15.75">
      <c r="A19" s="850"/>
      <c r="B19" s="838"/>
      <c r="C19" s="838"/>
      <c r="D19" s="838"/>
      <c r="E19" s="838"/>
      <c r="F19" s="545"/>
      <c r="G19" s="545"/>
      <c r="H19" s="845"/>
      <c r="I19" s="838"/>
      <c r="J19" s="838"/>
      <c r="K19" s="838"/>
    </row>
    <row r="20" spans="1:11" ht="15.75">
      <c r="A20" s="850" t="s">
        <v>559</v>
      </c>
      <c r="B20" s="838"/>
      <c r="C20" s="838"/>
      <c r="D20" s="838"/>
      <c r="E20" s="838"/>
      <c r="F20" s="545"/>
      <c r="G20" s="545"/>
      <c r="H20" s="845" t="s">
        <v>560</v>
      </c>
      <c r="I20" s="838"/>
      <c r="J20" s="838"/>
      <c r="K20" s="838"/>
    </row>
    <row r="21" spans="1:11" ht="15.75">
      <c r="A21" s="827" t="s">
        <v>186</v>
      </c>
      <c r="B21" s="827" t="str">
        <f>"Year 2019"</f>
        <v>Year 2019</v>
      </c>
      <c r="C21" s="827"/>
      <c r="D21" s="851">
        <f>H10/12</f>
        <v>-511278.52437436953</v>
      </c>
      <c r="E21" s="851"/>
      <c r="F21" s="852">
        <f>+F15</f>
        <v>4.1949999999999999E-3</v>
      </c>
      <c r="G21" s="1316">
        <v>12</v>
      </c>
      <c r="H21" s="851">
        <f>F21*D21*G21*-1</f>
        <v>25737.760917005762</v>
      </c>
      <c r="I21" s="851"/>
      <c r="J21" s="851"/>
      <c r="K21" s="851">
        <f>(-H21+D21)*-1</f>
        <v>537016.28529137524</v>
      </c>
    </row>
    <row r="22" spans="1:11" ht="15.75">
      <c r="A22" s="827" t="s">
        <v>561</v>
      </c>
      <c r="B22" s="827" t="str">
        <f>B21</f>
        <v>Year 2019</v>
      </c>
      <c r="C22" s="827"/>
      <c r="D22" s="851">
        <f>+D21</f>
        <v>-511278.52437436953</v>
      </c>
      <c r="E22" s="851"/>
      <c r="F22" s="852">
        <f>+F21</f>
        <v>4.1949999999999999E-3</v>
      </c>
      <c r="G22" s="1316">
        <f t="shared" ref="G22:G32" si="0">+G21-1</f>
        <v>11</v>
      </c>
      <c r="H22" s="851">
        <f t="shared" ref="H22:H32" si="1">F22*D22*G22*-1</f>
        <v>23592.947507255285</v>
      </c>
      <c r="I22" s="851"/>
      <c r="J22" s="851"/>
      <c r="K22" s="851">
        <f t="shared" ref="K22:K32" si="2">(-H22+D22)*-1</f>
        <v>534871.47188162478</v>
      </c>
    </row>
    <row r="23" spans="1:11" ht="15.75">
      <c r="A23" s="827" t="s">
        <v>187</v>
      </c>
      <c r="B23" s="827" t="str">
        <f t="shared" ref="B23:B32" si="3">B22</f>
        <v>Year 2019</v>
      </c>
      <c r="C23" s="827"/>
      <c r="D23" s="851">
        <f t="shared" ref="D23:D32" si="4">+D22</f>
        <v>-511278.52437436953</v>
      </c>
      <c r="E23" s="851"/>
      <c r="F23" s="852">
        <f t="shared" ref="F23:F32" si="5">+F22</f>
        <v>4.1949999999999999E-3</v>
      </c>
      <c r="G23" s="1316">
        <f t="shared" si="0"/>
        <v>10</v>
      </c>
      <c r="H23" s="851">
        <f t="shared" si="1"/>
        <v>21448.134097504804</v>
      </c>
      <c r="I23" s="851"/>
      <c r="J23" s="851"/>
      <c r="K23" s="851">
        <f t="shared" si="2"/>
        <v>532726.65847187431</v>
      </c>
    </row>
    <row r="24" spans="1:11" ht="15.75">
      <c r="A24" s="827" t="s">
        <v>188</v>
      </c>
      <c r="B24" s="827" t="str">
        <f t="shared" si="3"/>
        <v>Year 2019</v>
      </c>
      <c r="C24" s="827"/>
      <c r="D24" s="851">
        <f t="shared" si="4"/>
        <v>-511278.52437436953</v>
      </c>
      <c r="E24" s="851"/>
      <c r="F24" s="852">
        <f t="shared" si="5"/>
        <v>4.1949999999999999E-3</v>
      </c>
      <c r="G24" s="1316">
        <f t="shared" si="0"/>
        <v>9</v>
      </c>
      <c r="H24" s="851">
        <f t="shared" si="1"/>
        <v>19303.320687754323</v>
      </c>
      <c r="I24" s="851"/>
      <c r="J24" s="851"/>
      <c r="K24" s="851">
        <f t="shared" si="2"/>
        <v>530581.84506212384</v>
      </c>
    </row>
    <row r="25" spans="1:11" ht="15.75">
      <c r="A25" s="827" t="s">
        <v>189</v>
      </c>
      <c r="B25" s="827" t="str">
        <f t="shared" si="3"/>
        <v>Year 2019</v>
      </c>
      <c r="C25" s="827"/>
      <c r="D25" s="851">
        <f t="shared" si="4"/>
        <v>-511278.52437436953</v>
      </c>
      <c r="E25" s="851"/>
      <c r="F25" s="852">
        <f t="shared" si="5"/>
        <v>4.1949999999999999E-3</v>
      </c>
      <c r="G25" s="1316">
        <f t="shared" si="0"/>
        <v>8</v>
      </c>
      <c r="H25" s="851">
        <f t="shared" si="1"/>
        <v>17158.507278003843</v>
      </c>
      <c r="I25" s="851"/>
      <c r="J25" s="851"/>
      <c r="K25" s="851">
        <f t="shared" si="2"/>
        <v>528437.03165237338</v>
      </c>
    </row>
    <row r="26" spans="1:11" ht="15.75">
      <c r="A26" s="827" t="s">
        <v>383</v>
      </c>
      <c r="B26" s="827" t="str">
        <f t="shared" si="3"/>
        <v>Year 2019</v>
      </c>
      <c r="C26" s="827"/>
      <c r="D26" s="851">
        <f t="shared" si="4"/>
        <v>-511278.52437436953</v>
      </c>
      <c r="E26" s="851"/>
      <c r="F26" s="852">
        <f t="shared" si="5"/>
        <v>4.1949999999999999E-3</v>
      </c>
      <c r="G26" s="1316">
        <f t="shared" si="0"/>
        <v>7</v>
      </c>
      <c r="H26" s="851">
        <f t="shared" si="1"/>
        <v>15013.693868253362</v>
      </c>
      <c r="I26" s="851"/>
      <c r="J26" s="851"/>
      <c r="K26" s="851">
        <f t="shared" si="2"/>
        <v>526292.21824262291</v>
      </c>
    </row>
    <row r="27" spans="1:11" ht="15.75">
      <c r="A27" s="827" t="s">
        <v>190</v>
      </c>
      <c r="B27" s="827" t="str">
        <f t="shared" si="3"/>
        <v>Year 2019</v>
      </c>
      <c r="C27" s="827"/>
      <c r="D27" s="851">
        <f t="shared" si="4"/>
        <v>-511278.52437436953</v>
      </c>
      <c r="E27" s="851"/>
      <c r="F27" s="852">
        <f t="shared" si="5"/>
        <v>4.1949999999999999E-3</v>
      </c>
      <c r="G27" s="1316">
        <f t="shared" si="0"/>
        <v>6</v>
      </c>
      <c r="H27" s="851">
        <f t="shared" si="1"/>
        <v>12868.880458502881</v>
      </c>
      <c r="I27" s="851"/>
      <c r="J27" s="851"/>
      <c r="K27" s="851">
        <f t="shared" si="2"/>
        <v>524147.40483287239</v>
      </c>
    </row>
    <row r="28" spans="1:11" ht="15.75">
      <c r="A28" s="827" t="s">
        <v>191</v>
      </c>
      <c r="B28" s="827" t="str">
        <f t="shared" si="3"/>
        <v>Year 2019</v>
      </c>
      <c r="C28" s="827"/>
      <c r="D28" s="851">
        <f t="shared" si="4"/>
        <v>-511278.52437436953</v>
      </c>
      <c r="E28" s="851"/>
      <c r="F28" s="852">
        <f t="shared" si="5"/>
        <v>4.1949999999999999E-3</v>
      </c>
      <c r="G28" s="1316">
        <f t="shared" si="0"/>
        <v>5</v>
      </c>
      <c r="H28" s="851">
        <f t="shared" si="1"/>
        <v>10724.067048752402</v>
      </c>
      <c r="I28" s="851"/>
      <c r="J28" s="851"/>
      <c r="K28" s="851">
        <f t="shared" si="2"/>
        <v>522002.59142312192</v>
      </c>
    </row>
    <row r="29" spans="1:11" ht="15.75">
      <c r="A29" s="827" t="s">
        <v>193</v>
      </c>
      <c r="B29" s="827" t="str">
        <f t="shared" si="3"/>
        <v>Year 2019</v>
      </c>
      <c r="C29" s="827"/>
      <c r="D29" s="851">
        <f t="shared" si="4"/>
        <v>-511278.52437436953</v>
      </c>
      <c r="E29" s="851"/>
      <c r="F29" s="852">
        <f t="shared" si="5"/>
        <v>4.1949999999999999E-3</v>
      </c>
      <c r="G29" s="1316">
        <f t="shared" si="0"/>
        <v>4</v>
      </c>
      <c r="H29" s="851">
        <f t="shared" si="1"/>
        <v>8579.2536390019213</v>
      </c>
      <c r="I29" s="851"/>
      <c r="J29" s="851"/>
      <c r="K29" s="851">
        <f t="shared" si="2"/>
        <v>519857.77801337146</v>
      </c>
    </row>
    <row r="30" spans="1:11" ht="15.75">
      <c r="A30" s="827" t="s">
        <v>562</v>
      </c>
      <c r="B30" s="827" t="str">
        <f t="shared" si="3"/>
        <v>Year 2019</v>
      </c>
      <c r="C30" s="827"/>
      <c r="D30" s="851">
        <f t="shared" si="4"/>
        <v>-511278.52437436953</v>
      </c>
      <c r="E30" s="851"/>
      <c r="F30" s="852">
        <f t="shared" si="5"/>
        <v>4.1949999999999999E-3</v>
      </c>
      <c r="G30" s="1316">
        <f t="shared" si="0"/>
        <v>3</v>
      </c>
      <c r="H30" s="851">
        <f t="shared" si="1"/>
        <v>6434.4402292514405</v>
      </c>
      <c r="I30" s="851"/>
      <c r="J30" s="851"/>
      <c r="K30" s="851">
        <f t="shared" si="2"/>
        <v>517712.96460362099</v>
      </c>
    </row>
    <row r="31" spans="1:11" ht="15.75">
      <c r="A31" s="827" t="s">
        <v>563</v>
      </c>
      <c r="B31" s="827" t="str">
        <f t="shared" si="3"/>
        <v>Year 2019</v>
      </c>
      <c r="C31" s="827"/>
      <c r="D31" s="851">
        <f t="shared" si="4"/>
        <v>-511278.52437436953</v>
      </c>
      <c r="E31" s="851"/>
      <c r="F31" s="852">
        <f t="shared" si="5"/>
        <v>4.1949999999999999E-3</v>
      </c>
      <c r="G31" s="1316">
        <f t="shared" si="0"/>
        <v>2</v>
      </c>
      <c r="H31" s="851">
        <f t="shared" si="1"/>
        <v>4289.6268195009607</v>
      </c>
      <c r="I31" s="851"/>
      <c r="J31" s="851"/>
      <c r="K31" s="851">
        <f t="shared" si="2"/>
        <v>515568.15119387046</v>
      </c>
    </row>
    <row r="32" spans="1:11" ht="15.75">
      <c r="A32" s="827" t="s">
        <v>192</v>
      </c>
      <c r="B32" s="827" t="str">
        <f t="shared" si="3"/>
        <v>Year 2019</v>
      </c>
      <c r="C32" s="827"/>
      <c r="D32" s="851">
        <f t="shared" si="4"/>
        <v>-511278.52437436953</v>
      </c>
      <c r="E32" s="851"/>
      <c r="F32" s="852">
        <f t="shared" si="5"/>
        <v>4.1949999999999999E-3</v>
      </c>
      <c r="G32" s="1316">
        <f t="shared" si="0"/>
        <v>1</v>
      </c>
      <c r="H32" s="854">
        <f t="shared" si="1"/>
        <v>2144.8134097504803</v>
      </c>
      <c r="I32" s="851"/>
      <c r="J32" s="851"/>
      <c r="K32" s="851">
        <f t="shared" si="2"/>
        <v>513423.33778412</v>
      </c>
    </row>
    <row r="33" spans="1:11" ht="15.75">
      <c r="A33" s="827"/>
      <c r="B33" s="827"/>
      <c r="C33" s="827"/>
      <c r="D33" s="851"/>
      <c r="E33" s="851"/>
      <c r="F33" s="852"/>
      <c r="G33" s="838"/>
      <c r="H33" s="851">
        <f>SUM(H21:H32)</f>
        <v>167295.44596053744</v>
      </c>
      <c r="I33" s="851"/>
      <c r="J33" s="851"/>
      <c r="K33" s="855">
        <f>SUM(K21:K32)</f>
        <v>6302637.7384529719</v>
      </c>
    </row>
    <row r="34" spans="1:11" ht="15.75">
      <c r="A34" s="827"/>
      <c r="B34" s="827"/>
      <c r="C34" s="827"/>
      <c r="D34" s="851"/>
      <c r="E34" s="851"/>
      <c r="F34" s="852"/>
      <c r="G34" s="838"/>
      <c r="H34" s="851"/>
      <c r="I34" s="851" t="s">
        <v>115</v>
      </c>
      <c r="J34" s="851"/>
      <c r="K34" s="545"/>
    </row>
    <row r="35" spans="1:11" ht="15.75">
      <c r="A35" s="827"/>
      <c r="B35" s="827"/>
      <c r="C35" s="827"/>
      <c r="D35" s="837"/>
      <c r="E35" s="837"/>
      <c r="F35" s="852"/>
      <c r="G35" s="838"/>
      <c r="H35" s="856" t="s">
        <v>564</v>
      </c>
      <c r="I35" s="851"/>
      <c r="J35" s="851"/>
      <c r="K35" s="851"/>
    </row>
    <row r="36" spans="1:11" ht="15.75">
      <c r="A36" s="827" t="s">
        <v>565</v>
      </c>
      <c r="B36" s="827" t="str">
        <f>"Year 2019"</f>
        <v>Year 2019</v>
      </c>
      <c r="C36" s="827"/>
      <c r="D36" s="837">
        <f>K33</f>
        <v>6302637.7384529719</v>
      </c>
      <c r="E36" s="837"/>
      <c r="F36" s="852">
        <f>+F32</f>
        <v>4.1949999999999999E-3</v>
      </c>
      <c r="G36" s="1316">
        <v>12</v>
      </c>
      <c r="H36" s="851">
        <f>+G36*F36*D36</f>
        <v>317274.78375372256</v>
      </c>
      <c r="I36" s="851"/>
      <c r="J36" s="851"/>
      <c r="K36" s="855">
        <f>+D36+H36</f>
        <v>6619912.5222066948</v>
      </c>
    </row>
    <row r="37" spans="1:11" ht="15.75">
      <c r="A37" s="827"/>
      <c r="B37" s="827"/>
      <c r="C37" s="827"/>
      <c r="D37" s="837"/>
      <c r="E37" s="837"/>
      <c r="F37" s="852"/>
      <c r="G37" s="827"/>
      <c r="H37" s="851"/>
      <c r="I37" s="851"/>
      <c r="J37" s="851"/>
      <c r="K37" s="851"/>
    </row>
    <row r="38" spans="1:11" ht="15.75">
      <c r="A38" s="857" t="s">
        <v>566</v>
      </c>
      <c r="B38" s="827"/>
      <c r="C38" s="827"/>
      <c r="D38" s="851"/>
      <c r="E38" s="851"/>
      <c r="F38" s="852"/>
      <c r="G38" s="827"/>
      <c r="H38" s="856" t="s">
        <v>560</v>
      </c>
      <c r="I38" s="851"/>
      <c r="J38" s="851"/>
      <c r="K38" s="851"/>
    </row>
    <row r="39" spans="1:11" ht="15.75">
      <c r="A39" s="827" t="s">
        <v>186</v>
      </c>
      <c r="B39" s="827" t="str">
        <f>"Year 2021"</f>
        <v>Year 2021</v>
      </c>
      <c r="C39" s="827"/>
      <c r="D39" s="837">
        <f>-K36</f>
        <v>-6619912.5222066948</v>
      </c>
      <c r="E39" s="837"/>
      <c r="F39" s="852">
        <f>+F32</f>
        <v>4.1949999999999999E-3</v>
      </c>
      <c r="G39" s="827"/>
      <c r="H39" s="851">
        <f xml:space="preserve"> -F39*D39</f>
        <v>27770.533030657083</v>
      </c>
      <c r="I39" s="851">
        <f>PMT(F39,12,K$36)</f>
        <v>-566817.19041644235</v>
      </c>
      <c r="J39" s="851"/>
      <c r="K39" s="851">
        <f>(+D39+D39*F39-I39)*-1</f>
        <v>6080865.8648209097</v>
      </c>
    </row>
    <row r="40" spans="1:11" ht="15.75">
      <c r="A40" s="827" t="s">
        <v>561</v>
      </c>
      <c r="B40" s="827" t="str">
        <f>+B39</f>
        <v>Year 2021</v>
      </c>
      <c r="C40" s="827"/>
      <c r="D40" s="837">
        <f>-K39</f>
        <v>-6080865.8648209097</v>
      </c>
      <c r="E40" s="837"/>
      <c r="F40" s="852">
        <f>+F39</f>
        <v>4.1949999999999999E-3</v>
      </c>
      <c r="G40" s="827"/>
      <c r="H40" s="851">
        <f xml:space="preserve"> -F40*D40</f>
        <v>25509.232302923716</v>
      </c>
      <c r="I40" s="851">
        <f>I39</f>
        <v>-566817.19041644235</v>
      </c>
      <c r="J40" s="851"/>
      <c r="K40" s="851">
        <f t="shared" ref="K40:K50" si="6">(+D40+D40*F40-I40)*-1</f>
        <v>5539557.9067073911</v>
      </c>
    </row>
    <row r="41" spans="1:11" ht="15.75">
      <c r="A41" s="827" t="s">
        <v>187</v>
      </c>
      <c r="B41" s="827" t="str">
        <f>+B40</f>
        <v>Year 2021</v>
      </c>
      <c r="C41" s="827"/>
      <c r="D41" s="837">
        <f t="shared" ref="D41:D50" si="7">-K40</f>
        <v>-5539557.9067073911</v>
      </c>
      <c r="E41" s="837"/>
      <c r="F41" s="852">
        <f t="shared" ref="F41:F50" si="8">+F40</f>
        <v>4.1949999999999999E-3</v>
      </c>
      <c r="G41" s="827"/>
      <c r="H41" s="851">
        <f t="shared" ref="H41:H50" si="9" xml:space="preserve"> -F41*D41</f>
        <v>23238.445418637504</v>
      </c>
      <c r="I41" s="851">
        <f t="shared" ref="I41:I50" si="10">I40</f>
        <v>-566817.19041644235</v>
      </c>
      <c r="J41" s="851"/>
      <c r="K41" s="851">
        <f t="shared" si="6"/>
        <v>4995979.1617095862</v>
      </c>
    </row>
    <row r="42" spans="1:11" ht="15.75">
      <c r="A42" s="827" t="s">
        <v>188</v>
      </c>
      <c r="B42" s="827" t="str">
        <f>+B41</f>
        <v>Year 2021</v>
      </c>
      <c r="C42" s="827"/>
      <c r="D42" s="837">
        <f t="shared" si="7"/>
        <v>-4995979.1617095862</v>
      </c>
      <c r="E42" s="837"/>
      <c r="F42" s="852">
        <f t="shared" si="8"/>
        <v>4.1949999999999999E-3</v>
      </c>
      <c r="G42" s="827"/>
      <c r="H42" s="851">
        <f t="shared" si="9"/>
        <v>20958.132583371713</v>
      </c>
      <c r="I42" s="851">
        <f t="shared" si="10"/>
        <v>-566817.19041644235</v>
      </c>
      <c r="J42" s="851"/>
      <c r="K42" s="851">
        <f t="shared" si="6"/>
        <v>4450120.1038765153</v>
      </c>
    </row>
    <row r="43" spans="1:11" ht="15.75">
      <c r="A43" s="827" t="s">
        <v>189</v>
      </c>
      <c r="B43" s="827" t="str">
        <f>+B42</f>
        <v>Year 2021</v>
      </c>
      <c r="C43" s="827"/>
      <c r="D43" s="837">
        <f t="shared" si="7"/>
        <v>-4450120.1038765153</v>
      </c>
      <c r="E43" s="837"/>
      <c r="F43" s="852">
        <f t="shared" si="8"/>
        <v>4.1949999999999999E-3</v>
      </c>
      <c r="G43" s="827"/>
      <c r="H43" s="851">
        <f t="shared" si="9"/>
        <v>18668.253835761981</v>
      </c>
      <c r="I43" s="851">
        <f>I42</f>
        <v>-566817.19041644235</v>
      </c>
      <c r="J43" s="851"/>
      <c r="K43" s="851">
        <f t="shared" si="6"/>
        <v>3901971.167295835</v>
      </c>
    </row>
    <row r="44" spans="1:11" ht="15.75">
      <c r="A44" s="827" t="s">
        <v>383</v>
      </c>
      <c r="B44" s="827" t="str">
        <f>B43</f>
        <v>Year 2021</v>
      </c>
      <c r="C44" s="545"/>
      <c r="D44" s="837">
        <f t="shared" si="7"/>
        <v>-3901971.167295835</v>
      </c>
      <c r="E44" s="837"/>
      <c r="F44" s="852">
        <f t="shared" si="8"/>
        <v>4.1949999999999999E-3</v>
      </c>
      <c r="G44" s="827"/>
      <c r="H44" s="851">
        <f t="shared" si="9"/>
        <v>16368.769046806028</v>
      </c>
      <c r="I44" s="851">
        <f t="shared" si="10"/>
        <v>-566817.19041644235</v>
      </c>
      <c r="J44" s="851"/>
      <c r="K44" s="851">
        <f t="shared" si="6"/>
        <v>3351522.7459261985</v>
      </c>
    </row>
    <row r="45" spans="1:11" ht="15.75">
      <c r="A45" s="827" t="s">
        <v>190</v>
      </c>
      <c r="B45" s="827" t="str">
        <f t="shared" ref="B45:B50" si="11">+B44</f>
        <v>Year 2021</v>
      </c>
      <c r="C45" s="827"/>
      <c r="D45" s="837">
        <f t="shared" si="7"/>
        <v>-3351522.7459261985</v>
      </c>
      <c r="E45" s="837"/>
      <c r="F45" s="852">
        <f t="shared" si="8"/>
        <v>4.1949999999999999E-3</v>
      </c>
      <c r="G45" s="827"/>
      <c r="H45" s="851">
        <f t="shared" si="9"/>
        <v>14059.637919160403</v>
      </c>
      <c r="I45" s="851">
        <f t="shared" si="10"/>
        <v>-566817.19041644235</v>
      </c>
      <c r="J45" s="851"/>
      <c r="K45" s="851">
        <f t="shared" si="6"/>
        <v>2798765.1934289169</v>
      </c>
    </row>
    <row r="46" spans="1:11" ht="15.75">
      <c r="A46" s="827" t="s">
        <v>191</v>
      </c>
      <c r="B46" s="827" t="str">
        <f t="shared" si="11"/>
        <v>Year 2021</v>
      </c>
      <c r="C46" s="827"/>
      <c r="D46" s="837">
        <f t="shared" si="7"/>
        <v>-2798765.1934289169</v>
      </c>
      <c r="E46" s="837"/>
      <c r="F46" s="852">
        <f t="shared" si="8"/>
        <v>4.1949999999999999E-3</v>
      </c>
      <c r="G46" s="827"/>
      <c r="H46" s="851">
        <f t="shared" si="9"/>
        <v>11740.819986434306</v>
      </c>
      <c r="I46" s="851">
        <f t="shared" si="10"/>
        <v>-566817.19041644235</v>
      </c>
      <c r="J46" s="851"/>
      <c r="K46" s="851">
        <f t="shared" si="6"/>
        <v>2243688.8229989088</v>
      </c>
    </row>
    <row r="47" spans="1:11" ht="15.75">
      <c r="A47" s="827" t="s">
        <v>193</v>
      </c>
      <c r="B47" s="827" t="str">
        <f t="shared" si="11"/>
        <v>Year 2021</v>
      </c>
      <c r="C47" s="827"/>
      <c r="D47" s="837">
        <f t="shared" si="7"/>
        <v>-2243688.8229989088</v>
      </c>
      <c r="E47" s="837"/>
      <c r="F47" s="852">
        <f t="shared" si="8"/>
        <v>4.1949999999999999E-3</v>
      </c>
      <c r="G47" s="827"/>
      <c r="H47" s="851">
        <f t="shared" si="9"/>
        <v>9412.2746124804216</v>
      </c>
      <c r="I47" s="851">
        <f>I46</f>
        <v>-566817.19041644235</v>
      </c>
      <c r="J47" s="851"/>
      <c r="K47" s="851">
        <f t="shared" si="6"/>
        <v>1686283.9071949469</v>
      </c>
    </row>
    <row r="48" spans="1:11" ht="15.75">
      <c r="A48" s="827" t="s">
        <v>562</v>
      </c>
      <c r="B48" s="827" t="str">
        <f t="shared" si="11"/>
        <v>Year 2021</v>
      </c>
      <c r="C48" s="827"/>
      <c r="D48" s="837">
        <f t="shared" si="7"/>
        <v>-1686283.9071949469</v>
      </c>
      <c r="E48" s="837"/>
      <c r="F48" s="852">
        <f t="shared" si="8"/>
        <v>4.1949999999999999E-3</v>
      </c>
      <c r="G48" s="827"/>
      <c r="H48" s="851">
        <f t="shared" si="9"/>
        <v>7073.9609906828018</v>
      </c>
      <c r="I48" s="851">
        <f t="shared" si="10"/>
        <v>-566817.19041644235</v>
      </c>
      <c r="J48" s="851"/>
      <c r="K48" s="851">
        <f t="shared" si="6"/>
        <v>1126540.6777691874</v>
      </c>
    </row>
    <row r="49" spans="1:11" ht="15.75">
      <c r="A49" s="827" t="s">
        <v>563</v>
      </c>
      <c r="B49" s="827" t="str">
        <f t="shared" si="11"/>
        <v>Year 2021</v>
      </c>
      <c r="C49" s="827"/>
      <c r="D49" s="837">
        <f t="shared" si="7"/>
        <v>-1126540.6777691874</v>
      </c>
      <c r="E49" s="837"/>
      <c r="F49" s="852">
        <f t="shared" si="8"/>
        <v>4.1949999999999999E-3</v>
      </c>
      <c r="G49" s="827"/>
      <c r="H49" s="851">
        <f t="shared" si="9"/>
        <v>4725.8381432417409</v>
      </c>
      <c r="I49" s="851">
        <f t="shared" si="10"/>
        <v>-566817.19041644235</v>
      </c>
      <c r="J49" s="851"/>
      <c r="K49" s="851">
        <f t="shared" si="6"/>
        <v>564449.32549598685</v>
      </c>
    </row>
    <row r="50" spans="1:11" ht="15.75">
      <c r="A50" s="827" t="s">
        <v>192</v>
      </c>
      <c r="B50" s="827" t="str">
        <f t="shared" si="11"/>
        <v>Year 2021</v>
      </c>
      <c r="C50" s="827"/>
      <c r="D50" s="837">
        <f t="shared" si="7"/>
        <v>-564449.32549598685</v>
      </c>
      <c r="E50" s="837"/>
      <c r="F50" s="852">
        <f t="shared" si="8"/>
        <v>4.1949999999999999E-3</v>
      </c>
      <c r="G50" s="827"/>
      <c r="H50" s="854">
        <f t="shared" si="9"/>
        <v>2367.864920455665</v>
      </c>
      <c r="I50" s="851">
        <f t="shared" si="10"/>
        <v>-566817.19041644235</v>
      </c>
      <c r="J50" s="851"/>
      <c r="K50" s="851">
        <f t="shared" si="6"/>
        <v>1.1641532182693481E-10</v>
      </c>
    </row>
    <row r="51" spans="1:11" ht="15.75">
      <c r="A51" s="827"/>
      <c r="B51" s="827"/>
      <c r="C51" s="827"/>
      <c r="D51" s="837"/>
      <c r="E51" s="837"/>
      <c r="F51" s="852"/>
      <c r="G51" s="827"/>
      <c r="H51" s="851">
        <f>SUM(H39:H50)</f>
        <v>181893.76279061334</v>
      </c>
      <c r="I51" s="851"/>
      <c r="J51" s="851"/>
      <c r="K51" s="851"/>
    </row>
    <row r="52" spans="1:11" ht="15">
      <c r="A52" s="545"/>
      <c r="B52" s="545"/>
      <c r="C52" s="545"/>
      <c r="D52" s="545"/>
      <c r="E52" s="545"/>
      <c r="F52" s="545"/>
      <c r="G52" s="545"/>
      <c r="H52" s="545"/>
      <c r="I52" s="859"/>
      <c r="J52" s="545"/>
      <c r="K52" s="545"/>
    </row>
    <row r="53" spans="1:11" ht="15.75">
      <c r="A53" s="827" t="s">
        <v>571</v>
      </c>
      <c r="B53" s="545"/>
      <c r="C53" s="545"/>
      <c r="D53" s="545"/>
      <c r="E53" s="545"/>
      <c r="F53" s="545"/>
      <c r="G53" s="545"/>
      <c r="H53" s="545"/>
      <c r="I53" s="860">
        <f>(SUM(I39:I50)*-1)</f>
        <v>6801806.2849973077</v>
      </c>
      <c r="J53" s="545"/>
      <c r="K53" s="545"/>
    </row>
    <row r="54" spans="1:11" ht="15.75">
      <c r="A54" s="827" t="s">
        <v>567</v>
      </c>
      <c r="B54" s="545"/>
      <c r="C54" s="545"/>
      <c r="D54" s="545"/>
      <c r="E54" s="545"/>
      <c r="F54" s="545"/>
      <c r="G54" s="545"/>
      <c r="H54" s="545"/>
      <c r="I54" s="861">
        <f>+H10</f>
        <v>-6135342.2924924344</v>
      </c>
      <c r="J54" s="545"/>
      <c r="K54" s="545"/>
    </row>
    <row r="55" spans="1:11" ht="15.75">
      <c r="A55" s="827" t="s">
        <v>568</v>
      </c>
      <c r="B55" s="545"/>
      <c r="C55" s="545"/>
      <c r="D55" s="545"/>
      <c r="E55" s="545"/>
      <c r="F55" s="545"/>
      <c r="G55" s="545"/>
      <c r="H55" s="545"/>
      <c r="I55" s="860">
        <f>(I53+I54)</f>
        <v>666463.99250487331</v>
      </c>
      <c r="J55" s="545"/>
      <c r="K55" s="545"/>
    </row>
    <row r="56" spans="1:11">
      <c r="A56" s="439"/>
      <c r="B56" s="439"/>
      <c r="C56" s="439"/>
      <c r="D56" s="439"/>
      <c r="E56" s="439"/>
      <c r="F56" s="439"/>
      <c r="G56" s="439"/>
      <c r="H56" s="439"/>
      <c r="I56" s="439"/>
      <c r="J56" s="439"/>
      <c r="K56" s="439"/>
    </row>
    <row r="57" spans="1:11" ht="60.6" customHeight="1">
      <c r="A57" s="1567" t="s">
        <v>572</v>
      </c>
      <c r="B57" s="1567"/>
      <c r="C57" s="1567"/>
      <c r="D57" s="1567"/>
      <c r="E57" s="862"/>
      <c r="F57" s="862"/>
      <c r="G57" s="862"/>
      <c r="H57" s="862"/>
      <c r="I57" s="862"/>
      <c r="J57" s="862"/>
      <c r="K57" s="862"/>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B40" sqref="B40"/>
    </sheetView>
  </sheetViews>
  <sheetFormatPr defaultRowHeight="12.75"/>
  <cols>
    <col min="1" max="1" width="24" customWidth="1"/>
    <col min="4" max="4" width="25.28515625" customWidth="1"/>
    <col min="6" max="6" width="19.140625" bestFit="1" customWidth="1"/>
    <col min="8" max="8" width="17.7109375" customWidth="1"/>
    <col min="9" max="9" width="14" customWidth="1"/>
    <col min="11" max="11" width="14.28515625" customWidth="1"/>
  </cols>
  <sheetData>
    <row r="1" spans="1:11" ht="15.75">
      <c r="A1" s="1565" t="s">
        <v>388</v>
      </c>
      <c r="B1" s="1565"/>
      <c r="C1" s="1565"/>
      <c r="D1" s="1565"/>
      <c r="E1" s="1565"/>
      <c r="F1" s="1565"/>
      <c r="G1" s="1565"/>
      <c r="H1" s="1565"/>
      <c r="I1" s="1565"/>
      <c r="J1" s="1565"/>
      <c r="K1" s="1565"/>
    </row>
    <row r="2" spans="1:11" ht="15.75">
      <c r="A2" s="1566" t="s">
        <v>569</v>
      </c>
      <c r="B2" s="1566"/>
      <c r="C2" s="1566"/>
      <c r="D2" s="1566"/>
      <c r="E2" s="1566"/>
      <c r="F2" s="1566"/>
      <c r="G2" s="1566"/>
      <c r="H2" s="1566"/>
      <c r="I2" s="1566"/>
      <c r="J2" s="1566"/>
      <c r="K2" s="1566"/>
    </row>
    <row r="3" spans="1:11" ht="15.75">
      <c r="A3" s="1566" t="s">
        <v>570</v>
      </c>
      <c r="B3" s="1566"/>
      <c r="C3" s="1566"/>
      <c r="D3" s="1566"/>
      <c r="E3" s="1566"/>
      <c r="F3" s="1566"/>
      <c r="G3" s="1566"/>
      <c r="H3" s="1566"/>
      <c r="I3" s="1566"/>
      <c r="J3" s="1566"/>
      <c r="K3" s="1566"/>
    </row>
    <row r="4" spans="1:11" ht="15.75">
      <c r="A4" s="545"/>
      <c r="B4" s="545"/>
      <c r="C4" s="545"/>
      <c r="D4" s="1566"/>
      <c r="E4" s="1566"/>
      <c r="F4" s="1566"/>
      <c r="G4" s="1566"/>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6"/>
      <c r="B7" s="827"/>
      <c r="C7" s="827"/>
      <c r="D7" s="827"/>
      <c r="E7" s="827"/>
      <c r="F7" s="827"/>
      <c r="G7" s="827"/>
      <c r="H7" s="827"/>
      <c r="I7" s="827"/>
      <c r="J7" s="827"/>
      <c r="K7" s="827"/>
    </row>
    <row r="8" spans="1:11" ht="63">
      <c r="A8" s="828" t="str">
        <f>"Reconciliation Revenue Requirement For Year 2019 Available May 25, 2020"</f>
        <v>Reconciliation Revenue Requirement For Year 2019 Available May 25, 2020</v>
      </c>
      <c r="B8" s="827"/>
      <c r="C8" s="827"/>
      <c r="D8" s="828" t="s">
        <v>1111</v>
      </c>
      <c r="E8" s="827"/>
      <c r="F8" s="827"/>
      <c r="G8" s="545"/>
      <c r="H8" s="828" t="s">
        <v>550</v>
      </c>
      <c r="I8" s="545"/>
      <c r="J8" s="545"/>
      <c r="K8" s="545"/>
    </row>
    <row r="9" spans="1:11" ht="15.75">
      <c r="A9" s="829" t="s">
        <v>115</v>
      </c>
      <c r="B9" s="827"/>
      <c r="C9" s="827"/>
      <c r="D9" s="829"/>
      <c r="E9" s="827"/>
      <c r="F9" s="827"/>
      <c r="G9" s="545"/>
      <c r="H9" s="830"/>
      <c r="I9" s="545"/>
      <c r="J9" s="545"/>
      <c r="K9" s="545"/>
    </row>
    <row r="10" spans="1:11" ht="16.5" thickBot="1">
      <c r="A10" s="915">
        <v>5686028.9302719319</v>
      </c>
      <c r="B10" s="831" t="str">
        <f>"-"</f>
        <v>-</v>
      </c>
      <c r="C10" s="832"/>
      <c r="D10" s="915">
        <v>5249720.788200831</v>
      </c>
      <c r="E10" s="833"/>
      <c r="F10" s="834" t="str">
        <f>"="</f>
        <v>=</v>
      </c>
      <c r="G10" s="835"/>
      <c r="H10" s="836">
        <f>IF(A10=0,0,D10-A10)</f>
        <v>-436308.14207110088</v>
      </c>
      <c r="I10" s="545"/>
      <c r="J10" s="545"/>
      <c r="K10" s="545"/>
    </row>
    <row r="11" spans="1:11" ht="15.75">
      <c r="A11" s="837"/>
      <c r="B11" s="838"/>
      <c r="C11" s="838"/>
      <c r="D11" s="837"/>
      <c r="E11" s="837"/>
      <c r="F11" s="838"/>
      <c r="G11" s="837"/>
      <c r="H11" s="545"/>
      <c r="I11" s="545"/>
      <c r="J11" s="545"/>
      <c r="K11" s="545"/>
    </row>
    <row r="12" spans="1:11" ht="16.5" thickBot="1">
      <c r="A12" s="839"/>
      <c r="B12" s="840"/>
      <c r="C12" s="840"/>
      <c r="D12" s="839"/>
      <c r="E12" s="839"/>
      <c r="F12" s="840"/>
      <c r="G12" s="839"/>
      <c r="H12" s="841"/>
      <c r="I12" s="841"/>
      <c r="J12" s="841"/>
      <c r="K12" s="841"/>
    </row>
    <row r="13" spans="1:11" ht="15.75">
      <c r="A13" s="842"/>
      <c r="B13" s="838"/>
      <c r="C13" s="838"/>
      <c r="D13" s="837"/>
      <c r="E13" s="837"/>
      <c r="F13" s="838"/>
      <c r="G13" s="837"/>
      <c r="H13" s="545"/>
      <c r="I13" s="545"/>
      <c r="J13" s="545"/>
      <c r="K13" s="545"/>
    </row>
    <row r="14" spans="1:11" ht="31.5">
      <c r="A14" s="843" t="s">
        <v>551</v>
      </c>
      <c r="B14" s="838"/>
      <c r="C14" s="838"/>
      <c r="D14" s="844" t="s">
        <v>552</v>
      </c>
      <c r="E14" s="837"/>
      <c r="F14" s="844" t="s">
        <v>553</v>
      </c>
      <c r="G14" s="845" t="s">
        <v>554</v>
      </c>
      <c r="H14" s="846" t="s">
        <v>555</v>
      </c>
      <c r="I14" s="844" t="s">
        <v>556</v>
      </c>
      <c r="J14" s="847"/>
      <c r="K14" s="844" t="s">
        <v>557</v>
      </c>
    </row>
    <row r="15" spans="1:11" ht="15.75">
      <c r="A15" s="843" t="s">
        <v>558</v>
      </c>
      <c r="B15" s="838"/>
      <c r="C15" s="838"/>
      <c r="D15" s="545"/>
      <c r="E15" s="848"/>
      <c r="F15" s="1315">
        <f>'WSQ NSPL'!F15</f>
        <v>4.1949999999999999E-3</v>
      </c>
      <c r="G15" s="357"/>
      <c r="H15" s="545"/>
      <c r="I15" s="545"/>
      <c r="J15" s="545"/>
      <c r="K15" s="545"/>
    </row>
    <row r="16" spans="1:11" ht="15.75">
      <c r="A16" s="843"/>
      <c r="B16" s="838"/>
      <c r="C16" s="838"/>
      <c r="D16" s="545"/>
      <c r="E16" s="848"/>
      <c r="F16" s="848"/>
      <c r="G16" s="837"/>
      <c r="H16" s="545"/>
      <c r="I16" s="545"/>
      <c r="J16" s="545"/>
      <c r="K16" s="545"/>
    </row>
    <row r="17" spans="1:11" ht="15.75">
      <c r="A17" s="843" t="s">
        <v>1002</v>
      </c>
      <c r="B17" s="838"/>
      <c r="C17" s="838"/>
      <c r="D17" s="545"/>
      <c r="E17" s="848"/>
      <c r="F17" s="848"/>
      <c r="G17" s="837"/>
      <c r="H17" s="545"/>
      <c r="I17" s="545"/>
      <c r="J17" s="545"/>
      <c r="K17" s="545"/>
    </row>
    <row r="18" spans="1:11" ht="15.75">
      <c r="A18" s="849" t="s">
        <v>115</v>
      </c>
      <c r="B18" s="838"/>
      <c r="C18" s="838"/>
      <c r="D18" s="838"/>
      <c r="E18" s="838"/>
      <c r="F18" s="838" t="s">
        <v>115</v>
      </c>
      <c r="G18" s="545"/>
      <c r="H18" s="545"/>
      <c r="I18" s="545"/>
      <c r="J18" s="545"/>
      <c r="K18" s="545"/>
    </row>
    <row r="19" spans="1:11" ht="15.75">
      <c r="A19" s="850"/>
      <c r="B19" s="838"/>
      <c r="C19" s="838"/>
      <c r="D19" s="838"/>
      <c r="E19" s="838"/>
      <c r="F19" s="545"/>
      <c r="G19" s="545"/>
      <c r="H19" s="845"/>
      <c r="I19" s="838"/>
      <c r="J19" s="838"/>
      <c r="K19" s="838"/>
    </row>
    <row r="20" spans="1:11" ht="15.75">
      <c r="A20" s="850" t="s">
        <v>559</v>
      </c>
      <c r="B20" s="838"/>
      <c r="C20" s="838"/>
      <c r="D20" s="838"/>
      <c r="E20" s="838"/>
      <c r="F20" s="545"/>
      <c r="G20" s="545"/>
      <c r="H20" s="845" t="s">
        <v>560</v>
      </c>
      <c r="I20" s="838"/>
      <c r="J20" s="838"/>
      <c r="K20" s="838"/>
    </row>
    <row r="21" spans="1:11" ht="15.75">
      <c r="A21" s="827" t="s">
        <v>186</v>
      </c>
      <c r="B21" s="827" t="str">
        <f>"Year 2019"</f>
        <v>Year 2019</v>
      </c>
      <c r="C21" s="827"/>
      <c r="D21" s="851">
        <f>H10/12</f>
        <v>-36359.011839258405</v>
      </c>
      <c r="E21" s="851"/>
      <c r="F21" s="852">
        <f>+F15</f>
        <v>4.1949999999999999E-3</v>
      </c>
      <c r="G21" s="1316">
        <v>12</v>
      </c>
      <c r="H21" s="851">
        <f>F21*D21*G21*-1</f>
        <v>1830.312655988268</v>
      </c>
      <c r="I21" s="851"/>
      <c r="J21" s="851"/>
      <c r="K21" s="851">
        <f>(-H21+D21)*-1</f>
        <v>38189.32449524667</v>
      </c>
    </row>
    <row r="22" spans="1:11" ht="15.75">
      <c r="A22" s="827" t="s">
        <v>561</v>
      </c>
      <c r="B22" s="827" t="str">
        <f>B21</f>
        <v>Year 2019</v>
      </c>
      <c r="C22" s="827"/>
      <c r="D22" s="851">
        <f>+D21</f>
        <v>-36359.011839258405</v>
      </c>
      <c r="E22" s="851"/>
      <c r="F22" s="852">
        <f>+F21</f>
        <v>4.1949999999999999E-3</v>
      </c>
      <c r="G22" s="1316">
        <f t="shared" ref="G22:G32" si="0">+G21-1</f>
        <v>11</v>
      </c>
      <c r="H22" s="851">
        <f t="shared" ref="H22:H32" si="1">F22*D22*G22*-1</f>
        <v>1677.7866013225789</v>
      </c>
      <c r="I22" s="851"/>
      <c r="J22" s="851"/>
      <c r="K22" s="851">
        <f t="shared" ref="K22:K32" si="2">(-H22+D22)*-1</f>
        <v>38036.798440580984</v>
      </c>
    </row>
    <row r="23" spans="1:11" ht="15.75">
      <c r="A23" s="827" t="s">
        <v>187</v>
      </c>
      <c r="B23" s="827" t="str">
        <f t="shared" ref="B23:B32" si="3">B22</f>
        <v>Year 2019</v>
      </c>
      <c r="C23" s="827"/>
      <c r="D23" s="851">
        <f t="shared" ref="D23:D32" si="4">+D22</f>
        <v>-36359.011839258405</v>
      </c>
      <c r="E23" s="851"/>
      <c r="F23" s="852">
        <f t="shared" ref="F23:F32" si="5">+F22</f>
        <v>4.1949999999999999E-3</v>
      </c>
      <c r="G23" s="1316">
        <f t="shared" si="0"/>
        <v>10</v>
      </c>
      <c r="H23" s="851">
        <f t="shared" si="1"/>
        <v>1525.26054665689</v>
      </c>
      <c r="I23" s="851"/>
      <c r="J23" s="851"/>
      <c r="K23" s="851">
        <f t="shared" si="2"/>
        <v>37884.272385915297</v>
      </c>
    </row>
    <row r="24" spans="1:11" ht="15.75">
      <c r="A24" s="827" t="s">
        <v>188</v>
      </c>
      <c r="B24" s="827" t="str">
        <f t="shared" si="3"/>
        <v>Year 2019</v>
      </c>
      <c r="C24" s="827"/>
      <c r="D24" s="851">
        <f t="shared" si="4"/>
        <v>-36359.011839258405</v>
      </c>
      <c r="E24" s="851"/>
      <c r="F24" s="852">
        <f t="shared" si="5"/>
        <v>4.1949999999999999E-3</v>
      </c>
      <c r="G24" s="1316">
        <f t="shared" si="0"/>
        <v>9</v>
      </c>
      <c r="H24" s="851">
        <f t="shared" si="1"/>
        <v>1372.7344919912011</v>
      </c>
      <c r="I24" s="851"/>
      <c r="J24" s="851"/>
      <c r="K24" s="851">
        <f t="shared" si="2"/>
        <v>37731.746331249604</v>
      </c>
    </row>
    <row r="25" spans="1:11" ht="15.75">
      <c r="A25" s="827" t="s">
        <v>189</v>
      </c>
      <c r="B25" s="827" t="str">
        <f t="shared" si="3"/>
        <v>Year 2019</v>
      </c>
      <c r="C25" s="827"/>
      <c r="D25" s="851">
        <f t="shared" si="4"/>
        <v>-36359.011839258405</v>
      </c>
      <c r="E25" s="851"/>
      <c r="F25" s="852">
        <f t="shared" si="5"/>
        <v>4.1949999999999999E-3</v>
      </c>
      <c r="G25" s="1316">
        <f t="shared" si="0"/>
        <v>8</v>
      </c>
      <c r="H25" s="851">
        <f t="shared" si="1"/>
        <v>1220.208437325512</v>
      </c>
      <c r="I25" s="851"/>
      <c r="J25" s="851"/>
      <c r="K25" s="851">
        <f t="shared" si="2"/>
        <v>37579.220276583917</v>
      </c>
    </row>
    <row r="26" spans="1:11" ht="15.75">
      <c r="A26" s="827" t="s">
        <v>383</v>
      </c>
      <c r="B26" s="827" t="str">
        <f t="shared" si="3"/>
        <v>Year 2019</v>
      </c>
      <c r="C26" s="827"/>
      <c r="D26" s="851">
        <f t="shared" si="4"/>
        <v>-36359.011839258405</v>
      </c>
      <c r="E26" s="851"/>
      <c r="F26" s="852">
        <f t="shared" si="5"/>
        <v>4.1949999999999999E-3</v>
      </c>
      <c r="G26" s="1316">
        <f t="shared" si="0"/>
        <v>7</v>
      </c>
      <c r="H26" s="851">
        <f t="shared" si="1"/>
        <v>1067.6823826598229</v>
      </c>
      <c r="I26" s="851"/>
      <c r="J26" s="851"/>
      <c r="K26" s="851">
        <f t="shared" si="2"/>
        <v>37426.694221918224</v>
      </c>
    </row>
    <row r="27" spans="1:11" ht="15.75">
      <c r="A27" s="827" t="s">
        <v>190</v>
      </c>
      <c r="B27" s="827" t="str">
        <f t="shared" si="3"/>
        <v>Year 2019</v>
      </c>
      <c r="C27" s="827"/>
      <c r="D27" s="851">
        <f t="shared" si="4"/>
        <v>-36359.011839258405</v>
      </c>
      <c r="E27" s="851"/>
      <c r="F27" s="852">
        <f t="shared" si="5"/>
        <v>4.1949999999999999E-3</v>
      </c>
      <c r="G27" s="1316">
        <f t="shared" si="0"/>
        <v>6</v>
      </c>
      <c r="H27" s="851">
        <f t="shared" si="1"/>
        <v>915.15632799413402</v>
      </c>
      <c r="I27" s="851"/>
      <c r="J27" s="851"/>
      <c r="K27" s="851">
        <f t="shared" si="2"/>
        <v>37274.168167252537</v>
      </c>
    </row>
    <row r="28" spans="1:11" ht="15.75">
      <c r="A28" s="827" t="s">
        <v>191</v>
      </c>
      <c r="B28" s="827" t="str">
        <f t="shared" si="3"/>
        <v>Year 2019</v>
      </c>
      <c r="C28" s="827"/>
      <c r="D28" s="851">
        <f t="shared" si="4"/>
        <v>-36359.011839258405</v>
      </c>
      <c r="E28" s="851"/>
      <c r="F28" s="852">
        <f t="shared" si="5"/>
        <v>4.1949999999999999E-3</v>
      </c>
      <c r="G28" s="1316">
        <f t="shared" si="0"/>
        <v>5</v>
      </c>
      <c r="H28" s="851">
        <f t="shared" si="1"/>
        <v>762.63027332844501</v>
      </c>
      <c r="I28" s="851"/>
      <c r="J28" s="851"/>
      <c r="K28" s="851">
        <f t="shared" si="2"/>
        <v>37121.642112586851</v>
      </c>
    </row>
    <row r="29" spans="1:11" ht="15.75">
      <c r="A29" s="827" t="s">
        <v>193</v>
      </c>
      <c r="B29" s="827" t="str">
        <f t="shared" si="3"/>
        <v>Year 2019</v>
      </c>
      <c r="C29" s="827"/>
      <c r="D29" s="851">
        <f t="shared" si="4"/>
        <v>-36359.011839258405</v>
      </c>
      <c r="E29" s="851"/>
      <c r="F29" s="852">
        <f t="shared" si="5"/>
        <v>4.1949999999999999E-3</v>
      </c>
      <c r="G29" s="1316">
        <f t="shared" si="0"/>
        <v>4</v>
      </c>
      <c r="H29" s="851">
        <f t="shared" si="1"/>
        <v>610.10421866275601</v>
      </c>
      <c r="I29" s="851"/>
      <c r="J29" s="851"/>
      <c r="K29" s="851">
        <f t="shared" si="2"/>
        <v>36969.116057921157</v>
      </c>
    </row>
    <row r="30" spans="1:11" ht="15.75">
      <c r="A30" s="827" t="s">
        <v>562</v>
      </c>
      <c r="B30" s="827" t="str">
        <f t="shared" si="3"/>
        <v>Year 2019</v>
      </c>
      <c r="C30" s="827"/>
      <c r="D30" s="851">
        <f t="shared" si="4"/>
        <v>-36359.011839258405</v>
      </c>
      <c r="E30" s="851"/>
      <c r="F30" s="852">
        <f t="shared" si="5"/>
        <v>4.1949999999999999E-3</v>
      </c>
      <c r="G30" s="1316">
        <f t="shared" si="0"/>
        <v>3</v>
      </c>
      <c r="H30" s="851">
        <f t="shared" si="1"/>
        <v>457.57816399706701</v>
      </c>
      <c r="I30" s="851"/>
      <c r="J30" s="851"/>
      <c r="K30" s="851">
        <f t="shared" si="2"/>
        <v>36816.590003255471</v>
      </c>
    </row>
    <row r="31" spans="1:11" ht="15.75">
      <c r="A31" s="827" t="s">
        <v>563</v>
      </c>
      <c r="B31" s="827" t="str">
        <f t="shared" si="3"/>
        <v>Year 2019</v>
      </c>
      <c r="C31" s="827"/>
      <c r="D31" s="851">
        <f t="shared" si="4"/>
        <v>-36359.011839258405</v>
      </c>
      <c r="E31" s="851"/>
      <c r="F31" s="852">
        <f t="shared" si="5"/>
        <v>4.1949999999999999E-3</v>
      </c>
      <c r="G31" s="1316">
        <f t="shared" si="0"/>
        <v>2</v>
      </c>
      <c r="H31" s="851">
        <f t="shared" si="1"/>
        <v>305.05210933137801</v>
      </c>
      <c r="I31" s="851"/>
      <c r="J31" s="851"/>
      <c r="K31" s="851">
        <f t="shared" si="2"/>
        <v>36664.063948589785</v>
      </c>
    </row>
    <row r="32" spans="1:11" ht="15.75">
      <c r="A32" s="827" t="s">
        <v>192</v>
      </c>
      <c r="B32" s="827" t="str">
        <f t="shared" si="3"/>
        <v>Year 2019</v>
      </c>
      <c r="C32" s="827"/>
      <c r="D32" s="851">
        <f t="shared" si="4"/>
        <v>-36359.011839258405</v>
      </c>
      <c r="E32" s="851"/>
      <c r="F32" s="852">
        <f t="shared" si="5"/>
        <v>4.1949999999999999E-3</v>
      </c>
      <c r="G32" s="1316">
        <f t="shared" si="0"/>
        <v>1</v>
      </c>
      <c r="H32" s="854">
        <f t="shared" si="1"/>
        <v>152.526054665689</v>
      </c>
      <c r="I32" s="851"/>
      <c r="J32" s="851"/>
      <c r="K32" s="851">
        <f t="shared" si="2"/>
        <v>36511.537893924091</v>
      </c>
    </row>
    <row r="33" spans="1:11" ht="15.75">
      <c r="A33" s="827"/>
      <c r="B33" s="827"/>
      <c r="C33" s="827"/>
      <c r="D33" s="851"/>
      <c r="E33" s="851"/>
      <c r="F33" s="852"/>
      <c r="G33" s="838"/>
      <c r="H33" s="851">
        <f>SUM(H21:H32)</f>
        <v>11897.032263923742</v>
      </c>
      <c r="I33" s="851"/>
      <c r="J33" s="851"/>
      <c r="K33" s="855">
        <f>SUM(K21:K32)</f>
        <v>448205.17433502455</v>
      </c>
    </row>
    <row r="34" spans="1:11" ht="15.75">
      <c r="A34" s="827"/>
      <c r="B34" s="827"/>
      <c r="C34" s="827"/>
      <c r="D34" s="851"/>
      <c r="E34" s="851"/>
      <c r="F34" s="852"/>
      <c r="G34" s="838"/>
      <c r="H34" s="851"/>
      <c r="I34" s="851" t="s">
        <v>115</v>
      </c>
      <c r="J34" s="851"/>
      <c r="K34" s="545"/>
    </row>
    <row r="35" spans="1:11" ht="15.75">
      <c r="A35" s="827"/>
      <c r="B35" s="827"/>
      <c r="C35" s="827"/>
      <c r="D35" s="837"/>
      <c r="E35" s="837"/>
      <c r="F35" s="852"/>
      <c r="G35" s="838"/>
      <c r="H35" s="856" t="s">
        <v>564</v>
      </c>
      <c r="I35" s="851"/>
      <c r="J35" s="851"/>
      <c r="K35" s="851"/>
    </row>
    <row r="36" spans="1:11" ht="15.75">
      <c r="A36" s="827" t="s">
        <v>565</v>
      </c>
      <c r="B36" s="827" t="str">
        <f>"Year 2019"</f>
        <v>Year 2019</v>
      </c>
      <c r="C36" s="827"/>
      <c r="D36" s="837">
        <f>K33</f>
        <v>448205.17433502455</v>
      </c>
      <c r="E36" s="837"/>
      <c r="F36" s="852">
        <f>+F32</f>
        <v>4.1949999999999999E-3</v>
      </c>
      <c r="G36" s="1316">
        <v>12</v>
      </c>
      <c r="H36" s="851">
        <f>+G36*F36*D36</f>
        <v>22562.648476025133</v>
      </c>
      <c r="I36" s="851"/>
      <c r="J36" s="851"/>
      <c r="K36" s="855">
        <f>+D36+H36</f>
        <v>470767.8228110497</v>
      </c>
    </row>
    <row r="37" spans="1:11" ht="15.75">
      <c r="A37" s="827"/>
      <c r="B37" s="827"/>
      <c r="C37" s="827"/>
      <c r="D37" s="837"/>
      <c r="E37" s="837"/>
      <c r="F37" s="852"/>
      <c r="G37" s="827"/>
      <c r="H37" s="851"/>
      <c r="I37" s="851"/>
      <c r="J37" s="851"/>
      <c r="K37" s="851"/>
    </row>
    <row r="38" spans="1:11" ht="15.75">
      <c r="A38" s="857" t="s">
        <v>566</v>
      </c>
      <c r="B38" s="827"/>
      <c r="C38" s="827"/>
      <c r="D38" s="851"/>
      <c r="E38" s="851"/>
      <c r="F38" s="852"/>
      <c r="G38" s="827"/>
      <c r="H38" s="856" t="s">
        <v>560</v>
      </c>
      <c r="I38" s="851"/>
      <c r="J38" s="851"/>
      <c r="K38" s="851"/>
    </row>
    <row r="39" spans="1:11" ht="15.75">
      <c r="A39" s="827" t="s">
        <v>186</v>
      </c>
      <c r="B39" s="827" t="str">
        <f>"Year 2021"</f>
        <v>Year 2021</v>
      </c>
      <c r="C39" s="827"/>
      <c r="D39" s="837">
        <f>-K36</f>
        <v>-470767.8228110497</v>
      </c>
      <c r="E39" s="837"/>
      <c r="F39" s="852">
        <f>+F32</f>
        <v>4.1949999999999999E-3</v>
      </c>
      <c r="G39" s="827"/>
      <c r="H39" s="851">
        <f xml:space="preserve"> -F39*D39</f>
        <v>1974.8710166923536</v>
      </c>
      <c r="I39" s="851">
        <f>PMT(F39,12,K$36)</f>
        <v>-40308.583197905464</v>
      </c>
      <c r="J39" s="851"/>
      <c r="K39" s="851">
        <f>(+D39+D39*F39-I39)*-1</f>
        <v>432434.11062983662</v>
      </c>
    </row>
    <row r="40" spans="1:11" ht="15.75">
      <c r="A40" s="827" t="s">
        <v>561</v>
      </c>
      <c r="B40" s="827" t="str">
        <f>+B39</f>
        <v>Year 2021</v>
      </c>
      <c r="C40" s="827"/>
      <c r="D40" s="837">
        <f>-K39</f>
        <v>-432434.11062983662</v>
      </c>
      <c r="E40" s="837"/>
      <c r="F40" s="852">
        <f>+F39</f>
        <v>4.1949999999999999E-3</v>
      </c>
      <c r="G40" s="827"/>
      <c r="H40" s="851">
        <f xml:space="preserve"> -F40*D40</f>
        <v>1814.0610940921647</v>
      </c>
      <c r="I40" s="851">
        <f>I39</f>
        <v>-40308.583197905464</v>
      </c>
      <c r="J40" s="851"/>
      <c r="K40" s="851">
        <f t="shared" ref="K40:K50" si="6">(+D40+D40*F40-I40)*-1</f>
        <v>393939.58852602332</v>
      </c>
    </row>
    <row r="41" spans="1:11" ht="15.75">
      <c r="A41" s="827" t="s">
        <v>187</v>
      </c>
      <c r="B41" s="827" t="str">
        <f>+B40</f>
        <v>Year 2021</v>
      </c>
      <c r="C41" s="827"/>
      <c r="D41" s="837">
        <f t="shared" ref="D41:D50" si="7">-K40</f>
        <v>-393939.58852602332</v>
      </c>
      <c r="E41" s="837"/>
      <c r="F41" s="852">
        <f t="shared" ref="F41:F50" si="8">+F40</f>
        <v>4.1949999999999999E-3</v>
      </c>
      <c r="G41" s="827"/>
      <c r="H41" s="851">
        <f t="shared" ref="H41:H50" si="9" xml:space="preserve"> -F41*D41</f>
        <v>1652.5765738666678</v>
      </c>
      <c r="I41" s="851">
        <f t="shared" ref="I41:I50" si="10">I40</f>
        <v>-40308.583197905464</v>
      </c>
      <c r="J41" s="851"/>
      <c r="K41" s="851">
        <f t="shared" si="6"/>
        <v>355283.58190198452</v>
      </c>
    </row>
    <row r="42" spans="1:11" ht="15.75">
      <c r="A42" s="827" t="s">
        <v>188</v>
      </c>
      <c r="B42" s="827" t="str">
        <f>+B41</f>
        <v>Year 2021</v>
      </c>
      <c r="C42" s="827"/>
      <c r="D42" s="837">
        <f t="shared" si="7"/>
        <v>-355283.58190198452</v>
      </c>
      <c r="E42" s="837"/>
      <c r="F42" s="852">
        <f t="shared" si="8"/>
        <v>4.1949999999999999E-3</v>
      </c>
      <c r="G42" s="827"/>
      <c r="H42" s="851">
        <f t="shared" si="9"/>
        <v>1490.414626078825</v>
      </c>
      <c r="I42" s="851">
        <f t="shared" si="10"/>
        <v>-40308.583197905464</v>
      </c>
      <c r="J42" s="851"/>
      <c r="K42" s="851">
        <f t="shared" si="6"/>
        <v>316465.41333015787</v>
      </c>
    </row>
    <row r="43" spans="1:11" ht="15.75">
      <c r="A43" s="827" t="s">
        <v>189</v>
      </c>
      <c r="B43" s="827" t="str">
        <f>+B42</f>
        <v>Year 2021</v>
      </c>
      <c r="C43" s="827"/>
      <c r="D43" s="837">
        <f t="shared" si="7"/>
        <v>-316465.41333015787</v>
      </c>
      <c r="E43" s="837"/>
      <c r="F43" s="852">
        <f t="shared" si="8"/>
        <v>4.1949999999999999E-3</v>
      </c>
      <c r="G43" s="827"/>
      <c r="H43" s="851">
        <f t="shared" si="9"/>
        <v>1327.5724089200123</v>
      </c>
      <c r="I43" s="851">
        <f>I42</f>
        <v>-40308.583197905464</v>
      </c>
      <c r="J43" s="851"/>
      <c r="K43" s="851">
        <f t="shared" si="6"/>
        <v>277484.40254117246</v>
      </c>
    </row>
    <row r="44" spans="1:11" ht="15.75">
      <c r="A44" s="827" t="s">
        <v>383</v>
      </c>
      <c r="B44" s="827" t="str">
        <f>B43</f>
        <v>Year 2021</v>
      </c>
      <c r="C44" s="545"/>
      <c r="D44" s="837">
        <f t="shared" si="7"/>
        <v>-277484.40254117246</v>
      </c>
      <c r="E44" s="837"/>
      <c r="F44" s="852">
        <f t="shared" si="8"/>
        <v>4.1949999999999999E-3</v>
      </c>
      <c r="G44" s="827"/>
      <c r="H44" s="851">
        <f t="shared" si="9"/>
        <v>1164.0470686602184</v>
      </c>
      <c r="I44" s="851">
        <f t="shared" si="10"/>
        <v>-40308.583197905464</v>
      </c>
      <c r="J44" s="851"/>
      <c r="K44" s="851">
        <f t="shared" si="6"/>
        <v>238339.86641192721</v>
      </c>
    </row>
    <row r="45" spans="1:11" ht="15.75">
      <c r="A45" s="827" t="s">
        <v>190</v>
      </c>
      <c r="B45" s="827" t="str">
        <f t="shared" ref="B45:B50" si="11">+B44</f>
        <v>Year 2021</v>
      </c>
      <c r="C45" s="827"/>
      <c r="D45" s="837">
        <f t="shared" si="7"/>
        <v>-238339.86641192721</v>
      </c>
      <c r="E45" s="837"/>
      <c r="F45" s="852">
        <f t="shared" si="8"/>
        <v>4.1949999999999999E-3</v>
      </c>
      <c r="G45" s="827"/>
      <c r="H45" s="851">
        <f t="shared" si="9"/>
        <v>999.83573959803471</v>
      </c>
      <c r="I45" s="851">
        <f t="shared" si="10"/>
        <v>-40308.583197905464</v>
      </c>
      <c r="J45" s="851"/>
      <c r="K45" s="851">
        <f t="shared" si="6"/>
        <v>199031.11895361979</v>
      </c>
    </row>
    <row r="46" spans="1:11" ht="15.75">
      <c r="A46" s="827" t="s">
        <v>191</v>
      </c>
      <c r="B46" s="827" t="str">
        <f t="shared" si="11"/>
        <v>Year 2021</v>
      </c>
      <c r="C46" s="827"/>
      <c r="D46" s="837">
        <f t="shared" si="7"/>
        <v>-199031.11895361979</v>
      </c>
      <c r="E46" s="837"/>
      <c r="F46" s="852">
        <f t="shared" si="8"/>
        <v>4.1949999999999999E-3</v>
      </c>
      <c r="G46" s="827"/>
      <c r="H46" s="851">
        <f t="shared" si="9"/>
        <v>834.93554401043502</v>
      </c>
      <c r="I46" s="851">
        <f t="shared" si="10"/>
        <v>-40308.583197905464</v>
      </c>
      <c r="J46" s="851"/>
      <c r="K46" s="851">
        <f t="shared" si="6"/>
        <v>159557.47129972477</v>
      </c>
    </row>
    <row r="47" spans="1:11" ht="15.75">
      <c r="A47" s="827" t="s">
        <v>193</v>
      </c>
      <c r="B47" s="827" t="str">
        <f t="shared" si="11"/>
        <v>Year 2021</v>
      </c>
      <c r="C47" s="827"/>
      <c r="D47" s="837">
        <f t="shared" si="7"/>
        <v>-159557.47129972477</v>
      </c>
      <c r="E47" s="837"/>
      <c r="F47" s="852">
        <f t="shared" si="8"/>
        <v>4.1949999999999999E-3</v>
      </c>
      <c r="G47" s="827"/>
      <c r="H47" s="851">
        <f t="shared" si="9"/>
        <v>669.34359210234538</v>
      </c>
      <c r="I47" s="851">
        <f>I46</f>
        <v>-40308.583197905464</v>
      </c>
      <c r="J47" s="851"/>
      <c r="K47" s="851">
        <f t="shared" si="6"/>
        <v>119918.23169392165</v>
      </c>
    </row>
    <row r="48" spans="1:11" ht="15.75">
      <c r="A48" s="827" t="s">
        <v>562</v>
      </c>
      <c r="B48" s="827" t="str">
        <f t="shared" si="11"/>
        <v>Year 2021</v>
      </c>
      <c r="C48" s="827"/>
      <c r="D48" s="837">
        <f t="shared" si="7"/>
        <v>-119918.23169392165</v>
      </c>
      <c r="E48" s="837"/>
      <c r="F48" s="852">
        <f t="shared" si="8"/>
        <v>4.1949999999999999E-3</v>
      </c>
      <c r="G48" s="827"/>
      <c r="H48" s="851">
        <f t="shared" si="9"/>
        <v>503.05698195600132</v>
      </c>
      <c r="I48" s="851">
        <f t="shared" si="10"/>
        <v>-40308.583197905464</v>
      </c>
      <c r="J48" s="851"/>
      <c r="K48" s="851">
        <f t="shared" si="6"/>
        <v>80112.705477972195</v>
      </c>
    </row>
    <row r="49" spans="1:11" ht="15.75">
      <c r="A49" s="827" t="s">
        <v>563</v>
      </c>
      <c r="B49" s="827" t="str">
        <f t="shared" si="11"/>
        <v>Year 2021</v>
      </c>
      <c r="C49" s="827"/>
      <c r="D49" s="837">
        <f t="shared" si="7"/>
        <v>-80112.705477972195</v>
      </c>
      <c r="E49" s="837"/>
      <c r="F49" s="852">
        <f t="shared" si="8"/>
        <v>4.1949999999999999E-3</v>
      </c>
      <c r="G49" s="827"/>
      <c r="H49" s="851">
        <f t="shared" si="9"/>
        <v>336.07279948009335</v>
      </c>
      <c r="I49" s="851">
        <f t="shared" si="10"/>
        <v>-40308.583197905464</v>
      </c>
      <c r="J49" s="851"/>
      <c r="K49" s="851">
        <f t="shared" si="6"/>
        <v>40140.195079546829</v>
      </c>
    </row>
    <row r="50" spans="1:11" ht="15.75">
      <c r="A50" s="827" t="s">
        <v>192</v>
      </c>
      <c r="B50" s="827" t="str">
        <f t="shared" si="11"/>
        <v>Year 2021</v>
      </c>
      <c r="C50" s="827"/>
      <c r="D50" s="837">
        <f t="shared" si="7"/>
        <v>-40140.195079546829</v>
      </c>
      <c r="E50" s="837"/>
      <c r="F50" s="852">
        <f t="shared" si="8"/>
        <v>4.1949999999999999E-3</v>
      </c>
      <c r="G50" s="827"/>
      <c r="H50" s="854">
        <f t="shared" si="9"/>
        <v>168.38811835869893</v>
      </c>
      <c r="I50" s="851">
        <f t="shared" si="10"/>
        <v>-40308.583197905464</v>
      </c>
      <c r="J50" s="851"/>
      <c r="K50" s="851">
        <f t="shared" si="6"/>
        <v>6.5483618527650833E-11</v>
      </c>
    </row>
    <row r="51" spans="1:11" ht="15.75">
      <c r="A51" s="827"/>
      <c r="B51" s="827"/>
      <c r="C51" s="827"/>
      <c r="D51" s="837"/>
      <c r="E51" s="837"/>
      <c r="F51" s="852"/>
      <c r="G51" s="827"/>
      <c r="H51" s="851">
        <f>SUM(H39:H50)</f>
        <v>12935.175563815848</v>
      </c>
      <c r="I51" s="851"/>
      <c r="J51" s="851"/>
      <c r="K51" s="851"/>
    </row>
    <row r="52" spans="1:11" ht="15">
      <c r="A52" s="545"/>
      <c r="B52" s="545"/>
      <c r="C52" s="545"/>
      <c r="D52" s="545"/>
      <c r="E52" s="545"/>
      <c r="F52" s="545"/>
      <c r="G52" s="545"/>
      <c r="H52" s="545"/>
      <c r="I52" s="859"/>
      <c r="J52" s="545"/>
      <c r="K52" s="545"/>
    </row>
    <row r="53" spans="1:11" ht="15.75">
      <c r="A53" s="827" t="s">
        <v>571</v>
      </c>
      <c r="B53" s="545"/>
      <c r="C53" s="545"/>
      <c r="D53" s="545"/>
      <c r="E53" s="545"/>
      <c r="F53" s="545"/>
      <c r="G53" s="545"/>
      <c r="H53" s="545"/>
      <c r="I53" s="860">
        <f>(SUM(I39:I50)*-1)</f>
        <v>483702.99837486545</v>
      </c>
      <c r="J53" s="545"/>
      <c r="K53" s="545"/>
    </row>
    <row r="54" spans="1:11" ht="15.75">
      <c r="A54" s="827" t="s">
        <v>567</v>
      </c>
      <c r="B54" s="545"/>
      <c r="C54" s="545"/>
      <c r="D54" s="545"/>
      <c r="E54" s="545"/>
      <c r="F54" s="545"/>
      <c r="G54" s="545"/>
      <c r="H54" s="545"/>
      <c r="I54" s="861">
        <f>+H10</f>
        <v>-436308.14207110088</v>
      </c>
      <c r="J54" s="545"/>
      <c r="K54" s="545"/>
    </row>
    <row r="55" spans="1:11" ht="15.75">
      <c r="A55" s="827" t="s">
        <v>568</v>
      </c>
      <c r="B55" s="545"/>
      <c r="C55" s="545"/>
      <c r="D55" s="545"/>
      <c r="E55" s="545"/>
      <c r="F55" s="545"/>
      <c r="G55" s="545"/>
      <c r="H55" s="545"/>
      <c r="I55" s="860">
        <f>(I53+I54)</f>
        <v>47394.856303764565</v>
      </c>
      <c r="J55" s="545"/>
      <c r="K55" s="545"/>
    </row>
    <row r="56" spans="1:11">
      <c r="A56" s="439"/>
      <c r="B56" s="439"/>
      <c r="C56" s="439"/>
      <c r="D56" s="439"/>
      <c r="E56" s="439"/>
      <c r="F56" s="439"/>
      <c r="G56" s="439"/>
      <c r="H56" s="439"/>
      <c r="I56" s="439"/>
      <c r="J56" s="439"/>
      <c r="K56" s="439"/>
    </row>
    <row r="57" spans="1:11" ht="59.45" customHeight="1">
      <c r="A57" s="1567" t="s">
        <v>572</v>
      </c>
      <c r="B57" s="1567"/>
      <c r="C57" s="1567"/>
      <c r="D57" s="1567"/>
      <c r="E57" s="862"/>
      <c r="F57" s="862"/>
      <c r="G57" s="862"/>
      <c r="H57" s="862"/>
      <c r="I57" s="862"/>
      <c r="J57" s="862"/>
      <c r="K57" s="862"/>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1" sqref="D11"/>
    </sheetView>
  </sheetViews>
  <sheetFormatPr defaultRowHeight="12.75"/>
  <cols>
    <col min="1" max="1" width="28.140625" customWidth="1"/>
    <col min="3" max="3" width="10.7109375" customWidth="1"/>
    <col min="4" max="4" width="25.85546875" customWidth="1"/>
    <col min="6" max="6" width="12.28515625" customWidth="1"/>
    <col min="8" max="8" width="15.42578125" customWidth="1"/>
    <col min="9" max="9" width="13.140625" customWidth="1"/>
    <col min="11" max="11" width="15" customWidth="1"/>
  </cols>
  <sheetData>
    <row r="1" spans="1:11" ht="15.75">
      <c r="A1" s="1565" t="s">
        <v>388</v>
      </c>
      <c r="B1" s="1565"/>
      <c r="C1" s="1565"/>
      <c r="D1" s="1565"/>
      <c r="E1" s="1565"/>
      <c r="F1" s="1565"/>
      <c r="G1" s="1565"/>
      <c r="H1" s="1565"/>
      <c r="I1" s="1565"/>
      <c r="J1" s="1565"/>
      <c r="K1" s="1565"/>
    </row>
    <row r="2" spans="1:11" ht="15.75">
      <c r="A2" s="1566" t="s">
        <v>569</v>
      </c>
      <c r="B2" s="1566"/>
      <c r="C2" s="1566"/>
      <c r="D2" s="1566"/>
      <c r="E2" s="1566"/>
      <c r="F2" s="1566"/>
      <c r="G2" s="1566"/>
      <c r="H2" s="1566"/>
      <c r="I2" s="1566"/>
      <c r="J2" s="1566"/>
      <c r="K2" s="1566"/>
    </row>
    <row r="3" spans="1:11" ht="15.75">
      <c r="A3" s="1566" t="s">
        <v>570</v>
      </c>
      <c r="B3" s="1566"/>
      <c r="C3" s="1566"/>
      <c r="D3" s="1566"/>
      <c r="E3" s="1566"/>
      <c r="F3" s="1566"/>
      <c r="G3" s="1566"/>
      <c r="H3" s="1566"/>
      <c r="I3" s="1566"/>
      <c r="J3" s="1566"/>
      <c r="K3" s="1566"/>
    </row>
    <row r="4" spans="1:11" ht="15.75">
      <c r="A4" s="545"/>
      <c r="B4" s="545"/>
      <c r="C4" s="545"/>
      <c r="D4" s="1566"/>
      <c r="E4" s="1566"/>
      <c r="F4" s="1566"/>
      <c r="G4" s="1566"/>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6"/>
      <c r="B7" s="827"/>
      <c r="C7" s="827"/>
      <c r="D7" s="827"/>
      <c r="E7" s="827"/>
      <c r="F7" s="827"/>
      <c r="G7" s="827"/>
      <c r="H7" s="827"/>
      <c r="I7" s="827"/>
      <c r="J7" s="827"/>
      <c r="K7" s="827"/>
    </row>
    <row r="8" spans="1:11" ht="63">
      <c r="A8" s="828" t="str">
        <f>"Reconciliation Revenue Requirement For Year 2019 Available May 25, 2020"</f>
        <v>Reconciliation Revenue Requirement For Year 2019 Available May 25, 2020</v>
      </c>
      <c r="B8" s="827"/>
      <c r="C8" s="827"/>
      <c r="D8" s="828" t="s">
        <v>1111</v>
      </c>
      <c r="E8" s="827"/>
      <c r="F8" s="827"/>
      <c r="G8" s="545"/>
      <c r="H8" s="828" t="s">
        <v>550</v>
      </c>
      <c r="I8" s="545"/>
      <c r="J8" s="545"/>
      <c r="K8" s="545"/>
    </row>
    <row r="9" spans="1:11" ht="15.75">
      <c r="A9" s="829" t="s">
        <v>115</v>
      </c>
      <c r="B9" s="827"/>
      <c r="C9" s="827"/>
      <c r="D9" s="829"/>
      <c r="E9" s="827"/>
      <c r="F9" s="827"/>
      <c r="G9" s="545"/>
      <c r="H9" s="830"/>
      <c r="I9" s="545"/>
      <c r="J9" s="545"/>
      <c r="K9" s="545"/>
    </row>
    <row r="10" spans="1:11" ht="16.5" thickBot="1">
      <c r="A10" s="915">
        <v>476749.13875846996</v>
      </c>
      <c r="B10" s="831" t="str">
        <f>"-"</f>
        <v>-</v>
      </c>
      <c r="C10" s="832"/>
      <c r="D10" s="915">
        <v>1592590</v>
      </c>
      <c r="E10" s="833"/>
      <c r="F10" s="834" t="str">
        <f>"="</f>
        <v>=</v>
      </c>
      <c r="G10" s="835"/>
      <c r="H10" s="836">
        <f>IF(A10=0,0,D10-A10)</f>
        <v>1115840.8612415302</v>
      </c>
      <c r="I10" s="545"/>
      <c r="J10" s="545"/>
      <c r="K10" s="545"/>
    </row>
    <row r="11" spans="1:11" ht="15.75">
      <c r="A11" s="837"/>
      <c r="B11" s="838"/>
      <c r="C11" s="838"/>
      <c r="D11" s="837"/>
      <c r="E11" s="837"/>
      <c r="F11" s="838"/>
      <c r="G11" s="837"/>
      <c r="H11" s="545"/>
      <c r="I11" s="545"/>
      <c r="J11" s="545"/>
      <c r="K11" s="545"/>
    </row>
    <row r="12" spans="1:11" ht="16.5" thickBot="1">
      <c r="A12" s="839"/>
      <c r="B12" s="840"/>
      <c r="C12" s="840"/>
      <c r="D12" s="839"/>
      <c r="E12" s="839"/>
      <c r="F12" s="840"/>
      <c r="G12" s="839"/>
      <c r="H12" s="841"/>
      <c r="I12" s="841"/>
      <c r="J12" s="841"/>
      <c r="K12" s="841"/>
    </row>
    <row r="13" spans="1:11" ht="15.75">
      <c r="A13" s="842"/>
      <c r="B13" s="838"/>
      <c r="C13" s="838"/>
      <c r="D13" s="837"/>
      <c r="E13" s="837"/>
      <c r="F13" s="838"/>
      <c r="G13" s="837"/>
      <c r="H13" s="545"/>
      <c r="I13" s="545"/>
      <c r="J13" s="545"/>
      <c r="K13" s="545"/>
    </row>
    <row r="14" spans="1:11" ht="47.25">
      <c r="A14" s="843" t="s">
        <v>551</v>
      </c>
      <c r="B14" s="838"/>
      <c r="C14" s="838"/>
      <c r="D14" s="844" t="s">
        <v>552</v>
      </c>
      <c r="E14" s="837"/>
      <c r="F14" s="844" t="s">
        <v>553</v>
      </c>
      <c r="G14" s="845" t="s">
        <v>554</v>
      </c>
      <c r="H14" s="846" t="s">
        <v>555</v>
      </c>
      <c r="I14" s="844" t="s">
        <v>556</v>
      </c>
      <c r="J14" s="847"/>
      <c r="K14" s="844" t="s">
        <v>557</v>
      </c>
    </row>
    <row r="15" spans="1:11" ht="15.75">
      <c r="A15" s="843" t="s">
        <v>558</v>
      </c>
      <c r="B15" s="838"/>
      <c r="C15" s="838"/>
      <c r="D15" s="545"/>
      <c r="E15" s="848"/>
      <c r="F15" s="1315">
        <f>'WSQ NSPL'!F15</f>
        <v>4.1949999999999999E-3</v>
      </c>
      <c r="G15" s="357"/>
      <c r="H15" s="545"/>
      <c r="I15" s="545"/>
      <c r="J15" s="545"/>
      <c r="K15" s="545"/>
    </row>
    <row r="16" spans="1:11" ht="15.75">
      <c r="A16" s="843"/>
      <c r="B16" s="838"/>
      <c r="C16" s="838"/>
      <c r="D16" s="545"/>
      <c r="E16" s="848"/>
      <c r="F16" s="848"/>
      <c r="G16" s="837"/>
      <c r="H16" s="545"/>
      <c r="I16" s="545"/>
      <c r="J16" s="545"/>
      <c r="K16" s="545"/>
    </row>
    <row r="17" spans="1:11" ht="15.75">
      <c r="A17" s="843" t="s">
        <v>1002</v>
      </c>
      <c r="B17" s="838"/>
      <c r="C17" s="838"/>
      <c r="D17" s="545"/>
      <c r="E17" s="848"/>
      <c r="F17" s="848"/>
      <c r="G17" s="837"/>
      <c r="H17" s="545"/>
      <c r="I17" s="545"/>
      <c r="J17" s="545"/>
      <c r="K17" s="545"/>
    </row>
    <row r="18" spans="1:11" ht="15.75">
      <c r="A18" s="849" t="s">
        <v>115</v>
      </c>
      <c r="B18" s="838"/>
      <c r="C18" s="838"/>
      <c r="D18" s="838"/>
      <c r="E18" s="838"/>
      <c r="F18" s="838" t="s">
        <v>115</v>
      </c>
      <c r="G18" s="545"/>
      <c r="H18" s="545"/>
      <c r="I18" s="545"/>
      <c r="J18" s="545"/>
      <c r="K18" s="545"/>
    </row>
    <row r="19" spans="1:11" ht="15.75">
      <c r="A19" s="850"/>
      <c r="B19" s="838"/>
      <c r="C19" s="838"/>
      <c r="D19" s="838"/>
      <c r="E19" s="838"/>
      <c r="F19" s="545"/>
      <c r="G19" s="545"/>
      <c r="H19" s="845"/>
      <c r="I19" s="838"/>
      <c r="J19" s="838"/>
      <c r="K19" s="838"/>
    </row>
    <row r="20" spans="1:11" ht="15.75">
      <c r="A20" s="850" t="s">
        <v>559</v>
      </c>
      <c r="B20" s="838"/>
      <c r="C20" s="838"/>
      <c r="D20" s="838"/>
      <c r="E20" s="838"/>
      <c r="F20" s="545"/>
      <c r="G20" s="545"/>
      <c r="H20" s="845" t="s">
        <v>560</v>
      </c>
      <c r="I20" s="838"/>
      <c r="J20" s="838"/>
      <c r="K20" s="838"/>
    </row>
    <row r="21" spans="1:11" ht="15.75">
      <c r="A21" s="827" t="s">
        <v>186</v>
      </c>
      <c r="B21" s="827" t="str">
        <f>"Year 2019"</f>
        <v>Year 2019</v>
      </c>
      <c r="C21" s="827"/>
      <c r="D21" s="851">
        <f>H10/12</f>
        <v>92986.738436794185</v>
      </c>
      <c r="E21" s="851"/>
      <c r="F21" s="852">
        <f>+F15</f>
        <v>4.1949999999999999E-3</v>
      </c>
      <c r="G21" s="1316">
        <v>12</v>
      </c>
      <c r="H21" s="851">
        <f>F21*D21*G21*-1</f>
        <v>-4680.9524129082192</v>
      </c>
      <c r="I21" s="851"/>
      <c r="J21" s="851"/>
      <c r="K21" s="851">
        <f>(-H21+D21)*-1</f>
        <v>-97667.690849702398</v>
      </c>
    </row>
    <row r="22" spans="1:11" ht="15.75">
      <c r="A22" s="827" t="s">
        <v>561</v>
      </c>
      <c r="B22" s="827" t="str">
        <f>B21</f>
        <v>Year 2019</v>
      </c>
      <c r="C22" s="827"/>
      <c r="D22" s="851">
        <f>+D21</f>
        <v>92986.738436794185</v>
      </c>
      <c r="E22" s="851"/>
      <c r="F22" s="852">
        <f>+F21</f>
        <v>4.1949999999999999E-3</v>
      </c>
      <c r="G22" s="1316">
        <f t="shared" ref="G22:G32" si="0">+G21-1</f>
        <v>11</v>
      </c>
      <c r="H22" s="851">
        <f t="shared" ref="H22:H32" si="1">F22*D22*G22*-1</f>
        <v>-4290.8730451658676</v>
      </c>
      <c r="I22" s="851"/>
      <c r="J22" s="851"/>
      <c r="K22" s="851">
        <f t="shared" ref="K22:K32" si="2">(-H22+D22)*-1</f>
        <v>-97277.611481960048</v>
      </c>
    </row>
    <row r="23" spans="1:11" ht="15.75">
      <c r="A23" s="827" t="s">
        <v>187</v>
      </c>
      <c r="B23" s="827" t="str">
        <f t="shared" ref="B23:B32" si="3">B22</f>
        <v>Year 2019</v>
      </c>
      <c r="C23" s="827"/>
      <c r="D23" s="851">
        <f t="shared" ref="D23:D32" si="4">+D22</f>
        <v>92986.738436794185</v>
      </c>
      <c r="E23" s="851"/>
      <c r="F23" s="852">
        <f t="shared" ref="F23:F32" si="5">+F22</f>
        <v>4.1949999999999999E-3</v>
      </c>
      <c r="G23" s="1316">
        <f t="shared" si="0"/>
        <v>10</v>
      </c>
      <c r="H23" s="851">
        <f t="shared" si="1"/>
        <v>-3900.7936774235163</v>
      </c>
      <c r="I23" s="851"/>
      <c r="J23" s="851"/>
      <c r="K23" s="851">
        <f t="shared" si="2"/>
        <v>-96887.532114217698</v>
      </c>
    </row>
    <row r="24" spans="1:11" ht="15.75">
      <c r="A24" s="827" t="s">
        <v>188</v>
      </c>
      <c r="B24" s="827" t="str">
        <f t="shared" si="3"/>
        <v>Year 2019</v>
      </c>
      <c r="C24" s="827"/>
      <c r="D24" s="851">
        <f t="shared" si="4"/>
        <v>92986.738436794185</v>
      </c>
      <c r="E24" s="851"/>
      <c r="F24" s="852">
        <f t="shared" si="5"/>
        <v>4.1949999999999999E-3</v>
      </c>
      <c r="G24" s="1316">
        <f t="shared" si="0"/>
        <v>9</v>
      </c>
      <c r="H24" s="851">
        <f t="shared" si="1"/>
        <v>-3510.7143096811647</v>
      </c>
      <c r="I24" s="851"/>
      <c r="J24" s="851"/>
      <c r="K24" s="851">
        <f t="shared" si="2"/>
        <v>-96497.452746475348</v>
      </c>
    </row>
    <row r="25" spans="1:11" ht="15.75">
      <c r="A25" s="827" t="s">
        <v>189</v>
      </c>
      <c r="B25" s="827" t="str">
        <f t="shared" si="3"/>
        <v>Year 2019</v>
      </c>
      <c r="C25" s="827"/>
      <c r="D25" s="851">
        <f t="shared" si="4"/>
        <v>92986.738436794185</v>
      </c>
      <c r="E25" s="851"/>
      <c r="F25" s="852">
        <f t="shared" si="5"/>
        <v>4.1949999999999999E-3</v>
      </c>
      <c r="G25" s="1316">
        <f t="shared" si="0"/>
        <v>8</v>
      </c>
      <c r="H25" s="851">
        <f t="shared" si="1"/>
        <v>-3120.634941938813</v>
      </c>
      <c r="I25" s="851"/>
      <c r="J25" s="851"/>
      <c r="K25" s="851">
        <f t="shared" si="2"/>
        <v>-96107.373378732998</v>
      </c>
    </row>
    <row r="26" spans="1:11" ht="15.75">
      <c r="A26" s="827" t="s">
        <v>383</v>
      </c>
      <c r="B26" s="827" t="str">
        <f t="shared" si="3"/>
        <v>Year 2019</v>
      </c>
      <c r="C26" s="827"/>
      <c r="D26" s="851">
        <f t="shared" si="4"/>
        <v>92986.738436794185</v>
      </c>
      <c r="E26" s="851"/>
      <c r="F26" s="852">
        <f t="shared" si="5"/>
        <v>4.1949999999999999E-3</v>
      </c>
      <c r="G26" s="1316">
        <f t="shared" si="0"/>
        <v>7</v>
      </c>
      <c r="H26" s="851">
        <f t="shared" si="1"/>
        <v>-2730.5555741964613</v>
      </c>
      <c r="I26" s="851"/>
      <c r="J26" s="851"/>
      <c r="K26" s="851">
        <f t="shared" si="2"/>
        <v>-95717.294010990649</v>
      </c>
    </row>
    <row r="27" spans="1:11" ht="15.75">
      <c r="A27" s="827" t="s">
        <v>190</v>
      </c>
      <c r="B27" s="827" t="str">
        <f t="shared" si="3"/>
        <v>Year 2019</v>
      </c>
      <c r="C27" s="827"/>
      <c r="D27" s="851">
        <f t="shared" si="4"/>
        <v>92986.738436794185</v>
      </c>
      <c r="E27" s="851"/>
      <c r="F27" s="852">
        <f t="shared" si="5"/>
        <v>4.1949999999999999E-3</v>
      </c>
      <c r="G27" s="1316">
        <f t="shared" si="0"/>
        <v>6</v>
      </c>
      <c r="H27" s="851">
        <f t="shared" si="1"/>
        <v>-2340.4762064541096</v>
      </c>
      <c r="I27" s="851"/>
      <c r="J27" s="851"/>
      <c r="K27" s="851">
        <f t="shared" si="2"/>
        <v>-95327.214643248299</v>
      </c>
    </row>
    <row r="28" spans="1:11" ht="15.75">
      <c r="A28" s="827" t="s">
        <v>191</v>
      </c>
      <c r="B28" s="827" t="str">
        <f t="shared" si="3"/>
        <v>Year 2019</v>
      </c>
      <c r="C28" s="827"/>
      <c r="D28" s="851">
        <f t="shared" si="4"/>
        <v>92986.738436794185</v>
      </c>
      <c r="E28" s="851"/>
      <c r="F28" s="852">
        <f t="shared" si="5"/>
        <v>4.1949999999999999E-3</v>
      </c>
      <c r="G28" s="1316">
        <f t="shared" si="0"/>
        <v>5</v>
      </c>
      <c r="H28" s="851">
        <f t="shared" si="1"/>
        <v>-1950.3968387117582</v>
      </c>
      <c r="I28" s="851"/>
      <c r="J28" s="851"/>
      <c r="K28" s="851">
        <f t="shared" si="2"/>
        <v>-94937.135275505949</v>
      </c>
    </row>
    <row r="29" spans="1:11" ht="15.75">
      <c r="A29" s="827" t="s">
        <v>193</v>
      </c>
      <c r="B29" s="827" t="str">
        <f t="shared" si="3"/>
        <v>Year 2019</v>
      </c>
      <c r="C29" s="827"/>
      <c r="D29" s="851">
        <f t="shared" si="4"/>
        <v>92986.738436794185</v>
      </c>
      <c r="E29" s="851"/>
      <c r="F29" s="852">
        <f t="shared" si="5"/>
        <v>4.1949999999999999E-3</v>
      </c>
      <c r="G29" s="1316">
        <f t="shared" si="0"/>
        <v>4</v>
      </c>
      <c r="H29" s="851">
        <f t="shared" si="1"/>
        <v>-1560.3174709694065</v>
      </c>
      <c r="I29" s="851"/>
      <c r="J29" s="851"/>
      <c r="K29" s="851">
        <f t="shared" si="2"/>
        <v>-94547.055907763584</v>
      </c>
    </row>
    <row r="30" spans="1:11" ht="15.75">
      <c r="A30" s="827" t="s">
        <v>562</v>
      </c>
      <c r="B30" s="827" t="str">
        <f t="shared" si="3"/>
        <v>Year 2019</v>
      </c>
      <c r="C30" s="827"/>
      <c r="D30" s="851">
        <f t="shared" si="4"/>
        <v>92986.738436794185</v>
      </c>
      <c r="E30" s="851"/>
      <c r="F30" s="852">
        <f t="shared" si="5"/>
        <v>4.1949999999999999E-3</v>
      </c>
      <c r="G30" s="1316">
        <f t="shared" si="0"/>
        <v>3</v>
      </c>
      <c r="H30" s="851">
        <f t="shared" si="1"/>
        <v>-1170.2381032270548</v>
      </c>
      <c r="I30" s="851"/>
      <c r="J30" s="851"/>
      <c r="K30" s="851">
        <f t="shared" si="2"/>
        <v>-94156.976540021235</v>
      </c>
    </row>
    <row r="31" spans="1:11" ht="15.75">
      <c r="A31" s="827" t="s">
        <v>563</v>
      </c>
      <c r="B31" s="827" t="str">
        <f t="shared" si="3"/>
        <v>Year 2019</v>
      </c>
      <c r="C31" s="827"/>
      <c r="D31" s="851">
        <f t="shared" si="4"/>
        <v>92986.738436794185</v>
      </c>
      <c r="E31" s="851"/>
      <c r="F31" s="852">
        <f t="shared" si="5"/>
        <v>4.1949999999999999E-3</v>
      </c>
      <c r="G31" s="1316">
        <f t="shared" si="0"/>
        <v>2</v>
      </c>
      <c r="H31" s="851">
        <f t="shared" si="1"/>
        <v>-780.15873548470324</v>
      </c>
      <c r="I31" s="851"/>
      <c r="J31" s="851"/>
      <c r="K31" s="851">
        <f t="shared" si="2"/>
        <v>-93766.897172278885</v>
      </c>
    </row>
    <row r="32" spans="1:11" ht="15.75">
      <c r="A32" s="827" t="s">
        <v>192</v>
      </c>
      <c r="B32" s="827" t="str">
        <f t="shared" si="3"/>
        <v>Year 2019</v>
      </c>
      <c r="C32" s="827"/>
      <c r="D32" s="851">
        <f t="shared" si="4"/>
        <v>92986.738436794185</v>
      </c>
      <c r="E32" s="851"/>
      <c r="F32" s="852">
        <f t="shared" si="5"/>
        <v>4.1949999999999999E-3</v>
      </c>
      <c r="G32" s="1316">
        <f t="shared" si="0"/>
        <v>1</v>
      </c>
      <c r="H32" s="854">
        <f t="shared" si="1"/>
        <v>-390.07936774235162</v>
      </c>
      <c r="I32" s="851"/>
      <c r="J32" s="851"/>
      <c r="K32" s="851">
        <f t="shared" si="2"/>
        <v>-93376.817804536535</v>
      </c>
    </row>
    <row r="33" spans="1:11" ht="15.75">
      <c r="A33" s="827"/>
      <c r="B33" s="827"/>
      <c r="C33" s="827"/>
      <c r="D33" s="851"/>
      <c r="E33" s="851"/>
      <c r="F33" s="852"/>
      <c r="G33" s="838"/>
      <c r="H33" s="851">
        <f>SUM(H21:H32)</f>
        <v>-30426.19068390342</v>
      </c>
      <c r="I33" s="851"/>
      <c r="J33" s="851"/>
      <c r="K33" s="855">
        <f>SUM(K21:K32)</f>
        <v>-1146267.0519254336</v>
      </c>
    </row>
    <row r="34" spans="1:11" ht="15.75">
      <c r="A34" s="827"/>
      <c r="B34" s="827"/>
      <c r="C34" s="827"/>
      <c r="D34" s="851"/>
      <c r="E34" s="851"/>
      <c r="F34" s="852"/>
      <c r="G34" s="838"/>
      <c r="H34" s="851"/>
      <c r="I34" s="851" t="s">
        <v>115</v>
      </c>
      <c r="J34" s="851"/>
      <c r="K34" s="545"/>
    </row>
    <row r="35" spans="1:11" ht="15.75">
      <c r="A35" s="827"/>
      <c r="B35" s="827"/>
      <c r="C35" s="827"/>
      <c r="D35" s="837"/>
      <c r="E35" s="837"/>
      <c r="F35" s="852"/>
      <c r="G35" s="838"/>
      <c r="H35" s="856" t="s">
        <v>564</v>
      </c>
      <c r="I35" s="851"/>
      <c r="J35" s="851"/>
      <c r="K35" s="851"/>
    </row>
    <row r="36" spans="1:11" ht="15.75">
      <c r="A36" s="827" t="s">
        <v>565</v>
      </c>
      <c r="B36" s="827" t="str">
        <f>"Year 2019"</f>
        <v>Year 2019</v>
      </c>
      <c r="C36" s="827"/>
      <c r="D36" s="837">
        <f>K33</f>
        <v>-1146267.0519254336</v>
      </c>
      <c r="E36" s="837"/>
      <c r="F36" s="852">
        <f>+F32</f>
        <v>4.1949999999999999E-3</v>
      </c>
      <c r="G36" s="853">
        <v>12</v>
      </c>
      <c r="H36" s="851">
        <f>+G36*F36*D36</f>
        <v>-57703.083393926318</v>
      </c>
      <c r="I36" s="851"/>
      <c r="J36" s="851"/>
      <c r="K36" s="855">
        <f>+D36+H36</f>
        <v>-1203970.1353193598</v>
      </c>
    </row>
    <row r="37" spans="1:11" ht="15.75">
      <c r="A37" s="827"/>
      <c r="B37" s="827"/>
      <c r="C37" s="827"/>
      <c r="D37" s="837"/>
      <c r="E37" s="837"/>
      <c r="F37" s="852"/>
      <c r="G37" s="827"/>
      <c r="H37" s="851"/>
      <c r="I37" s="851"/>
      <c r="J37" s="851"/>
      <c r="K37" s="851"/>
    </row>
    <row r="38" spans="1:11" ht="15.75">
      <c r="A38" s="857" t="s">
        <v>566</v>
      </c>
      <c r="B38" s="827"/>
      <c r="C38" s="827"/>
      <c r="D38" s="851"/>
      <c r="E38" s="851"/>
      <c r="F38" s="852"/>
      <c r="G38" s="827"/>
      <c r="H38" s="856" t="s">
        <v>560</v>
      </c>
      <c r="I38" s="851"/>
      <c r="J38" s="851"/>
      <c r="K38" s="851"/>
    </row>
    <row r="39" spans="1:11" ht="15.75">
      <c r="A39" s="827" t="s">
        <v>186</v>
      </c>
      <c r="B39" s="827" t="str">
        <f>"Year 2021"</f>
        <v>Year 2021</v>
      </c>
      <c r="C39" s="827"/>
      <c r="D39" s="858">
        <f>-K36</f>
        <v>1203970.1353193598</v>
      </c>
      <c r="E39" s="837"/>
      <c r="F39" s="852">
        <f>+F32</f>
        <v>4.1949999999999999E-3</v>
      </c>
      <c r="G39" s="827"/>
      <c r="H39" s="851">
        <f xml:space="preserve"> -F39*D39</f>
        <v>-5050.6547176647146</v>
      </c>
      <c r="I39" s="851">
        <f>PMT(F39,12,K$36)</f>
        <v>103087.61137821509</v>
      </c>
      <c r="J39" s="851"/>
      <c r="K39" s="851">
        <f>(+D39+D39*F39-I39)*-1</f>
        <v>-1105933.1786588095</v>
      </c>
    </row>
    <row r="40" spans="1:11" ht="15.75">
      <c r="A40" s="827" t="s">
        <v>561</v>
      </c>
      <c r="B40" s="827" t="str">
        <f>+B39</f>
        <v>Year 2021</v>
      </c>
      <c r="C40" s="827"/>
      <c r="D40" s="837">
        <f>-K39</f>
        <v>1105933.1786588095</v>
      </c>
      <c r="E40" s="837"/>
      <c r="F40" s="852">
        <f>+F39</f>
        <v>4.1949999999999999E-3</v>
      </c>
      <c r="G40" s="827"/>
      <c r="H40" s="851">
        <f xml:space="preserve"> -F40*D40</f>
        <v>-4639.3896844737055</v>
      </c>
      <c r="I40" s="851">
        <f>I39</f>
        <v>103087.61137821509</v>
      </c>
      <c r="J40" s="851"/>
      <c r="K40" s="851">
        <f t="shared" ref="K40:K50" si="6">(+D40+D40*F40-I40)*-1</f>
        <v>-1007484.956965068</v>
      </c>
    </row>
    <row r="41" spans="1:11" ht="15.75">
      <c r="A41" s="827" t="s">
        <v>187</v>
      </c>
      <c r="B41" s="827" t="str">
        <f>+B40</f>
        <v>Year 2021</v>
      </c>
      <c r="C41" s="827"/>
      <c r="D41" s="837">
        <f t="shared" ref="D41:D50" si="7">-K40</f>
        <v>1007484.956965068</v>
      </c>
      <c r="E41" s="837"/>
      <c r="F41" s="852">
        <f t="shared" ref="F41:F50" si="8">+F40</f>
        <v>4.1949999999999999E-3</v>
      </c>
      <c r="G41" s="827"/>
      <c r="H41" s="851">
        <f t="shared" ref="H41:H50" si="9" xml:space="preserve"> -F41*D41</f>
        <v>-4226.3993944684598</v>
      </c>
      <c r="I41" s="851">
        <f t="shared" ref="I41:I50" si="10">I40</f>
        <v>103087.61137821509</v>
      </c>
      <c r="J41" s="851"/>
      <c r="K41" s="851">
        <f t="shared" si="6"/>
        <v>-908623.74498132127</v>
      </c>
    </row>
    <row r="42" spans="1:11" ht="15.75">
      <c r="A42" s="827" t="s">
        <v>188</v>
      </c>
      <c r="B42" s="827" t="str">
        <f>+B41</f>
        <v>Year 2021</v>
      </c>
      <c r="C42" s="827"/>
      <c r="D42" s="837">
        <f t="shared" si="7"/>
        <v>908623.74498132127</v>
      </c>
      <c r="E42" s="837"/>
      <c r="F42" s="852">
        <f t="shared" si="8"/>
        <v>4.1949999999999999E-3</v>
      </c>
      <c r="G42" s="827"/>
      <c r="H42" s="851">
        <f t="shared" si="9"/>
        <v>-3811.6766101966427</v>
      </c>
      <c r="I42" s="851">
        <f t="shared" si="10"/>
        <v>103087.61137821509</v>
      </c>
      <c r="J42" s="851"/>
      <c r="K42" s="851">
        <f t="shared" si="6"/>
        <v>-809347.81021330273</v>
      </c>
    </row>
    <row r="43" spans="1:11" ht="15.75">
      <c r="A43" s="827" t="s">
        <v>189</v>
      </c>
      <c r="B43" s="827" t="str">
        <f>+B42</f>
        <v>Year 2021</v>
      </c>
      <c r="C43" s="827"/>
      <c r="D43" s="837">
        <f t="shared" si="7"/>
        <v>809347.81021330273</v>
      </c>
      <c r="E43" s="837"/>
      <c r="F43" s="852">
        <f t="shared" si="8"/>
        <v>4.1949999999999999E-3</v>
      </c>
      <c r="G43" s="827"/>
      <c r="H43" s="851">
        <f t="shared" si="9"/>
        <v>-3395.214063844805</v>
      </c>
      <c r="I43" s="851">
        <f>I42</f>
        <v>103087.61137821509</v>
      </c>
      <c r="J43" s="851"/>
      <c r="K43" s="851">
        <f t="shared" si="6"/>
        <v>-709655.41289893235</v>
      </c>
    </row>
    <row r="44" spans="1:11" ht="15.75">
      <c r="A44" s="827" t="s">
        <v>383</v>
      </c>
      <c r="B44" s="827" t="str">
        <f>B43</f>
        <v>Year 2021</v>
      </c>
      <c r="C44" s="545"/>
      <c r="D44" s="837">
        <f t="shared" si="7"/>
        <v>709655.41289893235</v>
      </c>
      <c r="E44" s="837"/>
      <c r="F44" s="852">
        <f t="shared" si="8"/>
        <v>4.1949999999999999E-3</v>
      </c>
      <c r="G44" s="827"/>
      <c r="H44" s="851">
        <f t="shared" si="9"/>
        <v>-2977.0044571110211</v>
      </c>
      <c r="I44" s="851">
        <f t="shared" si="10"/>
        <v>103087.61137821509</v>
      </c>
      <c r="J44" s="851"/>
      <c r="K44" s="851">
        <f t="shared" si="6"/>
        <v>-609544.80597782822</v>
      </c>
    </row>
    <row r="45" spans="1:11" ht="15.75">
      <c r="A45" s="827" t="s">
        <v>190</v>
      </c>
      <c r="B45" s="827" t="str">
        <f t="shared" ref="B45:B50" si="11">+B44</f>
        <v>Year 2021</v>
      </c>
      <c r="C45" s="827"/>
      <c r="D45" s="837">
        <f t="shared" si="7"/>
        <v>609544.80597782822</v>
      </c>
      <c r="E45" s="837"/>
      <c r="F45" s="852">
        <f t="shared" si="8"/>
        <v>4.1949999999999999E-3</v>
      </c>
      <c r="G45" s="827"/>
      <c r="H45" s="851">
        <f t="shared" si="9"/>
        <v>-2557.0404610769892</v>
      </c>
      <c r="I45" s="851">
        <f t="shared" si="10"/>
        <v>103087.61137821509</v>
      </c>
      <c r="J45" s="851"/>
      <c r="K45" s="851">
        <f t="shared" si="6"/>
        <v>-509014.23506069015</v>
      </c>
    </row>
    <row r="46" spans="1:11" ht="15.75">
      <c r="A46" s="827" t="s">
        <v>191</v>
      </c>
      <c r="B46" s="827" t="str">
        <f t="shared" si="11"/>
        <v>Year 2021</v>
      </c>
      <c r="C46" s="827"/>
      <c r="D46" s="837">
        <f t="shared" si="7"/>
        <v>509014.23506069015</v>
      </c>
      <c r="E46" s="837"/>
      <c r="F46" s="852">
        <f t="shared" si="8"/>
        <v>4.1949999999999999E-3</v>
      </c>
      <c r="G46" s="827"/>
      <c r="H46" s="851">
        <f t="shared" si="9"/>
        <v>-2135.3147160795952</v>
      </c>
      <c r="I46" s="851">
        <f t="shared" si="10"/>
        <v>103087.61137821509</v>
      </c>
      <c r="J46" s="851"/>
      <c r="K46" s="851">
        <f t="shared" si="6"/>
        <v>-408061.93839855469</v>
      </c>
    </row>
    <row r="47" spans="1:11" ht="15.75">
      <c r="A47" s="827" t="s">
        <v>193</v>
      </c>
      <c r="B47" s="827" t="str">
        <f t="shared" si="11"/>
        <v>Year 2021</v>
      </c>
      <c r="C47" s="827"/>
      <c r="D47" s="837">
        <f t="shared" si="7"/>
        <v>408061.93839855469</v>
      </c>
      <c r="E47" s="837"/>
      <c r="F47" s="852">
        <f t="shared" si="8"/>
        <v>4.1949999999999999E-3</v>
      </c>
      <c r="G47" s="827"/>
      <c r="H47" s="851">
        <f t="shared" si="9"/>
        <v>-1711.8198315819368</v>
      </c>
      <c r="I47" s="851">
        <f>I46</f>
        <v>103087.61137821509</v>
      </c>
      <c r="J47" s="851"/>
      <c r="K47" s="851">
        <f t="shared" si="6"/>
        <v>-306686.14685192157</v>
      </c>
    </row>
    <row r="48" spans="1:11" ht="15.75">
      <c r="A48" s="827" t="s">
        <v>562</v>
      </c>
      <c r="B48" s="827" t="str">
        <f t="shared" si="11"/>
        <v>Year 2021</v>
      </c>
      <c r="C48" s="827"/>
      <c r="D48" s="837">
        <f t="shared" si="7"/>
        <v>306686.14685192157</v>
      </c>
      <c r="E48" s="837"/>
      <c r="F48" s="852">
        <f t="shared" si="8"/>
        <v>4.1949999999999999E-3</v>
      </c>
      <c r="G48" s="827"/>
      <c r="H48" s="851">
        <f t="shared" si="9"/>
        <v>-1286.548386043811</v>
      </c>
      <c r="I48" s="851">
        <f t="shared" si="10"/>
        <v>103087.61137821509</v>
      </c>
      <c r="J48" s="851"/>
      <c r="K48" s="851">
        <f t="shared" si="6"/>
        <v>-204885.0838597503</v>
      </c>
    </row>
    <row r="49" spans="1:11" ht="15.75">
      <c r="A49" s="827" t="s">
        <v>563</v>
      </c>
      <c r="B49" s="827" t="str">
        <f t="shared" si="11"/>
        <v>Year 2021</v>
      </c>
      <c r="C49" s="827"/>
      <c r="D49" s="837">
        <f t="shared" si="7"/>
        <v>204885.0838597503</v>
      </c>
      <c r="E49" s="837"/>
      <c r="F49" s="852">
        <f t="shared" si="8"/>
        <v>4.1949999999999999E-3</v>
      </c>
      <c r="G49" s="827"/>
      <c r="H49" s="851">
        <f t="shared" si="9"/>
        <v>-859.49292679165251</v>
      </c>
      <c r="I49" s="851">
        <f t="shared" si="10"/>
        <v>103087.61137821509</v>
      </c>
      <c r="J49" s="851"/>
      <c r="K49" s="851">
        <f t="shared" si="6"/>
        <v>-102656.96540832687</v>
      </c>
    </row>
    <row r="50" spans="1:11" ht="15.75">
      <c r="A50" s="827" t="s">
        <v>192</v>
      </c>
      <c r="B50" s="827" t="str">
        <f t="shared" si="11"/>
        <v>Year 2021</v>
      </c>
      <c r="C50" s="827"/>
      <c r="D50" s="837">
        <f t="shared" si="7"/>
        <v>102656.96540832687</v>
      </c>
      <c r="E50" s="837"/>
      <c r="F50" s="852">
        <f t="shared" si="8"/>
        <v>4.1949999999999999E-3</v>
      </c>
      <c r="G50" s="827"/>
      <c r="H50" s="854">
        <f t="shared" si="9"/>
        <v>-430.64596988793119</v>
      </c>
      <c r="I50" s="851">
        <f t="shared" si="10"/>
        <v>103087.61137821509</v>
      </c>
      <c r="J50" s="851"/>
      <c r="K50" s="851">
        <f t="shared" si="6"/>
        <v>2.9103830456733704E-10</v>
      </c>
    </row>
    <row r="51" spans="1:11" ht="15.75">
      <c r="A51" s="827"/>
      <c r="B51" s="827"/>
      <c r="C51" s="827"/>
      <c r="D51" s="837"/>
      <c r="E51" s="837"/>
      <c r="F51" s="852"/>
      <c r="G51" s="827"/>
      <c r="H51" s="851">
        <f>SUM(H39:H50)</f>
        <v>-33081.201219221264</v>
      </c>
      <c r="I51" s="851"/>
      <c r="J51" s="851"/>
      <c r="K51" s="851"/>
    </row>
    <row r="52" spans="1:11" ht="15">
      <c r="A52" s="545"/>
      <c r="B52" s="545"/>
      <c r="C52" s="545"/>
      <c r="D52" s="545"/>
      <c r="E52" s="545"/>
      <c r="F52" s="545"/>
      <c r="G52" s="545"/>
      <c r="H52" s="545"/>
      <c r="I52" s="859"/>
      <c r="J52" s="545"/>
      <c r="K52" s="545"/>
    </row>
    <row r="53" spans="1:11" ht="15.75">
      <c r="A53" s="827" t="s">
        <v>571</v>
      </c>
      <c r="B53" s="545"/>
      <c r="C53" s="545"/>
      <c r="D53" s="545"/>
      <c r="E53" s="545"/>
      <c r="F53" s="545"/>
      <c r="G53" s="545"/>
      <c r="H53" s="545"/>
      <c r="I53" s="860">
        <f>(SUM(I39:I50)*-1)</f>
        <v>-1237051.3365385812</v>
      </c>
      <c r="J53" s="545"/>
      <c r="K53" s="545"/>
    </row>
    <row r="54" spans="1:11" ht="15.75">
      <c r="A54" s="827" t="s">
        <v>567</v>
      </c>
      <c r="B54" s="545"/>
      <c r="C54" s="545"/>
      <c r="D54" s="545"/>
      <c r="E54" s="545"/>
      <c r="F54" s="545"/>
      <c r="G54" s="545"/>
      <c r="H54" s="545"/>
      <c r="I54" s="861">
        <f>+H10</f>
        <v>1115840.8612415302</v>
      </c>
      <c r="J54" s="545"/>
      <c r="K54" s="545"/>
    </row>
    <row r="55" spans="1:11" ht="15.75">
      <c r="A55" s="827" t="s">
        <v>568</v>
      </c>
      <c r="B55" s="545"/>
      <c r="C55" s="545"/>
      <c r="D55" s="545"/>
      <c r="E55" s="545"/>
      <c r="F55" s="545"/>
      <c r="G55" s="545"/>
      <c r="H55" s="545"/>
      <c r="I55" s="860">
        <f>(I53+I54)</f>
        <v>-121210.47529705102</v>
      </c>
      <c r="J55" s="545"/>
      <c r="K55" s="545"/>
    </row>
    <row r="56" spans="1:11" ht="21" customHeight="1">
      <c r="A56" s="439"/>
      <c r="B56" s="439"/>
      <c r="C56" s="439"/>
      <c r="D56" s="439"/>
      <c r="E56" s="439"/>
      <c r="F56" s="439"/>
      <c r="G56" s="439"/>
      <c r="H56" s="439"/>
      <c r="I56" s="439"/>
      <c r="J56" s="439"/>
      <c r="K56" s="439"/>
    </row>
    <row r="57" spans="1:11" ht="74.45" customHeight="1">
      <c r="A57" s="1567" t="s">
        <v>572</v>
      </c>
      <c r="B57" s="1567"/>
      <c r="C57" s="1567"/>
      <c r="D57" s="1567"/>
      <c r="E57" s="862"/>
      <c r="F57" s="862"/>
      <c r="G57" s="862"/>
      <c r="H57" s="862"/>
      <c r="I57" s="862"/>
      <c r="J57" s="862"/>
      <c r="K57" s="862"/>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topLeftCell="A10" zoomScale="75" zoomScaleNormal="100" zoomScaleSheetLayoutView="100" workbookViewId="0">
      <selection activeCell="E27" sqref="E27"/>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20" t="s">
        <v>115</v>
      </c>
    </row>
    <row r="2" spans="1:15" ht="15.75">
      <c r="A2" s="920" t="s">
        <v>115</v>
      </c>
    </row>
    <row r="3" spans="1:15" ht="15">
      <c r="A3" s="1461" t="s">
        <v>388</v>
      </c>
      <c r="B3" s="1461"/>
      <c r="C3" s="1461"/>
      <c r="D3" s="1461"/>
      <c r="E3" s="1461"/>
      <c r="F3" s="1461"/>
      <c r="G3" s="1461"/>
      <c r="H3" s="1461"/>
      <c r="I3" s="1461"/>
      <c r="J3" s="40"/>
      <c r="K3" s="40"/>
    </row>
    <row r="4" spans="1:15" ht="15">
      <c r="A4" s="1462" t="str">
        <f>"Cost of Service Formula Rate Using Actual/Projected FF1 Balances"</f>
        <v>Cost of Service Formula Rate Using Actual/Projected FF1 Balances</v>
      </c>
      <c r="B4" s="1462"/>
      <c r="C4" s="1462"/>
      <c r="D4" s="1462"/>
      <c r="E4" s="1462"/>
      <c r="F4" s="1462"/>
      <c r="G4" s="1462"/>
      <c r="H4" s="1462"/>
      <c r="I4" s="1462"/>
      <c r="J4" s="99"/>
      <c r="K4" s="99"/>
    </row>
    <row r="5" spans="1:15" ht="15">
      <c r="A5" s="1462" t="s">
        <v>472</v>
      </c>
      <c r="B5" s="1462"/>
      <c r="C5" s="1462"/>
      <c r="D5" s="1462"/>
      <c r="E5" s="1462"/>
      <c r="F5" s="1462"/>
      <c r="G5" s="1462"/>
      <c r="H5" s="1462"/>
      <c r="I5" s="1462"/>
      <c r="J5" s="98"/>
      <c r="K5" s="98"/>
    </row>
    <row r="6" spans="1:15" ht="15">
      <c r="A6" s="1473" t="str">
        <f>TCOS!F9</f>
        <v xml:space="preserve">Indiana Michigan Power Company </v>
      </c>
      <c r="B6" s="1473"/>
      <c r="C6" s="1473"/>
      <c r="D6" s="1473"/>
      <c r="E6" s="1473"/>
      <c r="F6" s="1473"/>
      <c r="G6" s="1473"/>
      <c r="H6" s="1473"/>
      <c r="I6" s="1473"/>
      <c r="J6" s="4"/>
      <c r="K6" s="4"/>
      <c r="L6"/>
      <c r="M6"/>
    </row>
    <row r="7" spans="1:15">
      <c r="C7" s="34"/>
      <c r="D7" s="34"/>
    </row>
    <row r="8" spans="1:15">
      <c r="C8" s="8" t="s">
        <v>163</v>
      </c>
      <c r="D8" s="8" t="s">
        <v>164</v>
      </c>
      <c r="E8" s="8" t="s">
        <v>165</v>
      </c>
      <c r="G8" s="8" t="s">
        <v>166</v>
      </c>
      <c r="I8" s="8" t="s">
        <v>85</v>
      </c>
      <c r="J8" s="8"/>
      <c r="K8" s="8"/>
      <c r="L8" s="8"/>
      <c r="M8"/>
      <c r="N8"/>
      <c r="O8"/>
    </row>
    <row r="9" spans="1:15">
      <c r="A9" s="97"/>
      <c r="I9" s="14"/>
      <c r="J9"/>
      <c r="K9"/>
      <c r="L9"/>
      <c r="M9"/>
      <c r="N9"/>
      <c r="O9"/>
    </row>
    <row r="10" spans="1:15" ht="12.75" customHeight="1">
      <c r="A10" s="12" t="s">
        <v>170</v>
      </c>
      <c r="C10" s="35"/>
      <c r="D10" s="35"/>
      <c r="E10" s="1471" t="str">
        <f>"Balance @ December 31, "&amp;TCOS!L4&amp;""</f>
        <v>Balance @ December 31, 2021</v>
      </c>
      <c r="F10" s="146"/>
      <c r="G10" s="1471" t="str">
        <f>"Balance @ December 31, "&amp;TCOS!L4-1&amp;""</f>
        <v>Balance @ December 31, 2020</v>
      </c>
      <c r="H10" s="146"/>
      <c r="I10" s="1474" t="str">
        <f>"Average Balance for "&amp;TCOS!L4&amp;""</f>
        <v>Average Balance for 2021</v>
      </c>
      <c r="J10"/>
      <c r="K10"/>
      <c r="L10"/>
      <c r="M10"/>
      <c r="N10"/>
      <c r="O10"/>
    </row>
    <row r="11" spans="1:15">
      <c r="A11" s="12" t="s">
        <v>107</v>
      </c>
      <c r="B11" s="11"/>
      <c r="C11" s="12" t="s">
        <v>168</v>
      </c>
      <c r="D11" s="12" t="s">
        <v>207</v>
      </c>
      <c r="E11" s="1472"/>
      <c r="F11" s="89"/>
      <c r="G11" s="1472"/>
      <c r="H11" s="247"/>
      <c r="I11" s="1472"/>
      <c r="J11"/>
      <c r="K11"/>
      <c r="L11"/>
      <c r="M11"/>
      <c r="N11"/>
      <c r="O11"/>
    </row>
    <row r="12" spans="1:15">
      <c r="A12" s="97"/>
      <c r="C12" s="34"/>
      <c r="D12" s="34"/>
      <c r="G12" s="259"/>
      <c r="J12" s="26"/>
      <c r="K12" s="26"/>
    </row>
    <row r="13" spans="1:15">
      <c r="A13" s="97"/>
      <c r="C13" s="34"/>
      <c r="D13" s="34"/>
      <c r="J13" s="26"/>
      <c r="K13" s="26"/>
    </row>
    <row r="14" spans="1:15">
      <c r="A14" s="97"/>
      <c r="C14" s="34"/>
      <c r="D14" s="34"/>
      <c r="J14" s="26"/>
      <c r="K14" s="26"/>
    </row>
    <row r="15" spans="1:15" ht="15.75">
      <c r="A15" s="97">
        <v>1</v>
      </c>
      <c r="C15" s="61" t="s">
        <v>510</v>
      </c>
      <c r="D15" s="61"/>
      <c r="J15" s="26"/>
      <c r="K15" s="26"/>
    </row>
    <row r="16" spans="1:15" ht="15.75">
      <c r="A16" s="97"/>
      <c r="C16" s="61"/>
      <c r="D16" s="61"/>
      <c r="H16"/>
      <c r="J16" s="26"/>
      <c r="K16" s="26"/>
    </row>
    <row r="17" spans="1:17">
      <c r="A17" s="97">
        <f>+A15+1</f>
        <v>2</v>
      </c>
      <c r="C17" s="63" t="s">
        <v>516</v>
      </c>
      <c r="D17" s="88" t="s">
        <v>518</v>
      </c>
      <c r="E17" s="873">
        <v>27320000</v>
      </c>
      <c r="G17" s="873">
        <v>27153000</v>
      </c>
      <c r="H17"/>
      <c r="I17" s="142">
        <f>IF(G17="",0,(E17+G17)/2)</f>
        <v>27236500</v>
      </c>
      <c r="J17" s="26"/>
      <c r="K17" s="26"/>
    </row>
    <row r="18" spans="1:17">
      <c r="A18" s="97">
        <f>+A17+1</f>
        <v>3</v>
      </c>
      <c r="C18" s="63" t="s">
        <v>520</v>
      </c>
      <c r="D18" s="327" t="str">
        <f>"WS B-1 - Actual Stmt. AF Ln. " &amp;'WS B-1 - Actual Stmt. AF'!A24&amp;" (Note 1)"</f>
        <v>WS B-1 - Actual Stmt. AF Ln. 4 (Note 1)</v>
      </c>
      <c r="E18" s="873">
        <v>0</v>
      </c>
      <c r="G18" s="873">
        <v>0</v>
      </c>
      <c r="H18"/>
      <c r="I18" s="142">
        <f>IF(G18="",0,(E18+G18)/2)</f>
        <v>0</v>
      </c>
      <c r="J18" s="26"/>
      <c r="K18" s="26"/>
    </row>
    <row r="19" spans="1:17" ht="15">
      <c r="A19" s="97">
        <f>+A18+1</f>
        <v>4</v>
      </c>
      <c r="C19" s="63" t="s">
        <v>521</v>
      </c>
      <c r="D19" s="327" t="str">
        <f>"WS B-1 - Actual Stmt. AF Ln. " &amp;'WS B-1 - Actual Stmt. AF'!A23&amp;" (Note 1)"</f>
        <v>WS B-1 - Actual Stmt. AF Ln. 3 (Note 1)</v>
      </c>
      <c r="E19" s="918">
        <v>27320000</v>
      </c>
      <c r="G19" s="918">
        <v>27153000</v>
      </c>
      <c r="I19" s="226">
        <f>IF(G19="",0,(E19+G19)/2)</f>
        <v>27236500</v>
      </c>
      <c r="J19" s="26"/>
      <c r="K19" s="26"/>
    </row>
    <row r="20" spans="1:17">
      <c r="A20" s="97">
        <f>+A19+1</f>
        <v>5</v>
      </c>
      <c r="C20" s="63" t="s">
        <v>517</v>
      </c>
      <c r="D20" s="147" t="str">
        <f>"Ln "&amp;A17&amp;" - ln "&amp;A18&amp;" - ln "&amp;A19&amp;""</f>
        <v>Ln 2 - ln 3 - ln 4</v>
      </c>
      <c r="E20" s="27">
        <f>+E17-E18-E19</f>
        <v>0</v>
      </c>
      <c r="G20" s="27">
        <f>+G17-G18-G19</f>
        <v>0</v>
      </c>
      <c r="I20" s="142">
        <f>+I17-I18-I19</f>
        <v>0</v>
      </c>
      <c r="J20" s="26"/>
      <c r="K20" s="26"/>
    </row>
    <row r="21" spans="1:17">
      <c r="A21" s="97"/>
      <c r="C21" s="63"/>
      <c r="D21" s="147"/>
      <c r="J21" s="26"/>
      <c r="K21" s="26"/>
    </row>
    <row r="22" spans="1:17">
      <c r="A22" s="97"/>
      <c r="C22" s="63"/>
      <c r="D22" s="147"/>
      <c r="J22" s="26"/>
      <c r="K22" s="27"/>
      <c r="L22" s="27"/>
      <c r="M22" s="27"/>
      <c r="N22" s="27"/>
      <c r="O22" s="27"/>
    </row>
    <row r="23" spans="1:17" ht="15.75">
      <c r="A23" s="97">
        <f>+A20+1</f>
        <v>6</v>
      </c>
      <c r="C23" s="61" t="s">
        <v>511</v>
      </c>
      <c r="D23" s="147"/>
      <c r="J23" s="26"/>
      <c r="K23" s="27"/>
      <c r="L23" s="27"/>
      <c r="M23" s="27"/>
      <c r="N23" s="27"/>
      <c r="O23" s="27"/>
    </row>
    <row r="24" spans="1:17">
      <c r="A24" s="97"/>
      <c r="C24" s="63"/>
      <c r="D24" s="147"/>
      <c r="J24" s="26"/>
      <c r="K24" s="27"/>
      <c r="L24" s="27"/>
      <c r="M24" s="27"/>
      <c r="N24" s="27"/>
      <c r="O24" s="27"/>
    </row>
    <row r="25" spans="1:17">
      <c r="A25" s="97">
        <f>+A23+1</f>
        <v>7</v>
      </c>
      <c r="C25" s="63" t="s">
        <v>516</v>
      </c>
      <c r="D25" s="88" t="s">
        <v>450</v>
      </c>
      <c r="E25" s="873">
        <v>1430202000</v>
      </c>
      <c r="G25" s="873">
        <v>1421454000</v>
      </c>
      <c r="H25"/>
      <c r="I25" s="142">
        <f>IF(G25="",0,(E25+G25)/2)</f>
        <v>1425828000</v>
      </c>
      <c r="J25" s="26"/>
      <c r="K25" s="27"/>
      <c r="L25" s="27"/>
      <c r="M25" s="27"/>
      <c r="N25" s="27"/>
      <c r="O25" s="27"/>
    </row>
    <row r="26" spans="1:17">
      <c r="A26" s="97">
        <f>+A25+1</f>
        <v>8</v>
      </c>
      <c r="C26" s="63" t="s">
        <v>520</v>
      </c>
      <c r="D26" s="327" t="str">
        <f>"WS B-1 - Actual Stmt. AF Ln. " &amp;'WS B-1 - Actual Stmt. AF'!A72&amp;" (Note 1)"</f>
        <v>WS B-1 - Actual Stmt. AF Ln. 7 (Note 1)</v>
      </c>
      <c r="E26" s="873">
        <v>74833000</v>
      </c>
      <c r="G26" s="873">
        <v>74833000</v>
      </c>
      <c r="H26"/>
      <c r="I26" s="142">
        <f>IF(G26="",0,(E26+G26)/2)</f>
        <v>74833000</v>
      </c>
      <c r="J26" s="26"/>
      <c r="K26" s="27"/>
      <c r="L26" s="27"/>
      <c r="M26" s="27"/>
      <c r="N26" s="27"/>
      <c r="O26" s="27"/>
    </row>
    <row r="27" spans="1:17" ht="15">
      <c r="A27" s="97">
        <f>+A26+1</f>
        <v>9</v>
      </c>
      <c r="C27" s="63" t="s">
        <v>521</v>
      </c>
      <c r="D27" s="327" t="str">
        <f>"WS B-1 - Actual Stmt. AF Ln. " &amp;'WS B-1 - Actual Stmt. AF'!A71&amp;" (Note 1)"</f>
        <v>WS B-1 - Actual Stmt. AF Ln. 6 (Note 1)</v>
      </c>
      <c r="E27" s="918">
        <v>1103035000</v>
      </c>
      <c r="G27" s="918">
        <v>1095001000</v>
      </c>
      <c r="I27" s="226">
        <f>IF(G27="",0,(E27+G27)/2)</f>
        <v>1099018000</v>
      </c>
      <c r="J27" s="26"/>
      <c r="K27" s="27"/>
      <c r="L27" s="27"/>
      <c r="M27" s="27"/>
      <c r="N27" s="27"/>
      <c r="O27" s="27"/>
    </row>
    <row r="28" spans="1:17">
      <c r="A28" s="97">
        <f>+A27+1</f>
        <v>10</v>
      </c>
      <c r="C28" s="63" t="s">
        <v>517</v>
      </c>
      <c r="D28" s="147" t="str">
        <f>"Ln "&amp;A25&amp;" - ln "&amp;A26&amp;" - ln "&amp;A27&amp;""</f>
        <v>Ln 7 - ln 8 - ln 9</v>
      </c>
      <c r="E28" s="27">
        <f>+E25-E26-E27</f>
        <v>252334000</v>
      </c>
      <c r="G28" s="27">
        <f>+G25-G26-G27</f>
        <v>251620000</v>
      </c>
      <c r="I28" s="142">
        <f>+I25-I26-I27</f>
        <v>251977000</v>
      </c>
      <c r="J28" s="26"/>
      <c r="K28" s="27"/>
      <c r="L28" s="27"/>
      <c r="M28" s="27"/>
      <c r="N28" s="27"/>
      <c r="O28" s="27"/>
    </row>
    <row r="29" spans="1:17">
      <c r="A29" s="97"/>
      <c r="C29" s="63"/>
      <c r="D29" s="147"/>
      <c r="J29" s="26"/>
      <c r="K29" s="27"/>
      <c r="L29" s="27"/>
      <c r="M29" s="27"/>
      <c r="N29" s="27"/>
      <c r="O29" s="27"/>
      <c r="P29" s="27"/>
      <c r="Q29" s="27"/>
    </row>
    <row r="30" spans="1:17">
      <c r="A30" s="97"/>
      <c r="C30" s="63"/>
      <c r="D30" s="147"/>
      <c r="E30" s="144"/>
      <c r="G30" s="144"/>
      <c r="J30" s="26"/>
      <c r="K30" s="27"/>
      <c r="L30" s="27"/>
      <c r="M30" s="27"/>
      <c r="N30" s="27"/>
      <c r="O30" s="27"/>
      <c r="P30" s="27"/>
      <c r="Q30" s="27"/>
    </row>
    <row r="31" spans="1:17" ht="15.75">
      <c r="A31" s="97">
        <f>+A28+1</f>
        <v>11</v>
      </c>
      <c r="C31" s="61" t="s">
        <v>512</v>
      </c>
      <c r="D31" s="147"/>
      <c r="J31" s="26"/>
      <c r="K31" s="27"/>
      <c r="L31" s="27"/>
      <c r="M31" s="27"/>
      <c r="N31" s="27"/>
      <c r="O31" s="27"/>
      <c r="P31" s="27"/>
      <c r="Q31" s="27"/>
    </row>
    <row r="32" spans="1:17" ht="15.75">
      <c r="A32" s="97"/>
      <c r="C32" s="61"/>
      <c r="D32" s="147"/>
      <c r="J32" s="26"/>
      <c r="K32" s="27"/>
      <c r="L32" s="27"/>
      <c r="M32" s="27"/>
      <c r="N32" s="27"/>
      <c r="O32" s="27"/>
      <c r="P32" s="27"/>
      <c r="Q32" s="27"/>
    </row>
    <row r="33" spans="1:17">
      <c r="A33" s="97">
        <f>+A31+1</f>
        <v>12</v>
      </c>
      <c r="C33" s="63" t="s">
        <v>516</v>
      </c>
      <c r="D33" s="88" t="s">
        <v>519</v>
      </c>
      <c r="E33" s="873">
        <v>571204000</v>
      </c>
      <c r="G33" s="873">
        <v>567710000</v>
      </c>
      <c r="H33"/>
      <c r="I33" s="142">
        <f>IF(G33="",0,(E33+G33)/2)</f>
        <v>569457000</v>
      </c>
      <c r="J33" s="26"/>
      <c r="K33" s="27"/>
      <c r="L33" s="27"/>
      <c r="M33" s="27"/>
      <c r="N33" s="27"/>
      <c r="O33" s="27"/>
      <c r="P33" s="27"/>
      <c r="Q33" s="27"/>
    </row>
    <row r="34" spans="1:17">
      <c r="A34" s="97">
        <f>+A33+1</f>
        <v>13</v>
      </c>
      <c r="C34" s="63" t="s">
        <v>520</v>
      </c>
      <c r="D34" s="327" t="str">
        <f>"WS B-1 - Actual Stmt. AF Ln. " &amp;'WS B-1 - Actual Stmt. AF'!A184&amp;" (Note 1)"</f>
        <v>WS B-1 - Actual Stmt. AF Ln. 13 (Note 1)</v>
      </c>
      <c r="E34" s="873">
        <v>551428000</v>
      </c>
      <c r="G34" s="873">
        <v>551428000</v>
      </c>
      <c r="H34"/>
      <c r="I34" s="142">
        <f>IF(G34="",0,(E34+G34)/2)</f>
        <v>551428000</v>
      </c>
      <c r="J34" s="26"/>
      <c r="K34" s="1095"/>
      <c r="L34" s="1095"/>
      <c r="M34" s="1095"/>
      <c r="N34" s="1095"/>
      <c r="O34" s="1095"/>
    </row>
    <row r="35" spans="1:17" ht="15">
      <c r="A35" s="97">
        <f>+A34+1</f>
        <v>14</v>
      </c>
      <c r="C35" s="63" t="s">
        <v>521</v>
      </c>
      <c r="D35" s="327" t="str">
        <f>"WS B-1 - Actual Stmt. AF Ln. " &amp;'WS B-1 - Actual Stmt. AF'!A183&amp;" (Note 1)"</f>
        <v>WS B-1 - Actual Stmt. AF Ln. 12 (Note 1)</v>
      </c>
      <c r="E35" s="918">
        <v>17609000</v>
      </c>
      <c r="G35" s="918">
        <v>14129000</v>
      </c>
      <c r="I35" s="226">
        <f>IF(G35="",0,(E35+G35)/2)</f>
        <v>15869000</v>
      </c>
      <c r="J35" s="26"/>
      <c r="K35" s="26"/>
    </row>
    <row r="36" spans="1:17">
      <c r="A36" s="97">
        <f>+A35+1</f>
        <v>15</v>
      </c>
      <c r="C36" s="63" t="s">
        <v>517</v>
      </c>
      <c r="D36" s="147" t="str">
        <f>"Ln "&amp;A33&amp;" - ln "&amp;A34&amp;" - ln "&amp;A35&amp;""</f>
        <v>Ln 12 - ln 13 - ln 14</v>
      </c>
      <c r="E36" s="27">
        <f>+E33-E34-E35</f>
        <v>2167000</v>
      </c>
      <c r="G36" s="27">
        <f>+G33-G34-G35</f>
        <v>2153000</v>
      </c>
      <c r="I36" s="142">
        <f>+I33-I34-I35</f>
        <v>2160000</v>
      </c>
      <c r="J36" s="26"/>
      <c r="K36" s="26"/>
    </row>
    <row r="37" spans="1:17" ht="15.75">
      <c r="A37" s="97"/>
      <c r="C37" s="61"/>
      <c r="D37" s="147"/>
      <c r="J37" s="26"/>
      <c r="K37" s="27"/>
      <c r="L37" s="27"/>
      <c r="M37" s="27"/>
      <c r="N37" s="27"/>
      <c r="O37" s="27"/>
      <c r="P37" s="27"/>
    </row>
    <row r="38" spans="1:17">
      <c r="A38" s="97"/>
      <c r="C38" s="63"/>
      <c r="D38" s="147"/>
      <c r="J38" s="26"/>
      <c r="K38" s="27"/>
      <c r="L38" s="27"/>
      <c r="M38" s="27"/>
      <c r="N38" s="27"/>
      <c r="O38" s="27"/>
      <c r="P38" s="27"/>
    </row>
    <row r="39" spans="1:17" ht="15.75">
      <c r="A39" s="97">
        <f>+A36+1</f>
        <v>16</v>
      </c>
      <c r="C39" s="61" t="s">
        <v>513</v>
      </c>
      <c r="D39" s="147"/>
      <c r="J39" s="26"/>
      <c r="K39" s="27"/>
      <c r="L39" s="27"/>
      <c r="M39" s="27"/>
      <c r="N39" s="27"/>
      <c r="O39" s="27"/>
      <c r="P39" s="27"/>
    </row>
    <row r="40" spans="1:17">
      <c r="A40" s="97"/>
      <c r="C40" s="63"/>
      <c r="D40" s="147"/>
      <c r="J40" s="26"/>
      <c r="K40" s="27"/>
      <c r="L40" s="27"/>
      <c r="M40" s="27"/>
      <c r="N40" s="27"/>
      <c r="O40" s="27"/>
      <c r="P40" s="27"/>
    </row>
    <row r="41" spans="1:17">
      <c r="A41" s="97">
        <f>+A39+1</f>
        <v>17</v>
      </c>
      <c r="C41" s="63" t="s">
        <v>516</v>
      </c>
      <c r="D41" s="88" t="s">
        <v>515</v>
      </c>
      <c r="E41" s="873">
        <v>716189000</v>
      </c>
      <c r="G41" s="873">
        <v>720788000</v>
      </c>
      <c r="H41"/>
      <c r="I41" s="142">
        <f>IF(G41="",0,(E41+G41)/2)</f>
        <v>718488500</v>
      </c>
      <c r="J41" s="26"/>
      <c r="K41" s="27"/>
      <c r="L41" s="27"/>
      <c r="M41" s="27"/>
      <c r="N41" s="27"/>
      <c r="O41" s="27"/>
    </row>
    <row r="42" spans="1:17">
      <c r="A42" s="97">
        <f>+A41+1</f>
        <v>18</v>
      </c>
      <c r="C42" s="63" t="s">
        <v>520</v>
      </c>
      <c r="D42" s="327" t="str">
        <f>"WS B-2 - Actual Stmt. AG Ln. " &amp;'WS B-2 - Actual Stmt. AG'!A110&amp;" (Note 1)"</f>
        <v>WS B-2 - Actual Stmt. AG Ln. 4 (Note 1)</v>
      </c>
      <c r="E42" s="873">
        <v>626761000</v>
      </c>
      <c r="G42" s="873">
        <v>626761000</v>
      </c>
      <c r="H42"/>
      <c r="I42" s="142">
        <f>IF(G42="",0,(E42+G42)/2)</f>
        <v>626761000</v>
      </c>
      <c r="J42" s="26"/>
      <c r="K42" s="27"/>
      <c r="L42" s="27"/>
      <c r="M42" s="27"/>
      <c r="N42" s="27"/>
      <c r="O42" s="27"/>
    </row>
    <row r="43" spans="1:17" ht="15">
      <c r="A43" s="97">
        <f>+A42+1</f>
        <v>19</v>
      </c>
      <c r="C43" s="63" t="s">
        <v>521</v>
      </c>
      <c r="D43" s="327" t="str">
        <f>"WS B-2 - Actual Stmt. AG Ln. " &amp;'WS B-2 - Actual Stmt. AG'!A109&amp;" (Note 1)"</f>
        <v>WS B-2 - Actual Stmt. AG Ln. 3 (Note 1)</v>
      </c>
      <c r="E43" s="918">
        <v>79268000</v>
      </c>
      <c r="G43" s="918">
        <v>83802000</v>
      </c>
      <c r="I43" s="226">
        <f>IF(G43="",0,(E43+G43)/2)</f>
        <v>81535000</v>
      </c>
      <c r="J43" s="26"/>
      <c r="K43" s="27"/>
      <c r="L43" s="27"/>
      <c r="M43" s="27"/>
      <c r="N43" s="27"/>
      <c r="O43" s="27"/>
    </row>
    <row r="44" spans="1:17">
      <c r="A44" s="97">
        <f>+A43+1</f>
        <v>20</v>
      </c>
      <c r="C44" s="63" t="s">
        <v>517</v>
      </c>
      <c r="D44" s="147" t="str">
        <f>"Ln "&amp;A41&amp;" - ln "&amp;A42&amp;" - ln "&amp;A43&amp;""</f>
        <v>Ln 17 - ln 18 - ln 19</v>
      </c>
      <c r="E44" s="27">
        <f>+E41-E42-E43+1000</f>
        <v>10161000</v>
      </c>
      <c r="G44" s="27">
        <f>+G41-G42-G43+1000</f>
        <v>10226000</v>
      </c>
      <c r="I44" s="142">
        <f>+I41-I42-I43</f>
        <v>10192500</v>
      </c>
      <c r="J44" s="26"/>
      <c r="K44" s="26"/>
    </row>
    <row r="45" spans="1:17">
      <c r="A45" s="97"/>
      <c r="C45" s="63"/>
      <c r="D45" s="147"/>
      <c r="J45" s="26"/>
      <c r="K45" s="26"/>
    </row>
    <row r="46" spans="1:17">
      <c r="A46" s="97"/>
      <c r="C46" s="63"/>
      <c r="D46" s="147"/>
      <c r="J46" s="26"/>
      <c r="K46" s="26"/>
    </row>
    <row r="47" spans="1:17" ht="15.75">
      <c r="A47" s="97">
        <f>+A44+1</f>
        <v>21</v>
      </c>
      <c r="C47" s="61" t="s">
        <v>514</v>
      </c>
      <c r="D47" s="147"/>
      <c r="J47" s="26"/>
      <c r="K47" s="26"/>
    </row>
    <row r="48" spans="1:17">
      <c r="A48" s="97"/>
      <c r="C48" s="63"/>
      <c r="D48" s="147"/>
      <c r="J48" s="26"/>
      <c r="K48" s="27"/>
      <c r="L48" s="27"/>
      <c r="M48" s="27"/>
      <c r="N48" s="27"/>
      <c r="O48" s="27"/>
    </row>
    <row r="49" spans="1:15">
      <c r="A49" s="97">
        <f>+A47+1</f>
        <v>22</v>
      </c>
      <c r="C49" s="63" t="s">
        <v>522</v>
      </c>
      <c r="D49" s="88" t="s">
        <v>471</v>
      </c>
      <c r="E49" s="873">
        <v>25893000</v>
      </c>
      <c r="F49" s="1318"/>
      <c r="G49" s="873">
        <v>29866000</v>
      </c>
      <c r="H49"/>
      <c r="I49" s="142">
        <f>IF(G49="",0,(E49+G49)/2)</f>
        <v>27879500</v>
      </c>
      <c r="J49" s="26"/>
      <c r="K49" s="27"/>
      <c r="L49" s="27"/>
      <c r="M49" s="27"/>
      <c r="N49" s="27"/>
      <c r="O49" s="27"/>
    </row>
    <row r="50" spans="1:15" ht="15">
      <c r="A50" s="97">
        <f>+A49+1</f>
        <v>23</v>
      </c>
      <c r="C50" s="63" t="s">
        <v>523</v>
      </c>
      <c r="D50" s="327" t="s">
        <v>68</v>
      </c>
      <c r="E50" s="918">
        <v>25893000</v>
      </c>
      <c r="G50" s="918">
        <v>29866000</v>
      </c>
      <c r="H50"/>
      <c r="I50" s="226">
        <f>IF(G50="",0,(E50+G50)/2)</f>
        <v>27879500</v>
      </c>
      <c r="J50" s="26"/>
      <c r="K50" s="27"/>
      <c r="L50" s="27"/>
      <c r="M50" s="27"/>
      <c r="N50" s="27"/>
      <c r="O50" s="27"/>
    </row>
    <row r="51" spans="1:15">
      <c r="A51" s="97">
        <f>+A50+1</f>
        <v>24</v>
      </c>
      <c r="C51" s="63" t="s">
        <v>389</v>
      </c>
      <c r="D51" s="147" t="str">
        <f>"Ln "&amp;A49&amp;" - ln "&amp;A50&amp;""</f>
        <v>Ln 22 - ln 23</v>
      </c>
      <c r="E51" s="1319">
        <f>+E49-E50</f>
        <v>0</v>
      </c>
      <c r="F51" s="1318"/>
      <c r="G51" s="1319">
        <f>+G49-G50</f>
        <v>0</v>
      </c>
      <c r="H51"/>
      <c r="I51" s="142">
        <f>+I49-I50</f>
        <v>0</v>
      </c>
      <c r="J51" s="26"/>
      <c r="K51" s="27"/>
      <c r="L51" s="27"/>
      <c r="M51" s="27"/>
      <c r="N51" s="27"/>
      <c r="O51" s="27"/>
    </row>
    <row r="52" spans="1:15">
      <c r="A52" s="97">
        <f>+A51+1</f>
        <v>25</v>
      </c>
      <c r="C52" s="63" t="s">
        <v>517</v>
      </c>
      <c r="D52" s="327" t="str">
        <f>"WS B-1 - Actual Stmt. AF Ln. " &amp;'WS B-1 - Actual Stmt. AF'!A197&amp;" (Note 1)"</f>
        <v>WS B-1 - Actual Stmt. AF Ln. 20 (Note 1)</v>
      </c>
      <c r="E52" s="1317">
        <v>0</v>
      </c>
      <c r="F52" s="1318"/>
      <c r="G52" s="1317">
        <v>0</v>
      </c>
      <c r="H52"/>
      <c r="I52" s="142">
        <f>IF(G52="",0,(E52+G52)/2)</f>
        <v>0</v>
      </c>
      <c r="J52" s="26"/>
      <c r="K52" s="27"/>
      <c r="L52" s="27"/>
      <c r="M52" s="27"/>
      <c r="N52" s="27"/>
      <c r="O52" s="27"/>
    </row>
    <row r="53" spans="1:15">
      <c r="A53" s="97"/>
      <c r="C53" s="63"/>
      <c r="D53" s="63"/>
      <c r="J53" s="26"/>
      <c r="K53" s="27"/>
      <c r="L53" s="27"/>
      <c r="M53" s="27"/>
      <c r="N53" s="27"/>
      <c r="O53" s="27"/>
    </row>
    <row r="54" spans="1:15">
      <c r="A54" s="86" t="s">
        <v>69</v>
      </c>
      <c r="C54" s="1470" t="s">
        <v>828</v>
      </c>
      <c r="D54" s="1470"/>
      <c r="E54" s="1470"/>
      <c r="F54" s="1470"/>
      <c r="G54" s="1470"/>
      <c r="H54" s="1470"/>
      <c r="I54" s="1470"/>
      <c r="J54" s="26"/>
      <c r="K54" s="26"/>
    </row>
    <row r="55" spans="1:15">
      <c r="A55" s="86"/>
      <c r="C55" s="1470"/>
      <c r="D55" s="1470"/>
      <c r="E55" s="1470"/>
      <c r="F55" s="1470"/>
      <c r="G55" s="1470"/>
      <c r="H55" s="1470"/>
      <c r="I55" s="1470"/>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topLeftCell="C1" zoomScale="60" zoomScaleNormal="50" workbookViewId="0">
      <selection activeCell="U10" sqref="U10"/>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5" bestFit="1" customWidth="1"/>
    <col min="15" max="15" width="13.5703125" bestFit="1" customWidth="1"/>
    <col min="16" max="16" width="3.140625" customWidth="1"/>
    <col min="17" max="17" width="13.140625" bestFit="1" customWidth="1"/>
    <col min="18" max="18" width="15" bestFit="1" customWidth="1"/>
    <col min="19" max="19" width="13.5703125" bestFit="1" customWidth="1"/>
  </cols>
  <sheetData>
    <row r="1" spans="1:19">
      <c r="A1" s="1079"/>
      <c r="B1" s="1146" t="str">
        <f>TCOS!F9</f>
        <v xml:space="preserve">Indiana Michigan Power Company </v>
      </c>
      <c r="C1" s="1059"/>
      <c r="D1" s="1059"/>
      <c r="E1" s="1059"/>
      <c r="F1" s="1059"/>
      <c r="G1" s="1060"/>
      <c r="H1" s="1060"/>
      <c r="I1" s="1060"/>
      <c r="J1" s="1060"/>
      <c r="K1" s="1060"/>
      <c r="L1" s="1060"/>
      <c r="M1" s="1059"/>
      <c r="N1" s="1059"/>
      <c r="O1" s="1059"/>
      <c r="P1" s="1059"/>
      <c r="Q1" s="1059"/>
      <c r="R1" s="1059"/>
      <c r="S1" s="1060"/>
    </row>
    <row r="2" spans="1:19">
      <c r="A2" s="1079"/>
      <c r="B2" s="1058" t="s">
        <v>830</v>
      </c>
      <c r="C2" s="1059"/>
      <c r="D2" s="1059"/>
      <c r="E2" s="1059"/>
      <c r="F2" s="1059"/>
      <c r="G2" s="1060"/>
      <c r="H2" s="1060"/>
      <c r="I2" s="1060"/>
      <c r="J2" s="1060"/>
      <c r="K2" s="1060"/>
      <c r="L2" s="1060"/>
      <c r="M2" s="1059"/>
      <c r="N2" s="1059"/>
      <c r="O2" s="1059"/>
      <c r="P2" s="1059"/>
      <c r="Q2" s="1059"/>
      <c r="R2" s="1059"/>
      <c r="S2" s="1060"/>
    </row>
    <row r="3" spans="1:19">
      <c r="A3" s="1079"/>
      <c r="B3" s="1101" t="str">
        <f>"PERIOD ENDED DECEMBER 31, "&amp;TCOS!L4</f>
        <v>PERIOD ENDED DECEMBER 31, 2021</v>
      </c>
      <c r="C3" s="1059"/>
      <c r="D3" s="1059"/>
      <c r="E3" s="1059"/>
      <c r="F3" s="1059"/>
      <c r="G3" s="1059"/>
      <c r="H3" s="1059"/>
      <c r="I3" s="1059"/>
      <c r="J3" s="1059"/>
      <c r="K3" s="1059"/>
      <c r="L3" s="1059"/>
      <c r="M3" s="1059"/>
      <c r="N3" s="1059"/>
      <c r="O3" s="1059"/>
      <c r="P3" s="1059"/>
      <c r="Q3" s="1059"/>
      <c r="R3" s="1059"/>
      <c r="S3" s="1059"/>
    </row>
    <row r="4" spans="1:19">
      <c r="A4" s="1079"/>
      <c r="B4" s="1059"/>
      <c r="C4" s="1059"/>
      <c r="D4" s="1059"/>
      <c r="E4" s="1059"/>
      <c r="F4" s="1059"/>
      <c r="G4" s="981" t="s">
        <v>702</v>
      </c>
      <c r="H4" s="981"/>
      <c r="I4" s="981"/>
      <c r="J4" s="981"/>
      <c r="K4" s="981"/>
      <c r="L4" s="981"/>
      <c r="M4" s="1059"/>
      <c r="N4" s="1059"/>
      <c r="O4" s="1059"/>
      <c r="P4" s="1059"/>
      <c r="Q4" s="1059"/>
      <c r="R4" s="1059"/>
      <c r="S4" s="1059"/>
    </row>
    <row r="5" spans="1:19">
      <c r="A5" s="1079"/>
      <c r="B5" s="1061"/>
      <c r="C5" s="1059"/>
      <c r="D5" s="1059"/>
      <c r="E5" s="1059"/>
      <c r="F5" s="1059"/>
      <c r="G5" s="1059"/>
      <c r="H5" s="1059"/>
      <c r="I5" s="1059"/>
      <c r="J5" s="1059"/>
      <c r="K5" s="1059"/>
      <c r="L5" s="1059"/>
      <c r="M5" s="1059"/>
      <c r="N5" s="1059"/>
      <c r="O5" s="1059"/>
      <c r="P5" s="1059"/>
      <c r="Q5" s="1059"/>
      <c r="R5" s="1059"/>
      <c r="S5" s="1059"/>
    </row>
    <row r="6" spans="1:19">
      <c r="A6" s="1079"/>
      <c r="B6" s="1059"/>
      <c r="C6" s="1059"/>
      <c r="D6" s="1059"/>
      <c r="E6" s="1059"/>
      <c r="F6" s="1059"/>
      <c r="G6" s="1059"/>
      <c r="H6" s="1059"/>
      <c r="I6" s="1059"/>
      <c r="J6" s="1059"/>
      <c r="K6" s="1059"/>
      <c r="L6" s="1059"/>
      <c r="M6" s="1059"/>
      <c r="N6" s="1059"/>
      <c r="O6" s="1059"/>
      <c r="P6" s="1059"/>
      <c r="Q6" s="1059"/>
      <c r="R6" s="1059"/>
      <c r="S6" s="1059"/>
    </row>
    <row r="7" spans="1:19">
      <c r="A7" s="1079"/>
      <c r="B7" s="1059"/>
      <c r="C7" s="1059"/>
      <c r="D7" s="1059"/>
      <c r="E7" s="1059"/>
      <c r="F7" s="1059"/>
      <c r="G7" s="1059"/>
      <c r="H7" s="1059"/>
      <c r="I7" s="1059"/>
      <c r="J7" s="1059"/>
      <c r="K7" s="1059"/>
      <c r="L7" s="1059"/>
      <c r="M7" s="1059"/>
      <c r="N7" s="1059"/>
      <c r="O7" s="1059"/>
      <c r="P7" s="1059"/>
      <c r="Q7" s="1059"/>
      <c r="R7" s="1059"/>
      <c r="S7" s="1059"/>
    </row>
    <row r="8" spans="1:19">
      <c r="A8" s="1079"/>
      <c r="B8" s="1062" t="s">
        <v>703</v>
      </c>
      <c r="C8" s="1062" t="s">
        <v>704</v>
      </c>
      <c r="D8" s="1062" t="s">
        <v>705</v>
      </c>
      <c r="E8" s="1062" t="s">
        <v>706</v>
      </c>
      <c r="F8" s="1062" t="s">
        <v>707</v>
      </c>
      <c r="G8" s="1062" t="s">
        <v>708</v>
      </c>
      <c r="H8" s="1062"/>
      <c r="I8" s="1062" t="s">
        <v>709</v>
      </c>
      <c r="J8" s="1062" t="s">
        <v>710</v>
      </c>
      <c r="K8" s="1062" t="s">
        <v>711</v>
      </c>
      <c r="L8" s="1062"/>
      <c r="M8" s="1062" t="s">
        <v>712</v>
      </c>
      <c r="N8" s="1062" t="s">
        <v>713</v>
      </c>
      <c r="O8" s="1062" t="s">
        <v>714</v>
      </c>
      <c r="P8" s="1059"/>
      <c r="Q8" s="1062" t="s">
        <v>715</v>
      </c>
      <c r="R8" s="1062" t="s">
        <v>716</v>
      </c>
      <c r="S8" s="1062" t="s">
        <v>717</v>
      </c>
    </row>
    <row r="9" spans="1:19">
      <c r="A9" s="1079"/>
      <c r="B9" s="1059"/>
      <c r="C9" s="1059"/>
      <c r="D9" s="1059"/>
      <c r="E9" s="1059"/>
      <c r="F9" s="1059"/>
      <c r="G9" s="1059"/>
      <c r="H9" s="1059"/>
      <c r="I9" s="1059"/>
      <c r="J9" s="1059"/>
      <c r="K9" s="1059"/>
      <c r="L9" s="1059"/>
      <c r="M9" s="1059"/>
      <c r="N9" s="1059"/>
      <c r="O9" s="1059"/>
      <c r="P9" s="1059"/>
      <c r="Q9" s="1059"/>
      <c r="R9" s="1059"/>
      <c r="S9" s="1059"/>
    </row>
    <row r="10" spans="1:19">
      <c r="A10" s="1079"/>
      <c r="B10" s="1059"/>
      <c r="C10" s="1063" t="s">
        <v>718</v>
      </c>
      <c r="D10" s="1063"/>
      <c r="E10" s="1064" t="s">
        <v>719</v>
      </c>
      <c r="F10" s="1063"/>
      <c r="G10" s="22" t="s">
        <v>720</v>
      </c>
      <c r="H10" s="22"/>
      <c r="I10" s="1065" t="s">
        <v>721</v>
      </c>
      <c r="J10" s="1063"/>
      <c r="K10" s="1063"/>
      <c r="L10" s="22"/>
      <c r="M10" s="1065" t="str">
        <f>"FUNCTIONALIZATION 12/31/"&amp;TCOS!L4-1</f>
        <v>FUNCTIONALIZATION 12/31/2020</v>
      </c>
      <c r="N10" s="1063"/>
      <c r="O10" s="1063"/>
      <c r="P10" s="1059"/>
      <c r="Q10" s="1065" t="str">
        <f>"FUNCTIONALIZATION 12/31/"&amp;TCOS!L4</f>
        <v>FUNCTIONALIZATION 12/31/2021</v>
      </c>
      <c r="R10" s="1063"/>
      <c r="S10" s="1063"/>
    </row>
    <row r="11" spans="1:19">
      <c r="A11" s="1079"/>
      <c r="B11" s="1059"/>
      <c r="C11" s="1067"/>
      <c r="D11" s="1067"/>
      <c r="E11" s="1059"/>
      <c r="F11" s="1059"/>
      <c r="G11" s="22" t="s">
        <v>722</v>
      </c>
      <c r="H11" s="22"/>
      <c r="I11" s="1067"/>
      <c r="J11" s="1067"/>
      <c r="K11" s="1067"/>
      <c r="L11" s="22"/>
      <c r="M11" s="1067"/>
      <c r="N11" s="1067"/>
      <c r="O11" s="1067"/>
      <c r="P11" s="1059"/>
      <c r="Q11" s="1067"/>
      <c r="R11" s="1067"/>
      <c r="S11" s="1067"/>
    </row>
    <row r="12" spans="1:19" s="21" customFormat="1">
      <c r="A12" s="1079"/>
      <c r="B12" s="1059"/>
      <c r="C12" s="22" t="s">
        <v>723</v>
      </c>
      <c r="D12" s="22" t="s">
        <v>723</v>
      </c>
      <c r="E12" s="22" t="s">
        <v>723</v>
      </c>
      <c r="F12" s="22" t="s">
        <v>723</v>
      </c>
      <c r="G12" s="22" t="s">
        <v>724</v>
      </c>
      <c r="H12" s="22"/>
      <c r="I12" s="1059"/>
      <c r="J12" s="1059"/>
      <c r="K12" s="1059"/>
      <c r="L12" s="22"/>
      <c r="M12" s="1059"/>
      <c r="N12" s="1059"/>
      <c r="O12" s="1059"/>
      <c r="P12" s="1059"/>
      <c r="Q12" s="1059"/>
      <c r="R12" s="1059"/>
      <c r="S12" s="1059"/>
    </row>
    <row r="13" spans="1:19" s="21" customFormat="1">
      <c r="A13" s="1079"/>
      <c r="B13" s="1062" t="s">
        <v>725</v>
      </c>
      <c r="C13" s="1062" t="str">
        <f>"OF 12-31-"&amp;TCOS!L4-1</f>
        <v>OF 12-31-2020</v>
      </c>
      <c r="D13" s="1062" t="str">
        <f>"OF 12-31-"&amp;TCOS!L4</f>
        <v>OF 12-31-2021</v>
      </c>
      <c r="E13" s="1062" t="str">
        <f>"OF 12-31-"&amp;TCOS!L4-1</f>
        <v>OF 12-31-2020</v>
      </c>
      <c r="F13" s="1062" t="str">
        <f>"OF 12-31-"&amp;TCOS!L4</f>
        <v>OF 12-31-2021</v>
      </c>
      <c r="G13" s="1062" t="s">
        <v>726</v>
      </c>
      <c r="H13" s="1062"/>
      <c r="I13" s="1062" t="s">
        <v>727</v>
      </c>
      <c r="J13" s="1062" t="s">
        <v>728</v>
      </c>
      <c r="K13" s="1062" t="s">
        <v>729</v>
      </c>
      <c r="L13" s="1062"/>
      <c r="M13" s="1062" t="s">
        <v>727</v>
      </c>
      <c r="N13" s="1062" t="s">
        <v>728</v>
      </c>
      <c r="O13" s="1062" t="s">
        <v>729</v>
      </c>
      <c r="P13" s="1059"/>
      <c r="Q13" s="1062" t="s">
        <v>727</v>
      </c>
      <c r="R13" s="1062" t="s">
        <v>728</v>
      </c>
      <c r="S13" s="1062" t="s">
        <v>729</v>
      </c>
    </row>
    <row r="14" spans="1:19">
      <c r="A14" s="1079"/>
      <c r="B14" s="1059"/>
      <c r="C14" s="1059"/>
      <c r="D14" s="1059"/>
      <c r="E14" s="1059"/>
      <c r="F14" s="1059"/>
      <c r="G14" s="1059"/>
      <c r="H14" s="1059"/>
      <c r="I14" s="1059"/>
      <c r="J14" s="1059"/>
      <c r="K14" s="1059"/>
      <c r="L14" s="1059"/>
      <c r="M14" s="1059"/>
      <c r="N14" s="1059"/>
      <c r="O14" s="1059"/>
      <c r="P14" s="1059"/>
      <c r="Q14" s="1059"/>
      <c r="R14" s="1059"/>
      <c r="S14" s="1059"/>
    </row>
    <row r="15" spans="1:19">
      <c r="A15" s="1100">
        <v>1</v>
      </c>
      <c r="B15" s="873" t="s">
        <v>730</v>
      </c>
      <c r="C15" s="1069"/>
      <c r="D15" s="1069"/>
      <c r="E15" s="1069"/>
      <c r="F15" s="1070"/>
      <c r="G15" s="1069"/>
      <c r="H15" s="1069"/>
      <c r="I15" s="1069"/>
      <c r="J15" s="1069"/>
      <c r="K15" s="1069"/>
      <c r="L15" s="1069"/>
      <c r="M15" s="1069"/>
      <c r="N15" s="1069"/>
      <c r="O15" s="1069"/>
      <c r="P15" s="1069"/>
      <c r="Q15" s="1069"/>
      <c r="R15" s="1069"/>
      <c r="S15" s="1069"/>
    </row>
    <row r="16" spans="1:19">
      <c r="A16" s="1100">
        <v>2.0099999999999998</v>
      </c>
      <c r="B16" s="873"/>
      <c r="C16" s="1069"/>
      <c r="D16" s="1069"/>
      <c r="E16" s="1069"/>
      <c r="F16" s="1069"/>
      <c r="G16" s="1069"/>
      <c r="H16" s="1069"/>
      <c r="I16" s="1069"/>
      <c r="J16" s="1069"/>
      <c r="K16" s="1069"/>
      <c r="L16" s="1069"/>
      <c r="M16" s="1069"/>
      <c r="N16" s="1069"/>
      <c r="O16" s="1069"/>
      <c r="P16" s="1069"/>
      <c r="Q16" s="1069"/>
      <c r="R16" s="1069"/>
      <c r="S16" s="1069"/>
    </row>
    <row r="17" spans="1:19">
      <c r="A17" s="1100">
        <v>2.02</v>
      </c>
      <c r="B17" s="873"/>
      <c r="C17" s="1069">
        <f>SUM(M17:O17)</f>
        <v>0</v>
      </c>
      <c r="D17" s="1069">
        <f>SUM(Q17:S17)</f>
        <v>0</v>
      </c>
      <c r="E17" s="1069"/>
      <c r="F17" s="1069"/>
      <c r="G17" s="1069">
        <f>ROUND(SUM(C17:F17)/2,0)</f>
        <v>0</v>
      </c>
      <c r="H17" s="1069"/>
      <c r="I17" s="1069">
        <f>(M17+Q17)/2</f>
        <v>0</v>
      </c>
      <c r="J17" s="1069">
        <f>(N17+R17)/2</f>
        <v>0</v>
      </c>
      <c r="K17" s="1069">
        <f>(O17+S17)/2</f>
        <v>0</v>
      </c>
      <c r="L17" s="1069"/>
      <c r="M17" s="873"/>
      <c r="N17" s="873"/>
      <c r="O17" s="873"/>
      <c r="P17" s="1069"/>
      <c r="Q17" s="873"/>
      <c r="R17" s="873"/>
      <c r="S17" s="873"/>
    </row>
    <row r="18" spans="1:19">
      <c r="A18" s="1100">
        <v>2.0299999999999998</v>
      </c>
      <c r="B18" s="873"/>
      <c r="C18" s="1069"/>
      <c r="D18" s="1069"/>
      <c r="E18" s="1069"/>
      <c r="F18" s="1069"/>
      <c r="G18" s="1069"/>
      <c r="H18" s="1069"/>
      <c r="I18" s="1069"/>
      <c r="J18" s="1069"/>
      <c r="K18" s="1069"/>
      <c r="L18" s="1069"/>
      <c r="M18" s="1069"/>
      <c r="N18" s="1069"/>
      <c r="O18" s="1069"/>
      <c r="P18" s="1069"/>
      <c r="Q18" s="1069"/>
      <c r="R18" s="1069"/>
      <c r="S18" s="1069"/>
    </row>
    <row r="19" spans="1:19">
      <c r="A19" s="1100">
        <v>2.04</v>
      </c>
      <c r="B19" s="873"/>
      <c r="C19" s="1069">
        <v>0</v>
      </c>
      <c r="D19" s="1069">
        <v>0</v>
      </c>
      <c r="E19" s="1069">
        <f t="shared" ref="E19:F21" si="0">-C19</f>
        <v>0</v>
      </c>
      <c r="F19" s="1069">
        <f t="shared" si="0"/>
        <v>0</v>
      </c>
      <c r="G19" s="1069">
        <f>ROUND(SUM(C19:F19)/2,0)</f>
        <v>0</v>
      </c>
      <c r="H19" s="1069"/>
      <c r="I19" s="1069"/>
      <c r="J19" s="1069"/>
      <c r="K19" s="1069"/>
      <c r="L19" s="1069"/>
      <c r="M19" s="1069"/>
      <c r="N19" s="1069"/>
      <c r="O19" s="1069"/>
      <c r="P19" s="1069"/>
      <c r="Q19" s="1069"/>
      <c r="R19" s="1069"/>
      <c r="S19" s="1069"/>
    </row>
    <row r="20" spans="1:19">
      <c r="A20" s="1100">
        <v>2.0499999999999998</v>
      </c>
      <c r="B20" s="873"/>
      <c r="C20" s="1069">
        <v>0</v>
      </c>
      <c r="D20" s="1069">
        <v>0</v>
      </c>
      <c r="E20" s="1069">
        <f t="shared" si="0"/>
        <v>0</v>
      </c>
      <c r="F20" s="1069">
        <f t="shared" si="0"/>
        <v>0</v>
      </c>
      <c r="G20" s="1069">
        <f>ROUND(SUM(C20:F20)/2,0)</f>
        <v>0</v>
      </c>
      <c r="H20" s="1069"/>
      <c r="I20" s="1069"/>
      <c r="J20" s="1069"/>
      <c r="K20" s="1069"/>
      <c r="L20" s="1069"/>
      <c r="M20" s="1069"/>
      <c r="N20" s="1069"/>
      <c r="O20" s="1069"/>
      <c r="P20" s="1069"/>
      <c r="Q20" s="1069"/>
      <c r="R20" s="1069"/>
      <c r="S20" s="1069"/>
    </row>
    <row r="21" spans="1:19">
      <c r="A21" s="1100">
        <v>2.06</v>
      </c>
      <c r="B21" s="873"/>
      <c r="C21" s="1069">
        <v>0</v>
      </c>
      <c r="D21" s="1069">
        <v>0</v>
      </c>
      <c r="E21" s="1069">
        <f t="shared" si="0"/>
        <v>0</v>
      </c>
      <c r="F21" s="1069">
        <f t="shared" si="0"/>
        <v>0</v>
      </c>
      <c r="G21" s="1069">
        <f>ROUND(SUM(C21:F21)/2,0)</f>
        <v>0</v>
      </c>
      <c r="H21" s="1069"/>
      <c r="I21" s="1069"/>
      <c r="J21" s="1069"/>
      <c r="K21" s="1069"/>
      <c r="L21" s="1069"/>
      <c r="M21" s="1069"/>
      <c r="N21" s="1069"/>
      <c r="O21" s="1069"/>
      <c r="P21" s="1069"/>
      <c r="Q21" s="1069"/>
      <c r="R21" s="1069"/>
      <c r="S21" s="1069"/>
    </row>
    <row r="22" spans="1:19">
      <c r="A22" s="1096"/>
      <c r="B22" s="1059"/>
      <c r="C22" s="1069"/>
      <c r="D22" s="1069"/>
      <c r="E22" s="1069"/>
      <c r="F22" s="1069"/>
      <c r="G22" s="1069"/>
      <c r="H22" s="1069"/>
      <c r="I22" s="1069"/>
      <c r="J22" s="1069"/>
      <c r="K22" s="1069"/>
      <c r="L22" s="1069"/>
      <c r="M22" s="1069"/>
      <c r="N22" s="1069"/>
      <c r="O22" s="1069"/>
      <c r="P22" s="1069"/>
      <c r="Q22" s="1069"/>
      <c r="R22" s="1069"/>
      <c r="S22" s="1069"/>
    </row>
    <row r="23" spans="1:19" ht="13.5" thickBot="1">
      <c r="A23" s="1080">
        <v>3</v>
      </c>
      <c r="B23" s="266" t="s">
        <v>731</v>
      </c>
      <c r="C23" s="1072">
        <f>SUM(C17:C22)</f>
        <v>0</v>
      </c>
      <c r="D23" s="1072">
        <f>SUM(D17:D22)</f>
        <v>0</v>
      </c>
      <c r="E23" s="1072">
        <f>SUM(E17:E22)</f>
        <v>0</v>
      </c>
      <c r="F23" s="1072">
        <f>SUM(F17:F22)</f>
        <v>0</v>
      </c>
      <c r="G23" s="1072">
        <f>SUM(G17:G22)</f>
        <v>0</v>
      </c>
      <c r="H23" s="1069"/>
      <c r="I23" s="1072">
        <f>SUM(I17:I22)</f>
        <v>0</v>
      </c>
      <c r="J23" s="1072">
        <f>SUM(J17:J22)</f>
        <v>0</v>
      </c>
      <c r="K23" s="1072">
        <f>SUM(K17:K22)</f>
        <v>0</v>
      </c>
      <c r="L23" s="1069"/>
      <c r="M23" s="1072">
        <f>SUM(M17:M22)</f>
        <v>0</v>
      </c>
      <c r="N23" s="1072">
        <f>SUM(N17:N22)</f>
        <v>0</v>
      </c>
      <c r="O23" s="1072">
        <f>SUM(O17:O22)</f>
        <v>0</v>
      </c>
      <c r="P23" s="1069"/>
      <c r="Q23" s="1072">
        <f>SUM(Q17:Q22)</f>
        <v>0</v>
      </c>
      <c r="R23" s="1072">
        <f>SUM(R17:R22)</f>
        <v>0</v>
      </c>
      <c r="S23" s="1072">
        <f>SUM(S17:S22)</f>
        <v>0</v>
      </c>
    </row>
    <row r="24" spans="1:19" ht="13.5" thickTop="1">
      <c r="A24" s="1080">
        <f>A23+1</f>
        <v>4</v>
      </c>
      <c r="B24" s="1147" t="s">
        <v>749</v>
      </c>
      <c r="C24" s="1093">
        <v>0</v>
      </c>
      <c r="D24" s="1093">
        <v>0</v>
      </c>
      <c r="E24" s="1093">
        <v>0</v>
      </c>
      <c r="F24" s="1093">
        <v>0</v>
      </c>
      <c r="G24" s="1093">
        <v>0</v>
      </c>
      <c r="H24" s="1094"/>
      <c r="I24" s="1093">
        <v>0</v>
      </c>
      <c r="J24" s="1093">
        <v>0</v>
      </c>
      <c r="K24" s="1093">
        <v>0</v>
      </c>
      <c r="L24" s="1094"/>
      <c r="M24" s="1093">
        <v>0</v>
      </c>
      <c r="N24" s="1093">
        <v>0</v>
      </c>
      <c r="O24" s="1093">
        <v>0</v>
      </c>
      <c r="P24" s="1094"/>
      <c r="Q24" s="1093">
        <v>0</v>
      </c>
      <c r="R24" s="1093">
        <v>0</v>
      </c>
      <c r="S24" s="1093">
        <v>0</v>
      </c>
    </row>
    <row r="25" spans="1:19">
      <c r="A25" s="1080"/>
      <c r="B25" s="1059"/>
      <c r="C25" s="1069"/>
      <c r="D25" s="1069"/>
      <c r="E25" s="1069"/>
      <c r="F25" s="1069"/>
      <c r="G25" s="1069"/>
      <c r="H25" s="1069"/>
      <c r="I25" s="1069"/>
      <c r="J25" s="1069"/>
      <c r="K25" s="1069"/>
      <c r="L25" s="1069"/>
      <c r="M25" s="1069"/>
      <c r="N25" s="1069"/>
      <c r="O25" s="1069"/>
      <c r="P25" s="1069"/>
      <c r="Q25" s="1069"/>
      <c r="R25" s="1069"/>
      <c r="S25" s="1069"/>
    </row>
    <row r="26" spans="1:19">
      <c r="A26" s="1080">
        <v>5</v>
      </c>
      <c r="B26" s="1060" t="s">
        <v>732</v>
      </c>
      <c r="C26" s="1069"/>
      <c r="D26" s="1069"/>
      <c r="E26" s="1069"/>
      <c r="F26" s="1069"/>
      <c r="G26" s="1069"/>
      <c r="H26" s="1069"/>
      <c r="I26" s="1069"/>
      <c r="J26" s="1069"/>
      <c r="K26" s="1069"/>
      <c r="L26" s="1069"/>
      <c r="M26" s="1069"/>
      <c r="N26" s="1069"/>
      <c r="O26" s="1069"/>
      <c r="P26" s="1069"/>
      <c r="Q26" s="1069"/>
      <c r="R26" s="1069"/>
      <c r="S26" s="1069"/>
    </row>
    <row r="27" spans="1:19">
      <c r="A27" s="1097"/>
      <c r="B27" s="1059"/>
      <c r="C27" s="1069"/>
      <c r="D27" s="1069"/>
      <c r="E27" s="1069"/>
      <c r="F27" s="1069"/>
      <c r="G27" s="1069"/>
      <c r="H27" s="1069"/>
      <c r="I27" s="1069"/>
      <c r="J27" s="1069"/>
      <c r="K27" s="1069"/>
      <c r="L27" s="1069"/>
      <c r="M27" s="1069"/>
      <c r="N27" s="1069"/>
      <c r="O27" s="1069"/>
      <c r="P27" s="1069"/>
      <c r="Q27" s="1069"/>
      <c r="R27" s="1069"/>
      <c r="S27" s="1069"/>
    </row>
    <row r="28" spans="1:19">
      <c r="A28" s="1100">
        <v>5.01</v>
      </c>
      <c r="B28" s="873"/>
      <c r="C28" s="1069">
        <f t="shared" ref="C28:C64" si="1">SUM(M28:O28)</f>
        <v>0</v>
      </c>
      <c r="D28" s="1069">
        <f t="shared" ref="D28:D64" si="2">SUM(Q28:S28)</f>
        <v>0</v>
      </c>
      <c r="E28" s="1069"/>
      <c r="F28" s="1069"/>
      <c r="G28" s="1069">
        <f t="shared" ref="G28:G50" si="3">ROUND(SUM(C28:F28)/2,0)</f>
        <v>0</v>
      </c>
      <c r="H28" s="1069"/>
      <c r="I28" s="1069">
        <f t="shared" ref="I28:K65" si="4">(M28+Q28)/2</f>
        <v>0</v>
      </c>
      <c r="J28" s="1069">
        <f t="shared" si="4"/>
        <v>0</v>
      </c>
      <c r="K28" s="1069">
        <f t="shared" si="4"/>
        <v>0</v>
      </c>
      <c r="L28" s="1069"/>
      <c r="M28" s="873"/>
      <c r="N28" s="873"/>
      <c r="O28" s="873"/>
      <c r="P28" s="1069"/>
      <c r="Q28" s="873"/>
      <c r="R28" s="873"/>
      <c r="S28" s="873"/>
    </row>
    <row r="29" spans="1:19">
      <c r="A29" s="1100">
        <f>A28+0.01</f>
        <v>5.0199999999999996</v>
      </c>
      <c r="B29" s="873"/>
      <c r="C29" s="1069">
        <f>SUM(M29:O29)</f>
        <v>0</v>
      </c>
      <c r="D29" s="1069">
        <f>SUM(Q29:S29)</f>
        <v>0</v>
      </c>
      <c r="E29" s="1069"/>
      <c r="F29" s="1069"/>
      <c r="G29" s="1069">
        <f t="shared" si="3"/>
        <v>0</v>
      </c>
      <c r="H29" s="1069"/>
      <c r="I29" s="1069">
        <f t="shared" si="4"/>
        <v>0</v>
      </c>
      <c r="J29" s="1069">
        <f t="shared" si="4"/>
        <v>0</v>
      </c>
      <c r="K29" s="1069">
        <f t="shared" si="4"/>
        <v>0</v>
      </c>
      <c r="L29" s="1069"/>
      <c r="M29" s="873"/>
      <c r="N29" s="873"/>
      <c r="O29" s="873"/>
      <c r="P29" s="1069"/>
      <c r="Q29" s="873"/>
      <c r="R29" s="873"/>
      <c r="S29" s="873"/>
    </row>
    <row r="30" spans="1:19">
      <c r="A30" s="1100">
        <f t="shared" ref="A30:A68" si="5">A29+0.01</f>
        <v>5.0299999999999994</v>
      </c>
      <c r="B30" s="873"/>
      <c r="C30" s="1069">
        <f t="shared" si="1"/>
        <v>0</v>
      </c>
      <c r="D30" s="1069">
        <f t="shared" si="2"/>
        <v>0</v>
      </c>
      <c r="E30" s="1069"/>
      <c r="F30" s="1069"/>
      <c r="G30" s="1069">
        <f t="shared" si="3"/>
        <v>0</v>
      </c>
      <c r="H30" s="1069"/>
      <c r="I30" s="1069">
        <f t="shared" si="4"/>
        <v>0</v>
      </c>
      <c r="J30" s="1069">
        <f t="shared" si="4"/>
        <v>0</v>
      </c>
      <c r="K30" s="1069">
        <f t="shared" si="4"/>
        <v>0</v>
      </c>
      <c r="L30" s="1069"/>
      <c r="M30" s="1134"/>
      <c r="N30" s="1134"/>
      <c r="O30" s="873"/>
      <c r="P30" s="1069"/>
      <c r="Q30" s="1134"/>
      <c r="R30" s="1134"/>
      <c r="S30" s="873"/>
    </row>
    <row r="31" spans="1:19">
      <c r="A31" s="1100">
        <f t="shared" si="5"/>
        <v>5.0399999999999991</v>
      </c>
      <c r="B31" s="873"/>
      <c r="C31" s="1069">
        <f>SUM(M31:O31)</f>
        <v>0</v>
      </c>
      <c r="D31" s="1069">
        <f>SUM(Q31:S31)</f>
        <v>0</v>
      </c>
      <c r="E31" s="1069"/>
      <c r="F31" s="1069"/>
      <c r="G31" s="1069">
        <f t="shared" si="3"/>
        <v>0</v>
      </c>
      <c r="H31" s="1069"/>
      <c r="I31" s="1069">
        <f t="shared" si="4"/>
        <v>0</v>
      </c>
      <c r="J31" s="1069">
        <f t="shared" si="4"/>
        <v>0</v>
      </c>
      <c r="K31" s="1069">
        <f t="shared" si="4"/>
        <v>0</v>
      </c>
      <c r="L31" s="1069"/>
      <c r="M31" s="873"/>
      <c r="N31" s="873"/>
      <c r="O31" s="873"/>
      <c r="P31" s="1069"/>
      <c r="Q31" s="873"/>
      <c r="R31" s="873"/>
      <c r="S31" s="873"/>
    </row>
    <row r="32" spans="1:19">
      <c r="A32" s="1100">
        <f t="shared" si="5"/>
        <v>5.0499999999999989</v>
      </c>
      <c r="B32" s="873"/>
      <c r="C32" s="1069">
        <f t="shared" si="1"/>
        <v>0</v>
      </c>
      <c r="D32" s="1069">
        <f t="shared" si="2"/>
        <v>0</v>
      </c>
      <c r="E32" s="1069"/>
      <c r="F32" s="1069"/>
      <c r="G32" s="1069">
        <f t="shared" si="3"/>
        <v>0</v>
      </c>
      <c r="H32" s="1069"/>
      <c r="I32" s="1069">
        <f t="shared" si="4"/>
        <v>0</v>
      </c>
      <c r="J32" s="1069">
        <f t="shared" si="4"/>
        <v>0</v>
      </c>
      <c r="K32" s="1069">
        <f t="shared" si="4"/>
        <v>0</v>
      </c>
      <c r="L32" s="1069"/>
      <c r="M32" s="873"/>
      <c r="N32" s="873"/>
      <c r="O32" s="873"/>
      <c r="P32" s="1069"/>
      <c r="Q32" s="873"/>
      <c r="R32" s="873"/>
      <c r="S32" s="873"/>
    </row>
    <row r="33" spans="1:19">
      <c r="A33" s="1100">
        <f t="shared" si="5"/>
        <v>5.0599999999999987</v>
      </c>
      <c r="B33" s="873"/>
      <c r="C33" s="1069">
        <f t="shared" ref="C33:C39" si="6">SUM(M33:O33)</f>
        <v>0</v>
      </c>
      <c r="D33" s="1069">
        <f t="shared" ref="D33:D39" si="7">SUM(Q33:S33)</f>
        <v>0</v>
      </c>
      <c r="E33" s="1069"/>
      <c r="F33" s="1069"/>
      <c r="G33" s="1069">
        <f t="shared" si="3"/>
        <v>0</v>
      </c>
      <c r="H33" s="1069"/>
      <c r="I33" s="1069">
        <f t="shared" si="4"/>
        <v>0</v>
      </c>
      <c r="J33" s="1069">
        <f t="shared" si="4"/>
        <v>0</v>
      </c>
      <c r="K33" s="1069">
        <f t="shared" si="4"/>
        <v>0</v>
      </c>
      <c r="L33" s="1069"/>
      <c r="M33" s="873"/>
      <c r="N33" s="873"/>
      <c r="O33" s="873"/>
      <c r="P33" s="1069"/>
      <c r="Q33" s="873"/>
      <c r="R33" s="873"/>
      <c r="S33" s="873"/>
    </row>
    <row r="34" spans="1:19">
      <c r="A34" s="1100">
        <f t="shared" si="5"/>
        <v>5.0699999999999985</v>
      </c>
      <c r="B34" s="873"/>
      <c r="C34" s="1074">
        <f t="shared" si="6"/>
        <v>0</v>
      </c>
      <c r="D34" s="1074">
        <f t="shared" si="7"/>
        <v>0</v>
      </c>
      <c r="E34" s="1074"/>
      <c r="F34" s="1074"/>
      <c r="G34" s="1074">
        <f t="shared" si="3"/>
        <v>0</v>
      </c>
      <c r="H34" s="1074"/>
      <c r="I34" s="1074">
        <f t="shared" si="4"/>
        <v>0</v>
      </c>
      <c r="J34" s="1074">
        <f t="shared" si="4"/>
        <v>0</v>
      </c>
      <c r="K34" s="1074">
        <f t="shared" si="4"/>
        <v>0</v>
      </c>
      <c r="L34" s="1074"/>
      <c r="M34" s="873"/>
      <c r="N34" s="1134"/>
      <c r="O34" s="873"/>
      <c r="P34" s="1069"/>
      <c r="Q34" s="1134"/>
      <c r="R34" s="1134"/>
      <c r="S34" s="873"/>
    </row>
    <row r="35" spans="1:19">
      <c r="A35" s="1100">
        <f t="shared" si="5"/>
        <v>5.0799999999999983</v>
      </c>
      <c r="B35" s="873"/>
      <c r="C35" s="1074">
        <f t="shared" si="6"/>
        <v>0</v>
      </c>
      <c r="D35" s="1074">
        <f t="shared" si="7"/>
        <v>0</v>
      </c>
      <c r="E35" s="1074"/>
      <c r="F35" s="1074"/>
      <c r="G35" s="1074">
        <f t="shared" si="3"/>
        <v>0</v>
      </c>
      <c r="H35" s="1074"/>
      <c r="I35" s="1074">
        <f t="shared" si="4"/>
        <v>0</v>
      </c>
      <c r="J35" s="1074">
        <f t="shared" si="4"/>
        <v>0</v>
      </c>
      <c r="K35" s="1074">
        <f t="shared" si="4"/>
        <v>0</v>
      </c>
      <c r="L35" s="1074"/>
      <c r="M35" s="873"/>
      <c r="N35" s="873"/>
      <c r="O35" s="873"/>
      <c r="P35" s="1074"/>
      <c r="Q35" s="873"/>
      <c r="R35" s="873"/>
      <c r="S35" s="873"/>
    </row>
    <row r="36" spans="1:19">
      <c r="A36" s="1100">
        <f t="shared" si="5"/>
        <v>5.0899999999999981</v>
      </c>
      <c r="B36" s="873"/>
      <c r="C36" s="1069">
        <f>SUM(M36:O36)</f>
        <v>0</v>
      </c>
      <c r="D36" s="1069">
        <f t="shared" si="7"/>
        <v>0</v>
      </c>
      <c r="E36" s="1069"/>
      <c r="F36" s="1069"/>
      <c r="G36" s="1069">
        <f>ROUND(SUM(C36:F36)/2,0)</f>
        <v>0</v>
      </c>
      <c r="H36" s="1069"/>
      <c r="I36" s="1069">
        <f t="shared" si="4"/>
        <v>0</v>
      </c>
      <c r="J36" s="1069">
        <f t="shared" si="4"/>
        <v>0</v>
      </c>
      <c r="K36" s="1069">
        <f t="shared" si="4"/>
        <v>0</v>
      </c>
      <c r="L36" s="1069"/>
      <c r="M36" s="873"/>
      <c r="N36" s="873"/>
      <c r="O36" s="873"/>
      <c r="P36" s="1069"/>
      <c r="Q36" s="873"/>
      <c r="R36" s="873"/>
      <c r="S36" s="873"/>
    </row>
    <row r="37" spans="1:19">
      <c r="A37" s="1100">
        <f t="shared" si="5"/>
        <v>5.0999999999999979</v>
      </c>
      <c r="B37" s="873"/>
      <c r="C37" s="1069">
        <f t="shared" si="6"/>
        <v>0</v>
      </c>
      <c r="D37" s="1069">
        <f t="shared" si="7"/>
        <v>0</v>
      </c>
      <c r="E37" s="1069"/>
      <c r="F37" s="1069"/>
      <c r="G37" s="1069">
        <f t="shared" si="3"/>
        <v>0</v>
      </c>
      <c r="H37" s="1069"/>
      <c r="I37" s="1069">
        <f t="shared" si="4"/>
        <v>0</v>
      </c>
      <c r="J37" s="1069">
        <f t="shared" si="4"/>
        <v>0</v>
      </c>
      <c r="K37" s="1069">
        <f t="shared" si="4"/>
        <v>0</v>
      </c>
      <c r="L37" s="1069"/>
      <c r="M37" s="873"/>
      <c r="N37" s="873"/>
      <c r="O37" s="873"/>
      <c r="P37" s="1069"/>
      <c r="Q37" s="873"/>
      <c r="R37" s="873"/>
      <c r="S37" s="873"/>
    </row>
    <row r="38" spans="1:19" hidden="1">
      <c r="A38" s="1100">
        <f t="shared" si="5"/>
        <v>5.1099999999999977</v>
      </c>
      <c r="B38" s="873"/>
      <c r="C38" s="1069">
        <f t="shared" si="6"/>
        <v>0</v>
      </c>
      <c r="D38" s="1069">
        <f t="shared" si="7"/>
        <v>0</v>
      </c>
      <c r="E38" s="1069"/>
      <c r="F38" s="1069"/>
      <c r="G38" s="1069">
        <f t="shared" si="3"/>
        <v>0</v>
      </c>
      <c r="H38" s="1069"/>
      <c r="I38" s="1069">
        <f t="shared" si="4"/>
        <v>0</v>
      </c>
      <c r="J38" s="1069">
        <f t="shared" si="4"/>
        <v>0</v>
      </c>
      <c r="K38" s="1069">
        <f t="shared" si="4"/>
        <v>0</v>
      </c>
      <c r="L38" s="1069"/>
      <c r="M38" s="873"/>
      <c r="N38" s="873"/>
      <c r="O38" s="873"/>
      <c r="P38" s="1069"/>
      <c r="Q38" s="873"/>
      <c r="R38" s="873"/>
      <c r="S38" s="873"/>
    </row>
    <row r="39" spans="1:19" hidden="1">
      <c r="A39" s="1100">
        <f t="shared" si="5"/>
        <v>5.1199999999999974</v>
      </c>
      <c r="B39" s="873"/>
      <c r="C39" s="1069">
        <f t="shared" si="6"/>
        <v>0</v>
      </c>
      <c r="D39" s="1069">
        <f t="shared" si="7"/>
        <v>0</v>
      </c>
      <c r="E39" s="1069"/>
      <c r="F39" s="1069"/>
      <c r="G39" s="1069">
        <f t="shared" si="3"/>
        <v>0</v>
      </c>
      <c r="H39" s="1069"/>
      <c r="I39" s="1069">
        <f t="shared" si="4"/>
        <v>0</v>
      </c>
      <c r="J39" s="1069">
        <f t="shared" si="4"/>
        <v>0</v>
      </c>
      <c r="K39" s="1069">
        <f t="shared" si="4"/>
        <v>0</v>
      </c>
      <c r="L39" s="1069"/>
      <c r="M39" s="873"/>
      <c r="N39" s="873"/>
      <c r="O39" s="873"/>
      <c r="P39" s="1069"/>
      <c r="Q39" s="873"/>
      <c r="R39" s="873"/>
      <c r="S39" s="873"/>
    </row>
    <row r="40" spans="1:19" hidden="1">
      <c r="A40" s="1100">
        <f t="shared" si="5"/>
        <v>5.1299999999999972</v>
      </c>
      <c r="B40" s="873"/>
      <c r="C40" s="1069">
        <f t="shared" si="1"/>
        <v>0</v>
      </c>
      <c r="D40" s="1069">
        <f t="shared" si="2"/>
        <v>0</v>
      </c>
      <c r="E40" s="1069"/>
      <c r="F40" s="1069"/>
      <c r="G40" s="1069">
        <f t="shared" si="3"/>
        <v>0</v>
      </c>
      <c r="H40" s="1069"/>
      <c r="I40" s="1069">
        <f t="shared" si="4"/>
        <v>0</v>
      </c>
      <c r="J40" s="1069">
        <f t="shared" si="4"/>
        <v>0</v>
      </c>
      <c r="K40" s="1069">
        <f t="shared" si="4"/>
        <v>0</v>
      </c>
      <c r="L40" s="1069"/>
      <c r="M40" s="873"/>
      <c r="N40" s="873"/>
      <c r="O40" s="873"/>
      <c r="P40" s="1069"/>
      <c r="Q40" s="873"/>
      <c r="R40" s="873"/>
      <c r="S40" s="873"/>
    </row>
    <row r="41" spans="1:19" hidden="1">
      <c r="A41" s="1100">
        <f t="shared" si="5"/>
        <v>5.139999999999997</v>
      </c>
      <c r="B41" s="873"/>
      <c r="C41" s="1069">
        <f t="shared" si="1"/>
        <v>0</v>
      </c>
      <c r="D41" s="1069">
        <f t="shared" si="2"/>
        <v>0</v>
      </c>
      <c r="E41" s="1069"/>
      <c r="F41" s="1069"/>
      <c r="G41" s="1069">
        <f t="shared" si="3"/>
        <v>0</v>
      </c>
      <c r="H41" s="1069"/>
      <c r="I41" s="1069">
        <f t="shared" si="4"/>
        <v>0</v>
      </c>
      <c r="J41" s="1069">
        <f t="shared" si="4"/>
        <v>0</v>
      </c>
      <c r="K41" s="1069">
        <f t="shared" si="4"/>
        <v>0</v>
      </c>
      <c r="L41" s="1069"/>
      <c r="M41" s="873"/>
      <c r="N41" s="873"/>
      <c r="O41" s="873"/>
      <c r="P41" s="1069"/>
      <c r="Q41" s="873"/>
      <c r="R41" s="873"/>
      <c r="S41" s="873"/>
    </row>
    <row r="42" spans="1:19" hidden="1">
      <c r="A42" s="1100">
        <f t="shared" si="5"/>
        <v>5.1499999999999968</v>
      </c>
      <c r="B42" s="873"/>
      <c r="C42" s="1069">
        <f t="shared" si="1"/>
        <v>0</v>
      </c>
      <c r="D42" s="1069">
        <f t="shared" si="2"/>
        <v>0</v>
      </c>
      <c r="E42" s="1069"/>
      <c r="F42" s="1069"/>
      <c r="G42" s="1069">
        <f t="shared" si="3"/>
        <v>0</v>
      </c>
      <c r="H42" s="1069"/>
      <c r="I42" s="1069">
        <f t="shared" si="4"/>
        <v>0</v>
      </c>
      <c r="J42" s="1069">
        <f t="shared" si="4"/>
        <v>0</v>
      </c>
      <c r="K42" s="1069">
        <f t="shared" si="4"/>
        <v>0</v>
      </c>
      <c r="L42" s="1069"/>
      <c r="M42" s="873"/>
      <c r="N42" s="873"/>
      <c r="O42" s="873"/>
      <c r="P42" s="1069"/>
      <c r="Q42" s="873"/>
      <c r="R42" s="873"/>
      <c r="S42" s="873"/>
    </row>
    <row r="43" spans="1:19" hidden="1">
      <c r="A43" s="1100">
        <f t="shared" si="5"/>
        <v>5.1599999999999966</v>
      </c>
      <c r="B43" s="873"/>
      <c r="C43" s="1069">
        <f t="shared" si="1"/>
        <v>0</v>
      </c>
      <c r="D43" s="1069">
        <f t="shared" si="2"/>
        <v>0</v>
      </c>
      <c r="E43" s="1069"/>
      <c r="F43" s="1069"/>
      <c r="G43" s="1069">
        <f t="shared" si="3"/>
        <v>0</v>
      </c>
      <c r="H43" s="1069"/>
      <c r="I43" s="1069">
        <f t="shared" si="4"/>
        <v>0</v>
      </c>
      <c r="J43" s="1069">
        <f t="shared" si="4"/>
        <v>0</v>
      </c>
      <c r="K43" s="1069">
        <f t="shared" si="4"/>
        <v>0</v>
      </c>
      <c r="L43" s="1069"/>
      <c r="M43" s="873"/>
      <c r="N43" s="873"/>
      <c r="O43" s="873"/>
      <c r="P43" s="1069"/>
      <c r="Q43" s="873"/>
      <c r="R43" s="873"/>
      <c r="S43" s="873"/>
    </row>
    <row r="44" spans="1:19" hidden="1">
      <c r="A44" s="1100">
        <f t="shared" si="5"/>
        <v>5.1699999999999964</v>
      </c>
      <c r="B44" s="873"/>
      <c r="C44" s="1069">
        <f t="shared" si="1"/>
        <v>0</v>
      </c>
      <c r="D44" s="1069">
        <f t="shared" si="2"/>
        <v>0</v>
      </c>
      <c r="E44" s="1069"/>
      <c r="F44" s="1069"/>
      <c r="G44" s="1069">
        <f t="shared" si="3"/>
        <v>0</v>
      </c>
      <c r="H44" s="1069"/>
      <c r="I44" s="1069">
        <f t="shared" si="4"/>
        <v>0</v>
      </c>
      <c r="J44" s="1069">
        <f t="shared" si="4"/>
        <v>0</v>
      </c>
      <c r="K44" s="1069">
        <f t="shared" si="4"/>
        <v>0</v>
      </c>
      <c r="L44" s="1069"/>
      <c r="M44" s="873"/>
      <c r="N44" s="873"/>
      <c r="O44" s="873"/>
      <c r="P44" s="1069"/>
      <c r="Q44" s="873"/>
      <c r="R44" s="873"/>
      <c r="S44" s="873"/>
    </row>
    <row r="45" spans="1:19" hidden="1">
      <c r="A45" s="1100">
        <f t="shared" si="5"/>
        <v>5.1799999999999962</v>
      </c>
      <c r="B45" s="873"/>
      <c r="C45" s="1069">
        <f t="shared" si="1"/>
        <v>0</v>
      </c>
      <c r="D45" s="1069">
        <f t="shared" si="2"/>
        <v>0</v>
      </c>
      <c r="E45" s="1069"/>
      <c r="F45" s="1069"/>
      <c r="G45" s="1069">
        <f t="shared" si="3"/>
        <v>0</v>
      </c>
      <c r="H45" s="1069"/>
      <c r="I45" s="1069">
        <f t="shared" si="4"/>
        <v>0</v>
      </c>
      <c r="J45" s="1069">
        <f t="shared" si="4"/>
        <v>0</v>
      </c>
      <c r="K45" s="1069">
        <f t="shared" si="4"/>
        <v>0</v>
      </c>
      <c r="L45" s="1069"/>
      <c r="M45" s="873"/>
      <c r="N45" s="873"/>
      <c r="O45" s="873"/>
      <c r="P45" s="1069"/>
      <c r="Q45" s="873"/>
      <c r="R45" s="873"/>
      <c r="S45" s="873"/>
    </row>
    <row r="46" spans="1:19" hidden="1">
      <c r="A46" s="1100">
        <f t="shared" si="5"/>
        <v>5.1899999999999959</v>
      </c>
      <c r="B46" s="873"/>
      <c r="C46" s="1069">
        <f t="shared" si="1"/>
        <v>0</v>
      </c>
      <c r="D46" s="1069">
        <f t="shared" si="2"/>
        <v>0</v>
      </c>
      <c r="E46" s="1069"/>
      <c r="F46" s="1069"/>
      <c r="G46" s="1069">
        <f t="shared" si="3"/>
        <v>0</v>
      </c>
      <c r="H46" s="1069"/>
      <c r="I46" s="1069">
        <f t="shared" si="4"/>
        <v>0</v>
      </c>
      <c r="J46" s="1069">
        <f t="shared" si="4"/>
        <v>0</v>
      </c>
      <c r="K46" s="1069">
        <f t="shared" si="4"/>
        <v>0</v>
      </c>
      <c r="L46" s="1069"/>
      <c r="M46" s="873"/>
      <c r="N46" s="873"/>
      <c r="O46" s="873"/>
      <c r="P46" s="1069"/>
      <c r="Q46" s="873"/>
      <c r="R46" s="873"/>
      <c r="S46" s="873"/>
    </row>
    <row r="47" spans="1:19" hidden="1">
      <c r="A47" s="1100">
        <f t="shared" si="5"/>
        <v>5.1999999999999957</v>
      </c>
      <c r="B47" s="873"/>
      <c r="C47" s="1069">
        <f t="shared" si="1"/>
        <v>0</v>
      </c>
      <c r="D47" s="1069">
        <f t="shared" si="2"/>
        <v>0</v>
      </c>
      <c r="E47" s="1069"/>
      <c r="F47" s="1069"/>
      <c r="G47" s="1069">
        <f t="shared" si="3"/>
        <v>0</v>
      </c>
      <c r="H47" s="1069"/>
      <c r="I47" s="1069">
        <f t="shared" si="4"/>
        <v>0</v>
      </c>
      <c r="J47" s="1069">
        <f t="shared" si="4"/>
        <v>0</v>
      </c>
      <c r="K47" s="1069">
        <f t="shared" si="4"/>
        <v>0</v>
      </c>
      <c r="L47" s="1069"/>
      <c r="M47" s="873"/>
      <c r="N47" s="873"/>
      <c r="O47" s="873"/>
      <c r="P47" s="1069"/>
      <c r="Q47" s="873"/>
      <c r="R47" s="873"/>
      <c r="S47" s="873"/>
    </row>
    <row r="48" spans="1:19" hidden="1">
      <c r="A48" s="1100">
        <f t="shared" si="5"/>
        <v>5.2099999999999955</v>
      </c>
      <c r="B48" s="873"/>
      <c r="C48" s="1069">
        <f t="shared" si="1"/>
        <v>0</v>
      </c>
      <c r="D48" s="1069">
        <f t="shared" si="2"/>
        <v>0</v>
      </c>
      <c r="E48" s="1069"/>
      <c r="F48" s="1069"/>
      <c r="G48" s="1069">
        <f t="shared" si="3"/>
        <v>0</v>
      </c>
      <c r="H48" s="1069"/>
      <c r="I48" s="1069">
        <f t="shared" si="4"/>
        <v>0</v>
      </c>
      <c r="J48" s="1069">
        <f t="shared" si="4"/>
        <v>0</v>
      </c>
      <c r="K48" s="1069">
        <f t="shared" si="4"/>
        <v>0</v>
      </c>
      <c r="L48" s="1069"/>
      <c r="M48" s="873"/>
      <c r="N48" s="873"/>
      <c r="O48" s="873"/>
      <c r="P48" s="1069"/>
      <c r="Q48" s="873"/>
      <c r="R48" s="873"/>
      <c r="S48" s="873"/>
    </row>
    <row r="49" spans="1:19" hidden="1">
      <c r="A49" s="1100">
        <f t="shared" si="5"/>
        <v>5.2199999999999953</v>
      </c>
      <c r="B49" s="873"/>
      <c r="C49" s="1069">
        <f t="shared" ref="C49:C55" si="8">SUM(M49:O49)</f>
        <v>0</v>
      </c>
      <c r="D49" s="1069">
        <f t="shared" ref="D49:D55" si="9">SUM(Q49:S49)</f>
        <v>0</v>
      </c>
      <c r="E49" s="1069"/>
      <c r="F49" s="1069"/>
      <c r="G49" s="1069">
        <f t="shared" si="3"/>
        <v>0</v>
      </c>
      <c r="H49" s="1069"/>
      <c r="I49" s="1069">
        <f t="shared" si="4"/>
        <v>0</v>
      </c>
      <c r="J49" s="1069">
        <f t="shared" si="4"/>
        <v>0</v>
      </c>
      <c r="K49" s="1069">
        <f t="shared" si="4"/>
        <v>0</v>
      </c>
      <c r="L49" s="1069"/>
      <c r="M49" s="873"/>
      <c r="N49" s="873"/>
      <c r="O49" s="873"/>
      <c r="P49" s="1069"/>
      <c r="Q49" s="873"/>
      <c r="R49" s="873"/>
      <c r="S49" s="873"/>
    </row>
    <row r="50" spans="1:19" hidden="1">
      <c r="A50" s="1100">
        <f t="shared" si="5"/>
        <v>5.2299999999999951</v>
      </c>
      <c r="B50" s="873"/>
      <c r="C50" s="1069">
        <f t="shared" si="8"/>
        <v>0</v>
      </c>
      <c r="D50" s="1069">
        <f t="shared" si="9"/>
        <v>0</v>
      </c>
      <c r="E50" s="1069"/>
      <c r="F50" s="1069"/>
      <c r="G50" s="1069">
        <f t="shared" si="3"/>
        <v>0</v>
      </c>
      <c r="H50" s="1069"/>
      <c r="I50" s="1069">
        <f t="shared" si="4"/>
        <v>0</v>
      </c>
      <c r="J50" s="1069">
        <f t="shared" si="4"/>
        <v>0</v>
      </c>
      <c r="K50" s="1069">
        <f t="shared" si="4"/>
        <v>0</v>
      </c>
      <c r="L50" s="1069"/>
      <c r="M50" s="873"/>
      <c r="N50" s="873"/>
      <c r="O50" s="873"/>
      <c r="P50" s="1069"/>
      <c r="Q50" s="873"/>
      <c r="R50" s="873"/>
      <c r="S50" s="873"/>
    </row>
    <row r="51" spans="1:19" hidden="1">
      <c r="A51" s="1100">
        <f t="shared" si="5"/>
        <v>5.2399999999999949</v>
      </c>
      <c r="B51" s="873"/>
      <c r="C51" s="1069">
        <f t="shared" si="8"/>
        <v>0</v>
      </c>
      <c r="D51" s="1069">
        <f t="shared" si="9"/>
        <v>0</v>
      </c>
      <c r="E51" s="1069"/>
      <c r="F51" s="1069"/>
      <c r="G51" s="1069">
        <f>ROUND(SUM(C51:F51)/2,0)</f>
        <v>0</v>
      </c>
      <c r="H51" s="1069"/>
      <c r="I51" s="1069">
        <f t="shared" si="4"/>
        <v>0</v>
      </c>
      <c r="J51" s="1069">
        <f t="shared" si="4"/>
        <v>0</v>
      </c>
      <c r="K51" s="1069">
        <f t="shared" si="4"/>
        <v>0</v>
      </c>
      <c r="L51" s="1069"/>
      <c r="M51" s="873"/>
      <c r="N51" s="873"/>
      <c r="O51" s="873"/>
      <c r="P51" s="1069"/>
      <c r="Q51" s="873"/>
      <c r="R51" s="873"/>
      <c r="S51" s="873"/>
    </row>
    <row r="52" spans="1:19" hidden="1">
      <c r="A52" s="1100">
        <f t="shared" si="5"/>
        <v>5.2499999999999947</v>
      </c>
      <c r="B52" s="873"/>
      <c r="C52" s="1069">
        <f t="shared" si="8"/>
        <v>0</v>
      </c>
      <c r="D52" s="1069">
        <f t="shared" si="9"/>
        <v>0</v>
      </c>
      <c r="E52" s="1069"/>
      <c r="F52" s="1069"/>
      <c r="G52" s="1069">
        <f>ROUND(SUM(C52:F52)/2,0)</f>
        <v>0</v>
      </c>
      <c r="H52" s="1069"/>
      <c r="I52" s="1069">
        <f t="shared" si="4"/>
        <v>0</v>
      </c>
      <c r="J52" s="1069">
        <f t="shared" si="4"/>
        <v>0</v>
      </c>
      <c r="K52" s="1069">
        <f t="shared" si="4"/>
        <v>0</v>
      </c>
      <c r="L52" s="1069"/>
      <c r="M52" s="873"/>
      <c r="N52" s="873"/>
      <c r="O52" s="873"/>
      <c r="P52" s="1069"/>
      <c r="Q52" s="873"/>
      <c r="R52" s="873"/>
      <c r="S52" s="873"/>
    </row>
    <row r="53" spans="1:19" hidden="1">
      <c r="A53" s="1100">
        <f t="shared" si="5"/>
        <v>5.2599999999999945</v>
      </c>
      <c r="B53" s="873"/>
      <c r="C53" s="1069">
        <f t="shared" si="8"/>
        <v>0</v>
      </c>
      <c r="D53" s="1069">
        <f t="shared" si="9"/>
        <v>0</v>
      </c>
      <c r="E53" s="1069"/>
      <c r="F53" s="1069"/>
      <c r="G53" s="1069">
        <f>ROUND(SUM(C53:F53)/2,0)</f>
        <v>0</v>
      </c>
      <c r="H53" s="1069"/>
      <c r="I53" s="1069">
        <f t="shared" si="4"/>
        <v>0</v>
      </c>
      <c r="J53" s="1069">
        <f t="shared" si="4"/>
        <v>0</v>
      </c>
      <c r="K53" s="1069">
        <f t="shared" si="4"/>
        <v>0</v>
      </c>
      <c r="L53" s="1069"/>
      <c r="M53" s="873"/>
      <c r="N53" s="873"/>
      <c r="O53" s="873"/>
      <c r="P53" s="1069"/>
      <c r="Q53" s="873"/>
      <c r="R53" s="873"/>
      <c r="S53" s="873"/>
    </row>
    <row r="54" spans="1:19" hidden="1">
      <c r="A54" s="1100">
        <f t="shared" si="5"/>
        <v>5.2699999999999942</v>
      </c>
      <c r="B54" s="873"/>
      <c r="C54" s="1069">
        <f t="shared" si="8"/>
        <v>0</v>
      </c>
      <c r="D54" s="1069">
        <f t="shared" si="9"/>
        <v>0</v>
      </c>
      <c r="E54" s="1069"/>
      <c r="F54" s="1069"/>
      <c r="G54" s="1069">
        <f>ROUND(SUM(C54:F54)/2,0)</f>
        <v>0</v>
      </c>
      <c r="H54" s="1069"/>
      <c r="I54" s="1069">
        <f t="shared" si="4"/>
        <v>0</v>
      </c>
      <c r="J54" s="1069">
        <f t="shared" si="4"/>
        <v>0</v>
      </c>
      <c r="K54" s="1069">
        <f t="shared" si="4"/>
        <v>0</v>
      </c>
      <c r="L54" s="1069"/>
      <c r="M54" s="873"/>
      <c r="N54" s="873"/>
      <c r="O54" s="873"/>
      <c r="P54" s="1069"/>
      <c r="Q54" s="873"/>
      <c r="R54" s="873"/>
      <c r="S54" s="873"/>
    </row>
    <row r="55" spans="1:19" hidden="1">
      <c r="A55" s="1100">
        <f t="shared" si="5"/>
        <v>5.279999999999994</v>
      </c>
      <c r="B55" s="873"/>
      <c r="C55" s="1069">
        <f t="shared" si="8"/>
        <v>0</v>
      </c>
      <c r="D55" s="1069">
        <f t="shared" si="9"/>
        <v>0</v>
      </c>
      <c r="E55" s="1069"/>
      <c r="F55" s="1069"/>
      <c r="G55" s="1069">
        <f>ROUND(SUM(C55:F55)/2,0)</f>
        <v>0</v>
      </c>
      <c r="H55" s="1069"/>
      <c r="I55" s="1069">
        <f t="shared" si="4"/>
        <v>0</v>
      </c>
      <c r="J55" s="1069">
        <f t="shared" si="4"/>
        <v>0</v>
      </c>
      <c r="K55" s="1069">
        <f t="shared" si="4"/>
        <v>0</v>
      </c>
      <c r="L55" s="1069"/>
      <c r="M55" s="873"/>
      <c r="N55" s="873"/>
      <c r="O55" s="873"/>
      <c r="P55" s="1069"/>
      <c r="Q55" s="873"/>
      <c r="R55" s="873"/>
      <c r="S55" s="873"/>
    </row>
    <row r="56" spans="1:19" hidden="1">
      <c r="A56" s="1100">
        <f t="shared" si="5"/>
        <v>5.2899999999999938</v>
      </c>
      <c r="B56" s="873"/>
      <c r="C56" s="1069">
        <f t="shared" si="1"/>
        <v>0</v>
      </c>
      <c r="D56" s="1069">
        <f t="shared" si="2"/>
        <v>0</v>
      </c>
      <c r="E56" s="1069"/>
      <c r="F56" s="1069"/>
      <c r="G56" s="1069">
        <f t="shared" ref="G56:G68" si="10">ROUND(SUM(C56:F56)/2,0)</f>
        <v>0</v>
      </c>
      <c r="H56" s="1069"/>
      <c r="I56" s="1069">
        <f t="shared" si="4"/>
        <v>0</v>
      </c>
      <c r="J56" s="1069">
        <f t="shared" si="4"/>
        <v>0</v>
      </c>
      <c r="K56" s="1069">
        <f t="shared" si="4"/>
        <v>0</v>
      </c>
      <c r="L56" s="1069"/>
      <c r="M56" s="873"/>
      <c r="N56" s="873"/>
      <c r="O56" s="873"/>
      <c r="P56" s="1069"/>
      <c r="Q56" s="873"/>
      <c r="R56" s="873"/>
      <c r="S56" s="873"/>
    </row>
    <row r="57" spans="1:19" hidden="1">
      <c r="A57" s="1100">
        <f t="shared" si="5"/>
        <v>5.2999999999999936</v>
      </c>
      <c r="B57" s="873"/>
      <c r="C57" s="1069">
        <f t="shared" si="1"/>
        <v>0</v>
      </c>
      <c r="D57" s="1069">
        <f t="shared" si="2"/>
        <v>0</v>
      </c>
      <c r="E57" s="1069"/>
      <c r="F57" s="1069"/>
      <c r="G57" s="1069">
        <f t="shared" si="10"/>
        <v>0</v>
      </c>
      <c r="H57" s="1069"/>
      <c r="I57" s="1069">
        <f t="shared" si="4"/>
        <v>0</v>
      </c>
      <c r="J57" s="1069">
        <f t="shared" si="4"/>
        <v>0</v>
      </c>
      <c r="K57" s="1069">
        <f t="shared" si="4"/>
        <v>0</v>
      </c>
      <c r="L57" s="1069"/>
      <c r="M57" s="873"/>
      <c r="N57" s="873"/>
      <c r="O57" s="873"/>
      <c r="P57" s="1069"/>
      <c r="Q57" s="873"/>
      <c r="R57" s="873"/>
      <c r="S57" s="873"/>
    </row>
    <row r="58" spans="1:19" hidden="1">
      <c r="A58" s="1100">
        <f t="shared" si="5"/>
        <v>5.3099999999999934</v>
      </c>
      <c r="B58" s="873"/>
      <c r="C58" s="1069">
        <f>SUM(M58:O58)</f>
        <v>0</v>
      </c>
      <c r="D58" s="1069">
        <f>SUM(Q58:S58)</f>
        <v>0</v>
      </c>
      <c r="E58" s="1069"/>
      <c r="F58" s="1069"/>
      <c r="G58" s="1069">
        <f>ROUND(SUM(C58:F58)/2,0)</f>
        <v>0</v>
      </c>
      <c r="H58" s="1069"/>
      <c r="I58" s="1069">
        <f t="shared" si="4"/>
        <v>0</v>
      </c>
      <c r="J58" s="1069">
        <f t="shared" si="4"/>
        <v>0</v>
      </c>
      <c r="K58" s="1069">
        <f t="shared" si="4"/>
        <v>0</v>
      </c>
      <c r="L58" s="1069"/>
      <c r="M58" s="873"/>
      <c r="N58" s="873"/>
      <c r="O58" s="873"/>
      <c r="P58" s="1069"/>
      <c r="Q58" s="873"/>
      <c r="R58" s="873"/>
      <c r="S58" s="873"/>
    </row>
    <row r="59" spans="1:19" hidden="1">
      <c r="A59" s="1100">
        <f t="shared" si="5"/>
        <v>5.3199999999999932</v>
      </c>
      <c r="B59" s="873"/>
      <c r="C59" s="1069">
        <f t="shared" si="1"/>
        <v>0</v>
      </c>
      <c r="D59" s="1069">
        <f t="shared" si="2"/>
        <v>0</v>
      </c>
      <c r="E59" s="1069"/>
      <c r="F59" s="1069"/>
      <c r="G59" s="1069">
        <f t="shared" si="10"/>
        <v>0</v>
      </c>
      <c r="H59" s="1069"/>
      <c r="I59" s="1069">
        <f t="shared" si="4"/>
        <v>0</v>
      </c>
      <c r="J59" s="1069">
        <f t="shared" si="4"/>
        <v>0</v>
      </c>
      <c r="K59" s="1069">
        <f t="shared" si="4"/>
        <v>0</v>
      </c>
      <c r="L59" s="1069"/>
      <c r="M59" s="873"/>
      <c r="N59" s="873"/>
      <c r="O59" s="873"/>
      <c r="P59" s="1069"/>
      <c r="Q59" s="873"/>
      <c r="R59" s="873"/>
      <c r="S59" s="873"/>
    </row>
    <row r="60" spans="1:19" hidden="1">
      <c r="A60" s="1100">
        <f t="shared" si="5"/>
        <v>5.329999999999993</v>
      </c>
      <c r="B60" s="873"/>
      <c r="C60" s="1069">
        <f t="shared" si="1"/>
        <v>0</v>
      </c>
      <c r="D60" s="1069">
        <f t="shared" si="2"/>
        <v>0</v>
      </c>
      <c r="E60" s="1069"/>
      <c r="F60" s="1069"/>
      <c r="G60" s="1069">
        <f t="shared" si="10"/>
        <v>0</v>
      </c>
      <c r="H60" s="1069"/>
      <c r="I60" s="1069">
        <f t="shared" si="4"/>
        <v>0</v>
      </c>
      <c r="J60" s="1069">
        <f t="shared" si="4"/>
        <v>0</v>
      </c>
      <c r="K60" s="1069">
        <f t="shared" si="4"/>
        <v>0</v>
      </c>
      <c r="L60" s="1069"/>
      <c r="M60" s="873"/>
      <c r="N60" s="873"/>
      <c r="O60" s="873"/>
      <c r="P60" s="1069"/>
      <c r="Q60" s="873"/>
      <c r="R60" s="873"/>
      <c r="S60" s="873"/>
    </row>
    <row r="61" spans="1:19" hidden="1">
      <c r="A61" s="1100">
        <f t="shared" si="5"/>
        <v>5.3399999999999928</v>
      </c>
      <c r="B61" s="873"/>
      <c r="C61" s="1074">
        <f>SUM(M61:O61)</f>
        <v>0</v>
      </c>
      <c r="D61" s="1074">
        <f>SUM(Q61:S61)</f>
        <v>0</v>
      </c>
      <c r="E61" s="1074"/>
      <c r="F61" s="1074"/>
      <c r="G61" s="1074">
        <f>ROUND(SUM(C61:F61)/2,0)</f>
        <v>0</v>
      </c>
      <c r="H61" s="1074"/>
      <c r="I61" s="1074">
        <f t="shared" si="4"/>
        <v>0</v>
      </c>
      <c r="J61" s="1074">
        <f t="shared" si="4"/>
        <v>0</v>
      </c>
      <c r="K61" s="1074">
        <f t="shared" si="4"/>
        <v>0</v>
      </c>
      <c r="L61" s="1074"/>
      <c r="M61" s="873"/>
      <c r="N61" s="873"/>
      <c r="O61" s="873"/>
      <c r="P61" s="1074"/>
      <c r="Q61" s="873"/>
      <c r="R61" s="873"/>
      <c r="S61" s="873"/>
    </row>
    <row r="62" spans="1:19" hidden="1">
      <c r="A62" s="1100">
        <f t="shared" si="5"/>
        <v>5.3499999999999925</v>
      </c>
      <c r="B62" s="873"/>
      <c r="C62" s="1074">
        <f t="shared" si="1"/>
        <v>0</v>
      </c>
      <c r="D62" s="1074">
        <f t="shared" si="2"/>
        <v>0</v>
      </c>
      <c r="E62" s="1074"/>
      <c r="F62" s="1074"/>
      <c r="G62" s="1074">
        <f t="shared" si="10"/>
        <v>0</v>
      </c>
      <c r="H62" s="1074"/>
      <c r="I62" s="1074">
        <f t="shared" si="4"/>
        <v>0</v>
      </c>
      <c r="J62" s="1074">
        <f t="shared" si="4"/>
        <v>0</v>
      </c>
      <c r="K62" s="1074">
        <f t="shared" si="4"/>
        <v>0</v>
      </c>
      <c r="L62" s="1074"/>
      <c r="M62" s="873"/>
      <c r="N62" s="873"/>
      <c r="O62" s="873"/>
      <c r="P62" s="1074"/>
      <c r="Q62" s="873"/>
      <c r="R62" s="873"/>
      <c r="S62" s="873"/>
    </row>
    <row r="63" spans="1:19" hidden="1">
      <c r="A63" s="1100">
        <f t="shared" si="5"/>
        <v>5.3599999999999923</v>
      </c>
      <c r="B63" s="873"/>
      <c r="C63" s="1069">
        <f t="shared" si="1"/>
        <v>0</v>
      </c>
      <c r="D63" s="1069">
        <f t="shared" si="2"/>
        <v>0</v>
      </c>
      <c r="E63" s="1069"/>
      <c r="F63" s="1069"/>
      <c r="G63" s="1069">
        <f t="shared" si="10"/>
        <v>0</v>
      </c>
      <c r="H63" s="1069"/>
      <c r="I63" s="1069">
        <f t="shared" si="4"/>
        <v>0</v>
      </c>
      <c r="J63" s="1069">
        <f t="shared" si="4"/>
        <v>0</v>
      </c>
      <c r="K63" s="1069">
        <f t="shared" si="4"/>
        <v>0</v>
      </c>
      <c r="L63" s="1069"/>
      <c r="M63" s="873"/>
      <c r="N63" s="873"/>
      <c r="O63" s="873"/>
      <c r="P63" s="1069"/>
      <c r="Q63" s="873"/>
      <c r="R63" s="873"/>
      <c r="S63" s="873"/>
    </row>
    <row r="64" spans="1:19" hidden="1">
      <c r="A64" s="1100">
        <f t="shared" si="5"/>
        <v>5.3699999999999921</v>
      </c>
      <c r="B64" s="873"/>
      <c r="C64" s="1069">
        <f t="shared" si="1"/>
        <v>0</v>
      </c>
      <c r="D64" s="1069">
        <f t="shared" si="2"/>
        <v>0</v>
      </c>
      <c r="E64" s="1069"/>
      <c r="F64" s="1069"/>
      <c r="G64" s="1069">
        <f t="shared" si="10"/>
        <v>0</v>
      </c>
      <c r="H64" s="1069"/>
      <c r="I64" s="1069">
        <f t="shared" si="4"/>
        <v>0</v>
      </c>
      <c r="J64" s="1069">
        <f t="shared" si="4"/>
        <v>0</v>
      </c>
      <c r="K64" s="1069">
        <f t="shared" si="4"/>
        <v>0</v>
      </c>
      <c r="L64" s="1069"/>
      <c r="M64" s="873"/>
      <c r="N64" s="873"/>
      <c r="O64" s="873"/>
      <c r="P64" s="1069"/>
      <c r="Q64" s="873"/>
      <c r="R64" s="873"/>
      <c r="S64" s="873"/>
    </row>
    <row r="65" spans="1:19">
      <c r="A65" s="1100">
        <f t="shared" si="5"/>
        <v>5.3799999999999919</v>
      </c>
      <c r="B65" s="873"/>
      <c r="C65" s="1069">
        <f>SUM(M65:O65)</f>
        <v>0</v>
      </c>
      <c r="D65" s="1069">
        <f>SUM(Q65:S65)</f>
        <v>0</v>
      </c>
      <c r="E65" s="1069"/>
      <c r="F65" s="1069"/>
      <c r="G65" s="1069">
        <f>ROUND(SUM(C65:F65)/2,0)</f>
        <v>0</v>
      </c>
      <c r="H65" s="1069"/>
      <c r="I65" s="1069">
        <f t="shared" si="4"/>
        <v>0</v>
      </c>
      <c r="J65" s="1069">
        <f t="shared" si="4"/>
        <v>0</v>
      </c>
      <c r="K65" s="1069">
        <f t="shared" si="4"/>
        <v>0</v>
      </c>
      <c r="L65" s="1069"/>
      <c r="M65" s="873"/>
      <c r="N65" s="873"/>
      <c r="O65" s="873"/>
      <c r="P65" s="1069"/>
      <c r="Q65" s="873"/>
      <c r="R65" s="873"/>
      <c r="S65" s="873"/>
    </row>
    <row r="66" spans="1:19">
      <c r="A66" s="1100">
        <f t="shared" si="5"/>
        <v>5.3899999999999917</v>
      </c>
      <c r="B66" s="873"/>
      <c r="C66" s="873"/>
      <c r="D66" s="873"/>
      <c r="E66" s="1069">
        <f t="shared" ref="E66:F68" si="11">-C66</f>
        <v>0</v>
      </c>
      <c r="F66" s="1069">
        <f t="shared" si="11"/>
        <v>0</v>
      </c>
      <c r="G66" s="1069">
        <f t="shared" si="10"/>
        <v>0</v>
      </c>
      <c r="H66" s="1069"/>
      <c r="I66" s="1069"/>
      <c r="J66" s="1069"/>
      <c r="K66" s="1069"/>
      <c r="L66" s="1069"/>
      <c r="M66" s="1069"/>
      <c r="N66" s="1069"/>
      <c r="O66" s="1069"/>
      <c r="P66" s="1069"/>
      <c r="Q66" s="1069"/>
      <c r="R66" s="1069"/>
      <c r="S66" s="1069"/>
    </row>
    <row r="67" spans="1:19">
      <c r="A67" s="1100">
        <f t="shared" si="5"/>
        <v>5.3999999999999915</v>
      </c>
      <c r="B67" s="873"/>
      <c r="C67" s="873"/>
      <c r="D67" s="873"/>
      <c r="E67" s="1069">
        <f t="shared" si="11"/>
        <v>0</v>
      </c>
      <c r="F67" s="1069">
        <f t="shared" si="11"/>
        <v>0</v>
      </c>
      <c r="G67" s="1069">
        <f t="shared" si="10"/>
        <v>0</v>
      </c>
      <c r="H67" s="1069"/>
      <c r="I67" s="1069"/>
      <c r="J67" s="1069"/>
      <c r="K67" s="1069"/>
      <c r="L67" s="1069"/>
      <c r="M67" s="1069"/>
      <c r="N67" s="1069"/>
      <c r="O67" s="1069"/>
      <c r="P67" s="1069"/>
      <c r="Q67" s="1069"/>
      <c r="R67" s="1069"/>
      <c r="S67" s="1069"/>
    </row>
    <row r="68" spans="1:19">
      <c r="A68" s="1100">
        <f t="shared" si="5"/>
        <v>5.4099999999999913</v>
      </c>
      <c r="B68" s="873"/>
      <c r="C68" s="873"/>
      <c r="D68" s="873"/>
      <c r="E68" s="1069">
        <f t="shared" si="11"/>
        <v>0</v>
      </c>
      <c r="F68" s="1069">
        <f t="shared" si="11"/>
        <v>0</v>
      </c>
      <c r="G68" s="1069">
        <f t="shared" si="10"/>
        <v>0</v>
      </c>
      <c r="H68" s="1069"/>
      <c r="I68" s="1069"/>
      <c r="J68" s="1069"/>
      <c r="K68" s="1069"/>
      <c r="L68" s="1069"/>
      <c r="M68" s="1069"/>
      <c r="N68" s="1069"/>
      <c r="O68" s="1069"/>
      <c r="P68" s="1069"/>
      <c r="Q68" s="1069"/>
      <c r="R68" s="1069"/>
      <c r="S68" s="1069"/>
    </row>
    <row r="69" spans="1:19">
      <c r="A69"/>
    </row>
    <row r="70" spans="1:19">
      <c r="A70" s="1080"/>
      <c r="B70" s="1059"/>
      <c r="C70" s="1069"/>
      <c r="D70" s="1069"/>
      <c r="E70" s="1069"/>
      <c r="F70" s="1069"/>
      <c r="G70" s="1069"/>
      <c r="H70" s="1069"/>
      <c r="I70" s="1069"/>
      <c r="J70" s="1069"/>
      <c r="K70" s="1069"/>
      <c r="L70" s="1069"/>
      <c r="M70" s="1069"/>
      <c r="N70" s="1069"/>
      <c r="O70" s="1069"/>
      <c r="P70" s="1069"/>
      <c r="Q70" s="1069"/>
      <c r="R70" s="1069"/>
      <c r="S70" s="1069"/>
    </row>
    <row r="71" spans="1:19" ht="13.5" thickBot="1">
      <c r="A71" s="1080">
        <v>6</v>
      </c>
      <c r="B71" s="1060" t="s">
        <v>733</v>
      </c>
      <c r="C71" s="1072">
        <f>SUM(C28:C70)</f>
        <v>0</v>
      </c>
      <c r="D71" s="1072">
        <f>SUM(D28:D70)</f>
        <v>0</v>
      </c>
      <c r="E71" s="1072">
        <f>SUM(E28:E70)</f>
        <v>0</v>
      </c>
      <c r="F71" s="1072">
        <f>SUM(F28:F70)</f>
        <v>0</v>
      </c>
      <c r="G71" s="1072">
        <f>SUM(G28:G70)</f>
        <v>0</v>
      </c>
      <c r="H71" s="1069"/>
      <c r="I71" s="1072">
        <f>SUM(I28:I70)</f>
        <v>0</v>
      </c>
      <c r="J71" s="1072">
        <f>SUM(J28:J70)</f>
        <v>0</v>
      </c>
      <c r="K71" s="1072">
        <f>SUM(K28:K70)</f>
        <v>0</v>
      </c>
      <c r="L71" s="1069"/>
      <c r="M71" s="1072">
        <f>SUM(M28:M70)</f>
        <v>0</v>
      </c>
      <c r="N71" s="1072">
        <f>SUM(N28:N70)</f>
        <v>0</v>
      </c>
      <c r="O71" s="1072">
        <f>SUM(O28:O70)</f>
        <v>0</v>
      </c>
      <c r="P71" s="1069"/>
      <c r="Q71" s="1072">
        <f>SUM(Q28:Q70)</f>
        <v>0</v>
      </c>
      <c r="R71" s="1072">
        <f>SUM(R28:R70)</f>
        <v>0</v>
      </c>
      <c r="S71" s="1072">
        <f>SUM(S28:S70)</f>
        <v>0</v>
      </c>
    </row>
    <row r="72" spans="1:19" ht="13.5" thickTop="1">
      <c r="A72" s="1080">
        <f>A71+1</f>
        <v>7</v>
      </c>
      <c r="B72" s="1147" t="s">
        <v>746</v>
      </c>
      <c r="C72" s="1073">
        <f>SUM(C34,C35,C61,C62)</f>
        <v>0</v>
      </c>
      <c r="D72" s="1073">
        <f>SUM(D34,D35,D61,D62)</f>
        <v>0</v>
      </c>
      <c r="E72" s="1073">
        <f>SUM(E34,E35,E61,E62)</f>
        <v>0</v>
      </c>
      <c r="F72" s="1073">
        <f>SUM(F34,F35,F61,F62)</f>
        <v>0</v>
      </c>
      <c r="G72" s="1073">
        <f>SUM(G34,G35,G61,G62)</f>
        <v>0</v>
      </c>
      <c r="H72" s="1069"/>
      <c r="I72" s="1073">
        <f>SUM(I34,I35,I61,I62)</f>
        <v>0</v>
      </c>
      <c r="J72" s="1073">
        <f>SUM(J34,J35,J61,J62)</f>
        <v>0</v>
      </c>
      <c r="K72" s="1073">
        <f>SUM(K34,K35,K61,K62)</f>
        <v>0</v>
      </c>
      <c r="L72" s="1073"/>
      <c r="M72" s="1073">
        <f>SUM(M34,M35,M61,M62)</f>
        <v>0</v>
      </c>
      <c r="N72" s="1073">
        <f>SUM(N34,N35,N61,N62)</f>
        <v>0</v>
      </c>
      <c r="O72" s="1073">
        <f>SUM(O34,O35,O61,O62)</f>
        <v>0</v>
      </c>
      <c r="P72" s="1069"/>
      <c r="Q72" s="1073">
        <f>SUM(Q34,Q35,Q61,Q62)</f>
        <v>0</v>
      </c>
      <c r="R72" s="1073">
        <f>SUM(R34,R35,R61,R62)</f>
        <v>0</v>
      </c>
      <c r="S72" s="1073">
        <f>SUM(S34,S35,S61,S62)</f>
        <v>0</v>
      </c>
    </row>
    <row r="73" spans="1:19">
      <c r="A73" s="1080"/>
      <c r="B73" s="1060"/>
      <c r="C73" s="1069"/>
      <c r="D73" s="1075"/>
      <c r="E73" s="1069"/>
      <c r="F73" s="1069"/>
      <c r="G73" s="1069"/>
      <c r="H73" s="1069"/>
      <c r="I73" s="1069"/>
      <c r="J73" s="1069"/>
      <c r="K73" s="1069"/>
      <c r="L73" s="1069"/>
      <c r="M73" s="1069"/>
      <c r="N73" s="1069"/>
      <c r="O73" s="1069"/>
      <c r="P73" s="1069"/>
      <c r="Q73" s="1069"/>
      <c r="R73" s="1069"/>
      <c r="S73" s="1069"/>
    </row>
    <row r="74" spans="1:19">
      <c r="A74" s="1080">
        <v>8</v>
      </c>
      <c r="B74" s="266" t="s">
        <v>734</v>
      </c>
      <c r="C74" s="1069" t="s">
        <v>115</v>
      </c>
      <c r="D74" s="1069"/>
      <c r="E74" s="1069"/>
      <c r="F74" s="1069"/>
      <c r="G74" s="1069"/>
      <c r="H74" s="1069"/>
      <c r="I74" s="1069"/>
      <c r="J74" s="1069"/>
      <c r="K74" s="1069"/>
      <c r="L74" s="1069"/>
      <c r="M74" s="1069"/>
      <c r="N74" s="1069"/>
      <c r="O74" s="1069"/>
      <c r="P74" s="1069"/>
      <c r="Q74" s="1069"/>
      <c r="R74" s="1069"/>
      <c r="S74" s="1069"/>
    </row>
    <row r="75" spans="1:19">
      <c r="A75" s="1080"/>
      <c r="B75" s="1059"/>
      <c r="C75" s="1069"/>
      <c r="D75" s="1069"/>
      <c r="E75" s="1069"/>
      <c r="F75" s="1069"/>
      <c r="G75" s="1069"/>
      <c r="H75" s="1069"/>
      <c r="I75" s="1069"/>
      <c r="J75" s="1069"/>
      <c r="K75" s="1069"/>
      <c r="L75" s="1069"/>
      <c r="M75" s="1069"/>
      <c r="N75" s="1069"/>
      <c r="O75" s="1069"/>
      <c r="P75" s="1069"/>
      <c r="Q75" s="1069"/>
      <c r="R75" s="1069"/>
      <c r="S75" s="1069"/>
    </row>
    <row r="76" spans="1:19">
      <c r="A76" s="1100">
        <v>9.01</v>
      </c>
      <c r="B76" s="873"/>
      <c r="C76" s="1069">
        <f>SUM(M76:O76)</f>
        <v>0</v>
      </c>
      <c r="D76" s="1069">
        <f t="shared" ref="D76:D139" si="12">SUM(Q76:S76)</f>
        <v>0</v>
      </c>
      <c r="E76" s="1069"/>
      <c r="F76" s="1069"/>
      <c r="G76" s="1069">
        <f t="shared" ref="G76:G130" si="13">ROUND(SUM(C76:F76)/2,0)</f>
        <v>0</v>
      </c>
      <c r="H76" s="1069"/>
      <c r="I76" s="1069">
        <f>(M76+Q76)/2</f>
        <v>0</v>
      </c>
      <c r="J76" s="1069">
        <f>(N76+R76)/2</f>
        <v>0</v>
      </c>
      <c r="K76" s="1069">
        <f>(O76+S76)/2</f>
        <v>0</v>
      </c>
      <c r="L76" s="1069"/>
      <c r="M76" s="873"/>
      <c r="N76" s="873"/>
      <c r="O76" s="873"/>
      <c r="P76" s="1069"/>
      <c r="Q76" s="873"/>
      <c r="R76" s="873"/>
      <c r="S76" s="873"/>
    </row>
    <row r="77" spans="1:19">
      <c r="A77" s="1100">
        <f>A76+0.01</f>
        <v>9.02</v>
      </c>
      <c r="B77" s="873"/>
      <c r="C77" s="1069">
        <f t="shared" ref="C77:C140" si="14">SUM(M77:O77)</f>
        <v>0</v>
      </c>
      <c r="D77" s="1069">
        <f t="shared" si="12"/>
        <v>0</v>
      </c>
      <c r="E77" s="1069"/>
      <c r="F77" s="1069"/>
      <c r="G77" s="1069">
        <f>ROUND(SUM(C77:F77)/2,0)</f>
        <v>0</v>
      </c>
      <c r="H77" s="1069"/>
      <c r="I77" s="1069">
        <f t="shared" ref="I77:K136" si="15">(M77+Q77)/2</f>
        <v>0</v>
      </c>
      <c r="J77" s="1069">
        <f t="shared" si="15"/>
        <v>0</v>
      </c>
      <c r="K77" s="1069">
        <f t="shared" si="15"/>
        <v>0</v>
      </c>
      <c r="L77" s="1069"/>
      <c r="M77" s="873"/>
      <c r="N77" s="873"/>
      <c r="O77" s="873"/>
      <c r="P77" s="1069"/>
      <c r="Q77" s="873"/>
      <c r="R77" s="873"/>
      <c r="S77" s="873"/>
    </row>
    <row r="78" spans="1:19">
      <c r="A78" s="1100">
        <f t="shared" ref="A78:A141" si="16">A77+0.01</f>
        <v>9.0299999999999994</v>
      </c>
      <c r="B78" s="873"/>
      <c r="C78" s="1069">
        <f t="shared" si="14"/>
        <v>0</v>
      </c>
      <c r="D78" s="1069">
        <f t="shared" si="12"/>
        <v>0</v>
      </c>
      <c r="E78" s="1069"/>
      <c r="F78" s="1069"/>
      <c r="G78" s="1069">
        <f t="shared" si="13"/>
        <v>0</v>
      </c>
      <c r="H78" s="1069"/>
      <c r="I78" s="1069">
        <f t="shared" si="15"/>
        <v>0</v>
      </c>
      <c r="J78" s="1069">
        <f t="shared" si="15"/>
        <v>0</v>
      </c>
      <c r="K78" s="1069">
        <f t="shared" si="15"/>
        <v>0</v>
      </c>
      <c r="L78" s="1069"/>
      <c r="M78" s="873"/>
      <c r="N78" s="873"/>
      <c r="O78" s="873"/>
      <c r="P78" s="1069"/>
      <c r="Q78" s="873"/>
      <c r="R78" s="873"/>
      <c r="S78" s="873"/>
    </row>
    <row r="79" spans="1:19">
      <c r="A79" s="1100">
        <f t="shared" si="16"/>
        <v>9.0399999999999991</v>
      </c>
      <c r="B79" s="873"/>
      <c r="C79" s="1069">
        <f t="shared" si="14"/>
        <v>0</v>
      </c>
      <c r="D79" s="1069">
        <f t="shared" si="12"/>
        <v>0</v>
      </c>
      <c r="E79" s="1069"/>
      <c r="F79" s="1069"/>
      <c r="G79" s="1069">
        <f t="shared" si="13"/>
        <v>0</v>
      </c>
      <c r="H79" s="1069"/>
      <c r="I79" s="1069">
        <f t="shared" si="15"/>
        <v>0</v>
      </c>
      <c r="J79" s="1069">
        <f t="shared" si="15"/>
        <v>0</v>
      </c>
      <c r="K79" s="1069">
        <f t="shared" si="15"/>
        <v>0</v>
      </c>
      <c r="L79" s="1069"/>
      <c r="M79" s="873"/>
      <c r="N79" s="873"/>
      <c r="O79" s="873"/>
      <c r="P79" s="1069"/>
      <c r="Q79" s="873"/>
      <c r="R79" s="873"/>
      <c r="S79" s="873"/>
    </row>
    <row r="80" spans="1:19">
      <c r="A80" s="1100">
        <f t="shared" si="16"/>
        <v>9.0499999999999989</v>
      </c>
      <c r="B80" s="873"/>
      <c r="C80" s="1069">
        <f t="shared" si="14"/>
        <v>0</v>
      </c>
      <c r="D80" s="1069">
        <f t="shared" si="12"/>
        <v>0</v>
      </c>
      <c r="E80" s="1069"/>
      <c r="F80" s="1069"/>
      <c r="G80" s="1069">
        <f t="shared" si="13"/>
        <v>0</v>
      </c>
      <c r="H80" s="1069"/>
      <c r="I80" s="1069">
        <f t="shared" si="15"/>
        <v>0</v>
      </c>
      <c r="J80" s="1069">
        <f t="shared" si="15"/>
        <v>0</v>
      </c>
      <c r="K80" s="1069">
        <f t="shared" si="15"/>
        <v>0</v>
      </c>
      <c r="L80" s="1069"/>
      <c r="M80" s="873"/>
      <c r="N80" s="873"/>
      <c r="O80" s="873"/>
      <c r="P80" s="1069"/>
      <c r="Q80" s="873"/>
      <c r="R80" s="873"/>
      <c r="S80" s="873"/>
    </row>
    <row r="81" spans="1:19">
      <c r="A81" s="1100">
        <f t="shared" si="16"/>
        <v>9.0599999999999987</v>
      </c>
      <c r="B81" s="873"/>
      <c r="C81" s="1069">
        <f t="shared" si="14"/>
        <v>0</v>
      </c>
      <c r="D81" s="1069">
        <f t="shared" si="12"/>
        <v>0</v>
      </c>
      <c r="E81" s="1069"/>
      <c r="F81" s="1069"/>
      <c r="G81" s="1069">
        <f t="shared" si="13"/>
        <v>0</v>
      </c>
      <c r="H81" s="1069"/>
      <c r="I81" s="1069">
        <f t="shared" si="15"/>
        <v>0</v>
      </c>
      <c r="J81" s="1069">
        <f t="shared" si="15"/>
        <v>0</v>
      </c>
      <c r="K81" s="1069">
        <f t="shared" si="15"/>
        <v>0</v>
      </c>
      <c r="L81" s="1069"/>
      <c r="M81" s="873"/>
      <c r="N81" s="873"/>
      <c r="O81" s="873"/>
      <c r="P81" s="1069"/>
      <c r="Q81" s="873"/>
      <c r="R81" s="873"/>
      <c r="S81" s="873"/>
    </row>
    <row r="82" spans="1:19">
      <c r="A82" s="1100">
        <f t="shared" si="16"/>
        <v>9.0699999999999985</v>
      </c>
      <c r="B82" s="873"/>
      <c r="C82" s="1069">
        <f t="shared" si="14"/>
        <v>0</v>
      </c>
      <c r="D82" s="1069">
        <f t="shared" si="12"/>
        <v>0</v>
      </c>
      <c r="E82" s="1069"/>
      <c r="F82" s="1069"/>
      <c r="G82" s="1069">
        <f>ROUND(SUM(C82:F82)/2,0)</f>
        <v>0</v>
      </c>
      <c r="H82" s="1069"/>
      <c r="I82" s="1069">
        <f t="shared" si="15"/>
        <v>0</v>
      </c>
      <c r="J82" s="1069">
        <f t="shared" si="15"/>
        <v>0</v>
      </c>
      <c r="K82" s="1069">
        <f t="shared" si="15"/>
        <v>0</v>
      </c>
      <c r="L82" s="1069"/>
      <c r="M82" s="873"/>
      <c r="N82" s="873"/>
      <c r="O82" s="873"/>
      <c r="P82" s="1069"/>
      <c r="Q82" s="873"/>
      <c r="R82" s="873"/>
      <c r="S82" s="873"/>
    </row>
    <row r="83" spans="1:19">
      <c r="A83" s="1100">
        <f t="shared" si="16"/>
        <v>9.0799999999999983</v>
      </c>
      <c r="B83" s="873"/>
      <c r="C83" s="1069">
        <f t="shared" si="14"/>
        <v>0</v>
      </c>
      <c r="D83" s="1069">
        <f t="shared" si="12"/>
        <v>0</v>
      </c>
      <c r="E83" s="1069"/>
      <c r="F83" s="1069"/>
      <c r="G83" s="1069">
        <f>ROUND(SUM(C83:F83)/2,0)</f>
        <v>0</v>
      </c>
      <c r="H83" s="1069"/>
      <c r="I83" s="1069">
        <f t="shared" si="15"/>
        <v>0</v>
      </c>
      <c r="J83" s="1069">
        <f t="shared" si="15"/>
        <v>0</v>
      </c>
      <c r="K83" s="1069">
        <f t="shared" si="15"/>
        <v>0</v>
      </c>
      <c r="L83" s="1069"/>
      <c r="M83" s="873"/>
      <c r="N83" s="873"/>
      <c r="O83" s="873"/>
      <c r="P83" s="1069"/>
      <c r="Q83" s="873"/>
      <c r="R83" s="873"/>
      <c r="S83" s="873"/>
    </row>
    <row r="84" spans="1:19">
      <c r="A84" s="1100">
        <f t="shared" si="16"/>
        <v>9.0899999999999981</v>
      </c>
      <c r="B84" s="873"/>
      <c r="C84" s="1069">
        <f t="shared" si="14"/>
        <v>0</v>
      </c>
      <c r="D84" s="1069">
        <f t="shared" si="12"/>
        <v>0</v>
      </c>
      <c r="E84" s="1069"/>
      <c r="F84" s="1069"/>
      <c r="G84" s="1069">
        <f t="shared" si="13"/>
        <v>0</v>
      </c>
      <c r="H84" s="1069"/>
      <c r="I84" s="1069">
        <f t="shared" si="15"/>
        <v>0</v>
      </c>
      <c r="J84" s="1069">
        <f t="shared" si="15"/>
        <v>0</v>
      </c>
      <c r="K84" s="1069">
        <f t="shared" si="15"/>
        <v>0</v>
      </c>
      <c r="L84" s="1069"/>
      <c r="M84" s="873"/>
      <c r="N84" s="873"/>
      <c r="O84" s="873"/>
      <c r="P84" s="1069"/>
      <c r="Q84" s="873"/>
      <c r="R84" s="873"/>
      <c r="S84" s="873"/>
    </row>
    <row r="85" spans="1:19">
      <c r="A85" s="1100">
        <f t="shared" si="16"/>
        <v>9.0999999999999979</v>
      </c>
      <c r="B85" s="873"/>
      <c r="C85" s="1069">
        <f t="shared" si="14"/>
        <v>0</v>
      </c>
      <c r="D85" s="1069">
        <f t="shared" si="12"/>
        <v>0</v>
      </c>
      <c r="E85" s="1069"/>
      <c r="F85" s="1069"/>
      <c r="G85" s="1069">
        <f>ROUND(SUM(C85:F85)/2,0)</f>
        <v>0</v>
      </c>
      <c r="H85" s="1069"/>
      <c r="I85" s="1069">
        <f t="shared" si="15"/>
        <v>0</v>
      </c>
      <c r="J85" s="1069">
        <f t="shared" si="15"/>
        <v>0</v>
      </c>
      <c r="K85" s="1069">
        <f t="shared" si="15"/>
        <v>0</v>
      </c>
      <c r="L85" s="1069"/>
      <c r="M85" s="873"/>
      <c r="N85" s="873"/>
      <c r="O85" s="873"/>
      <c r="P85" s="1069"/>
      <c r="Q85" s="873"/>
      <c r="R85" s="873"/>
      <c r="S85" s="873"/>
    </row>
    <row r="86" spans="1:19" hidden="1">
      <c r="A86" s="1100">
        <f t="shared" si="16"/>
        <v>9.1099999999999977</v>
      </c>
      <c r="B86" s="873"/>
      <c r="C86" s="1069">
        <f t="shared" si="14"/>
        <v>0</v>
      </c>
      <c r="D86" s="1069">
        <f t="shared" si="12"/>
        <v>0</v>
      </c>
      <c r="E86" s="1069"/>
      <c r="F86" s="1069"/>
      <c r="G86" s="1069">
        <f>ROUND(SUM(C86:F86)/2,0)</f>
        <v>0</v>
      </c>
      <c r="H86" s="1069"/>
      <c r="I86" s="1069">
        <f t="shared" si="15"/>
        <v>0</v>
      </c>
      <c r="J86" s="1069">
        <f t="shared" si="15"/>
        <v>0</v>
      </c>
      <c r="K86" s="1069">
        <f t="shared" si="15"/>
        <v>0</v>
      </c>
      <c r="L86" s="1069"/>
      <c r="M86" s="873"/>
      <c r="N86" s="873"/>
      <c r="O86" s="873"/>
      <c r="P86" s="1069"/>
      <c r="Q86" s="873"/>
      <c r="R86" s="873"/>
      <c r="S86" s="873"/>
    </row>
    <row r="87" spans="1:19" hidden="1">
      <c r="A87" s="1100">
        <f t="shared" si="16"/>
        <v>9.1199999999999974</v>
      </c>
      <c r="B87" s="873"/>
      <c r="C87" s="1069">
        <f t="shared" si="14"/>
        <v>0</v>
      </c>
      <c r="D87" s="1069">
        <f t="shared" si="12"/>
        <v>0</v>
      </c>
      <c r="E87" s="1069"/>
      <c r="F87" s="1069"/>
      <c r="G87" s="1069">
        <f t="shared" si="13"/>
        <v>0</v>
      </c>
      <c r="H87" s="1069"/>
      <c r="I87" s="1069">
        <f t="shared" si="15"/>
        <v>0</v>
      </c>
      <c r="J87" s="1069">
        <f t="shared" si="15"/>
        <v>0</v>
      </c>
      <c r="K87" s="1069">
        <f t="shared" si="15"/>
        <v>0</v>
      </c>
      <c r="L87" s="1069"/>
      <c r="M87" s="873"/>
      <c r="N87" s="873"/>
      <c r="O87" s="873"/>
      <c r="P87" s="1069"/>
      <c r="Q87" s="873"/>
      <c r="R87" s="873"/>
      <c r="S87" s="873"/>
    </row>
    <row r="88" spans="1:19" hidden="1">
      <c r="A88" s="1100">
        <f t="shared" si="16"/>
        <v>9.1299999999999972</v>
      </c>
      <c r="B88" s="873"/>
      <c r="C88" s="1069">
        <f t="shared" si="14"/>
        <v>0</v>
      </c>
      <c r="D88" s="1069">
        <f t="shared" si="12"/>
        <v>0</v>
      </c>
      <c r="E88" s="1069"/>
      <c r="F88" s="1069"/>
      <c r="G88" s="1069">
        <f t="shared" si="13"/>
        <v>0</v>
      </c>
      <c r="H88" s="1069"/>
      <c r="I88" s="1069">
        <f t="shared" si="15"/>
        <v>0</v>
      </c>
      <c r="J88" s="1069">
        <f t="shared" si="15"/>
        <v>0</v>
      </c>
      <c r="K88" s="1069">
        <f t="shared" si="15"/>
        <v>0</v>
      </c>
      <c r="L88" s="1069"/>
      <c r="M88" s="873"/>
      <c r="N88" s="873"/>
      <c r="O88" s="873"/>
      <c r="P88" s="1069"/>
      <c r="Q88" s="873"/>
      <c r="R88" s="873"/>
      <c r="S88" s="873"/>
    </row>
    <row r="89" spans="1:19" hidden="1">
      <c r="A89" s="1100">
        <f t="shared" si="16"/>
        <v>9.139999999999997</v>
      </c>
      <c r="B89" s="873"/>
      <c r="C89" s="1069">
        <f t="shared" si="14"/>
        <v>0</v>
      </c>
      <c r="D89" s="1069">
        <f t="shared" si="12"/>
        <v>0</v>
      </c>
      <c r="E89" s="1069"/>
      <c r="F89" s="1069"/>
      <c r="G89" s="1069">
        <f t="shared" si="13"/>
        <v>0</v>
      </c>
      <c r="H89" s="1069"/>
      <c r="I89" s="1069">
        <f t="shared" si="15"/>
        <v>0</v>
      </c>
      <c r="J89" s="1069">
        <f t="shared" si="15"/>
        <v>0</v>
      </c>
      <c r="K89" s="1069">
        <f t="shared" si="15"/>
        <v>0</v>
      </c>
      <c r="L89" s="1069"/>
      <c r="M89" s="873"/>
      <c r="N89" s="873"/>
      <c r="O89" s="873"/>
      <c r="P89" s="1069"/>
      <c r="Q89" s="873"/>
      <c r="R89" s="873"/>
      <c r="S89" s="873"/>
    </row>
    <row r="90" spans="1:19" hidden="1">
      <c r="A90" s="1100">
        <f t="shared" si="16"/>
        <v>9.1499999999999968</v>
      </c>
      <c r="B90" s="873"/>
      <c r="C90" s="1069">
        <f t="shared" si="14"/>
        <v>0</v>
      </c>
      <c r="D90" s="1069">
        <f t="shared" si="12"/>
        <v>0</v>
      </c>
      <c r="E90" s="1069"/>
      <c r="F90" s="1069"/>
      <c r="G90" s="1069">
        <f t="shared" si="13"/>
        <v>0</v>
      </c>
      <c r="H90" s="1069"/>
      <c r="I90" s="1069">
        <f t="shared" si="15"/>
        <v>0</v>
      </c>
      <c r="J90" s="1069">
        <f t="shared" si="15"/>
        <v>0</v>
      </c>
      <c r="K90" s="1069">
        <f t="shared" si="15"/>
        <v>0</v>
      </c>
      <c r="L90" s="1069"/>
      <c r="M90" s="873"/>
      <c r="N90" s="873"/>
      <c r="O90" s="873"/>
      <c r="P90" s="1069"/>
      <c r="Q90" s="873"/>
      <c r="R90" s="873"/>
      <c r="S90" s="873"/>
    </row>
    <row r="91" spans="1:19" hidden="1">
      <c r="A91" s="1100">
        <f t="shared" si="16"/>
        <v>9.1599999999999966</v>
      </c>
      <c r="B91" s="873"/>
      <c r="C91" s="1069">
        <f t="shared" si="14"/>
        <v>0</v>
      </c>
      <c r="D91" s="1069">
        <f t="shared" si="12"/>
        <v>0</v>
      </c>
      <c r="E91" s="1069"/>
      <c r="F91" s="1069"/>
      <c r="G91" s="1069">
        <f t="shared" si="13"/>
        <v>0</v>
      </c>
      <c r="H91" s="1069"/>
      <c r="I91" s="1069">
        <f t="shared" si="15"/>
        <v>0</v>
      </c>
      <c r="J91" s="1069">
        <f t="shared" si="15"/>
        <v>0</v>
      </c>
      <c r="K91" s="1069">
        <f t="shared" si="15"/>
        <v>0</v>
      </c>
      <c r="L91" s="1069"/>
      <c r="M91" s="873"/>
      <c r="N91" s="873"/>
      <c r="O91" s="873"/>
      <c r="P91" s="1069"/>
      <c r="Q91" s="873"/>
      <c r="R91" s="873"/>
      <c r="S91" s="873"/>
    </row>
    <row r="92" spans="1:19" hidden="1">
      <c r="A92" s="1100">
        <f t="shared" si="16"/>
        <v>9.1699999999999964</v>
      </c>
      <c r="B92" s="873"/>
      <c r="C92" s="1069">
        <f t="shared" si="14"/>
        <v>0</v>
      </c>
      <c r="D92" s="1069">
        <f t="shared" si="12"/>
        <v>0</v>
      </c>
      <c r="E92" s="1069"/>
      <c r="F92" s="1069"/>
      <c r="G92" s="1069">
        <f t="shared" si="13"/>
        <v>0</v>
      </c>
      <c r="H92" s="1069"/>
      <c r="I92" s="1069">
        <f t="shared" si="15"/>
        <v>0</v>
      </c>
      <c r="J92" s="1069">
        <f t="shared" si="15"/>
        <v>0</v>
      </c>
      <c r="K92" s="1069">
        <f t="shared" si="15"/>
        <v>0</v>
      </c>
      <c r="L92" s="1069"/>
      <c r="M92" s="873"/>
      <c r="N92" s="873"/>
      <c r="O92" s="873"/>
      <c r="P92" s="1069"/>
      <c r="Q92" s="873"/>
      <c r="R92" s="873"/>
      <c r="S92" s="873"/>
    </row>
    <row r="93" spans="1:19" hidden="1">
      <c r="A93" s="1100">
        <f t="shared" si="16"/>
        <v>9.1799999999999962</v>
      </c>
      <c r="B93" s="873"/>
      <c r="C93" s="1069">
        <f t="shared" si="14"/>
        <v>0</v>
      </c>
      <c r="D93" s="1069">
        <f t="shared" si="12"/>
        <v>0</v>
      </c>
      <c r="E93" s="1069"/>
      <c r="F93" s="1069"/>
      <c r="G93" s="1069">
        <f t="shared" si="13"/>
        <v>0</v>
      </c>
      <c r="H93" s="1069"/>
      <c r="I93" s="1069">
        <f t="shared" si="15"/>
        <v>0</v>
      </c>
      <c r="J93" s="1069">
        <f t="shared" si="15"/>
        <v>0</v>
      </c>
      <c r="K93" s="1069">
        <f t="shared" si="15"/>
        <v>0</v>
      </c>
      <c r="L93" s="1069"/>
      <c r="M93" s="873"/>
      <c r="N93" s="873"/>
      <c r="O93" s="873"/>
      <c r="P93" s="1069"/>
      <c r="Q93" s="873"/>
      <c r="R93" s="873"/>
      <c r="S93" s="873"/>
    </row>
    <row r="94" spans="1:19" hidden="1">
      <c r="A94" s="1100">
        <f t="shared" si="16"/>
        <v>9.1899999999999959</v>
      </c>
      <c r="B94" s="873"/>
      <c r="C94" s="1069">
        <f t="shared" si="14"/>
        <v>0</v>
      </c>
      <c r="D94" s="1069">
        <f t="shared" si="12"/>
        <v>0</v>
      </c>
      <c r="E94" s="1069"/>
      <c r="F94" s="1069"/>
      <c r="G94" s="1069">
        <f t="shared" si="13"/>
        <v>0</v>
      </c>
      <c r="H94" s="1069"/>
      <c r="I94" s="1069">
        <f t="shared" si="15"/>
        <v>0</v>
      </c>
      <c r="J94" s="1069">
        <f t="shared" si="15"/>
        <v>0</v>
      </c>
      <c r="K94" s="1069">
        <f t="shared" si="15"/>
        <v>0</v>
      </c>
      <c r="L94" s="1069"/>
      <c r="M94" s="873"/>
      <c r="N94" s="873"/>
      <c r="O94" s="873"/>
      <c r="P94" s="1069"/>
      <c r="Q94" s="873"/>
      <c r="R94" s="873"/>
      <c r="S94" s="873"/>
    </row>
    <row r="95" spans="1:19" hidden="1">
      <c r="A95" s="1100">
        <f t="shared" si="16"/>
        <v>9.1999999999999957</v>
      </c>
      <c r="B95" s="873"/>
      <c r="C95" s="1069">
        <f t="shared" si="14"/>
        <v>0</v>
      </c>
      <c r="D95" s="1069">
        <f t="shared" si="12"/>
        <v>0</v>
      </c>
      <c r="E95" s="1069"/>
      <c r="F95" s="1069"/>
      <c r="G95" s="1069">
        <f t="shared" si="13"/>
        <v>0</v>
      </c>
      <c r="H95" s="1069"/>
      <c r="I95" s="1069">
        <f t="shared" si="15"/>
        <v>0</v>
      </c>
      <c r="J95" s="1069">
        <f t="shared" si="15"/>
        <v>0</v>
      </c>
      <c r="K95" s="1069">
        <f t="shared" si="15"/>
        <v>0</v>
      </c>
      <c r="L95" s="1069"/>
      <c r="M95" s="873"/>
      <c r="N95" s="873"/>
      <c r="O95" s="873"/>
      <c r="P95" s="1069"/>
      <c r="Q95" s="873"/>
      <c r="R95" s="873"/>
      <c r="S95" s="873"/>
    </row>
    <row r="96" spans="1:19" hidden="1">
      <c r="A96" s="1100">
        <f t="shared" si="16"/>
        <v>9.2099999999999955</v>
      </c>
      <c r="B96" s="873"/>
      <c r="C96" s="1069">
        <f t="shared" si="14"/>
        <v>0</v>
      </c>
      <c r="D96" s="1069">
        <f t="shared" si="12"/>
        <v>0</v>
      </c>
      <c r="E96" s="1069"/>
      <c r="F96" s="1069"/>
      <c r="G96" s="1069">
        <f t="shared" si="13"/>
        <v>0</v>
      </c>
      <c r="H96" s="1069"/>
      <c r="I96" s="1069">
        <f t="shared" si="15"/>
        <v>0</v>
      </c>
      <c r="J96" s="1069">
        <f t="shared" si="15"/>
        <v>0</v>
      </c>
      <c r="K96" s="1069">
        <f t="shared" si="15"/>
        <v>0</v>
      </c>
      <c r="L96" s="1069"/>
      <c r="M96" s="873"/>
      <c r="N96" s="873"/>
      <c r="O96" s="873"/>
      <c r="P96" s="1069"/>
      <c r="Q96" s="873"/>
      <c r="R96" s="873"/>
      <c r="S96" s="873"/>
    </row>
    <row r="97" spans="1:19" hidden="1">
      <c r="A97" s="1100">
        <f t="shared" si="16"/>
        <v>9.2199999999999953</v>
      </c>
      <c r="B97" s="873"/>
      <c r="C97" s="1069">
        <f t="shared" si="14"/>
        <v>0</v>
      </c>
      <c r="D97" s="1069">
        <f t="shared" si="12"/>
        <v>0</v>
      </c>
      <c r="E97" s="1069"/>
      <c r="F97" s="1069"/>
      <c r="G97" s="1069">
        <f t="shared" si="13"/>
        <v>0</v>
      </c>
      <c r="H97" s="1069"/>
      <c r="I97" s="1069">
        <f t="shared" si="15"/>
        <v>0</v>
      </c>
      <c r="J97" s="1069">
        <f t="shared" si="15"/>
        <v>0</v>
      </c>
      <c r="K97" s="1069">
        <f t="shared" si="15"/>
        <v>0</v>
      </c>
      <c r="L97" s="1069"/>
      <c r="M97" s="873"/>
      <c r="N97" s="873"/>
      <c r="O97" s="873"/>
      <c r="P97" s="1069"/>
      <c r="Q97" s="873"/>
      <c r="R97" s="873"/>
      <c r="S97" s="873"/>
    </row>
    <row r="98" spans="1:19" hidden="1">
      <c r="A98" s="1100">
        <f t="shared" si="16"/>
        <v>9.2299999999999951</v>
      </c>
      <c r="B98" s="873"/>
      <c r="C98" s="1069">
        <f t="shared" si="14"/>
        <v>0</v>
      </c>
      <c r="D98" s="1069">
        <f t="shared" si="12"/>
        <v>0</v>
      </c>
      <c r="E98" s="1069"/>
      <c r="F98" s="1069"/>
      <c r="G98" s="1069">
        <f t="shared" si="13"/>
        <v>0</v>
      </c>
      <c r="H98" s="1069"/>
      <c r="I98" s="1069">
        <f t="shared" si="15"/>
        <v>0</v>
      </c>
      <c r="J98" s="1069">
        <f t="shared" si="15"/>
        <v>0</v>
      </c>
      <c r="K98" s="1069">
        <f t="shared" si="15"/>
        <v>0</v>
      </c>
      <c r="L98" s="1069"/>
      <c r="M98" s="873"/>
      <c r="N98" s="873"/>
      <c r="O98" s="873"/>
      <c r="P98" s="1069"/>
      <c r="Q98" s="873"/>
      <c r="R98" s="873"/>
      <c r="S98" s="873"/>
    </row>
    <row r="99" spans="1:19" hidden="1">
      <c r="A99" s="1100">
        <f t="shared" si="16"/>
        <v>9.2399999999999949</v>
      </c>
      <c r="B99" s="873"/>
      <c r="C99" s="1069">
        <f t="shared" si="14"/>
        <v>0</v>
      </c>
      <c r="D99" s="1069">
        <f t="shared" si="12"/>
        <v>0</v>
      </c>
      <c r="E99" s="1069"/>
      <c r="F99" s="1069"/>
      <c r="G99" s="1069">
        <f t="shared" si="13"/>
        <v>0</v>
      </c>
      <c r="H99" s="1069"/>
      <c r="I99" s="1069">
        <f t="shared" si="15"/>
        <v>0</v>
      </c>
      <c r="J99" s="1069">
        <f t="shared" si="15"/>
        <v>0</v>
      </c>
      <c r="K99" s="1069">
        <f t="shared" si="15"/>
        <v>0</v>
      </c>
      <c r="L99" s="1069"/>
      <c r="M99" s="873"/>
      <c r="N99" s="873"/>
      <c r="O99" s="873"/>
      <c r="P99" s="1069"/>
      <c r="Q99" s="873"/>
      <c r="R99" s="873"/>
      <c r="S99" s="873"/>
    </row>
    <row r="100" spans="1:19" hidden="1">
      <c r="A100" s="1100">
        <f t="shared" si="16"/>
        <v>9.2499999999999947</v>
      </c>
      <c r="B100" s="873"/>
      <c r="C100" s="1069">
        <f t="shared" si="14"/>
        <v>0</v>
      </c>
      <c r="D100" s="1069">
        <f t="shared" si="12"/>
        <v>0</v>
      </c>
      <c r="E100" s="1069"/>
      <c r="F100" s="1069"/>
      <c r="G100" s="1069">
        <f>ROUND(SUM(C100:F100)/2,0)</f>
        <v>0</v>
      </c>
      <c r="H100" s="1069"/>
      <c r="I100" s="1069">
        <f t="shared" si="15"/>
        <v>0</v>
      </c>
      <c r="J100" s="1069">
        <f t="shared" si="15"/>
        <v>0</v>
      </c>
      <c r="K100" s="1069">
        <f t="shared" si="15"/>
        <v>0</v>
      </c>
      <c r="L100" s="1069"/>
      <c r="M100" s="873"/>
      <c r="N100" s="873"/>
      <c r="O100" s="873"/>
      <c r="P100" s="1069"/>
      <c r="Q100" s="873"/>
      <c r="R100" s="873"/>
      <c r="S100" s="873"/>
    </row>
    <row r="101" spans="1:19" hidden="1">
      <c r="A101" s="1100">
        <f t="shared" si="16"/>
        <v>9.2599999999999945</v>
      </c>
      <c r="B101" s="873"/>
      <c r="C101" s="1069">
        <f t="shared" si="14"/>
        <v>0</v>
      </c>
      <c r="D101" s="1069">
        <f t="shared" si="12"/>
        <v>0</v>
      </c>
      <c r="E101" s="1069"/>
      <c r="F101" s="1069"/>
      <c r="G101" s="1069">
        <f t="shared" si="13"/>
        <v>0</v>
      </c>
      <c r="H101" s="1069"/>
      <c r="I101" s="1069">
        <f t="shared" si="15"/>
        <v>0</v>
      </c>
      <c r="J101" s="1069">
        <f t="shared" si="15"/>
        <v>0</v>
      </c>
      <c r="K101" s="1069">
        <f t="shared" si="15"/>
        <v>0</v>
      </c>
      <c r="L101" s="1069"/>
      <c r="M101" s="873"/>
      <c r="N101" s="873"/>
      <c r="O101" s="873"/>
      <c r="P101" s="1069"/>
      <c r="Q101" s="873"/>
      <c r="R101" s="873"/>
      <c r="S101" s="873"/>
    </row>
    <row r="102" spans="1:19" hidden="1">
      <c r="A102" s="1100">
        <f t="shared" si="16"/>
        <v>9.2699999999999942</v>
      </c>
      <c r="B102" s="873"/>
      <c r="C102" s="1069">
        <f t="shared" si="14"/>
        <v>0</v>
      </c>
      <c r="D102" s="1069">
        <f t="shared" si="12"/>
        <v>0</v>
      </c>
      <c r="E102" s="1069"/>
      <c r="F102" s="1069"/>
      <c r="G102" s="1069">
        <f t="shared" si="13"/>
        <v>0</v>
      </c>
      <c r="H102" s="1069"/>
      <c r="I102" s="1069">
        <f t="shared" si="15"/>
        <v>0</v>
      </c>
      <c r="J102" s="1069">
        <f t="shared" si="15"/>
        <v>0</v>
      </c>
      <c r="K102" s="1069">
        <f t="shared" si="15"/>
        <v>0</v>
      </c>
      <c r="L102" s="1069"/>
      <c r="M102" s="873"/>
      <c r="N102" s="873"/>
      <c r="O102" s="873"/>
      <c r="P102" s="1069"/>
      <c r="Q102" s="873"/>
      <c r="R102" s="873"/>
      <c r="S102" s="873"/>
    </row>
    <row r="103" spans="1:19" hidden="1">
      <c r="A103" s="1100">
        <f t="shared" si="16"/>
        <v>9.279999999999994</v>
      </c>
      <c r="B103" s="873"/>
      <c r="C103" s="1069">
        <f t="shared" si="14"/>
        <v>0</v>
      </c>
      <c r="D103" s="1069">
        <f t="shared" si="12"/>
        <v>0</v>
      </c>
      <c r="E103" s="1069"/>
      <c r="F103" s="1069"/>
      <c r="G103" s="1069">
        <f>ROUND(SUM(C103:F103)/2,0)</f>
        <v>0</v>
      </c>
      <c r="H103" s="1069"/>
      <c r="I103" s="1069">
        <f t="shared" si="15"/>
        <v>0</v>
      </c>
      <c r="J103" s="1069">
        <f t="shared" si="15"/>
        <v>0</v>
      </c>
      <c r="K103" s="1069">
        <f t="shared" si="15"/>
        <v>0</v>
      </c>
      <c r="L103" s="1069"/>
      <c r="M103" s="873"/>
      <c r="N103" s="873"/>
      <c r="O103" s="873"/>
      <c r="P103" s="1069"/>
      <c r="Q103" s="873"/>
      <c r="R103" s="873"/>
      <c r="S103" s="873"/>
    </row>
    <row r="104" spans="1:19" hidden="1">
      <c r="A104" s="1100">
        <f t="shared" si="16"/>
        <v>9.2899999999999938</v>
      </c>
      <c r="B104" s="873"/>
      <c r="C104" s="1069">
        <f t="shared" si="14"/>
        <v>0</v>
      </c>
      <c r="D104" s="1069">
        <f t="shared" si="12"/>
        <v>0</v>
      </c>
      <c r="E104" s="1069"/>
      <c r="F104" s="1069"/>
      <c r="G104" s="1069">
        <f t="shared" si="13"/>
        <v>0</v>
      </c>
      <c r="H104" s="1069"/>
      <c r="I104" s="1069">
        <f t="shared" si="15"/>
        <v>0</v>
      </c>
      <c r="J104" s="1069">
        <f t="shared" si="15"/>
        <v>0</v>
      </c>
      <c r="K104" s="1069">
        <f t="shared" si="15"/>
        <v>0</v>
      </c>
      <c r="L104" s="1069"/>
      <c r="M104" s="873"/>
      <c r="N104" s="873"/>
      <c r="O104" s="873"/>
      <c r="P104" s="1069"/>
      <c r="Q104" s="873"/>
      <c r="R104" s="873"/>
      <c r="S104" s="873"/>
    </row>
    <row r="105" spans="1:19" hidden="1">
      <c r="A105" s="1100">
        <f t="shared" si="16"/>
        <v>9.2999999999999936</v>
      </c>
      <c r="B105" s="873"/>
      <c r="C105" s="1069">
        <f t="shared" si="14"/>
        <v>0</v>
      </c>
      <c r="D105" s="1069">
        <f t="shared" si="12"/>
        <v>0</v>
      </c>
      <c r="E105" s="1069"/>
      <c r="F105" s="1069"/>
      <c r="G105" s="1069">
        <f t="shared" si="13"/>
        <v>0</v>
      </c>
      <c r="H105" s="1069"/>
      <c r="I105" s="1069">
        <f t="shared" si="15"/>
        <v>0</v>
      </c>
      <c r="J105" s="1069">
        <f t="shared" si="15"/>
        <v>0</v>
      </c>
      <c r="K105" s="1069">
        <f t="shared" si="15"/>
        <v>0</v>
      </c>
      <c r="L105" s="1069"/>
      <c r="M105" s="873"/>
      <c r="N105" s="873"/>
      <c r="O105" s="873"/>
      <c r="P105" s="1069"/>
      <c r="Q105" s="873"/>
      <c r="R105" s="873"/>
      <c r="S105" s="873"/>
    </row>
    <row r="106" spans="1:19" hidden="1">
      <c r="A106" s="1100">
        <f t="shared" si="16"/>
        <v>9.3099999999999934</v>
      </c>
      <c r="B106" s="873"/>
      <c r="C106" s="1074">
        <f t="shared" si="14"/>
        <v>0</v>
      </c>
      <c r="D106" s="1074">
        <f t="shared" si="12"/>
        <v>0</v>
      </c>
      <c r="E106" s="1074"/>
      <c r="F106" s="1074"/>
      <c r="G106" s="1074">
        <f t="shared" si="13"/>
        <v>0</v>
      </c>
      <c r="H106" s="1074"/>
      <c r="I106" s="1074">
        <f t="shared" si="15"/>
        <v>0</v>
      </c>
      <c r="J106" s="1074">
        <f t="shared" si="15"/>
        <v>0</v>
      </c>
      <c r="K106" s="1074">
        <f t="shared" si="15"/>
        <v>0</v>
      </c>
      <c r="L106" s="1074"/>
      <c r="M106" s="873"/>
      <c r="N106" s="873"/>
      <c r="O106" s="873"/>
      <c r="P106" s="1074"/>
      <c r="Q106" s="873"/>
      <c r="R106" s="873"/>
      <c r="S106" s="873"/>
    </row>
    <row r="107" spans="1:19" hidden="1">
      <c r="A107" s="1100">
        <f t="shared" si="16"/>
        <v>9.3199999999999932</v>
      </c>
      <c r="B107" s="873"/>
      <c r="C107" s="1069">
        <f t="shared" si="14"/>
        <v>0</v>
      </c>
      <c r="D107" s="1069">
        <f t="shared" si="12"/>
        <v>0</v>
      </c>
      <c r="E107" s="1069"/>
      <c r="F107" s="1069"/>
      <c r="G107" s="1069">
        <f t="shared" si="13"/>
        <v>0</v>
      </c>
      <c r="H107" s="1069"/>
      <c r="I107" s="1069">
        <f t="shared" si="15"/>
        <v>0</v>
      </c>
      <c r="J107" s="1069">
        <f t="shared" si="15"/>
        <v>0</v>
      </c>
      <c r="K107" s="1069">
        <f t="shared" si="15"/>
        <v>0</v>
      </c>
      <c r="L107" s="1069"/>
      <c r="M107" s="873"/>
      <c r="N107" s="873"/>
      <c r="O107" s="873"/>
      <c r="P107" s="1069"/>
      <c r="Q107" s="873"/>
      <c r="R107" s="873"/>
      <c r="S107" s="873"/>
    </row>
    <row r="108" spans="1:19" hidden="1">
      <c r="A108" s="1100">
        <f t="shared" si="16"/>
        <v>9.329999999999993</v>
      </c>
      <c r="B108" s="873"/>
      <c r="C108" s="1069">
        <f t="shared" si="14"/>
        <v>0</v>
      </c>
      <c r="D108" s="1069">
        <f t="shared" si="12"/>
        <v>0</v>
      </c>
      <c r="E108" s="1069"/>
      <c r="F108" s="1069"/>
      <c r="G108" s="1069">
        <f t="shared" si="13"/>
        <v>0</v>
      </c>
      <c r="H108" s="1069"/>
      <c r="I108" s="1069">
        <f t="shared" si="15"/>
        <v>0</v>
      </c>
      <c r="J108" s="1069">
        <f t="shared" si="15"/>
        <v>0</v>
      </c>
      <c r="K108" s="1069">
        <f t="shared" si="15"/>
        <v>0</v>
      </c>
      <c r="L108" s="1069"/>
      <c r="M108" s="873"/>
      <c r="N108" s="873"/>
      <c r="O108" s="873"/>
      <c r="P108" s="1069"/>
      <c r="Q108" s="873"/>
      <c r="R108" s="873"/>
      <c r="S108" s="873"/>
    </row>
    <row r="109" spans="1:19" hidden="1">
      <c r="A109" s="1100">
        <f t="shared" si="16"/>
        <v>9.3399999999999928</v>
      </c>
      <c r="B109" s="873"/>
      <c r="C109" s="1069">
        <f t="shared" si="14"/>
        <v>0</v>
      </c>
      <c r="D109" s="1069">
        <f t="shared" si="12"/>
        <v>0</v>
      </c>
      <c r="E109" s="1069"/>
      <c r="F109" s="1069"/>
      <c r="G109" s="1069">
        <f t="shared" si="13"/>
        <v>0</v>
      </c>
      <c r="H109" s="1069"/>
      <c r="I109" s="1069">
        <f t="shared" si="15"/>
        <v>0</v>
      </c>
      <c r="J109" s="1069">
        <f t="shared" si="15"/>
        <v>0</v>
      </c>
      <c r="K109" s="1069">
        <f t="shared" si="15"/>
        <v>0</v>
      </c>
      <c r="L109" s="1069"/>
      <c r="M109" s="873"/>
      <c r="N109" s="873"/>
      <c r="O109" s="873"/>
      <c r="P109" s="1069"/>
      <c r="Q109" s="873"/>
      <c r="R109" s="873"/>
      <c r="S109" s="873"/>
    </row>
    <row r="110" spans="1:19" hidden="1">
      <c r="A110" s="1100">
        <f t="shared" si="16"/>
        <v>9.3499999999999925</v>
      </c>
      <c r="B110" s="873"/>
      <c r="C110" s="1069">
        <f t="shared" si="14"/>
        <v>0</v>
      </c>
      <c r="D110" s="1069">
        <f t="shared" si="12"/>
        <v>0</v>
      </c>
      <c r="E110" s="1069"/>
      <c r="F110" s="1069"/>
      <c r="G110" s="1069">
        <f t="shared" si="13"/>
        <v>0</v>
      </c>
      <c r="H110" s="1069"/>
      <c r="I110" s="1069">
        <f t="shared" si="15"/>
        <v>0</v>
      </c>
      <c r="J110" s="1069">
        <f t="shared" si="15"/>
        <v>0</v>
      </c>
      <c r="K110" s="1069">
        <f t="shared" si="15"/>
        <v>0</v>
      </c>
      <c r="L110" s="1069"/>
      <c r="M110" s="873"/>
      <c r="N110" s="873"/>
      <c r="O110" s="873"/>
      <c r="P110" s="1069"/>
      <c r="Q110" s="873"/>
      <c r="R110" s="873"/>
      <c r="S110" s="873"/>
    </row>
    <row r="111" spans="1:19" hidden="1">
      <c r="A111" s="1100">
        <f t="shared" si="16"/>
        <v>9.3599999999999923</v>
      </c>
      <c r="B111" s="873"/>
      <c r="C111" s="1069">
        <f t="shared" si="14"/>
        <v>0</v>
      </c>
      <c r="D111" s="1069">
        <f t="shared" si="12"/>
        <v>0</v>
      </c>
      <c r="E111" s="1069"/>
      <c r="F111" s="1069"/>
      <c r="G111" s="1069">
        <f t="shared" si="13"/>
        <v>0</v>
      </c>
      <c r="H111" s="1069"/>
      <c r="I111" s="1069">
        <f t="shared" si="15"/>
        <v>0</v>
      </c>
      <c r="J111" s="1069">
        <f t="shared" si="15"/>
        <v>0</v>
      </c>
      <c r="K111" s="1069">
        <f t="shared" si="15"/>
        <v>0</v>
      </c>
      <c r="L111" s="1069"/>
      <c r="M111" s="873"/>
      <c r="N111" s="873"/>
      <c r="O111" s="873"/>
      <c r="P111" s="1069"/>
      <c r="Q111" s="873"/>
      <c r="R111" s="873"/>
      <c r="S111" s="873"/>
    </row>
    <row r="112" spans="1:19" hidden="1">
      <c r="A112" s="1100">
        <f t="shared" si="16"/>
        <v>9.3699999999999921</v>
      </c>
      <c r="B112" s="873"/>
      <c r="C112" s="1069">
        <f t="shared" si="14"/>
        <v>0</v>
      </c>
      <c r="D112" s="1069">
        <f t="shared" si="12"/>
        <v>0</v>
      </c>
      <c r="E112" s="1069"/>
      <c r="F112" s="1069"/>
      <c r="G112" s="1069">
        <f t="shared" si="13"/>
        <v>0</v>
      </c>
      <c r="H112" s="1069"/>
      <c r="I112" s="1069">
        <f t="shared" si="15"/>
        <v>0</v>
      </c>
      <c r="J112" s="1069">
        <f t="shared" si="15"/>
        <v>0</v>
      </c>
      <c r="K112" s="1069">
        <f t="shared" si="15"/>
        <v>0</v>
      </c>
      <c r="L112" s="1069"/>
      <c r="M112" s="873"/>
      <c r="N112" s="873"/>
      <c r="O112" s="873"/>
      <c r="P112" s="1069"/>
      <c r="Q112" s="873"/>
      <c r="R112" s="873"/>
      <c r="S112" s="873"/>
    </row>
    <row r="113" spans="1:19" hidden="1">
      <c r="A113" s="1100">
        <f t="shared" si="16"/>
        <v>9.3799999999999919</v>
      </c>
      <c r="B113" s="873"/>
      <c r="C113" s="1069">
        <f t="shared" si="14"/>
        <v>0</v>
      </c>
      <c r="D113" s="1069">
        <f t="shared" si="12"/>
        <v>0</v>
      </c>
      <c r="E113" s="1069"/>
      <c r="F113" s="1069"/>
      <c r="G113" s="1069">
        <f t="shared" si="13"/>
        <v>0</v>
      </c>
      <c r="H113" s="1069"/>
      <c r="I113" s="1069">
        <f t="shared" si="15"/>
        <v>0</v>
      </c>
      <c r="J113" s="1069">
        <f t="shared" si="15"/>
        <v>0</v>
      </c>
      <c r="K113" s="1069">
        <f t="shared" si="15"/>
        <v>0</v>
      </c>
      <c r="L113" s="1069"/>
      <c r="M113" s="873"/>
      <c r="N113" s="873"/>
      <c r="O113" s="873"/>
      <c r="P113" s="1069"/>
      <c r="Q113" s="873"/>
      <c r="R113" s="873"/>
      <c r="S113" s="873"/>
    </row>
    <row r="114" spans="1:19" hidden="1">
      <c r="A114" s="1100">
        <f t="shared" si="16"/>
        <v>9.3899999999999917</v>
      </c>
      <c r="B114" s="873"/>
      <c r="C114" s="1069">
        <f t="shared" si="14"/>
        <v>0</v>
      </c>
      <c r="D114" s="1069">
        <f t="shared" si="12"/>
        <v>0</v>
      </c>
      <c r="E114" s="1069"/>
      <c r="F114" s="1069"/>
      <c r="G114" s="1069">
        <f t="shared" si="13"/>
        <v>0</v>
      </c>
      <c r="H114" s="1069"/>
      <c r="I114" s="1069">
        <f t="shared" si="15"/>
        <v>0</v>
      </c>
      <c r="J114" s="1069">
        <f t="shared" si="15"/>
        <v>0</v>
      </c>
      <c r="K114" s="1069">
        <f t="shared" si="15"/>
        <v>0</v>
      </c>
      <c r="L114" s="1069"/>
      <c r="M114" s="873"/>
      <c r="N114" s="873"/>
      <c r="O114" s="873"/>
      <c r="P114" s="1069"/>
      <c r="Q114" s="873"/>
      <c r="R114" s="873"/>
      <c r="S114" s="873"/>
    </row>
    <row r="115" spans="1:19" hidden="1">
      <c r="A115" s="1100">
        <f t="shared" si="16"/>
        <v>9.3999999999999915</v>
      </c>
      <c r="B115" s="873"/>
      <c r="C115" s="1069">
        <f t="shared" si="14"/>
        <v>0</v>
      </c>
      <c r="D115" s="1069">
        <f t="shared" si="12"/>
        <v>0</v>
      </c>
      <c r="E115" s="1069"/>
      <c r="F115" s="1069"/>
      <c r="G115" s="1069">
        <f t="shared" si="13"/>
        <v>0</v>
      </c>
      <c r="H115" s="1069"/>
      <c r="I115" s="1069">
        <f t="shared" si="15"/>
        <v>0</v>
      </c>
      <c r="J115" s="1069">
        <f t="shared" si="15"/>
        <v>0</v>
      </c>
      <c r="K115" s="1069">
        <f t="shared" si="15"/>
        <v>0</v>
      </c>
      <c r="L115" s="1069"/>
      <c r="M115" s="873"/>
      <c r="N115" s="873"/>
      <c r="O115" s="873"/>
      <c r="P115" s="1069"/>
      <c r="Q115" s="873"/>
      <c r="R115" s="873"/>
      <c r="S115" s="873"/>
    </row>
    <row r="116" spans="1:19" hidden="1">
      <c r="A116" s="1100">
        <f t="shared" si="16"/>
        <v>9.4099999999999913</v>
      </c>
      <c r="B116" s="873"/>
      <c r="C116" s="1069">
        <f t="shared" si="14"/>
        <v>0</v>
      </c>
      <c r="D116" s="1069">
        <f t="shared" si="12"/>
        <v>0</v>
      </c>
      <c r="E116" s="1069"/>
      <c r="F116" s="1069"/>
      <c r="G116" s="1069">
        <f t="shared" si="13"/>
        <v>0</v>
      </c>
      <c r="H116" s="1069"/>
      <c r="I116" s="1069">
        <f t="shared" si="15"/>
        <v>0</v>
      </c>
      <c r="J116" s="1069">
        <f t="shared" si="15"/>
        <v>0</v>
      </c>
      <c r="K116" s="1069">
        <f t="shared" si="15"/>
        <v>0</v>
      </c>
      <c r="L116" s="1069"/>
      <c r="M116" s="873"/>
      <c r="N116" s="873"/>
      <c r="O116" s="873"/>
      <c r="P116" s="1069"/>
      <c r="Q116" s="873"/>
      <c r="R116" s="873"/>
      <c r="S116" s="873"/>
    </row>
    <row r="117" spans="1:19" hidden="1">
      <c r="A117" s="1100">
        <f t="shared" si="16"/>
        <v>9.419999999999991</v>
      </c>
      <c r="B117" s="873"/>
      <c r="C117" s="1069">
        <f t="shared" si="14"/>
        <v>0</v>
      </c>
      <c r="D117" s="1069">
        <f t="shared" si="12"/>
        <v>0</v>
      </c>
      <c r="E117" s="1069"/>
      <c r="F117" s="1069"/>
      <c r="G117" s="1069">
        <f t="shared" si="13"/>
        <v>0</v>
      </c>
      <c r="H117" s="1069"/>
      <c r="I117" s="1069">
        <f t="shared" si="15"/>
        <v>0</v>
      </c>
      <c r="J117" s="1069">
        <f t="shared" si="15"/>
        <v>0</v>
      </c>
      <c r="K117" s="1069">
        <f t="shared" si="15"/>
        <v>0</v>
      </c>
      <c r="L117" s="1069"/>
      <c r="M117" s="873"/>
      <c r="N117" s="873"/>
      <c r="O117" s="873"/>
      <c r="P117" s="1069"/>
      <c r="Q117" s="873"/>
      <c r="R117" s="873"/>
      <c r="S117" s="873"/>
    </row>
    <row r="118" spans="1:19" hidden="1">
      <c r="A118" s="1100">
        <f t="shared" si="16"/>
        <v>9.4299999999999908</v>
      </c>
      <c r="B118" s="873"/>
      <c r="C118" s="1069">
        <f t="shared" si="14"/>
        <v>0</v>
      </c>
      <c r="D118" s="1069">
        <f t="shared" si="12"/>
        <v>0</v>
      </c>
      <c r="E118" s="1069"/>
      <c r="F118" s="1069"/>
      <c r="G118" s="1069">
        <f t="shared" si="13"/>
        <v>0</v>
      </c>
      <c r="H118" s="1069"/>
      <c r="I118" s="1069">
        <f t="shared" si="15"/>
        <v>0</v>
      </c>
      <c r="J118" s="1069">
        <f t="shared" si="15"/>
        <v>0</v>
      </c>
      <c r="K118" s="1069">
        <f t="shared" si="15"/>
        <v>0</v>
      </c>
      <c r="L118" s="1069"/>
      <c r="M118" s="873"/>
      <c r="N118" s="873"/>
      <c r="O118" s="873"/>
      <c r="P118" s="1069"/>
      <c r="Q118" s="873"/>
      <c r="R118" s="873"/>
      <c r="S118" s="873"/>
    </row>
    <row r="119" spans="1:19" hidden="1">
      <c r="A119" s="1100">
        <f t="shared" si="16"/>
        <v>9.4399999999999906</v>
      </c>
      <c r="B119" s="873"/>
      <c r="C119" s="1069">
        <f t="shared" si="14"/>
        <v>0</v>
      </c>
      <c r="D119" s="1069">
        <f t="shared" si="12"/>
        <v>0</v>
      </c>
      <c r="E119" s="1069"/>
      <c r="F119" s="1069"/>
      <c r="G119" s="1069">
        <f t="shared" si="13"/>
        <v>0</v>
      </c>
      <c r="H119" s="1069"/>
      <c r="I119" s="1069">
        <f t="shared" si="15"/>
        <v>0</v>
      </c>
      <c r="J119" s="1069">
        <f t="shared" si="15"/>
        <v>0</v>
      </c>
      <c r="K119" s="1069">
        <f t="shared" si="15"/>
        <v>0</v>
      </c>
      <c r="L119" s="1069"/>
      <c r="M119" s="873"/>
      <c r="N119" s="873"/>
      <c r="O119" s="873"/>
      <c r="P119" s="1069"/>
      <c r="Q119" s="873"/>
      <c r="R119" s="873"/>
      <c r="S119" s="873"/>
    </row>
    <row r="120" spans="1:19" hidden="1">
      <c r="A120" s="1100">
        <f t="shared" si="16"/>
        <v>9.4499999999999904</v>
      </c>
      <c r="B120" s="873"/>
      <c r="C120" s="1069">
        <f t="shared" si="14"/>
        <v>0</v>
      </c>
      <c r="D120" s="1069">
        <f t="shared" si="12"/>
        <v>0</v>
      </c>
      <c r="E120" s="1069"/>
      <c r="F120" s="1069"/>
      <c r="G120" s="1069">
        <f t="shared" si="13"/>
        <v>0</v>
      </c>
      <c r="H120" s="1069"/>
      <c r="I120" s="1069">
        <f t="shared" si="15"/>
        <v>0</v>
      </c>
      <c r="J120" s="1069">
        <f t="shared" si="15"/>
        <v>0</v>
      </c>
      <c r="K120" s="1069">
        <f t="shared" si="15"/>
        <v>0</v>
      </c>
      <c r="L120" s="1069"/>
      <c r="M120" s="873"/>
      <c r="N120" s="873"/>
      <c r="O120" s="873"/>
      <c r="P120" s="1069"/>
      <c r="Q120" s="873"/>
      <c r="R120" s="873"/>
      <c r="S120" s="873"/>
    </row>
    <row r="121" spans="1:19" hidden="1">
      <c r="A121" s="1100">
        <f t="shared" si="16"/>
        <v>9.4599999999999902</v>
      </c>
      <c r="B121" s="873"/>
      <c r="C121" s="1069">
        <f t="shared" si="14"/>
        <v>0</v>
      </c>
      <c r="D121" s="1069">
        <f t="shared" si="12"/>
        <v>0</v>
      </c>
      <c r="E121" s="1069"/>
      <c r="F121" s="1069"/>
      <c r="G121" s="1069">
        <f t="shared" si="13"/>
        <v>0</v>
      </c>
      <c r="H121" s="1069"/>
      <c r="I121" s="1069">
        <f t="shared" si="15"/>
        <v>0</v>
      </c>
      <c r="J121" s="1069">
        <f t="shared" si="15"/>
        <v>0</v>
      </c>
      <c r="K121" s="1069">
        <f t="shared" si="15"/>
        <v>0</v>
      </c>
      <c r="L121" s="1069"/>
      <c r="M121" s="873"/>
      <c r="N121" s="873"/>
      <c r="O121" s="873"/>
      <c r="P121" s="1069"/>
      <c r="Q121" s="873"/>
      <c r="R121" s="873"/>
      <c r="S121" s="873"/>
    </row>
    <row r="122" spans="1:19" hidden="1">
      <c r="A122" s="1100">
        <f t="shared" si="16"/>
        <v>9.46999999999999</v>
      </c>
      <c r="B122" s="873"/>
      <c r="C122" s="1069">
        <f t="shared" si="14"/>
        <v>0</v>
      </c>
      <c r="D122" s="1069">
        <f t="shared" si="12"/>
        <v>0</v>
      </c>
      <c r="E122" s="1069"/>
      <c r="F122" s="1069"/>
      <c r="G122" s="1069">
        <f t="shared" si="13"/>
        <v>0</v>
      </c>
      <c r="H122" s="1069"/>
      <c r="I122" s="1069">
        <f t="shared" si="15"/>
        <v>0</v>
      </c>
      <c r="J122" s="1069">
        <f t="shared" si="15"/>
        <v>0</v>
      </c>
      <c r="K122" s="1069">
        <f t="shared" si="15"/>
        <v>0</v>
      </c>
      <c r="L122" s="1069"/>
      <c r="M122" s="873"/>
      <c r="N122" s="873"/>
      <c r="O122" s="873"/>
      <c r="P122" s="1069"/>
      <c r="Q122" s="873"/>
      <c r="R122" s="873"/>
      <c r="S122" s="873"/>
    </row>
    <row r="123" spans="1:19" hidden="1">
      <c r="A123" s="1100">
        <f t="shared" si="16"/>
        <v>9.4799999999999898</v>
      </c>
      <c r="B123" s="873"/>
      <c r="C123" s="1069">
        <f t="shared" si="14"/>
        <v>0</v>
      </c>
      <c r="D123" s="1069">
        <f t="shared" si="12"/>
        <v>0</v>
      </c>
      <c r="E123" s="1069"/>
      <c r="F123" s="1069"/>
      <c r="G123" s="1069">
        <f t="shared" si="13"/>
        <v>0</v>
      </c>
      <c r="H123" s="1069"/>
      <c r="I123" s="1069">
        <f t="shared" si="15"/>
        <v>0</v>
      </c>
      <c r="J123" s="1069">
        <f t="shared" si="15"/>
        <v>0</v>
      </c>
      <c r="K123" s="1069">
        <f t="shared" si="15"/>
        <v>0</v>
      </c>
      <c r="L123" s="1069"/>
      <c r="M123" s="873"/>
      <c r="N123" s="873"/>
      <c r="O123" s="873"/>
      <c r="P123" s="1069"/>
      <c r="Q123" s="873"/>
      <c r="R123" s="873"/>
      <c r="S123" s="873"/>
    </row>
    <row r="124" spans="1:19" hidden="1">
      <c r="A124" s="1100">
        <f t="shared" si="16"/>
        <v>9.4899999999999896</v>
      </c>
      <c r="B124" s="873"/>
      <c r="C124" s="1069">
        <f t="shared" si="14"/>
        <v>0</v>
      </c>
      <c r="D124" s="1069">
        <f t="shared" si="12"/>
        <v>0</v>
      </c>
      <c r="E124" s="1069"/>
      <c r="F124" s="1069"/>
      <c r="G124" s="1069">
        <f t="shared" si="13"/>
        <v>0</v>
      </c>
      <c r="H124" s="1069"/>
      <c r="I124" s="1069">
        <f t="shared" si="15"/>
        <v>0</v>
      </c>
      <c r="J124" s="1069">
        <f t="shared" si="15"/>
        <v>0</v>
      </c>
      <c r="K124" s="1069">
        <f t="shared" si="15"/>
        <v>0</v>
      </c>
      <c r="L124" s="1069"/>
      <c r="M124" s="873"/>
      <c r="N124" s="873"/>
      <c r="O124" s="873"/>
      <c r="P124" s="1069"/>
      <c r="Q124" s="873"/>
      <c r="R124" s="873"/>
      <c r="S124" s="873"/>
    </row>
    <row r="125" spans="1:19" hidden="1">
      <c r="A125" s="1100">
        <f t="shared" si="16"/>
        <v>9.4999999999999893</v>
      </c>
      <c r="B125" s="873"/>
      <c r="C125" s="1069">
        <f t="shared" si="14"/>
        <v>0</v>
      </c>
      <c r="D125" s="1069">
        <f t="shared" si="12"/>
        <v>0</v>
      </c>
      <c r="E125" s="1069"/>
      <c r="F125" s="1069"/>
      <c r="G125" s="1069">
        <f t="shared" si="13"/>
        <v>0</v>
      </c>
      <c r="H125" s="1069"/>
      <c r="I125" s="1069">
        <f t="shared" si="15"/>
        <v>0</v>
      </c>
      <c r="J125" s="1069">
        <f t="shared" si="15"/>
        <v>0</v>
      </c>
      <c r="K125" s="1069">
        <f t="shared" si="15"/>
        <v>0</v>
      </c>
      <c r="L125" s="1069"/>
      <c r="M125" s="873"/>
      <c r="N125" s="873"/>
      <c r="O125" s="873"/>
      <c r="P125" s="1069"/>
      <c r="Q125" s="873"/>
      <c r="R125" s="873"/>
      <c r="S125" s="873"/>
    </row>
    <row r="126" spans="1:19" hidden="1">
      <c r="A126" s="1100">
        <f t="shared" si="16"/>
        <v>9.5099999999999891</v>
      </c>
      <c r="B126" s="873"/>
      <c r="C126" s="1069">
        <f t="shared" si="14"/>
        <v>0</v>
      </c>
      <c r="D126" s="1069">
        <f t="shared" si="12"/>
        <v>0</v>
      </c>
      <c r="E126" s="1069"/>
      <c r="F126" s="1069"/>
      <c r="G126" s="1069">
        <f t="shared" si="13"/>
        <v>0</v>
      </c>
      <c r="H126" s="1069"/>
      <c r="I126" s="1069">
        <f t="shared" si="15"/>
        <v>0</v>
      </c>
      <c r="J126" s="1069">
        <f t="shared" si="15"/>
        <v>0</v>
      </c>
      <c r="K126" s="1069">
        <f t="shared" si="15"/>
        <v>0</v>
      </c>
      <c r="L126" s="1069"/>
      <c r="M126" s="873"/>
      <c r="N126" s="873"/>
      <c r="O126" s="873"/>
      <c r="P126" s="1069"/>
      <c r="Q126" s="873"/>
      <c r="R126" s="873"/>
      <c r="S126" s="873"/>
    </row>
    <row r="127" spans="1:19" hidden="1">
      <c r="A127" s="1100">
        <f t="shared" si="16"/>
        <v>9.5199999999999889</v>
      </c>
      <c r="B127" s="873"/>
      <c r="C127" s="1069">
        <f t="shared" si="14"/>
        <v>0</v>
      </c>
      <c r="D127" s="1069">
        <f t="shared" si="12"/>
        <v>0</v>
      </c>
      <c r="E127" s="1069"/>
      <c r="F127" s="1069"/>
      <c r="G127" s="1069">
        <f t="shared" si="13"/>
        <v>0</v>
      </c>
      <c r="H127" s="1069"/>
      <c r="I127" s="1069">
        <f t="shared" si="15"/>
        <v>0</v>
      </c>
      <c r="J127" s="1069">
        <f t="shared" si="15"/>
        <v>0</v>
      </c>
      <c r="K127" s="1069">
        <f t="shared" si="15"/>
        <v>0</v>
      </c>
      <c r="L127" s="1069"/>
      <c r="M127" s="873"/>
      <c r="N127" s="873"/>
      <c r="O127" s="873"/>
      <c r="P127" s="1069"/>
      <c r="Q127" s="873"/>
      <c r="R127" s="873"/>
      <c r="S127" s="873"/>
    </row>
    <row r="128" spans="1:19" hidden="1">
      <c r="A128" s="1100">
        <f t="shared" si="16"/>
        <v>9.5299999999999887</v>
      </c>
      <c r="B128" s="873"/>
      <c r="C128" s="1069">
        <f t="shared" si="14"/>
        <v>0</v>
      </c>
      <c r="D128" s="1069">
        <f t="shared" si="12"/>
        <v>0</v>
      </c>
      <c r="E128" s="1069"/>
      <c r="F128" s="1069"/>
      <c r="G128" s="1069">
        <f t="shared" si="13"/>
        <v>0</v>
      </c>
      <c r="H128" s="1069"/>
      <c r="I128" s="1069">
        <f t="shared" si="15"/>
        <v>0</v>
      </c>
      <c r="J128" s="1069">
        <f t="shared" si="15"/>
        <v>0</v>
      </c>
      <c r="K128" s="1069">
        <f t="shared" si="15"/>
        <v>0</v>
      </c>
      <c r="L128" s="1069"/>
      <c r="M128" s="873"/>
      <c r="N128" s="873"/>
      <c r="O128" s="873"/>
      <c r="P128" s="1069"/>
      <c r="Q128" s="873"/>
      <c r="R128" s="873"/>
      <c r="S128" s="873"/>
    </row>
    <row r="129" spans="1:19" hidden="1">
      <c r="A129" s="1100">
        <f t="shared" si="16"/>
        <v>9.5399999999999885</v>
      </c>
      <c r="B129" s="873"/>
      <c r="C129" s="1069">
        <f t="shared" si="14"/>
        <v>0</v>
      </c>
      <c r="D129" s="1069">
        <f t="shared" si="12"/>
        <v>0</v>
      </c>
      <c r="E129" s="1069"/>
      <c r="F129" s="1069"/>
      <c r="G129" s="1069">
        <f t="shared" si="13"/>
        <v>0</v>
      </c>
      <c r="H129" s="1069"/>
      <c r="I129" s="1069">
        <f t="shared" si="15"/>
        <v>0</v>
      </c>
      <c r="J129" s="1069">
        <f t="shared" si="15"/>
        <v>0</v>
      </c>
      <c r="K129" s="1069">
        <f t="shared" si="15"/>
        <v>0</v>
      </c>
      <c r="L129" s="1069"/>
      <c r="M129" s="873"/>
      <c r="N129" s="873"/>
      <c r="O129" s="873"/>
      <c r="P129" s="1069"/>
      <c r="Q129" s="873"/>
      <c r="R129" s="873"/>
      <c r="S129" s="873"/>
    </row>
    <row r="130" spans="1:19" hidden="1">
      <c r="A130" s="1100">
        <f t="shared" si="16"/>
        <v>9.5499999999999883</v>
      </c>
      <c r="B130" s="873"/>
      <c r="C130" s="1069">
        <f t="shared" si="14"/>
        <v>0</v>
      </c>
      <c r="D130" s="1069">
        <f t="shared" si="12"/>
        <v>0</v>
      </c>
      <c r="E130" s="1069"/>
      <c r="F130" s="1069"/>
      <c r="G130" s="1069">
        <f t="shared" si="13"/>
        <v>0</v>
      </c>
      <c r="H130" s="1069"/>
      <c r="I130" s="1069">
        <f t="shared" si="15"/>
        <v>0</v>
      </c>
      <c r="J130" s="1069">
        <f t="shared" si="15"/>
        <v>0</v>
      </c>
      <c r="K130" s="1069">
        <f t="shared" si="15"/>
        <v>0</v>
      </c>
      <c r="L130" s="1069"/>
      <c r="M130" s="873"/>
      <c r="N130" s="873"/>
      <c r="O130" s="873"/>
      <c r="P130" s="1069"/>
      <c r="Q130" s="873"/>
      <c r="R130" s="873"/>
      <c r="S130" s="873"/>
    </row>
    <row r="131" spans="1:19" hidden="1">
      <c r="A131" s="1100">
        <f t="shared" si="16"/>
        <v>9.5599999999999881</v>
      </c>
      <c r="B131" s="873"/>
      <c r="C131" s="1069">
        <f t="shared" si="14"/>
        <v>0</v>
      </c>
      <c r="D131" s="1069">
        <f t="shared" si="12"/>
        <v>0</v>
      </c>
      <c r="E131" s="1069"/>
      <c r="F131" s="1069"/>
      <c r="G131" s="1069">
        <f>ROUND(SUM(C131:F131)/2,0)</f>
        <v>0</v>
      </c>
      <c r="H131" s="1069"/>
      <c r="I131" s="1069">
        <f t="shared" si="15"/>
        <v>0</v>
      </c>
      <c r="J131" s="1069">
        <f t="shared" si="15"/>
        <v>0</v>
      </c>
      <c r="K131" s="1069">
        <f t="shared" si="15"/>
        <v>0</v>
      </c>
      <c r="L131" s="1069"/>
      <c r="M131" s="873"/>
      <c r="N131" s="873"/>
      <c r="O131" s="873"/>
      <c r="P131" s="1069"/>
      <c r="Q131" s="873"/>
      <c r="R131" s="873"/>
      <c r="S131" s="873"/>
    </row>
    <row r="132" spans="1:19" hidden="1">
      <c r="A132" s="1100">
        <f t="shared" si="16"/>
        <v>9.5699999999999878</v>
      </c>
      <c r="B132" s="873"/>
      <c r="C132" s="1069">
        <f t="shared" si="14"/>
        <v>0</v>
      </c>
      <c r="D132" s="1069">
        <f t="shared" si="12"/>
        <v>0</v>
      </c>
      <c r="E132" s="1069"/>
      <c r="F132" s="1069"/>
      <c r="G132" s="1069">
        <f>ROUND(SUM(C132:F132)/2,0)</f>
        <v>0</v>
      </c>
      <c r="H132" s="1069"/>
      <c r="I132" s="1069">
        <f t="shared" si="15"/>
        <v>0</v>
      </c>
      <c r="J132" s="1069">
        <f t="shared" si="15"/>
        <v>0</v>
      </c>
      <c r="K132" s="1069">
        <f t="shared" si="15"/>
        <v>0</v>
      </c>
      <c r="L132" s="1069"/>
      <c r="M132" s="873"/>
      <c r="N132" s="873"/>
      <c r="O132" s="873"/>
      <c r="P132" s="1069"/>
      <c r="Q132" s="873"/>
      <c r="R132" s="873"/>
      <c r="S132" s="873"/>
    </row>
    <row r="133" spans="1:19" hidden="1">
      <c r="A133" s="1100">
        <f t="shared" si="16"/>
        <v>9.5799999999999876</v>
      </c>
      <c r="B133" s="873"/>
      <c r="C133" s="1069">
        <f t="shared" si="14"/>
        <v>0</v>
      </c>
      <c r="D133" s="1069">
        <f t="shared" si="12"/>
        <v>0</v>
      </c>
      <c r="E133" s="1069"/>
      <c r="F133" s="1069"/>
      <c r="G133" s="1069">
        <f>ROUND(SUM(C133:F133)/2,0)</f>
        <v>0</v>
      </c>
      <c r="H133" s="1069"/>
      <c r="I133" s="1069">
        <f t="shared" si="15"/>
        <v>0</v>
      </c>
      <c r="J133" s="1069">
        <f t="shared" si="15"/>
        <v>0</v>
      </c>
      <c r="K133" s="1069">
        <f t="shared" si="15"/>
        <v>0</v>
      </c>
      <c r="L133" s="1069"/>
      <c r="M133" s="873"/>
      <c r="N133" s="873"/>
      <c r="O133" s="873"/>
      <c r="P133" s="1069"/>
      <c r="Q133" s="873"/>
      <c r="R133" s="873"/>
      <c r="S133" s="873"/>
    </row>
    <row r="134" spans="1:19" hidden="1">
      <c r="A134" s="1100">
        <f t="shared" si="16"/>
        <v>9.5899999999999874</v>
      </c>
      <c r="B134" s="873"/>
      <c r="C134" s="1069">
        <f t="shared" si="14"/>
        <v>0</v>
      </c>
      <c r="D134" s="1069">
        <f t="shared" si="12"/>
        <v>0</v>
      </c>
      <c r="E134" s="1069"/>
      <c r="F134" s="1069"/>
      <c r="G134" s="1069">
        <f t="shared" ref="G134:G174" si="17">ROUND(SUM(C134:F134)/2,0)</f>
        <v>0</v>
      </c>
      <c r="H134" s="1069"/>
      <c r="I134" s="1069">
        <f t="shared" si="15"/>
        <v>0</v>
      </c>
      <c r="J134" s="1069">
        <f t="shared" si="15"/>
        <v>0</v>
      </c>
      <c r="K134" s="1069">
        <f t="shared" si="15"/>
        <v>0</v>
      </c>
      <c r="L134" s="1069"/>
      <c r="M134" s="873"/>
      <c r="N134" s="873"/>
      <c r="O134" s="873"/>
      <c r="P134" s="1069"/>
      <c r="Q134" s="873"/>
      <c r="R134" s="873"/>
      <c r="S134" s="873"/>
    </row>
    <row r="135" spans="1:19" hidden="1">
      <c r="A135" s="1100">
        <f t="shared" si="16"/>
        <v>9.5999999999999872</v>
      </c>
      <c r="B135" s="873"/>
      <c r="C135" s="1069">
        <f t="shared" si="14"/>
        <v>0</v>
      </c>
      <c r="D135" s="1069">
        <f t="shared" si="12"/>
        <v>0</v>
      </c>
      <c r="E135" s="1069"/>
      <c r="F135" s="1069"/>
      <c r="G135" s="1069">
        <f t="shared" si="17"/>
        <v>0</v>
      </c>
      <c r="H135" s="1069"/>
      <c r="I135" s="1069">
        <f t="shared" si="15"/>
        <v>0</v>
      </c>
      <c r="J135" s="1069">
        <f t="shared" si="15"/>
        <v>0</v>
      </c>
      <c r="K135" s="1069">
        <f t="shared" si="15"/>
        <v>0</v>
      </c>
      <c r="L135" s="1069"/>
      <c r="M135" s="873"/>
      <c r="N135" s="873"/>
      <c r="O135" s="873"/>
      <c r="P135" s="1069"/>
      <c r="Q135" s="873"/>
      <c r="R135" s="873"/>
      <c r="S135" s="873"/>
    </row>
    <row r="136" spans="1:19" hidden="1">
      <c r="A136" s="1100">
        <f t="shared" si="16"/>
        <v>9.609999999999987</v>
      </c>
      <c r="B136" s="873"/>
      <c r="C136" s="1069">
        <f t="shared" si="14"/>
        <v>0</v>
      </c>
      <c r="D136" s="1069">
        <f t="shared" si="12"/>
        <v>0</v>
      </c>
      <c r="E136" s="1069"/>
      <c r="F136" s="1069"/>
      <c r="G136" s="1069">
        <f t="shared" si="17"/>
        <v>0</v>
      </c>
      <c r="H136" s="1069"/>
      <c r="I136" s="1069">
        <f t="shared" si="15"/>
        <v>0</v>
      </c>
      <c r="J136" s="1069">
        <f t="shared" si="15"/>
        <v>0</v>
      </c>
      <c r="K136" s="1069">
        <f t="shared" si="15"/>
        <v>0</v>
      </c>
      <c r="L136" s="1069"/>
      <c r="M136" s="873"/>
      <c r="N136" s="873"/>
      <c r="O136" s="873"/>
      <c r="P136" s="1069"/>
      <c r="Q136" s="873"/>
      <c r="R136" s="873"/>
      <c r="S136" s="873"/>
    </row>
    <row r="137" spans="1:19" hidden="1">
      <c r="A137" s="1100">
        <f t="shared" si="16"/>
        <v>9.6199999999999868</v>
      </c>
      <c r="B137" s="873"/>
      <c r="C137" s="1069">
        <f t="shared" si="14"/>
        <v>0</v>
      </c>
      <c r="D137" s="1069">
        <f t="shared" si="12"/>
        <v>0</v>
      </c>
      <c r="E137" s="1069"/>
      <c r="F137" s="1069"/>
      <c r="G137" s="1069">
        <f t="shared" si="17"/>
        <v>0</v>
      </c>
      <c r="H137" s="1069"/>
      <c r="I137" s="1069">
        <f t="shared" ref="I137:K157" si="18">(M137+Q137)/2</f>
        <v>0</v>
      </c>
      <c r="J137" s="1069">
        <f t="shared" si="18"/>
        <v>0</v>
      </c>
      <c r="K137" s="1069">
        <f t="shared" si="18"/>
        <v>0</v>
      </c>
      <c r="L137" s="1069"/>
      <c r="M137" s="873"/>
      <c r="N137" s="873"/>
      <c r="O137" s="873"/>
      <c r="P137" s="1069"/>
      <c r="Q137" s="873"/>
      <c r="R137" s="873"/>
      <c r="S137" s="873"/>
    </row>
    <row r="138" spans="1:19" hidden="1">
      <c r="A138" s="1100">
        <f t="shared" si="16"/>
        <v>9.6299999999999866</v>
      </c>
      <c r="B138" s="873"/>
      <c r="C138" s="1069">
        <f t="shared" si="14"/>
        <v>0</v>
      </c>
      <c r="D138" s="1069">
        <f t="shared" si="12"/>
        <v>0</v>
      </c>
      <c r="E138" s="1069"/>
      <c r="F138" s="1069"/>
      <c r="G138" s="1069">
        <f t="shared" si="17"/>
        <v>0</v>
      </c>
      <c r="H138" s="1069"/>
      <c r="I138" s="1069">
        <f t="shared" si="18"/>
        <v>0</v>
      </c>
      <c r="J138" s="1069">
        <f t="shared" si="18"/>
        <v>0</v>
      </c>
      <c r="K138" s="1069">
        <f t="shared" si="18"/>
        <v>0</v>
      </c>
      <c r="L138" s="1069"/>
      <c r="M138" s="873"/>
      <c r="N138" s="873"/>
      <c r="O138" s="873"/>
      <c r="P138" s="1069"/>
      <c r="Q138" s="873"/>
      <c r="R138" s="873"/>
      <c r="S138" s="873"/>
    </row>
    <row r="139" spans="1:19" hidden="1">
      <c r="A139" s="1100">
        <f t="shared" si="16"/>
        <v>9.6399999999999864</v>
      </c>
      <c r="B139" s="873"/>
      <c r="C139" s="1074">
        <f t="shared" si="14"/>
        <v>0</v>
      </c>
      <c r="D139" s="1074">
        <f t="shared" si="12"/>
        <v>0</v>
      </c>
      <c r="E139" s="1074"/>
      <c r="F139" s="1074"/>
      <c r="G139" s="1074">
        <f t="shared" si="17"/>
        <v>0</v>
      </c>
      <c r="H139" s="1074"/>
      <c r="I139" s="1074">
        <f t="shared" si="18"/>
        <v>0</v>
      </c>
      <c r="J139" s="1074">
        <f t="shared" si="18"/>
        <v>0</v>
      </c>
      <c r="K139" s="1074">
        <f t="shared" si="18"/>
        <v>0</v>
      </c>
      <c r="L139" s="1074"/>
      <c r="M139" s="873"/>
      <c r="N139" s="873"/>
      <c r="O139" s="873"/>
      <c r="P139" s="1074"/>
      <c r="Q139" s="873"/>
      <c r="R139" s="873"/>
      <c r="S139" s="873"/>
    </row>
    <row r="140" spans="1:19" hidden="1">
      <c r="A140" s="1100">
        <f>A139+0.01</f>
        <v>9.6499999999999861</v>
      </c>
      <c r="B140" s="873"/>
      <c r="C140" s="1069">
        <f t="shared" si="14"/>
        <v>0</v>
      </c>
      <c r="D140" s="1069">
        <f t="shared" ref="D140:D168" si="19">SUM(Q140:S140)</f>
        <v>0</v>
      </c>
      <c r="E140" s="1069"/>
      <c r="F140" s="1069"/>
      <c r="G140" s="1069">
        <f t="shared" si="17"/>
        <v>0</v>
      </c>
      <c r="H140" s="1069"/>
      <c r="I140" s="1069">
        <f t="shared" si="18"/>
        <v>0</v>
      </c>
      <c r="J140" s="1069">
        <f t="shared" si="18"/>
        <v>0</v>
      </c>
      <c r="K140" s="1069">
        <f t="shared" si="18"/>
        <v>0</v>
      </c>
      <c r="L140" s="1069"/>
      <c r="M140" s="873"/>
      <c r="N140" s="873"/>
      <c r="O140" s="873"/>
      <c r="P140" s="1069"/>
      <c r="Q140" s="873"/>
      <c r="R140" s="873"/>
      <c r="S140" s="873"/>
    </row>
    <row r="141" spans="1:19" hidden="1">
      <c r="A141" s="1100">
        <f t="shared" si="16"/>
        <v>9.6599999999999859</v>
      </c>
      <c r="B141" s="873"/>
      <c r="C141" s="1069">
        <f t="shared" ref="C141:C168" si="20">SUM(M141:O141)</f>
        <v>0</v>
      </c>
      <c r="D141" s="1069">
        <f t="shared" si="19"/>
        <v>0</v>
      </c>
      <c r="E141" s="1069"/>
      <c r="F141" s="1069"/>
      <c r="G141" s="1069">
        <f t="shared" si="17"/>
        <v>0</v>
      </c>
      <c r="H141" s="1069"/>
      <c r="I141" s="1069">
        <f t="shared" si="18"/>
        <v>0</v>
      </c>
      <c r="J141" s="1069">
        <f t="shared" si="18"/>
        <v>0</v>
      </c>
      <c r="K141" s="1069">
        <f t="shared" si="18"/>
        <v>0</v>
      </c>
      <c r="L141" s="1069"/>
      <c r="M141" s="873"/>
      <c r="N141" s="873"/>
      <c r="O141" s="873"/>
      <c r="P141" s="1069"/>
      <c r="Q141" s="873"/>
      <c r="R141" s="873"/>
      <c r="S141" s="873"/>
    </row>
    <row r="142" spans="1:19" hidden="1">
      <c r="A142" s="1100">
        <f t="shared" ref="A142:A174" si="21">A141+0.01</f>
        <v>9.6699999999999857</v>
      </c>
      <c r="B142" s="873"/>
      <c r="C142" s="1069">
        <f t="shared" si="20"/>
        <v>0</v>
      </c>
      <c r="D142" s="1069">
        <f t="shared" si="19"/>
        <v>0</v>
      </c>
      <c r="E142" s="1069"/>
      <c r="F142" s="1069"/>
      <c r="G142" s="1069">
        <f t="shared" si="17"/>
        <v>0</v>
      </c>
      <c r="H142" s="1069"/>
      <c r="I142" s="1069">
        <f t="shared" si="18"/>
        <v>0</v>
      </c>
      <c r="J142" s="1069">
        <f t="shared" si="18"/>
        <v>0</v>
      </c>
      <c r="K142" s="1069">
        <f t="shared" si="18"/>
        <v>0</v>
      </c>
      <c r="L142" s="1069"/>
      <c r="M142" s="873"/>
      <c r="N142" s="873"/>
      <c r="O142" s="873"/>
      <c r="P142" s="1069"/>
      <c r="Q142" s="873"/>
      <c r="R142" s="873"/>
      <c r="S142" s="873"/>
    </row>
    <row r="143" spans="1:19" hidden="1">
      <c r="A143" s="1100">
        <f t="shared" si="21"/>
        <v>9.6799999999999855</v>
      </c>
      <c r="B143" s="873"/>
      <c r="C143" s="1069">
        <f t="shared" si="20"/>
        <v>0</v>
      </c>
      <c r="D143" s="1069">
        <f t="shared" si="19"/>
        <v>0</v>
      </c>
      <c r="E143" s="1069"/>
      <c r="F143" s="1069"/>
      <c r="G143" s="1069">
        <f t="shared" si="17"/>
        <v>0</v>
      </c>
      <c r="H143" s="1069"/>
      <c r="I143" s="1069">
        <f t="shared" si="18"/>
        <v>0</v>
      </c>
      <c r="J143" s="1069">
        <f t="shared" si="18"/>
        <v>0</v>
      </c>
      <c r="K143" s="1069">
        <f t="shared" si="18"/>
        <v>0</v>
      </c>
      <c r="L143" s="1069"/>
      <c r="M143" s="873"/>
      <c r="N143" s="873"/>
      <c r="O143" s="873"/>
      <c r="P143" s="1069"/>
      <c r="Q143" s="873"/>
      <c r="R143" s="873"/>
      <c r="S143" s="873"/>
    </row>
    <row r="144" spans="1:19" hidden="1">
      <c r="A144" s="1100">
        <f t="shared" si="21"/>
        <v>9.6899999999999853</v>
      </c>
      <c r="B144" s="873"/>
      <c r="C144" s="1069">
        <f t="shared" si="20"/>
        <v>0</v>
      </c>
      <c r="D144" s="1069">
        <f t="shared" si="19"/>
        <v>0</v>
      </c>
      <c r="E144" s="1069"/>
      <c r="F144" s="1069"/>
      <c r="G144" s="1069">
        <f t="shared" si="17"/>
        <v>0</v>
      </c>
      <c r="H144" s="1069"/>
      <c r="I144" s="1069">
        <f t="shared" si="18"/>
        <v>0</v>
      </c>
      <c r="J144" s="1069">
        <f t="shared" si="18"/>
        <v>0</v>
      </c>
      <c r="K144" s="1069">
        <f t="shared" si="18"/>
        <v>0</v>
      </c>
      <c r="L144" s="1069"/>
      <c r="M144" s="873"/>
      <c r="N144" s="873"/>
      <c r="O144" s="873"/>
      <c r="P144" s="1069"/>
      <c r="Q144" s="873"/>
      <c r="R144" s="873"/>
      <c r="S144" s="873"/>
    </row>
    <row r="145" spans="1:19" hidden="1">
      <c r="A145" s="1100">
        <f t="shared" si="21"/>
        <v>9.6999999999999851</v>
      </c>
      <c r="B145" s="873"/>
      <c r="C145" s="1069">
        <f>SUM(M145:O145)</f>
        <v>0</v>
      </c>
      <c r="D145" s="1069">
        <f t="shared" si="19"/>
        <v>0</v>
      </c>
      <c r="E145" s="1069"/>
      <c r="F145" s="1069"/>
      <c r="G145" s="1069">
        <f t="shared" si="17"/>
        <v>0</v>
      </c>
      <c r="H145" s="1069"/>
      <c r="I145" s="1069">
        <f t="shared" si="18"/>
        <v>0</v>
      </c>
      <c r="J145" s="1069">
        <f t="shared" si="18"/>
        <v>0</v>
      </c>
      <c r="K145" s="1069">
        <f t="shared" si="18"/>
        <v>0</v>
      </c>
      <c r="L145" s="1069"/>
      <c r="M145" s="873"/>
      <c r="N145" s="873"/>
      <c r="O145" s="873"/>
      <c r="P145" s="1069"/>
      <c r="Q145" s="873"/>
      <c r="R145" s="873"/>
      <c r="S145" s="873"/>
    </row>
    <row r="146" spans="1:19" hidden="1">
      <c r="A146" s="1100">
        <f t="shared" si="21"/>
        <v>9.7099999999999849</v>
      </c>
      <c r="B146" s="873"/>
      <c r="C146" s="1069">
        <f t="shared" si="20"/>
        <v>0</v>
      </c>
      <c r="D146" s="1069">
        <f t="shared" si="19"/>
        <v>0</v>
      </c>
      <c r="E146" s="1069"/>
      <c r="F146" s="1069"/>
      <c r="G146" s="1069">
        <f t="shared" si="17"/>
        <v>0</v>
      </c>
      <c r="H146" s="1069"/>
      <c r="I146" s="1069">
        <f t="shared" si="18"/>
        <v>0</v>
      </c>
      <c r="J146" s="1069">
        <f t="shared" si="18"/>
        <v>0</v>
      </c>
      <c r="K146" s="1069">
        <f t="shared" si="18"/>
        <v>0</v>
      </c>
      <c r="L146" s="1069"/>
      <c r="M146" s="873"/>
      <c r="N146" s="873"/>
      <c r="O146" s="873"/>
      <c r="P146" s="1069"/>
      <c r="Q146" s="873"/>
      <c r="R146" s="873"/>
      <c r="S146" s="873"/>
    </row>
    <row r="147" spans="1:19" hidden="1">
      <c r="A147" s="1100">
        <f t="shared" si="21"/>
        <v>9.7199999999999847</v>
      </c>
      <c r="B147" s="873"/>
      <c r="C147" s="1069">
        <f>SUM(M147:O147)</f>
        <v>0</v>
      </c>
      <c r="D147" s="1069">
        <f t="shared" si="19"/>
        <v>0</v>
      </c>
      <c r="E147" s="1069"/>
      <c r="F147" s="1069"/>
      <c r="G147" s="1069">
        <f t="shared" si="17"/>
        <v>0</v>
      </c>
      <c r="H147" s="1069"/>
      <c r="I147" s="1069">
        <f t="shared" si="18"/>
        <v>0</v>
      </c>
      <c r="J147" s="1069">
        <f t="shared" si="18"/>
        <v>0</v>
      </c>
      <c r="K147" s="1069">
        <f t="shared" si="18"/>
        <v>0</v>
      </c>
      <c r="L147" s="1069"/>
      <c r="M147" s="873"/>
      <c r="N147" s="873"/>
      <c r="O147" s="873"/>
      <c r="P147" s="1069"/>
      <c r="Q147" s="873"/>
      <c r="R147" s="873"/>
      <c r="S147" s="873"/>
    </row>
    <row r="148" spans="1:19" hidden="1">
      <c r="A148" s="1100">
        <f t="shared" si="21"/>
        <v>9.7299999999999844</v>
      </c>
      <c r="B148" s="873"/>
      <c r="C148" s="1069">
        <f>SUM(M148:O148)</f>
        <v>0</v>
      </c>
      <c r="D148" s="1069">
        <f t="shared" si="19"/>
        <v>0</v>
      </c>
      <c r="E148" s="1069"/>
      <c r="F148" s="1069"/>
      <c r="G148" s="1069">
        <f t="shared" si="17"/>
        <v>0</v>
      </c>
      <c r="H148" s="1069"/>
      <c r="I148" s="1069">
        <f t="shared" si="18"/>
        <v>0</v>
      </c>
      <c r="J148" s="1069">
        <f t="shared" si="18"/>
        <v>0</v>
      </c>
      <c r="K148" s="1069">
        <f t="shared" si="18"/>
        <v>0</v>
      </c>
      <c r="L148" s="1069"/>
      <c r="M148" s="873"/>
      <c r="N148" s="873"/>
      <c r="O148" s="873"/>
      <c r="P148" s="1069"/>
      <c r="Q148" s="873"/>
      <c r="R148" s="873"/>
      <c r="S148" s="873"/>
    </row>
    <row r="149" spans="1:19" hidden="1">
      <c r="A149" s="1100">
        <f t="shared" si="21"/>
        <v>9.7399999999999842</v>
      </c>
      <c r="B149" s="873"/>
      <c r="C149" s="1069">
        <f>SUM(M149:O149)</f>
        <v>0</v>
      </c>
      <c r="D149" s="1069">
        <f t="shared" si="19"/>
        <v>0</v>
      </c>
      <c r="E149" s="1069"/>
      <c r="F149" s="1069"/>
      <c r="G149" s="1069">
        <f t="shared" si="17"/>
        <v>0</v>
      </c>
      <c r="H149" s="1069"/>
      <c r="I149" s="1069">
        <f t="shared" si="18"/>
        <v>0</v>
      </c>
      <c r="J149" s="1069">
        <f t="shared" si="18"/>
        <v>0</v>
      </c>
      <c r="K149" s="1069">
        <f t="shared" si="18"/>
        <v>0</v>
      </c>
      <c r="L149" s="1069"/>
      <c r="M149" s="873"/>
      <c r="N149" s="873"/>
      <c r="O149" s="873"/>
      <c r="P149" s="1069"/>
      <c r="Q149" s="873"/>
      <c r="R149" s="873"/>
      <c r="S149" s="873"/>
    </row>
    <row r="150" spans="1:19" hidden="1">
      <c r="A150" s="1100">
        <f t="shared" si="21"/>
        <v>9.749999999999984</v>
      </c>
      <c r="B150" s="873"/>
      <c r="C150" s="1069">
        <f>SUM(M150:O150)</f>
        <v>0</v>
      </c>
      <c r="D150" s="1069">
        <f t="shared" si="19"/>
        <v>0</v>
      </c>
      <c r="E150" s="1069"/>
      <c r="F150" s="1069"/>
      <c r="G150" s="1069">
        <f t="shared" si="17"/>
        <v>0</v>
      </c>
      <c r="H150" s="1069"/>
      <c r="I150" s="1069">
        <f t="shared" si="18"/>
        <v>0</v>
      </c>
      <c r="J150" s="1069">
        <f t="shared" si="18"/>
        <v>0</v>
      </c>
      <c r="K150" s="1069">
        <f t="shared" si="18"/>
        <v>0</v>
      </c>
      <c r="L150" s="1069"/>
      <c r="M150" s="873"/>
      <c r="N150" s="873"/>
      <c r="O150" s="873"/>
      <c r="P150" s="1069"/>
      <c r="Q150" s="873"/>
      <c r="R150" s="873"/>
      <c r="S150" s="873"/>
    </row>
    <row r="151" spans="1:19" hidden="1">
      <c r="A151" s="1100">
        <f t="shared" si="21"/>
        <v>9.7599999999999838</v>
      </c>
      <c r="B151" s="873"/>
      <c r="C151" s="1069">
        <f t="shared" si="20"/>
        <v>0</v>
      </c>
      <c r="D151" s="1069">
        <f t="shared" si="19"/>
        <v>0</v>
      </c>
      <c r="E151" s="1069"/>
      <c r="F151" s="1069"/>
      <c r="G151" s="1069">
        <f t="shared" si="17"/>
        <v>0</v>
      </c>
      <c r="H151" s="1069"/>
      <c r="I151" s="1069">
        <f t="shared" si="18"/>
        <v>0</v>
      </c>
      <c r="J151" s="1069">
        <f t="shared" si="18"/>
        <v>0</v>
      </c>
      <c r="K151" s="1069">
        <f t="shared" si="18"/>
        <v>0</v>
      </c>
      <c r="L151" s="1069"/>
      <c r="M151" s="873"/>
      <c r="N151" s="873"/>
      <c r="O151" s="873"/>
      <c r="P151" s="1069"/>
      <c r="Q151" s="873"/>
      <c r="R151" s="873"/>
      <c r="S151" s="873"/>
    </row>
    <row r="152" spans="1:19" hidden="1">
      <c r="A152" s="1100">
        <f t="shared" si="21"/>
        <v>9.7699999999999836</v>
      </c>
      <c r="B152" s="873"/>
      <c r="C152" s="1069">
        <f t="shared" si="20"/>
        <v>0</v>
      </c>
      <c r="D152" s="1069">
        <f t="shared" si="19"/>
        <v>0</v>
      </c>
      <c r="E152" s="1069"/>
      <c r="F152" s="1069"/>
      <c r="G152" s="1069">
        <f t="shared" si="17"/>
        <v>0</v>
      </c>
      <c r="H152" s="1069"/>
      <c r="I152" s="1069">
        <f t="shared" si="18"/>
        <v>0</v>
      </c>
      <c r="J152" s="1069">
        <f t="shared" si="18"/>
        <v>0</v>
      </c>
      <c r="K152" s="1069">
        <f t="shared" si="18"/>
        <v>0</v>
      </c>
      <c r="L152" s="1069"/>
      <c r="M152" s="873"/>
      <c r="N152" s="873"/>
      <c r="O152" s="873"/>
      <c r="P152" s="1069"/>
      <c r="Q152" s="873"/>
      <c r="R152" s="873"/>
      <c r="S152" s="873"/>
    </row>
    <row r="153" spans="1:19" hidden="1">
      <c r="A153" s="1100">
        <f t="shared" si="21"/>
        <v>9.7799999999999834</v>
      </c>
      <c r="B153" s="873"/>
      <c r="C153" s="1069">
        <f t="shared" si="20"/>
        <v>0</v>
      </c>
      <c r="D153" s="1069">
        <f t="shared" si="19"/>
        <v>0</v>
      </c>
      <c r="E153" s="1069"/>
      <c r="F153" s="1069"/>
      <c r="G153" s="1069">
        <f t="shared" si="17"/>
        <v>0</v>
      </c>
      <c r="H153" s="1069"/>
      <c r="I153" s="1069">
        <f t="shared" si="18"/>
        <v>0</v>
      </c>
      <c r="J153" s="1069">
        <f t="shared" si="18"/>
        <v>0</v>
      </c>
      <c r="K153" s="1069">
        <f t="shared" si="18"/>
        <v>0</v>
      </c>
      <c r="L153" s="1069"/>
      <c r="M153" s="873"/>
      <c r="N153" s="873"/>
      <c r="O153" s="873"/>
      <c r="P153" s="1069"/>
      <c r="Q153" s="873"/>
      <c r="R153" s="873"/>
      <c r="S153" s="873"/>
    </row>
    <row r="154" spans="1:19" hidden="1">
      <c r="A154" s="1100">
        <f t="shared" si="21"/>
        <v>9.7899999999999832</v>
      </c>
      <c r="B154" s="873"/>
      <c r="C154" s="1069">
        <f t="shared" si="20"/>
        <v>0</v>
      </c>
      <c r="D154" s="1069">
        <f t="shared" si="19"/>
        <v>0</v>
      </c>
      <c r="E154" s="1069"/>
      <c r="F154" s="1069"/>
      <c r="G154" s="1069">
        <f t="shared" si="17"/>
        <v>0</v>
      </c>
      <c r="H154" s="1069"/>
      <c r="I154" s="1069">
        <f t="shared" si="18"/>
        <v>0</v>
      </c>
      <c r="J154" s="1069">
        <f t="shared" si="18"/>
        <v>0</v>
      </c>
      <c r="K154" s="1069">
        <f t="shared" si="18"/>
        <v>0</v>
      </c>
      <c r="L154" s="1069"/>
      <c r="M154" s="873"/>
      <c r="N154" s="873"/>
      <c r="O154" s="873"/>
      <c r="P154" s="1069"/>
      <c r="Q154" s="873"/>
      <c r="R154" s="873"/>
      <c r="S154" s="873"/>
    </row>
    <row r="155" spans="1:19" hidden="1">
      <c r="A155" s="1100">
        <f t="shared" si="21"/>
        <v>9.7999999999999829</v>
      </c>
      <c r="B155" s="873"/>
      <c r="C155" s="1069">
        <f t="shared" si="20"/>
        <v>0</v>
      </c>
      <c r="D155" s="1069">
        <f t="shared" si="19"/>
        <v>0</v>
      </c>
      <c r="E155" s="1069"/>
      <c r="F155" s="1069"/>
      <c r="G155" s="1069">
        <f t="shared" si="17"/>
        <v>0</v>
      </c>
      <c r="H155" s="1069"/>
      <c r="I155" s="1069">
        <f t="shared" si="18"/>
        <v>0</v>
      </c>
      <c r="J155" s="1069">
        <f t="shared" si="18"/>
        <v>0</v>
      </c>
      <c r="K155" s="1069">
        <f t="shared" si="18"/>
        <v>0</v>
      </c>
      <c r="L155" s="1069"/>
      <c r="M155" s="873"/>
      <c r="N155" s="873"/>
      <c r="O155" s="873"/>
      <c r="P155" s="1069"/>
      <c r="Q155" s="873"/>
      <c r="R155" s="873"/>
      <c r="S155" s="873"/>
    </row>
    <row r="156" spans="1:19" hidden="1">
      <c r="A156" s="1100">
        <f t="shared" si="21"/>
        <v>9.8099999999999827</v>
      </c>
      <c r="B156" s="873"/>
      <c r="C156" s="1069">
        <f t="shared" si="20"/>
        <v>0</v>
      </c>
      <c r="D156" s="1069">
        <f t="shared" si="19"/>
        <v>0</v>
      </c>
      <c r="E156" s="1069"/>
      <c r="F156" s="1069"/>
      <c r="G156" s="1069">
        <f t="shared" si="17"/>
        <v>0</v>
      </c>
      <c r="H156" s="1069"/>
      <c r="I156" s="1069">
        <f t="shared" si="18"/>
        <v>0</v>
      </c>
      <c r="J156" s="1069">
        <f t="shared" si="18"/>
        <v>0</v>
      </c>
      <c r="K156" s="1069">
        <f t="shared" si="18"/>
        <v>0</v>
      </c>
      <c r="L156" s="1069"/>
      <c r="M156" s="873"/>
      <c r="N156" s="873"/>
      <c r="O156" s="873"/>
      <c r="P156" s="1069"/>
      <c r="Q156" s="873"/>
      <c r="R156" s="873"/>
      <c r="S156" s="873"/>
    </row>
    <row r="157" spans="1:19" hidden="1">
      <c r="A157" s="1100">
        <f t="shared" si="21"/>
        <v>9.8199999999999825</v>
      </c>
      <c r="B157" s="873"/>
      <c r="C157" s="1069">
        <f t="shared" si="20"/>
        <v>0</v>
      </c>
      <c r="D157" s="1069">
        <f t="shared" si="19"/>
        <v>0</v>
      </c>
      <c r="E157" s="1069"/>
      <c r="F157" s="1069"/>
      <c r="G157" s="1069">
        <f t="shared" si="17"/>
        <v>0</v>
      </c>
      <c r="H157" s="1069"/>
      <c r="I157" s="1069">
        <f t="shared" si="18"/>
        <v>0</v>
      </c>
      <c r="J157" s="1069">
        <f t="shared" si="18"/>
        <v>0</v>
      </c>
      <c r="K157" s="1069">
        <f t="shared" si="18"/>
        <v>0</v>
      </c>
      <c r="L157" s="1069"/>
      <c r="M157" s="873"/>
      <c r="N157" s="873"/>
      <c r="O157" s="873"/>
      <c r="P157" s="1069"/>
      <c r="Q157" s="873"/>
      <c r="R157" s="873"/>
      <c r="S157" s="873"/>
    </row>
    <row r="158" spans="1:19" hidden="1">
      <c r="A158" s="1100">
        <f t="shared" si="21"/>
        <v>9.8299999999999823</v>
      </c>
      <c r="B158" s="873"/>
      <c r="C158" s="1069">
        <f>SUM(M158:O158)</f>
        <v>0</v>
      </c>
      <c r="D158" s="1069">
        <f t="shared" si="19"/>
        <v>0</v>
      </c>
      <c r="E158" s="1069"/>
      <c r="F158" s="1069"/>
      <c r="G158" s="1069">
        <f t="shared" si="17"/>
        <v>0</v>
      </c>
      <c r="H158" s="1069"/>
      <c r="I158" s="1069">
        <f t="shared" ref="I158:K168" si="22">(M158+Q158)/2</f>
        <v>0</v>
      </c>
      <c r="J158" s="1069">
        <f t="shared" si="22"/>
        <v>0</v>
      </c>
      <c r="K158" s="1069">
        <f t="shared" si="22"/>
        <v>0</v>
      </c>
      <c r="L158" s="1069"/>
      <c r="M158" s="873"/>
      <c r="N158" s="873"/>
      <c r="O158" s="873"/>
      <c r="P158" s="1069"/>
      <c r="Q158" s="873"/>
      <c r="R158" s="873"/>
      <c r="S158" s="873"/>
    </row>
    <row r="159" spans="1:19" hidden="1">
      <c r="A159" s="1100">
        <f t="shared" si="21"/>
        <v>9.8399999999999821</v>
      </c>
      <c r="B159" s="873"/>
      <c r="C159" s="1069">
        <f>SUM(M159:O159)</f>
        <v>0</v>
      </c>
      <c r="D159" s="1069">
        <f t="shared" si="19"/>
        <v>0</v>
      </c>
      <c r="E159" s="1069"/>
      <c r="F159" s="1069"/>
      <c r="G159" s="1069">
        <f t="shared" si="17"/>
        <v>0</v>
      </c>
      <c r="H159" s="1069"/>
      <c r="I159" s="1069">
        <f t="shared" si="22"/>
        <v>0</v>
      </c>
      <c r="J159" s="1069">
        <f t="shared" si="22"/>
        <v>0</v>
      </c>
      <c r="K159" s="1069">
        <f t="shared" si="22"/>
        <v>0</v>
      </c>
      <c r="L159" s="1069"/>
      <c r="M159" s="873"/>
      <c r="N159" s="873"/>
      <c r="O159" s="873"/>
      <c r="P159" s="1069"/>
      <c r="Q159" s="873"/>
      <c r="R159" s="873"/>
      <c r="S159" s="873"/>
    </row>
    <row r="160" spans="1:19" hidden="1">
      <c r="A160" s="1100">
        <f t="shared" si="21"/>
        <v>9.8499999999999819</v>
      </c>
      <c r="B160" s="873"/>
      <c r="C160" s="1069">
        <f>SUM(M160:O160)</f>
        <v>0</v>
      </c>
      <c r="D160" s="1069">
        <f t="shared" si="19"/>
        <v>0</v>
      </c>
      <c r="E160" s="1069"/>
      <c r="F160" s="1069"/>
      <c r="G160" s="1069">
        <f t="shared" si="17"/>
        <v>0</v>
      </c>
      <c r="H160" s="1069"/>
      <c r="I160" s="1069">
        <f t="shared" si="22"/>
        <v>0</v>
      </c>
      <c r="J160" s="1069">
        <f t="shared" si="22"/>
        <v>0</v>
      </c>
      <c r="K160" s="1069">
        <f t="shared" si="22"/>
        <v>0</v>
      </c>
      <c r="L160" s="1069"/>
      <c r="M160" s="873"/>
      <c r="N160" s="873"/>
      <c r="O160" s="873"/>
      <c r="P160" s="1069"/>
      <c r="Q160" s="873"/>
      <c r="R160" s="873"/>
      <c r="S160" s="873"/>
    </row>
    <row r="161" spans="1:19" hidden="1">
      <c r="A161" s="1100">
        <f t="shared" si="21"/>
        <v>9.8599999999999817</v>
      </c>
      <c r="B161" s="873"/>
      <c r="C161" s="1069">
        <f>SUM(M161:O161)</f>
        <v>0</v>
      </c>
      <c r="D161" s="1069">
        <f t="shared" si="19"/>
        <v>0</v>
      </c>
      <c r="E161" s="1069"/>
      <c r="F161" s="1069"/>
      <c r="G161" s="1069">
        <f t="shared" si="17"/>
        <v>0</v>
      </c>
      <c r="H161" s="1069"/>
      <c r="I161" s="1069">
        <f t="shared" si="22"/>
        <v>0</v>
      </c>
      <c r="J161" s="1069">
        <f t="shared" si="22"/>
        <v>0</v>
      </c>
      <c r="K161" s="1069">
        <f t="shared" si="22"/>
        <v>0</v>
      </c>
      <c r="L161" s="1069"/>
      <c r="M161" s="873"/>
      <c r="N161" s="873"/>
      <c r="O161" s="873"/>
      <c r="P161" s="1069"/>
      <c r="Q161" s="873"/>
      <c r="R161" s="873"/>
      <c r="S161" s="873"/>
    </row>
    <row r="162" spans="1:19" hidden="1">
      <c r="A162" s="1100">
        <f t="shared" si="21"/>
        <v>9.8699999999999815</v>
      </c>
      <c r="B162" s="873"/>
      <c r="C162" s="1069">
        <f t="shared" si="20"/>
        <v>0</v>
      </c>
      <c r="D162" s="1069">
        <f t="shared" si="19"/>
        <v>0</v>
      </c>
      <c r="E162" s="1069"/>
      <c r="F162" s="1069"/>
      <c r="G162" s="1069">
        <f t="shared" si="17"/>
        <v>0</v>
      </c>
      <c r="H162" s="1069"/>
      <c r="I162" s="1069">
        <f t="shared" si="22"/>
        <v>0</v>
      </c>
      <c r="J162" s="1069">
        <f t="shared" si="22"/>
        <v>0</v>
      </c>
      <c r="K162" s="1069">
        <f t="shared" si="22"/>
        <v>0</v>
      </c>
      <c r="L162" s="1069"/>
      <c r="M162" s="873"/>
      <c r="N162" s="873"/>
      <c r="O162" s="873"/>
      <c r="P162" s="1069"/>
      <c r="Q162" s="873"/>
      <c r="R162" s="873"/>
      <c r="S162" s="873"/>
    </row>
    <row r="163" spans="1:19" hidden="1">
      <c r="A163" s="1100">
        <f t="shared" si="21"/>
        <v>9.8799999999999812</v>
      </c>
      <c r="B163" s="873"/>
      <c r="C163" s="1069">
        <f t="shared" si="20"/>
        <v>0</v>
      </c>
      <c r="D163" s="1069">
        <f t="shared" si="19"/>
        <v>0</v>
      </c>
      <c r="E163" s="1069"/>
      <c r="F163" s="1069"/>
      <c r="G163" s="1069">
        <f t="shared" si="17"/>
        <v>0</v>
      </c>
      <c r="H163" s="1069"/>
      <c r="I163" s="1069">
        <f t="shared" si="22"/>
        <v>0</v>
      </c>
      <c r="J163" s="1069">
        <f t="shared" si="22"/>
        <v>0</v>
      </c>
      <c r="K163" s="1069">
        <f t="shared" si="22"/>
        <v>0</v>
      </c>
      <c r="L163" s="1069"/>
      <c r="M163" s="873"/>
      <c r="N163" s="873"/>
      <c r="O163" s="873"/>
      <c r="P163" s="1069"/>
      <c r="Q163" s="873"/>
      <c r="R163" s="873"/>
      <c r="S163" s="873"/>
    </row>
    <row r="164" spans="1:19" hidden="1">
      <c r="A164" s="1100">
        <f t="shared" si="21"/>
        <v>9.889999999999981</v>
      </c>
      <c r="B164" s="873"/>
      <c r="C164" s="1069">
        <f t="shared" si="20"/>
        <v>0</v>
      </c>
      <c r="D164" s="1069">
        <f t="shared" si="19"/>
        <v>0</v>
      </c>
      <c r="E164" s="1069"/>
      <c r="F164" s="1069"/>
      <c r="G164" s="1069">
        <f t="shared" si="17"/>
        <v>0</v>
      </c>
      <c r="H164" s="1069"/>
      <c r="I164" s="1069">
        <f t="shared" si="22"/>
        <v>0</v>
      </c>
      <c r="J164" s="1069">
        <f t="shared" si="22"/>
        <v>0</v>
      </c>
      <c r="K164" s="1069">
        <f t="shared" si="22"/>
        <v>0</v>
      </c>
      <c r="L164" s="1069"/>
      <c r="M164" s="873"/>
      <c r="N164" s="873"/>
      <c r="O164" s="873"/>
      <c r="P164" s="1069"/>
      <c r="Q164" s="873"/>
      <c r="R164" s="873"/>
      <c r="S164" s="873"/>
    </row>
    <row r="165" spans="1:19" hidden="1">
      <c r="A165" s="1100">
        <f t="shared" si="21"/>
        <v>9.8999999999999808</v>
      </c>
      <c r="B165" s="873"/>
      <c r="C165" s="1069">
        <f t="shared" si="20"/>
        <v>0</v>
      </c>
      <c r="D165" s="1069">
        <f t="shared" si="19"/>
        <v>0</v>
      </c>
      <c r="E165" s="1069"/>
      <c r="F165" s="1069"/>
      <c r="G165" s="1069">
        <f t="shared" si="17"/>
        <v>0</v>
      </c>
      <c r="H165" s="1069"/>
      <c r="I165" s="1069">
        <f t="shared" si="22"/>
        <v>0</v>
      </c>
      <c r="J165" s="1069">
        <f t="shared" si="22"/>
        <v>0</v>
      </c>
      <c r="K165" s="1069">
        <f t="shared" si="22"/>
        <v>0</v>
      </c>
      <c r="L165" s="1069"/>
      <c r="M165" s="873"/>
      <c r="N165" s="873"/>
      <c r="O165" s="873"/>
      <c r="P165" s="1069"/>
      <c r="Q165" s="873"/>
      <c r="R165" s="873"/>
      <c r="S165" s="873"/>
    </row>
    <row r="166" spans="1:19" hidden="1">
      <c r="A166" s="1100">
        <f t="shared" si="21"/>
        <v>9.9099999999999806</v>
      </c>
      <c r="B166" s="873"/>
      <c r="C166" s="1069">
        <f t="shared" si="20"/>
        <v>0</v>
      </c>
      <c r="D166" s="1069">
        <f t="shared" si="19"/>
        <v>0</v>
      </c>
      <c r="E166" s="1069"/>
      <c r="F166" s="1069"/>
      <c r="G166" s="1069">
        <f>ROUND(SUM(C166:F166)/2,0)</f>
        <v>0</v>
      </c>
      <c r="H166" s="1069"/>
      <c r="I166" s="1069">
        <f t="shared" si="22"/>
        <v>0</v>
      </c>
      <c r="J166" s="1069">
        <f t="shared" si="22"/>
        <v>0</v>
      </c>
      <c r="K166" s="1069">
        <f t="shared" si="22"/>
        <v>0</v>
      </c>
      <c r="L166" s="1069"/>
      <c r="M166" s="873"/>
      <c r="N166" s="873"/>
      <c r="O166" s="873"/>
      <c r="P166" s="1069"/>
      <c r="Q166" s="873"/>
      <c r="R166" s="873"/>
      <c r="S166" s="873"/>
    </row>
    <row r="167" spans="1:19" hidden="1">
      <c r="A167" s="1100">
        <f t="shared" si="21"/>
        <v>9.9199999999999804</v>
      </c>
      <c r="B167" s="873"/>
      <c r="C167" s="1069">
        <f t="shared" si="20"/>
        <v>0</v>
      </c>
      <c r="D167" s="1069">
        <f t="shared" si="19"/>
        <v>0</v>
      </c>
      <c r="E167" s="1069"/>
      <c r="F167" s="1069"/>
      <c r="G167" s="1069">
        <f t="shared" si="17"/>
        <v>0</v>
      </c>
      <c r="H167" s="1069"/>
      <c r="I167" s="1069">
        <f t="shared" si="22"/>
        <v>0</v>
      </c>
      <c r="J167" s="1069">
        <f t="shared" si="22"/>
        <v>0</v>
      </c>
      <c r="K167" s="1069">
        <f t="shared" si="22"/>
        <v>0</v>
      </c>
      <c r="L167" s="1069"/>
      <c r="M167" s="873"/>
      <c r="N167" s="873"/>
      <c r="O167" s="873"/>
      <c r="P167" s="1069"/>
      <c r="Q167" s="873"/>
      <c r="R167" s="873"/>
      <c r="S167" s="873"/>
    </row>
    <row r="168" spans="1:19">
      <c r="A168" s="1100">
        <f t="shared" si="21"/>
        <v>9.9299999999999802</v>
      </c>
      <c r="B168" s="873"/>
      <c r="C168" s="1069">
        <f t="shared" si="20"/>
        <v>0</v>
      </c>
      <c r="D168" s="1069">
        <f t="shared" si="19"/>
        <v>0</v>
      </c>
      <c r="E168" s="1069"/>
      <c r="F168" s="1069"/>
      <c r="G168" s="1069">
        <f t="shared" si="17"/>
        <v>0</v>
      </c>
      <c r="H168" s="1069"/>
      <c r="I168" s="1069">
        <f t="shared" si="22"/>
        <v>0</v>
      </c>
      <c r="J168" s="1069">
        <f t="shared" si="22"/>
        <v>0</v>
      </c>
      <c r="K168" s="1069">
        <f t="shared" si="22"/>
        <v>0</v>
      </c>
      <c r="L168" s="1069"/>
      <c r="M168" s="873"/>
      <c r="N168" s="873"/>
      <c r="O168" s="873"/>
      <c r="P168" s="1069"/>
      <c r="Q168" s="873"/>
      <c r="R168" s="873"/>
      <c r="S168" s="873"/>
    </row>
    <row r="169" spans="1:19">
      <c r="A169" s="1100">
        <f t="shared" si="21"/>
        <v>9.93999999999998</v>
      </c>
      <c r="B169" s="873"/>
      <c r="C169" s="873"/>
      <c r="D169" s="873"/>
      <c r="E169" s="1069">
        <f t="shared" ref="E169:F174" si="23">-C169</f>
        <v>0</v>
      </c>
      <c r="F169" s="1069">
        <f t="shared" si="23"/>
        <v>0</v>
      </c>
      <c r="G169" s="1069">
        <f t="shared" si="17"/>
        <v>0</v>
      </c>
      <c r="H169" s="1069"/>
      <c r="I169" s="1069"/>
      <c r="J169" s="1069"/>
      <c r="K169" s="1069"/>
      <c r="L169" s="1069"/>
      <c r="M169" s="1069"/>
      <c r="N169" s="1069"/>
      <c r="O169" s="1069"/>
      <c r="P169" s="1069"/>
      <c r="Q169" s="1069"/>
      <c r="R169" s="1069"/>
      <c r="S169" s="1069"/>
    </row>
    <row r="170" spans="1:19">
      <c r="A170" s="1100">
        <f t="shared" si="21"/>
        <v>9.9499999999999797</v>
      </c>
      <c r="B170" s="873"/>
      <c r="C170" s="873"/>
      <c r="D170" s="873"/>
      <c r="E170" s="1069">
        <f t="shared" si="23"/>
        <v>0</v>
      </c>
      <c r="F170" s="1069">
        <f t="shared" si="23"/>
        <v>0</v>
      </c>
      <c r="G170" s="1069">
        <f t="shared" si="17"/>
        <v>0</v>
      </c>
      <c r="H170" s="1069"/>
      <c r="I170" s="1069"/>
      <c r="J170" s="1069"/>
      <c r="K170" s="1069"/>
      <c r="L170" s="1069"/>
      <c r="M170" s="1069"/>
      <c r="N170" s="1069"/>
      <c r="O170" s="1069"/>
      <c r="P170" s="1069"/>
      <c r="Q170" s="1069"/>
      <c r="R170" s="1069"/>
      <c r="S170" s="1069"/>
    </row>
    <row r="171" spans="1:19">
      <c r="A171" s="1100">
        <f t="shared" si="21"/>
        <v>9.9599999999999795</v>
      </c>
      <c r="B171" s="873"/>
      <c r="C171" s="873"/>
      <c r="D171" s="873"/>
      <c r="E171" s="1069">
        <f t="shared" si="23"/>
        <v>0</v>
      </c>
      <c r="F171" s="1069">
        <f t="shared" si="23"/>
        <v>0</v>
      </c>
      <c r="G171" s="1069">
        <f t="shared" si="17"/>
        <v>0</v>
      </c>
      <c r="H171" s="1069"/>
      <c r="I171" s="1069"/>
      <c r="J171" s="1069"/>
      <c r="K171" s="1069"/>
      <c r="L171" s="1069"/>
      <c r="M171" s="1069"/>
      <c r="N171" s="1069"/>
      <c r="O171" s="1069"/>
      <c r="P171" s="1069"/>
      <c r="Q171" s="1069"/>
      <c r="R171" s="1069"/>
      <c r="S171" s="1069"/>
    </row>
    <row r="172" spans="1:19">
      <c r="A172" s="1100">
        <f t="shared" si="21"/>
        <v>9.9699999999999793</v>
      </c>
      <c r="B172" s="873"/>
      <c r="C172" s="873"/>
      <c r="D172" s="873"/>
      <c r="E172" s="1069">
        <f>-C172</f>
        <v>0</v>
      </c>
      <c r="F172" s="1069">
        <f>-D172</f>
        <v>0</v>
      </c>
      <c r="G172" s="1069">
        <f t="shared" si="17"/>
        <v>0</v>
      </c>
      <c r="H172" s="1069"/>
      <c r="I172" s="1069"/>
      <c r="J172" s="1069"/>
      <c r="K172" s="1069"/>
      <c r="L172" s="1069"/>
      <c r="M172" s="1069"/>
      <c r="N172" s="1069"/>
      <c r="O172" s="1069"/>
      <c r="P172" s="1069"/>
      <c r="Q172" s="1069"/>
      <c r="R172" s="1069"/>
      <c r="S172" s="1069"/>
    </row>
    <row r="173" spans="1:19">
      <c r="A173" s="1100">
        <f t="shared" si="21"/>
        <v>9.9799999999999791</v>
      </c>
      <c r="B173" s="873"/>
      <c r="C173" s="873"/>
      <c r="D173" s="873"/>
      <c r="E173" s="1069">
        <f>-C173</f>
        <v>0</v>
      </c>
      <c r="F173" s="1069">
        <f>-D173</f>
        <v>0</v>
      </c>
      <c r="G173" s="1069">
        <f t="shared" si="17"/>
        <v>0</v>
      </c>
      <c r="H173" s="1069"/>
      <c r="I173" s="1069"/>
      <c r="J173" s="1069"/>
      <c r="K173" s="1069"/>
      <c r="L173" s="1069"/>
      <c r="M173" s="1069"/>
      <c r="N173" s="1069"/>
      <c r="O173" s="1069"/>
      <c r="P173" s="1069"/>
      <c r="Q173" s="1069"/>
      <c r="R173" s="1069"/>
      <c r="S173" s="1069"/>
    </row>
    <row r="174" spans="1:19">
      <c r="A174" s="1100">
        <f t="shared" si="21"/>
        <v>9.9899999999999789</v>
      </c>
      <c r="B174" s="873"/>
      <c r="C174" s="873"/>
      <c r="D174" s="873"/>
      <c r="E174" s="1069">
        <f t="shared" si="23"/>
        <v>0</v>
      </c>
      <c r="F174" s="1069">
        <f t="shared" si="23"/>
        <v>0</v>
      </c>
      <c r="G174" s="1069">
        <f t="shared" si="17"/>
        <v>0</v>
      </c>
      <c r="H174" s="1069"/>
      <c r="I174" s="1069"/>
      <c r="J174" s="1069"/>
      <c r="K174" s="1069"/>
      <c r="L174" s="1069"/>
      <c r="M174" s="1069"/>
      <c r="N174" s="1069"/>
      <c r="O174" s="1069"/>
      <c r="P174" s="1069"/>
      <c r="Q174" s="1069"/>
      <c r="R174" s="1069"/>
      <c r="S174" s="1069"/>
    </row>
    <row r="175" spans="1:19">
      <c r="A175" s="1080"/>
      <c r="B175" s="1059"/>
      <c r="C175" s="1069"/>
      <c r="D175" s="1069"/>
      <c r="E175" s="1069"/>
      <c r="F175" s="1069"/>
      <c r="G175" s="1069"/>
      <c r="H175" s="1069"/>
      <c r="I175" s="1069"/>
      <c r="J175" s="1069"/>
      <c r="K175" s="1069"/>
      <c r="L175" s="1069"/>
      <c r="M175" s="1069"/>
      <c r="N175" s="1069"/>
      <c r="O175" s="1069"/>
      <c r="P175" s="1069"/>
      <c r="Q175" s="1069"/>
      <c r="R175" s="1069"/>
      <c r="S175" s="1069"/>
    </row>
    <row r="176" spans="1:19">
      <c r="A176" s="1080"/>
      <c r="B176" s="1059"/>
      <c r="C176" s="1069"/>
      <c r="D176" s="1069"/>
      <c r="E176" s="1069"/>
      <c r="F176" s="1069"/>
      <c r="G176" s="1069"/>
      <c r="H176" s="1069"/>
      <c r="I176" s="1069"/>
      <c r="J176" s="1069"/>
      <c r="K176" s="1069"/>
      <c r="L176" s="1069"/>
      <c r="M176" s="1069"/>
      <c r="N176" s="1069"/>
      <c r="O176" s="1069"/>
      <c r="P176" s="1069"/>
      <c r="Q176" s="1069"/>
      <c r="R176" s="1069"/>
      <c r="S176" s="1069"/>
    </row>
    <row r="177" spans="1:19" ht="13.5" thickBot="1">
      <c r="A177" s="1080">
        <v>10</v>
      </c>
      <c r="B177" s="1060"/>
      <c r="C177" s="1072">
        <f>SUM(C76:C176)</f>
        <v>0</v>
      </c>
      <c r="D177" s="1072">
        <f>SUM(D76:D176)</f>
        <v>0</v>
      </c>
      <c r="E177" s="1072">
        <f>SUM(E76:E176)</f>
        <v>0</v>
      </c>
      <c r="F177" s="1072">
        <f>SUM(F76:F176)</f>
        <v>0</v>
      </c>
      <c r="G177" s="1072">
        <f>SUM(G76:G176)</f>
        <v>0</v>
      </c>
      <c r="H177" s="1076"/>
      <c r="I177" s="1072">
        <f>SUM(I76:I176)</f>
        <v>0</v>
      </c>
      <c r="J177" s="1072">
        <f>SUM(J76:J176)</f>
        <v>0</v>
      </c>
      <c r="K177" s="1072">
        <f>SUM(K76:K176)</f>
        <v>0</v>
      </c>
      <c r="L177" s="1076"/>
      <c r="M177" s="1072">
        <f>SUM(M76:M176)</f>
        <v>0</v>
      </c>
      <c r="N177" s="1072">
        <f>SUM(N76:N176)</f>
        <v>0</v>
      </c>
      <c r="O177" s="1072">
        <f>SUM(O76:O176)</f>
        <v>0</v>
      </c>
      <c r="P177" s="1076"/>
      <c r="Q177" s="1072">
        <f>SUM(Q76:Q176)</f>
        <v>0</v>
      </c>
      <c r="R177" s="1072">
        <f>SUM(R76:R176)</f>
        <v>0</v>
      </c>
      <c r="S177" s="1072">
        <f>SUM(S76:S176)</f>
        <v>0</v>
      </c>
    </row>
    <row r="178" spans="1:19" ht="13.5" thickTop="1">
      <c r="A178" s="1080"/>
      <c r="B178" s="1059"/>
      <c r="C178" s="1073"/>
      <c r="D178" s="1073"/>
      <c r="E178" s="1073"/>
      <c r="F178" s="1073"/>
      <c r="G178" s="1073"/>
      <c r="H178" s="1069"/>
      <c r="I178" s="1073"/>
      <c r="J178" s="1073"/>
      <c r="K178" s="1073"/>
      <c r="L178" s="1069"/>
      <c r="M178" s="1073"/>
      <c r="N178" s="1073"/>
      <c r="O178" s="1073"/>
      <c r="P178" s="1069"/>
      <c r="Q178" s="1073"/>
      <c r="R178" s="1073"/>
      <c r="S178" s="1073"/>
    </row>
    <row r="179" spans="1:19">
      <c r="A179" s="1080"/>
      <c r="B179" s="1059"/>
      <c r="C179" s="1069"/>
      <c r="D179" s="1069"/>
      <c r="E179" s="1069"/>
      <c r="F179" s="1069"/>
      <c r="G179" s="1069"/>
      <c r="H179" s="1069"/>
      <c r="I179" s="1069"/>
      <c r="J179" s="1069"/>
      <c r="K179" s="1069"/>
      <c r="L179" s="1069"/>
      <c r="M179" s="1069"/>
      <c r="N179" s="1069"/>
      <c r="O179" s="1069"/>
      <c r="P179" s="1069"/>
      <c r="Q179" s="1069"/>
      <c r="R179" s="1069"/>
      <c r="S179" s="1069"/>
    </row>
    <row r="180" spans="1:19">
      <c r="A180" s="1080">
        <f>+A177+1</f>
        <v>11</v>
      </c>
      <c r="B180" s="266" t="s">
        <v>735</v>
      </c>
      <c r="C180" s="1069">
        <f>SUM(M180:O180)</f>
        <v>0</v>
      </c>
      <c r="D180" s="1069">
        <f>SUM(Q180:S180)</f>
        <v>0</v>
      </c>
      <c r="E180" s="1069"/>
      <c r="F180" s="1069"/>
      <c r="G180" s="1069">
        <f>ROUND(SUM(C180:F180)/2,0)</f>
        <v>0</v>
      </c>
      <c r="H180" s="1069"/>
      <c r="I180" s="1069">
        <f>(M180+Q180)/2</f>
        <v>0</v>
      </c>
      <c r="J180" s="1069">
        <f>(N180+R180)/2</f>
        <v>0</v>
      </c>
      <c r="K180" s="1069">
        <f>(O180+S180)/2</f>
        <v>0</v>
      </c>
      <c r="L180" s="1069"/>
      <c r="M180" s="873"/>
      <c r="N180" s="873"/>
      <c r="O180" s="873"/>
      <c r="P180" s="1069"/>
      <c r="Q180" s="873"/>
      <c r="R180" s="873"/>
      <c r="S180" s="873"/>
    </row>
    <row r="181" spans="1:19">
      <c r="A181" s="1100">
        <f>A180+0.01</f>
        <v>11.01</v>
      </c>
      <c r="B181" s="873"/>
      <c r="C181" s="873"/>
      <c r="D181" s="873"/>
      <c r="E181" s="1069">
        <f>-C181</f>
        <v>0</v>
      </c>
      <c r="F181" s="1069">
        <f>-D181</f>
        <v>0</v>
      </c>
      <c r="G181" s="1069">
        <f>ROUND(SUM(C181:F181)/2,0)</f>
        <v>0</v>
      </c>
      <c r="H181" s="1069"/>
      <c r="I181" s="1069"/>
      <c r="J181" s="1069"/>
      <c r="K181" s="1069"/>
      <c r="L181" s="1069"/>
      <c r="M181" s="1069"/>
      <c r="N181" s="1069"/>
      <c r="O181" s="1069"/>
      <c r="P181" s="1069"/>
      <c r="Q181" s="1069"/>
      <c r="R181" s="1069"/>
      <c r="S181" s="1069"/>
    </row>
    <row r="182" spans="1:19">
      <c r="A182" s="1080"/>
      <c r="B182" s="1059"/>
      <c r="C182" s="1069"/>
      <c r="D182" s="1069"/>
      <c r="E182" s="1069"/>
      <c r="F182" s="1069"/>
      <c r="G182" s="1069"/>
      <c r="H182" s="1069"/>
      <c r="I182" s="1069"/>
      <c r="J182" s="1069"/>
      <c r="K182" s="1069"/>
      <c r="L182" s="1069"/>
      <c r="M182" s="1069"/>
      <c r="N182" s="1069"/>
      <c r="O182" s="1069"/>
      <c r="P182" s="1069"/>
      <c r="Q182" s="1069"/>
      <c r="R182" s="1069"/>
      <c r="S182" s="1069"/>
    </row>
    <row r="183" spans="1:19" ht="13.5" thickBot="1">
      <c r="A183" s="1080">
        <f>+A180+1</f>
        <v>12</v>
      </c>
      <c r="B183" s="978" t="s">
        <v>736</v>
      </c>
      <c r="C183" s="1072">
        <f>SUM(C177:C182)</f>
        <v>0</v>
      </c>
      <c r="D183" s="1072">
        <f>SUM(D177:D182)</f>
        <v>0</v>
      </c>
      <c r="E183" s="1072">
        <f>SUM(E177:E182)</f>
        <v>0</v>
      </c>
      <c r="F183" s="1072">
        <f>SUM(F177:F182)</f>
        <v>0</v>
      </c>
      <c r="G183" s="1072">
        <f>SUM(G177:G182)</f>
        <v>0</v>
      </c>
      <c r="H183" s="1069"/>
      <c r="I183" s="1072">
        <f>SUM(I177:I182)</f>
        <v>0</v>
      </c>
      <c r="J183" s="1072">
        <f>SUM(J177:J182)</f>
        <v>0</v>
      </c>
      <c r="K183" s="1072">
        <f>SUM(K177:K182)</f>
        <v>0</v>
      </c>
      <c r="L183" s="1069"/>
      <c r="M183" s="1077">
        <f>SUM(M177:M182)</f>
        <v>0</v>
      </c>
      <c r="N183" s="1077">
        <f>SUM(N177:N182)</f>
        <v>0</v>
      </c>
      <c r="O183" s="1077">
        <f>SUM(O177:O182)</f>
        <v>0</v>
      </c>
      <c r="P183" s="1069"/>
      <c r="Q183" s="1072">
        <f>SUM(Q177:Q182)</f>
        <v>0</v>
      </c>
      <c r="R183" s="1072">
        <f>SUM(R177:R182)</f>
        <v>0</v>
      </c>
      <c r="S183" s="1072">
        <f>SUM(S177:S182)</f>
        <v>0</v>
      </c>
    </row>
    <row r="184" spans="1:19" ht="13.5" thickTop="1">
      <c r="A184" s="1080">
        <f>A183+1</f>
        <v>13</v>
      </c>
      <c r="B184" s="1147" t="s">
        <v>747</v>
      </c>
      <c r="C184" s="1073">
        <f>C106+C139</f>
        <v>0</v>
      </c>
      <c r="D184" s="1073">
        <f>D106+D139</f>
        <v>0</v>
      </c>
      <c r="E184" s="1073">
        <f>E106+E139</f>
        <v>0</v>
      </c>
      <c r="F184" s="1073">
        <f>F106+F139</f>
        <v>0</v>
      </c>
      <c r="G184" s="1073">
        <f>G106+G139</f>
        <v>0</v>
      </c>
      <c r="H184" s="1069"/>
      <c r="I184" s="1073">
        <f>I106+I139</f>
        <v>0</v>
      </c>
      <c r="J184" s="1073">
        <f>J106+J139</f>
        <v>0</v>
      </c>
      <c r="K184" s="1073">
        <f>K106+K139</f>
        <v>0</v>
      </c>
      <c r="L184" s="1069"/>
      <c r="M184" s="1073">
        <f>M106+M139</f>
        <v>0</v>
      </c>
      <c r="N184" s="1073">
        <f>N106+N139</f>
        <v>0</v>
      </c>
      <c r="O184" s="1073">
        <f>O106+O139</f>
        <v>0</v>
      </c>
      <c r="P184" s="1069"/>
      <c r="Q184" s="1073">
        <f>Q106+Q139</f>
        <v>0</v>
      </c>
      <c r="R184" s="1073">
        <f>R106+R139</f>
        <v>0</v>
      </c>
      <c r="S184" s="1073">
        <f>S106+S139</f>
        <v>0</v>
      </c>
    </row>
    <row r="185" spans="1:19">
      <c r="A185" s="1080"/>
      <c r="B185" s="1059"/>
      <c r="C185" s="1075"/>
      <c r="D185" s="1075"/>
      <c r="E185" s="1069"/>
      <c r="F185" s="1069"/>
      <c r="G185" s="1069"/>
      <c r="H185" s="1069"/>
      <c r="I185" s="1069"/>
      <c r="J185" s="1069"/>
      <c r="K185" s="1069"/>
      <c r="L185" s="1069"/>
      <c r="M185" s="1069"/>
      <c r="N185" s="1069"/>
      <c r="O185" s="1069"/>
      <c r="P185" s="1069"/>
      <c r="Q185" s="1069"/>
      <c r="R185" s="1069"/>
      <c r="S185" s="1069"/>
    </row>
    <row r="186" spans="1:19">
      <c r="A186" s="1080">
        <f>+A184+1</f>
        <v>14</v>
      </c>
      <c r="B186" s="1060" t="s">
        <v>737</v>
      </c>
      <c r="C186" s="1069"/>
      <c r="D186" s="1069"/>
      <c r="E186" s="1069"/>
      <c r="F186" s="1069"/>
      <c r="G186" s="1069"/>
      <c r="H186" s="1069"/>
      <c r="I186" s="1069"/>
      <c r="J186" s="1069"/>
      <c r="K186" s="1069"/>
      <c r="L186" s="1069"/>
      <c r="M186" s="1069"/>
      <c r="N186" s="1069"/>
      <c r="O186" s="1069"/>
      <c r="P186" s="1069"/>
      <c r="Q186" s="1069"/>
      <c r="R186" s="1069"/>
      <c r="S186" s="1069"/>
    </row>
    <row r="187" spans="1:19">
      <c r="A187" s="1080"/>
      <c r="B187" s="1059"/>
      <c r="C187" s="1069"/>
      <c r="D187" s="1069"/>
      <c r="E187" s="1069"/>
      <c r="F187" s="1069"/>
      <c r="G187" s="1069"/>
      <c r="H187" s="1069"/>
      <c r="I187" s="1069"/>
      <c r="J187" s="1069"/>
      <c r="K187" s="1069"/>
      <c r="L187" s="1069"/>
      <c r="M187" s="1069"/>
      <c r="N187" s="1069"/>
      <c r="O187" s="1069"/>
      <c r="P187" s="1069"/>
      <c r="Q187" s="1069"/>
      <c r="R187" s="1069"/>
      <c r="S187" s="1069"/>
    </row>
    <row r="188" spans="1:19">
      <c r="A188" s="1080">
        <f>+A186+1</f>
        <v>15</v>
      </c>
      <c r="B188" s="1060" t="s">
        <v>738</v>
      </c>
      <c r="C188" s="1069"/>
      <c r="D188" s="1069"/>
      <c r="E188" s="1069"/>
      <c r="F188" s="1069"/>
      <c r="G188" s="1069"/>
      <c r="H188" s="1069"/>
      <c r="I188" s="1069"/>
      <c r="J188" s="1069"/>
      <c r="K188" s="1069"/>
      <c r="L188" s="1069"/>
      <c r="M188" s="1069"/>
      <c r="N188" s="1069"/>
      <c r="O188" s="1069"/>
      <c r="P188" s="1069"/>
      <c r="Q188" s="1069"/>
      <c r="R188" s="1069"/>
      <c r="S188" s="1069"/>
    </row>
    <row r="189" spans="1:19">
      <c r="A189" s="1080"/>
      <c r="B189" s="1059"/>
      <c r="C189" s="1069"/>
      <c r="D189" s="1078"/>
      <c r="E189" s="1078"/>
      <c r="F189" s="1078"/>
      <c r="G189" s="1078"/>
      <c r="H189" s="1078"/>
      <c r="I189" s="1078"/>
      <c r="J189" s="1078"/>
      <c r="K189" s="1078"/>
      <c r="L189" s="1078"/>
      <c r="M189" s="1069"/>
      <c r="N189" s="1069"/>
      <c r="O189" s="1069"/>
      <c r="P189" s="1069"/>
      <c r="Q189" s="1069"/>
      <c r="R189" s="1069"/>
      <c r="S189" s="1069"/>
    </row>
    <row r="190" spans="1:19">
      <c r="A190" s="1080">
        <f>+A188+1</f>
        <v>16</v>
      </c>
      <c r="B190" s="1060" t="s">
        <v>739</v>
      </c>
      <c r="C190" s="1069"/>
      <c r="D190" s="1078"/>
      <c r="E190" s="1078"/>
      <c r="F190" s="1078"/>
      <c r="G190" s="1078"/>
      <c r="H190" s="1078"/>
      <c r="I190" s="1078"/>
      <c r="J190" s="1078"/>
      <c r="K190" s="1078"/>
      <c r="L190" s="1078"/>
      <c r="M190" s="1069"/>
      <c r="N190" s="1069"/>
      <c r="O190" s="1069"/>
      <c r="P190" s="1069"/>
      <c r="Q190" s="1069"/>
      <c r="R190" s="1069"/>
      <c r="S190" s="1069"/>
    </row>
    <row r="191" spans="1:19">
      <c r="A191" s="1080"/>
      <c r="B191" s="1059"/>
      <c r="C191" s="1069"/>
      <c r="D191" s="1069"/>
      <c r="E191" s="1069"/>
      <c r="F191" s="1069"/>
      <c r="G191" s="1069"/>
      <c r="H191" s="1069"/>
      <c r="I191" s="1069"/>
      <c r="J191" s="1069"/>
      <c r="K191" s="1069"/>
      <c r="L191" s="1069"/>
      <c r="M191" s="1069"/>
      <c r="N191" s="1069"/>
      <c r="O191" s="1069"/>
      <c r="P191" s="1069"/>
      <c r="Q191" s="1069"/>
      <c r="R191" s="1069"/>
      <c r="S191" s="1069"/>
    </row>
    <row r="192" spans="1:19">
      <c r="A192" s="1080">
        <f>+A190+1</f>
        <v>17</v>
      </c>
      <c r="B192" s="266" t="s">
        <v>740</v>
      </c>
      <c r="C192" s="1069"/>
      <c r="D192" s="1069"/>
      <c r="E192" s="1069"/>
      <c r="F192" s="1069"/>
      <c r="G192" s="1069"/>
      <c r="H192" s="1069"/>
      <c r="I192" s="1069"/>
      <c r="J192" s="1069"/>
      <c r="K192" s="1069"/>
      <c r="L192" s="1069"/>
      <c r="M192" s="1069"/>
      <c r="N192" s="1069"/>
      <c r="O192" s="1069"/>
      <c r="P192" s="1069"/>
      <c r="Q192" s="1069"/>
      <c r="R192" s="1069"/>
      <c r="S192" s="1069"/>
    </row>
    <row r="193" spans="1:19">
      <c r="A193" s="1080">
        <f>A192+1</f>
        <v>18</v>
      </c>
      <c r="B193" s="266" t="s">
        <v>741</v>
      </c>
      <c r="C193" s="1069"/>
      <c r="D193" s="1069"/>
      <c r="E193" s="1069"/>
      <c r="F193" s="1069"/>
      <c r="G193" s="1069"/>
      <c r="H193" s="1069"/>
      <c r="I193" s="1069"/>
      <c r="J193" s="1069"/>
      <c r="K193" s="1069"/>
      <c r="L193" s="1069"/>
      <c r="M193" s="1069"/>
      <c r="N193" s="1069"/>
      <c r="O193" s="1069"/>
      <c r="P193" s="1069"/>
      <c r="Q193" s="873"/>
      <c r="R193" s="1069"/>
      <c r="S193" s="1069"/>
    </row>
    <row r="194" spans="1:19">
      <c r="A194" s="1100">
        <f>A193+0.01</f>
        <v>18.010000000000002</v>
      </c>
      <c r="B194" s="873"/>
      <c r="C194" s="1069">
        <f>SUM(M194:O194)</f>
        <v>0</v>
      </c>
      <c r="D194" s="1069">
        <f>SUM(Q194:S194)</f>
        <v>0</v>
      </c>
      <c r="E194" s="1069"/>
      <c r="F194" s="1069"/>
      <c r="G194" s="1069">
        <f>ROUND(SUM(C194:F194)/2,0)</f>
        <v>0</v>
      </c>
      <c r="H194" s="1069"/>
      <c r="I194" s="1069">
        <f t="shared" ref="I194:K195" si="24">(M194+Q194)/2</f>
        <v>0</v>
      </c>
      <c r="J194" s="1069">
        <f t="shared" si="24"/>
        <v>0</v>
      </c>
      <c r="K194" s="1069">
        <f t="shared" si="24"/>
        <v>0</v>
      </c>
      <c r="L194" s="1069"/>
      <c r="M194" s="873"/>
      <c r="N194" s="873"/>
      <c r="O194" s="873"/>
      <c r="P194" s="1069"/>
      <c r="Q194" s="873"/>
      <c r="R194" s="873"/>
      <c r="S194" s="873"/>
    </row>
    <row r="195" spans="1:19">
      <c r="A195" s="1100">
        <f>A194+0.01</f>
        <v>18.020000000000003</v>
      </c>
      <c r="B195" s="873"/>
      <c r="C195" s="1069">
        <f>SUM(M195:O195)</f>
        <v>0</v>
      </c>
      <c r="D195" s="1069">
        <f>SUM(Q195:S195)</f>
        <v>0</v>
      </c>
      <c r="E195" s="1069"/>
      <c r="F195" s="1069"/>
      <c r="G195" s="1069">
        <f>ROUND(SUM(C195:F195)/2,0)</f>
        <v>0</v>
      </c>
      <c r="H195" s="1069"/>
      <c r="I195" s="1069">
        <f t="shared" si="24"/>
        <v>0</v>
      </c>
      <c r="J195" s="1069">
        <f t="shared" si="24"/>
        <v>0</v>
      </c>
      <c r="K195" s="1069">
        <f t="shared" si="24"/>
        <v>0</v>
      </c>
      <c r="L195" s="1069"/>
      <c r="M195" s="873"/>
      <c r="N195" s="873"/>
      <c r="O195" s="873"/>
      <c r="P195" s="1069"/>
      <c r="Q195" s="873"/>
      <c r="R195" s="873"/>
      <c r="S195" s="873"/>
    </row>
    <row r="196" spans="1:19">
      <c r="A196" s="1080">
        <f>INT(A195)+1</f>
        <v>19</v>
      </c>
      <c r="B196" s="1060"/>
      <c r="C196" s="1069"/>
      <c r="D196" s="1069"/>
      <c r="E196" s="1069"/>
      <c r="F196" s="1069"/>
      <c r="G196" s="1069"/>
      <c r="H196" s="1069"/>
      <c r="I196" s="1069"/>
      <c r="J196" s="1069"/>
      <c r="K196" s="1069"/>
      <c r="L196" s="1069"/>
      <c r="M196" s="1069"/>
      <c r="N196" s="1069"/>
      <c r="O196" s="1069"/>
      <c r="P196" s="1069"/>
      <c r="Q196" s="1069"/>
      <c r="R196" s="1069"/>
      <c r="S196" s="1069"/>
    </row>
    <row r="197" spans="1:19">
      <c r="A197" s="1080">
        <f>A196+1</f>
        <v>20</v>
      </c>
      <c r="B197" s="266" t="s">
        <v>742</v>
      </c>
      <c r="C197" s="1072">
        <f>SUM(C194:C196)</f>
        <v>0</v>
      </c>
      <c r="D197" s="1072">
        <f>SUM(D194:D196)</f>
        <v>0</v>
      </c>
      <c r="E197" s="1072">
        <f>SUM(E194:E196)</f>
        <v>0</v>
      </c>
      <c r="F197" s="1072">
        <f>SUM(F194:F196)</f>
        <v>0</v>
      </c>
      <c r="G197" s="1072">
        <f>SUM(G194:G196)</f>
        <v>0</v>
      </c>
      <c r="H197" s="1069"/>
      <c r="I197" s="1072">
        <f>SUM(I194:I196)</f>
        <v>0</v>
      </c>
      <c r="J197" s="1072">
        <f>SUM(J194:J196)</f>
        <v>0</v>
      </c>
      <c r="K197" s="1072">
        <f>SUM(K194:K196)</f>
        <v>0</v>
      </c>
      <c r="L197" s="1069"/>
      <c r="M197" s="1072">
        <f>SUM(M194:M196)</f>
        <v>0</v>
      </c>
      <c r="N197" s="1072">
        <f>SUM(N194:N196)</f>
        <v>0</v>
      </c>
      <c r="O197" s="1072">
        <f>SUM(O194:O196)</f>
        <v>0</v>
      </c>
      <c r="P197" s="1069"/>
      <c r="Q197" s="1072">
        <f>SUM(Q194:Q196)</f>
        <v>0</v>
      </c>
      <c r="R197" s="1072">
        <f>SUM(R194:R196)</f>
        <v>0</v>
      </c>
      <c r="S197" s="1072">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A18" sqref="A18"/>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4257812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81"/>
      <c r="B1" s="1146" t="str">
        <f>TCOS!F9</f>
        <v xml:space="preserve">Indiana Michigan Power Company </v>
      </c>
      <c r="C1" s="1082"/>
      <c r="D1" s="1082"/>
      <c r="E1" s="1082"/>
      <c r="F1" s="1059"/>
      <c r="G1" s="266"/>
      <c r="H1" s="266"/>
      <c r="I1" s="266"/>
      <c r="J1" s="266"/>
      <c r="K1" s="266"/>
      <c r="L1" s="266"/>
      <c r="M1" s="1059"/>
      <c r="N1" s="1059"/>
      <c r="O1" s="266"/>
      <c r="P1" s="1059"/>
      <c r="Q1" s="1059"/>
      <c r="R1" s="1059"/>
      <c r="S1" s="266"/>
    </row>
    <row r="2" spans="1:19">
      <c r="A2" s="1081"/>
      <c r="B2" s="1058" t="s">
        <v>831</v>
      </c>
      <c r="C2" s="1082"/>
      <c r="D2" s="1082"/>
      <c r="E2" s="1082"/>
      <c r="F2" s="1082"/>
      <c r="G2" s="1083"/>
      <c r="H2" s="1083"/>
      <c r="I2" s="1083"/>
      <c r="J2" s="1083"/>
      <c r="K2" s="1083"/>
      <c r="L2" s="1083"/>
      <c r="M2" s="1059"/>
      <c r="N2" s="1059"/>
      <c r="O2" s="1083"/>
      <c r="P2" s="1059"/>
      <c r="Q2" s="1059"/>
      <c r="R2" s="1059"/>
      <c r="S2" s="1083"/>
    </row>
    <row r="3" spans="1:19">
      <c r="A3" s="1081"/>
      <c r="B3" s="1058" t="str">
        <f>"PERIOD ENDED DECEMBER 31, "&amp;TCOS!L4</f>
        <v>PERIOD ENDED DECEMBER 31, 2021</v>
      </c>
      <c r="C3" s="1082"/>
      <c r="D3" s="1082"/>
      <c r="E3" s="1082"/>
      <c r="F3" s="1082"/>
      <c r="G3" s="1082"/>
      <c r="H3" s="1082"/>
      <c r="I3" s="1082"/>
      <c r="J3" s="1082"/>
      <c r="K3" s="1082"/>
      <c r="L3" s="1082"/>
      <c r="M3" s="1059"/>
      <c r="N3" s="1059"/>
      <c r="O3" s="1059"/>
      <c r="P3" s="1059"/>
      <c r="Q3" s="1059"/>
      <c r="R3" s="1059"/>
      <c r="S3" s="1059"/>
    </row>
    <row r="4" spans="1:19">
      <c r="A4" s="1081"/>
      <c r="B4" s="1068"/>
      <c r="C4" s="1082"/>
      <c r="D4" s="1082"/>
      <c r="E4" s="1082"/>
      <c r="F4" s="1082"/>
      <c r="G4" s="1" t="s">
        <v>743</v>
      </c>
      <c r="H4" s="1082"/>
      <c r="I4" s="1082"/>
      <c r="J4" s="1082"/>
      <c r="K4" s="1082"/>
      <c r="L4" s="1082"/>
      <c r="M4" s="1059"/>
      <c r="N4" s="1059"/>
      <c r="O4" s="1059"/>
      <c r="P4" s="1059"/>
      <c r="Q4" s="1059"/>
      <c r="R4" s="1059"/>
      <c r="S4" s="1059"/>
    </row>
    <row r="5" spans="1:19">
      <c r="A5" s="1081"/>
      <c r="B5" s="1061"/>
      <c r="C5" s="1082"/>
      <c r="D5" s="1082"/>
      <c r="E5" s="1082"/>
      <c r="F5" s="1082"/>
      <c r="G5" s="1082"/>
      <c r="H5" s="1082"/>
      <c r="I5" s="1082"/>
      <c r="J5" s="1082"/>
      <c r="K5" s="1082"/>
      <c r="L5" s="1082"/>
      <c r="M5" s="1059"/>
      <c r="N5" s="1059"/>
      <c r="O5" s="1059"/>
      <c r="P5" s="1059"/>
      <c r="Q5" s="1059"/>
      <c r="R5" s="1059"/>
      <c r="S5" s="1059"/>
    </row>
    <row r="6" spans="1:19">
      <c r="A6" s="1081"/>
      <c r="B6" s="1059"/>
      <c r="C6" s="1082"/>
      <c r="D6" s="1082"/>
      <c r="E6" s="1082"/>
      <c r="F6" s="1082"/>
      <c r="G6" s="1082"/>
      <c r="H6" s="1"/>
      <c r="I6" s="1"/>
      <c r="J6" s="1"/>
      <c r="K6" s="1"/>
      <c r="L6" s="1"/>
      <c r="M6" s="1059"/>
      <c r="N6" s="1059"/>
      <c r="O6" s="1059"/>
      <c r="P6" s="1059"/>
      <c r="Q6" s="1059"/>
      <c r="R6" s="1059"/>
      <c r="S6" s="1059"/>
    </row>
    <row r="7" spans="1:19">
      <c r="A7" s="1081"/>
      <c r="B7" s="1059"/>
      <c r="C7" s="1082"/>
      <c r="D7" s="1082"/>
      <c r="E7" s="1082"/>
      <c r="F7" s="1082"/>
      <c r="G7" s="1082"/>
      <c r="H7" s="1082"/>
      <c r="I7" s="1082"/>
      <c r="J7" s="1082"/>
      <c r="K7" s="1082"/>
      <c r="L7" s="1082"/>
      <c r="M7" s="1059"/>
      <c r="N7" s="1059"/>
      <c r="O7" s="1059"/>
      <c r="P7" s="1059"/>
      <c r="Q7" s="1059"/>
      <c r="R7" s="1059"/>
      <c r="S7" s="1059"/>
    </row>
    <row r="8" spans="1:19">
      <c r="A8" s="1081"/>
      <c r="B8" s="1062" t="s">
        <v>703</v>
      </c>
      <c r="C8" s="1084" t="s">
        <v>704</v>
      </c>
      <c r="D8" s="1084" t="s">
        <v>705</v>
      </c>
      <c r="E8" s="1084" t="s">
        <v>706</v>
      </c>
      <c r="F8" s="1084" t="s">
        <v>707</v>
      </c>
      <c r="G8" s="1084" t="s">
        <v>708</v>
      </c>
      <c r="H8" s="1084"/>
      <c r="I8" s="1084" t="s">
        <v>709</v>
      </c>
      <c r="J8" s="1084" t="s">
        <v>710</v>
      </c>
      <c r="K8" s="1084" t="s">
        <v>711</v>
      </c>
      <c r="L8" s="1084"/>
      <c r="M8" s="1062" t="s">
        <v>712</v>
      </c>
      <c r="N8" s="1062" t="s">
        <v>713</v>
      </c>
      <c r="O8" s="1062" t="s">
        <v>714</v>
      </c>
      <c r="P8" s="1059"/>
      <c r="Q8" s="1062" t="s">
        <v>715</v>
      </c>
      <c r="R8" s="1062" t="s">
        <v>716</v>
      </c>
      <c r="S8" s="1062" t="s">
        <v>717</v>
      </c>
    </row>
    <row r="9" spans="1:19">
      <c r="A9" s="1081"/>
      <c r="B9" s="1059"/>
      <c r="C9" s="1082"/>
      <c r="D9" s="1082"/>
      <c r="E9" s="1082"/>
      <c r="F9" s="1082"/>
      <c r="G9" s="1082"/>
      <c r="H9" s="1082"/>
      <c r="I9" s="1082"/>
      <c r="J9" s="1082"/>
      <c r="K9" s="1082"/>
      <c r="L9" s="1082"/>
      <c r="M9" s="1059"/>
      <c r="N9" s="1059"/>
      <c r="O9" s="1059"/>
      <c r="P9" s="1059"/>
      <c r="Q9" s="1059"/>
      <c r="R9" s="1059"/>
      <c r="S9" s="1059"/>
    </row>
    <row r="10" spans="1:19">
      <c r="A10" s="1081"/>
      <c r="B10" s="1059"/>
      <c r="C10" s="1085" t="s">
        <v>718</v>
      </c>
      <c r="D10" s="1085"/>
      <c r="E10" s="1086" t="s">
        <v>719</v>
      </c>
      <c r="F10" s="1085"/>
      <c r="G10" s="1087" t="s">
        <v>720</v>
      </c>
      <c r="H10" s="1087"/>
      <c r="I10" s="1088" t="s">
        <v>721</v>
      </c>
      <c r="J10" s="1085"/>
      <c r="K10" s="1085"/>
      <c r="L10" s="1087"/>
      <c r="M10" s="1066" t="str">
        <f>"FUNCTIONALIZATION 12/31/"&amp;TCOS!L4-1</f>
        <v>FUNCTIONALIZATION 12/31/2020</v>
      </c>
      <c r="N10" s="1063"/>
      <c r="O10" s="1063"/>
      <c r="P10" s="1059"/>
      <c r="Q10" s="1066" t="str">
        <f>"FUNCTIONALIZATION 12/31/"&amp;TCOS!L4</f>
        <v>FUNCTIONALIZATION 12/31/2021</v>
      </c>
      <c r="R10" s="1063"/>
      <c r="S10" s="1063"/>
    </row>
    <row r="11" spans="1:19">
      <c r="A11" s="1081"/>
      <c r="B11" s="1059"/>
      <c r="C11" s="1089"/>
      <c r="D11" s="1089"/>
      <c r="E11" s="1082"/>
      <c r="F11" s="1082"/>
      <c r="G11" s="1087" t="s">
        <v>722</v>
      </c>
      <c r="H11" s="1087"/>
      <c r="I11" s="1089"/>
      <c r="J11" s="1089"/>
      <c r="K11" s="1089"/>
      <c r="L11" s="1087"/>
      <c r="M11" s="1067"/>
      <c r="N11" s="1067"/>
      <c r="O11" s="1067"/>
      <c r="P11" s="1059"/>
      <c r="Q11" s="1067"/>
      <c r="R11" s="1067"/>
      <c r="S11" s="1067"/>
    </row>
    <row r="12" spans="1:19">
      <c r="A12" s="1081"/>
      <c r="B12" s="1059"/>
      <c r="C12" s="1087" t="s">
        <v>723</v>
      </c>
      <c r="D12" s="1087" t="s">
        <v>723</v>
      </c>
      <c r="E12" s="1087" t="s">
        <v>723</v>
      </c>
      <c r="F12" s="1087" t="s">
        <v>723</v>
      </c>
      <c r="G12" s="1087" t="s">
        <v>724</v>
      </c>
      <c r="H12" s="1087"/>
      <c r="I12" s="1082"/>
      <c r="J12" s="1082"/>
      <c r="K12" s="1082"/>
      <c r="L12" s="1087"/>
      <c r="M12" s="1059"/>
      <c r="N12" s="1059"/>
      <c r="O12" s="1059"/>
      <c r="P12" s="1059"/>
      <c r="Q12" s="1059"/>
      <c r="R12" s="1059"/>
      <c r="S12" s="1059"/>
    </row>
    <row r="13" spans="1:19">
      <c r="A13" s="1081"/>
      <c r="B13" s="1062" t="s">
        <v>725</v>
      </c>
      <c r="C13" s="1084" t="str">
        <f>"OF 12-31-"&amp;TCOS!L4-1</f>
        <v>OF 12-31-2020</v>
      </c>
      <c r="D13" s="1084" t="str">
        <f>"OF 12-31-"&amp;TCOS!L4</f>
        <v>OF 12-31-2021</v>
      </c>
      <c r="E13" s="1084" t="str">
        <f>"OF 12-31-"&amp;TCOS!L4-1</f>
        <v>OF 12-31-2020</v>
      </c>
      <c r="F13" s="1084" t="str">
        <f>"OF 12-31-"&amp;TCOS!L4</f>
        <v>OF 12-31-2021</v>
      </c>
      <c r="G13" s="1084" t="s">
        <v>726</v>
      </c>
      <c r="H13" s="1084"/>
      <c r="I13" s="1084" t="s">
        <v>727</v>
      </c>
      <c r="J13" s="1084" t="s">
        <v>728</v>
      </c>
      <c r="K13" s="1084" t="s">
        <v>729</v>
      </c>
      <c r="L13" s="1084"/>
      <c r="M13" s="1062" t="s">
        <v>727</v>
      </c>
      <c r="N13" s="1062" t="s">
        <v>728</v>
      </c>
      <c r="O13" s="1062" t="s">
        <v>729</v>
      </c>
      <c r="P13" s="1059"/>
      <c r="Q13" s="1062" t="s">
        <v>727</v>
      </c>
      <c r="R13" s="1062" t="s">
        <v>728</v>
      </c>
      <c r="S13" s="1062" t="s">
        <v>729</v>
      </c>
    </row>
    <row r="14" spans="1:19">
      <c r="A14" s="1081"/>
      <c r="B14" s="1059"/>
      <c r="C14" s="1082"/>
      <c r="D14" s="1082"/>
      <c r="E14" s="1082"/>
      <c r="F14" s="1082"/>
      <c r="G14" s="1082"/>
      <c r="H14" s="1082"/>
      <c r="I14" s="1082"/>
      <c r="J14" s="1082"/>
      <c r="K14" s="1082"/>
      <c r="L14" s="1082"/>
      <c r="M14" s="1059"/>
      <c r="N14" s="1059"/>
      <c r="O14" s="1059"/>
      <c r="P14" s="1059"/>
      <c r="Q14" s="1059"/>
      <c r="R14" s="1059"/>
      <c r="S14" s="1059"/>
    </row>
    <row r="15" spans="1:19">
      <c r="A15" s="1090">
        <v>1</v>
      </c>
      <c r="B15" s="1075" t="s">
        <v>744</v>
      </c>
      <c r="C15" s="1069"/>
      <c r="D15" s="1069"/>
      <c r="E15" s="1069"/>
      <c r="F15" s="1070"/>
      <c r="G15" s="1069"/>
      <c r="H15" s="1069"/>
      <c r="I15" s="1069"/>
      <c r="J15" s="1069"/>
      <c r="K15" s="1069"/>
      <c r="L15" s="1069"/>
      <c r="M15" s="1069"/>
      <c r="N15" s="1069"/>
      <c r="O15" s="1069"/>
      <c r="P15" s="1069"/>
      <c r="Q15" s="1069"/>
      <c r="R15" s="1069"/>
      <c r="S15" s="1069"/>
    </row>
    <row r="16" spans="1:19">
      <c r="A16" s="1090"/>
      <c r="B16" s="1069"/>
      <c r="C16" s="1069"/>
      <c r="D16" s="1069"/>
      <c r="E16" s="1069"/>
      <c r="F16" s="1069"/>
      <c r="G16" s="1069"/>
      <c r="H16" s="1069"/>
      <c r="I16" s="1069"/>
      <c r="J16" s="1069"/>
      <c r="K16" s="1069"/>
      <c r="L16" s="1069"/>
      <c r="M16" s="1069"/>
      <c r="N16" s="1069"/>
      <c r="O16" s="1069"/>
      <c r="P16" s="1069"/>
      <c r="Q16" s="1069"/>
      <c r="R16" s="1069"/>
      <c r="S16" s="1069"/>
    </row>
    <row r="17" spans="1:19">
      <c r="A17" s="1100">
        <v>2.0099999999999998</v>
      </c>
      <c r="B17" s="873"/>
      <c r="C17" s="1069">
        <f t="shared" ref="C17:C80" si="0">SUM(M17:O17)</f>
        <v>0</v>
      </c>
      <c r="D17" s="1069">
        <f t="shared" ref="D17:D80" si="1">SUM(Q17:S17)</f>
        <v>0</v>
      </c>
      <c r="E17" s="1069"/>
      <c r="F17" s="1069"/>
      <c r="G17" s="1069">
        <f t="shared" ref="G17:G80" si="2">ROUND(SUM(C17:F17)/2,0)</f>
        <v>0</v>
      </c>
      <c r="H17" s="1069"/>
      <c r="I17" s="1069">
        <f t="shared" ref="I17:K48" si="3">(M17+Q17)/2</f>
        <v>0</v>
      </c>
      <c r="J17" s="1069">
        <f t="shared" si="3"/>
        <v>0</v>
      </c>
      <c r="K17" s="1069">
        <f t="shared" si="3"/>
        <v>0</v>
      </c>
      <c r="L17" s="1069"/>
      <c r="M17" s="873"/>
      <c r="N17" s="873"/>
      <c r="O17" s="873"/>
      <c r="P17" s="1069"/>
      <c r="Q17" s="873"/>
      <c r="R17" s="873"/>
      <c r="S17" s="873"/>
    </row>
    <row r="18" spans="1:19">
      <c r="A18" s="1100">
        <f>A17+0.01</f>
        <v>2.0199999999999996</v>
      </c>
      <c r="B18" s="873"/>
      <c r="C18" s="1069">
        <f t="shared" si="0"/>
        <v>0</v>
      </c>
      <c r="D18" s="1069">
        <f t="shared" si="1"/>
        <v>0</v>
      </c>
      <c r="E18" s="1069"/>
      <c r="F18" s="1069"/>
      <c r="G18" s="1069">
        <f t="shared" si="2"/>
        <v>0</v>
      </c>
      <c r="H18" s="1069"/>
      <c r="I18" s="1069">
        <f t="shared" si="3"/>
        <v>0</v>
      </c>
      <c r="J18" s="1069">
        <f t="shared" si="3"/>
        <v>0</v>
      </c>
      <c r="K18" s="1069">
        <f t="shared" si="3"/>
        <v>0</v>
      </c>
      <c r="L18" s="1069"/>
      <c r="M18" s="873"/>
      <c r="N18" s="873"/>
      <c r="O18" s="873"/>
      <c r="P18" s="1069"/>
      <c r="Q18" s="873"/>
      <c r="R18" s="873"/>
      <c r="S18" s="873"/>
    </row>
    <row r="19" spans="1:19">
      <c r="A19" s="1100">
        <f t="shared" ref="A19:A82" si="4">A18+0.01</f>
        <v>2.0299999999999994</v>
      </c>
      <c r="B19" s="873"/>
      <c r="C19" s="1069">
        <f t="shared" si="0"/>
        <v>0</v>
      </c>
      <c r="D19" s="1069">
        <f t="shared" si="1"/>
        <v>0</v>
      </c>
      <c r="E19" s="1069"/>
      <c r="F19" s="1069"/>
      <c r="G19" s="1069">
        <f t="shared" si="2"/>
        <v>0</v>
      </c>
      <c r="H19" s="1069"/>
      <c r="I19" s="1069">
        <f t="shared" si="3"/>
        <v>0</v>
      </c>
      <c r="J19" s="1069">
        <f t="shared" si="3"/>
        <v>0</v>
      </c>
      <c r="K19" s="1069">
        <f t="shared" si="3"/>
        <v>0</v>
      </c>
      <c r="L19" s="1069"/>
      <c r="M19" s="873"/>
      <c r="N19" s="873"/>
      <c r="O19" s="873"/>
      <c r="P19" s="1069"/>
      <c r="Q19" s="873"/>
      <c r="R19" s="873"/>
      <c r="S19" s="873"/>
    </row>
    <row r="20" spans="1:19">
      <c r="A20" s="1100">
        <f t="shared" si="4"/>
        <v>2.0399999999999991</v>
      </c>
      <c r="B20" s="873"/>
      <c r="C20" s="1069">
        <f t="shared" si="0"/>
        <v>0</v>
      </c>
      <c r="D20" s="1069">
        <f t="shared" si="1"/>
        <v>0</v>
      </c>
      <c r="E20" s="1069"/>
      <c r="F20" s="1069"/>
      <c r="G20" s="1069">
        <f t="shared" si="2"/>
        <v>0</v>
      </c>
      <c r="H20" s="1069"/>
      <c r="I20" s="1069">
        <f t="shared" si="3"/>
        <v>0</v>
      </c>
      <c r="J20" s="1069">
        <f t="shared" si="3"/>
        <v>0</v>
      </c>
      <c r="K20" s="1069">
        <f t="shared" si="3"/>
        <v>0</v>
      </c>
      <c r="L20" s="1069"/>
      <c r="M20" s="873"/>
      <c r="N20" s="873"/>
      <c r="O20" s="873"/>
      <c r="P20" s="1069"/>
      <c r="Q20" s="873"/>
      <c r="R20" s="873"/>
      <c r="S20" s="873"/>
    </row>
    <row r="21" spans="1:19">
      <c r="A21" s="1100">
        <f t="shared" si="4"/>
        <v>2.0499999999999989</v>
      </c>
      <c r="B21" s="873"/>
      <c r="C21" s="1069">
        <f t="shared" si="0"/>
        <v>0</v>
      </c>
      <c r="D21" s="1069">
        <f t="shared" si="1"/>
        <v>0</v>
      </c>
      <c r="E21" s="1069"/>
      <c r="F21" s="1069"/>
      <c r="G21" s="1069">
        <f t="shared" si="2"/>
        <v>0</v>
      </c>
      <c r="H21" s="1069"/>
      <c r="I21" s="1069">
        <f t="shared" si="3"/>
        <v>0</v>
      </c>
      <c r="J21" s="1069">
        <f t="shared" si="3"/>
        <v>0</v>
      </c>
      <c r="K21" s="1069">
        <f t="shared" si="3"/>
        <v>0</v>
      </c>
      <c r="L21" s="1069"/>
      <c r="M21" s="873"/>
      <c r="N21" s="873"/>
      <c r="O21" s="873"/>
      <c r="P21" s="1069"/>
      <c r="Q21" s="873"/>
      <c r="R21" s="873"/>
      <c r="S21" s="873"/>
    </row>
    <row r="22" spans="1:19">
      <c r="A22" s="1100">
        <f t="shared" si="4"/>
        <v>2.0599999999999987</v>
      </c>
      <c r="B22" s="873"/>
      <c r="C22" s="1069">
        <f t="shared" si="0"/>
        <v>0</v>
      </c>
      <c r="D22" s="1069">
        <f t="shared" si="1"/>
        <v>0</v>
      </c>
      <c r="E22" s="1069"/>
      <c r="F22" s="1069"/>
      <c r="G22" s="1069">
        <f t="shared" si="2"/>
        <v>0</v>
      </c>
      <c r="H22" s="1069"/>
      <c r="I22" s="1069">
        <f t="shared" si="3"/>
        <v>0</v>
      </c>
      <c r="J22" s="1069">
        <f t="shared" si="3"/>
        <v>0</v>
      </c>
      <c r="K22" s="1069">
        <f t="shared" si="3"/>
        <v>0</v>
      </c>
      <c r="L22" s="1069"/>
      <c r="M22" s="873"/>
      <c r="N22" s="873"/>
      <c r="O22" s="873"/>
      <c r="P22" s="1069"/>
      <c r="Q22" s="873"/>
      <c r="R22" s="873"/>
      <c r="S22" s="873"/>
    </row>
    <row r="23" spans="1:19">
      <c r="A23" s="1100">
        <f t="shared" si="4"/>
        <v>2.0699999999999985</v>
      </c>
      <c r="B23" s="873"/>
      <c r="C23" s="1069">
        <f t="shared" si="0"/>
        <v>0</v>
      </c>
      <c r="D23" s="1069">
        <f t="shared" si="1"/>
        <v>0</v>
      </c>
      <c r="E23" s="1069"/>
      <c r="F23" s="1069"/>
      <c r="G23" s="1069">
        <f t="shared" si="2"/>
        <v>0</v>
      </c>
      <c r="H23" s="1069"/>
      <c r="I23" s="1069">
        <f t="shared" si="3"/>
        <v>0</v>
      </c>
      <c r="J23" s="1069">
        <f t="shared" si="3"/>
        <v>0</v>
      </c>
      <c r="K23" s="1069">
        <f t="shared" si="3"/>
        <v>0</v>
      </c>
      <c r="L23" s="1069"/>
      <c r="M23" s="873"/>
      <c r="N23" s="873"/>
      <c r="O23" s="873"/>
      <c r="P23" s="1069"/>
      <c r="Q23" s="873"/>
      <c r="R23" s="873"/>
      <c r="S23" s="873"/>
    </row>
    <row r="24" spans="1:19">
      <c r="A24" s="1100">
        <f t="shared" si="4"/>
        <v>2.0799999999999983</v>
      </c>
      <c r="B24" s="873"/>
      <c r="C24" s="1069">
        <f t="shared" si="0"/>
        <v>0</v>
      </c>
      <c r="D24" s="1069">
        <f t="shared" si="1"/>
        <v>0</v>
      </c>
      <c r="E24" s="1069"/>
      <c r="F24" s="1069"/>
      <c r="G24" s="1069">
        <f t="shared" si="2"/>
        <v>0</v>
      </c>
      <c r="H24" s="1069"/>
      <c r="I24" s="1069">
        <f t="shared" si="3"/>
        <v>0</v>
      </c>
      <c r="J24" s="1069">
        <f t="shared" si="3"/>
        <v>0</v>
      </c>
      <c r="K24" s="1069">
        <f t="shared" si="3"/>
        <v>0</v>
      </c>
      <c r="L24" s="1069"/>
      <c r="M24" s="873"/>
      <c r="N24" s="873"/>
      <c r="O24" s="873"/>
      <c r="P24" s="1069"/>
      <c r="Q24" s="873"/>
      <c r="R24" s="873"/>
      <c r="S24" s="873"/>
    </row>
    <row r="25" spans="1:19">
      <c r="A25" s="1100">
        <f t="shared" si="4"/>
        <v>2.0899999999999981</v>
      </c>
      <c r="B25" s="873"/>
      <c r="C25" s="1069">
        <f t="shared" si="0"/>
        <v>0</v>
      </c>
      <c r="D25" s="1069">
        <f t="shared" si="1"/>
        <v>0</v>
      </c>
      <c r="E25" s="1069"/>
      <c r="F25" s="1069"/>
      <c r="G25" s="1069">
        <f t="shared" si="2"/>
        <v>0</v>
      </c>
      <c r="H25" s="1069"/>
      <c r="I25" s="1069">
        <f t="shared" si="3"/>
        <v>0</v>
      </c>
      <c r="J25" s="1069">
        <f t="shared" si="3"/>
        <v>0</v>
      </c>
      <c r="K25" s="1069">
        <f t="shared" si="3"/>
        <v>0</v>
      </c>
      <c r="L25" s="1069"/>
      <c r="M25" s="873"/>
      <c r="N25" s="873"/>
      <c r="O25" s="873"/>
      <c r="P25" s="1069"/>
      <c r="Q25" s="873"/>
      <c r="R25" s="873"/>
      <c r="S25" s="873"/>
    </row>
    <row r="26" spans="1:19">
      <c r="A26" s="1100">
        <f t="shared" si="4"/>
        <v>2.0999999999999979</v>
      </c>
      <c r="B26" s="873"/>
      <c r="C26" s="1069">
        <f t="shared" si="0"/>
        <v>0</v>
      </c>
      <c r="D26" s="1069">
        <f t="shared" si="1"/>
        <v>0</v>
      </c>
      <c r="E26" s="1069"/>
      <c r="F26" s="1069"/>
      <c r="G26" s="1069">
        <f t="shared" si="2"/>
        <v>0</v>
      </c>
      <c r="H26" s="1069"/>
      <c r="I26" s="1069">
        <f t="shared" si="3"/>
        <v>0</v>
      </c>
      <c r="J26" s="1069">
        <f t="shared" si="3"/>
        <v>0</v>
      </c>
      <c r="K26" s="1069">
        <f t="shared" si="3"/>
        <v>0</v>
      </c>
      <c r="L26" s="1069"/>
      <c r="M26" s="873"/>
      <c r="N26" s="873"/>
      <c r="O26" s="873"/>
      <c r="P26" s="1069"/>
      <c r="Q26" s="873"/>
      <c r="R26" s="873"/>
      <c r="S26" s="873"/>
    </row>
    <row r="27" spans="1:19" hidden="1">
      <c r="A27" s="1100">
        <f t="shared" si="4"/>
        <v>2.1099999999999977</v>
      </c>
      <c r="B27" s="873"/>
      <c r="C27" s="1069">
        <f t="shared" si="0"/>
        <v>0</v>
      </c>
      <c r="D27" s="1069">
        <f t="shared" si="1"/>
        <v>0</v>
      </c>
      <c r="E27" s="1069"/>
      <c r="F27" s="1069"/>
      <c r="G27" s="1069">
        <f t="shared" si="2"/>
        <v>0</v>
      </c>
      <c r="H27" s="1069"/>
      <c r="I27" s="1069">
        <f t="shared" si="3"/>
        <v>0</v>
      </c>
      <c r="J27" s="1069">
        <f t="shared" si="3"/>
        <v>0</v>
      </c>
      <c r="K27" s="1069">
        <f t="shared" si="3"/>
        <v>0</v>
      </c>
      <c r="L27" s="1069"/>
      <c r="M27" s="873"/>
      <c r="N27" s="873"/>
      <c r="O27" s="873"/>
      <c r="P27" s="1069"/>
      <c r="Q27" s="873"/>
      <c r="R27" s="873"/>
      <c r="S27" s="873"/>
    </row>
    <row r="28" spans="1:19" hidden="1">
      <c r="A28" s="1100">
        <f t="shared" si="4"/>
        <v>2.1199999999999974</v>
      </c>
      <c r="B28" s="873"/>
      <c r="C28" s="1069">
        <f t="shared" si="0"/>
        <v>0</v>
      </c>
      <c r="D28" s="1069">
        <f t="shared" si="1"/>
        <v>0</v>
      </c>
      <c r="E28" s="1069"/>
      <c r="F28" s="1069"/>
      <c r="G28" s="1069">
        <f t="shared" si="2"/>
        <v>0</v>
      </c>
      <c r="H28" s="1069"/>
      <c r="I28" s="1069">
        <f t="shared" si="3"/>
        <v>0</v>
      </c>
      <c r="J28" s="1069">
        <f t="shared" si="3"/>
        <v>0</v>
      </c>
      <c r="K28" s="1069">
        <f t="shared" si="3"/>
        <v>0</v>
      </c>
      <c r="L28" s="1069"/>
      <c r="M28" s="873"/>
      <c r="N28" s="873"/>
      <c r="O28" s="873"/>
      <c r="P28" s="1069"/>
      <c r="Q28" s="873"/>
      <c r="R28" s="873"/>
      <c r="S28" s="873"/>
    </row>
    <row r="29" spans="1:19" hidden="1">
      <c r="A29" s="1100">
        <f t="shared" si="4"/>
        <v>2.1299999999999972</v>
      </c>
      <c r="B29" s="873"/>
      <c r="C29" s="1069">
        <f t="shared" si="0"/>
        <v>0</v>
      </c>
      <c r="D29" s="1069">
        <f t="shared" si="1"/>
        <v>0</v>
      </c>
      <c r="E29" s="1069"/>
      <c r="F29" s="1069"/>
      <c r="G29" s="1069">
        <f t="shared" si="2"/>
        <v>0</v>
      </c>
      <c r="H29" s="1069"/>
      <c r="I29" s="1069">
        <f t="shared" si="3"/>
        <v>0</v>
      </c>
      <c r="J29" s="1069">
        <f t="shared" si="3"/>
        <v>0</v>
      </c>
      <c r="K29" s="1069">
        <f t="shared" si="3"/>
        <v>0</v>
      </c>
      <c r="L29" s="1069"/>
      <c r="M29" s="873"/>
      <c r="N29" s="873"/>
      <c r="O29" s="873"/>
      <c r="P29" s="1069"/>
      <c r="Q29" s="873"/>
      <c r="R29" s="873"/>
      <c r="S29" s="873"/>
    </row>
    <row r="30" spans="1:19" hidden="1">
      <c r="A30" s="1100">
        <f t="shared" si="4"/>
        <v>2.139999999999997</v>
      </c>
      <c r="B30" s="873"/>
      <c r="C30" s="1069">
        <f t="shared" si="0"/>
        <v>0</v>
      </c>
      <c r="D30" s="1069">
        <f t="shared" si="1"/>
        <v>0</v>
      </c>
      <c r="E30" s="1069"/>
      <c r="F30" s="1069"/>
      <c r="G30" s="1069">
        <f t="shared" si="2"/>
        <v>0</v>
      </c>
      <c r="H30" s="1069"/>
      <c r="I30" s="1069">
        <f t="shared" si="3"/>
        <v>0</v>
      </c>
      <c r="J30" s="1069">
        <f t="shared" si="3"/>
        <v>0</v>
      </c>
      <c r="K30" s="1069">
        <f t="shared" si="3"/>
        <v>0</v>
      </c>
      <c r="L30" s="1069"/>
      <c r="M30" s="873"/>
      <c r="N30" s="873"/>
      <c r="O30" s="873"/>
      <c r="P30" s="1069"/>
      <c r="Q30" s="873"/>
      <c r="R30" s="873"/>
      <c r="S30" s="873"/>
    </row>
    <row r="31" spans="1:19" hidden="1">
      <c r="A31" s="1100">
        <f t="shared" si="4"/>
        <v>2.1499999999999968</v>
      </c>
      <c r="B31" s="873"/>
      <c r="C31" s="1069">
        <f t="shared" si="0"/>
        <v>0</v>
      </c>
      <c r="D31" s="1069">
        <f t="shared" si="1"/>
        <v>0</v>
      </c>
      <c r="E31" s="1069"/>
      <c r="F31" s="1069"/>
      <c r="G31" s="1069">
        <f t="shared" si="2"/>
        <v>0</v>
      </c>
      <c r="H31" s="1069"/>
      <c r="I31" s="1069">
        <f t="shared" si="3"/>
        <v>0</v>
      </c>
      <c r="J31" s="1069">
        <f t="shared" si="3"/>
        <v>0</v>
      </c>
      <c r="K31" s="1069">
        <f t="shared" si="3"/>
        <v>0</v>
      </c>
      <c r="L31" s="1069"/>
      <c r="M31" s="873"/>
      <c r="N31" s="873"/>
      <c r="O31" s="873"/>
      <c r="P31" s="1069"/>
      <c r="Q31" s="873"/>
      <c r="R31" s="873"/>
      <c r="S31" s="873"/>
    </row>
    <row r="32" spans="1:19" hidden="1">
      <c r="A32" s="1100">
        <f t="shared" si="4"/>
        <v>2.1599999999999966</v>
      </c>
      <c r="B32" s="873"/>
      <c r="C32" s="1069">
        <f t="shared" si="0"/>
        <v>0</v>
      </c>
      <c r="D32" s="1069">
        <f t="shared" si="1"/>
        <v>0</v>
      </c>
      <c r="E32" s="1069"/>
      <c r="F32" s="1069"/>
      <c r="G32" s="1069">
        <f t="shared" si="2"/>
        <v>0</v>
      </c>
      <c r="H32" s="1069"/>
      <c r="I32" s="1069">
        <f t="shared" si="3"/>
        <v>0</v>
      </c>
      <c r="J32" s="1069">
        <f t="shared" si="3"/>
        <v>0</v>
      </c>
      <c r="K32" s="1069">
        <f t="shared" si="3"/>
        <v>0</v>
      </c>
      <c r="L32" s="1069"/>
      <c r="M32" s="873"/>
      <c r="N32" s="873"/>
      <c r="O32" s="873"/>
      <c r="P32" s="1069"/>
      <c r="Q32" s="873"/>
      <c r="R32" s="873"/>
      <c r="S32" s="873"/>
    </row>
    <row r="33" spans="1:19" hidden="1">
      <c r="A33" s="1100">
        <f t="shared" si="4"/>
        <v>2.1699999999999964</v>
      </c>
      <c r="B33" s="873"/>
      <c r="C33" s="1069">
        <f t="shared" si="0"/>
        <v>0</v>
      </c>
      <c r="D33" s="1069">
        <f t="shared" si="1"/>
        <v>0</v>
      </c>
      <c r="E33" s="1069"/>
      <c r="F33" s="1069"/>
      <c r="G33" s="1069">
        <f t="shared" si="2"/>
        <v>0</v>
      </c>
      <c r="H33" s="1069"/>
      <c r="I33" s="1069">
        <f t="shared" si="3"/>
        <v>0</v>
      </c>
      <c r="J33" s="1069">
        <f t="shared" si="3"/>
        <v>0</v>
      </c>
      <c r="K33" s="1069">
        <f t="shared" si="3"/>
        <v>0</v>
      </c>
      <c r="L33" s="1069"/>
      <c r="M33" s="873"/>
      <c r="N33" s="873"/>
      <c r="O33" s="873"/>
      <c r="P33" s="1069"/>
      <c r="Q33" s="873"/>
      <c r="R33" s="873"/>
      <c r="S33" s="873"/>
    </row>
    <row r="34" spans="1:19" hidden="1">
      <c r="A34" s="1100">
        <f t="shared" si="4"/>
        <v>2.1799999999999962</v>
      </c>
      <c r="B34" s="873"/>
      <c r="C34" s="1069">
        <f t="shared" si="0"/>
        <v>0</v>
      </c>
      <c r="D34" s="1069">
        <f t="shared" si="1"/>
        <v>0</v>
      </c>
      <c r="E34" s="1069"/>
      <c r="F34" s="1069"/>
      <c r="G34" s="1069">
        <f t="shared" si="2"/>
        <v>0</v>
      </c>
      <c r="H34" s="1069"/>
      <c r="I34" s="1069">
        <f t="shared" si="3"/>
        <v>0</v>
      </c>
      <c r="J34" s="1069">
        <f t="shared" si="3"/>
        <v>0</v>
      </c>
      <c r="K34" s="1069">
        <f t="shared" si="3"/>
        <v>0</v>
      </c>
      <c r="L34" s="1069"/>
      <c r="M34" s="873"/>
      <c r="N34" s="873"/>
      <c r="O34" s="873"/>
      <c r="P34" s="1069"/>
      <c r="Q34" s="873"/>
      <c r="R34" s="873"/>
      <c r="S34" s="873"/>
    </row>
    <row r="35" spans="1:19" hidden="1">
      <c r="A35" s="1100">
        <f t="shared" si="4"/>
        <v>2.1899999999999959</v>
      </c>
      <c r="B35" s="873"/>
      <c r="C35" s="1069">
        <f t="shared" si="0"/>
        <v>0</v>
      </c>
      <c r="D35" s="1069">
        <f t="shared" si="1"/>
        <v>0</v>
      </c>
      <c r="E35" s="1069"/>
      <c r="F35" s="1069"/>
      <c r="G35" s="1069">
        <f t="shared" si="2"/>
        <v>0</v>
      </c>
      <c r="H35" s="1069"/>
      <c r="I35" s="1069">
        <f t="shared" si="3"/>
        <v>0</v>
      </c>
      <c r="J35" s="1069">
        <f t="shared" si="3"/>
        <v>0</v>
      </c>
      <c r="K35" s="1069">
        <f t="shared" si="3"/>
        <v>0</v>
      </c>
      <c r="L35" s="1069"/>
      <c r="M35" s="873"/>
      <c r="N35" s="873"/>
      <c r="O35" s="873"/>
      <c r="P35" s="1069"/>
      <c r="Q35" s="873"/>
      <c r="R35" s="873"/>
      <c r="S35" s="873"/>
    </row>
    <row r="36" spans="1:19" hidden="1">
      <c r="A36" s="1100">
        <f t="shared" si="4"/>
        <v>2.1999999999999957</v>
      </c>
      <c r="B36" s="873"/>
      <c r="C36" s="1069">
        <f t="shared" si="0"/>
        <v>0</v>
      </c>
      <c r="D36" s="1069">
        <f t="shared" si="1"/>
        <v>0</v>
      </c>
      <c r="E36" s="1069"/>
      <c r="F36" s="1069"/>
      <c r="G36" s="1069">
        <f t="shared" si="2"/>
        <v>0</v>
      </c>
      <c r="H36" s="1069"/>
      <c r="I36" s="1069">
        <f t="shared" si="3"/>
        <v>0</v>
      </c>
      <c r="J36" s="1069">
        <f t="shared" si="3"/>
        <v>0</v>
      </c>
      <c r="K36" s="1069">
        <f t="shared" si="3"/>
        <v>0</v>
      </c>
      <c r="L36" s="1069"/>
      <c r="M36" s="873"/>
      <c r="N36" s="873"/>
      <c r="O36" s="873"/>
      <c r="P36" s="1069"/>
      <c r="Q36" s="873"/>
      <c r="R36" s="873"/>
      <c r="S36" s="873"/>
    </row>
    <row r="37" spans="1:19" hidden="1">
      <c r="A37" s="1100">
        <f t="shared" si="4"/>
        <v>2.2099999999999955</v>
      </c>
      <c r="B37" s="873"/>
      <c r="C37" s="1069">
        <f t="shared" si="0"/>
        <v>0</v>
      </c>
      <c r="D37" s="1069">
        <f t="shared" si="1"/>
        <v>0</v>
      </c>
      <c r="E37" s="1069"/>
      <c r="F37" s="1069"/>
      <c r="G37" s="1069">
        <f t="shared" si="2"/>
        <v>0</v>
      </c>
      <c r="H37" s="1069"/>
      <c r="I37" s="1069">
        <f t="shared" si="3"/>
        <v>0</v>
      </c>
      <c r="J37" s="1069">
        <f t="shared" si="3"/>
        <v>0</v>
      </c>
      <c r="K37" s="1069">
        <f t="shared" si="3"/>
        <v>0</v>
      </c>
      <c r="L37" s="1069"/>
      <c r="M37" s="873"/>
      <c r="N37" s="873"/>
      <c r="O37" s="873"/>
      <c r="P37" s="1069"/>
      <c r="Q37" s="873"/>
      <c r="R37" s="873"/>
      <c r="S37" s="873"/>
    </row>
    <row r="38" spans="1:19" hidden="1">
      <c r="A38" s="1100">
        <f t="shared" si="4"/>
        <v>2.2199999999999953</v>
      </c>
      <c r="B38" s="873"/>
      <c r="C38" s="1069">
        <f t="shared" si="0"/>
        <v>0</v>
      </c>
      <c r="D38" s="1069">
        <f t="shared" si="1"/>
        <v>0</v>
      </c>
      <c r="E38" s="1069"/>
      <c r="F38" s="1069"/>
      <c r="G38" s="1069">
        <f t="shared" si="2"/>
        <v>0</v>
      </c>
      <c r="H38" s="1069"/>
      <c r="I38" s="1069">
        <f t="shared" si="3"/>
        <v>0</v>
      </c>
      <c r="J38" s="1069">
        <f t="shared" si="3"/>
        <v>0</v>
      </c>
      <c r="K38" s="1069">
        <f t="shared" si="3"/>
        <v>0</v>
      </c>
      <c r="L38" s="1069"/>
      <c r="M38" s="873"/>
      <c r="N38" s="873"/>
      <c r="O38" s="873"/>
      <c r="P38" s="1069"/>
      <c r="Q38" s="873"/>
      <c r="R38" s="873"/>
      <c r="S38" s="873"/>
    </row>
    <row r="39" spans="1:19" hidden="1">
      <c r="A39" s="1100">
        <f t="shared" si="4"/>
        <v>2.2299999999999951</v>
      </c>
      <c r="B39" s="873"/>
      <c r="C39" s="1069">
        <f t="shared" si="0"/>
        <v>0</v>
      </c>
      <c r="D39" s="1069">
        <f t="shared" si="1"/>
        <v>0</v>
      </c>
      <c r="E39" s="1069"/>
      <c r="F39" s="1069"/>
      <c r="G39" s="1069">
        <f t="shared" si="2"/>
        <v>0</v>
      </c>
      <c r="H39" s="1069"/>
      <c r="I39" s="1069">
        <f t="shared" si="3"/>
        <v>0</v>
      </c>
      <c r="J39" s="1069">
        <f t="shared" si="3"/>
        <v>0</v>
      </c>
      <c r="K39" s="1069">
        <f t="shared" si="3"/>
        <v>0</v>
      </c>
      <c r="L39" s="1069"/>
      <c r="M39" s="873"/>
      <c r="N39" s="873"/>
      <c r="O39" s="873"/>
      <c r="P39" s="1069"/>
      <c r="Q39" s="873"/>
      <c r="R39" s="873"/>
      <c r="S39" s="873"/>
    </row>
    <row r="40" spans="1:19" hidden="1">
      <c r="A40" s="1100">
        <f t="shared" si="4"/>
        <v>2.2399999999999949</v>
      </c>
      <c r="B40" s="873"/>
      <c r="C40" s="1069">
        <f t="shared" si="0"/>
        <v>0</v>
      </c>
      <c r="D40" s="1069">
        <f t="shared" si="1"/>
        <v>0</v>
      </c>
      <c r="E40" s="1069"/>
      <c r="F40" s="1069"/>
      <c r="G40" s="1069">
        <f t="shared" si="2"/>
        <v>0</v>
      </c>
      <c r="H40" s="1069"/>
      <c r="I40" s="1069">
        <f t="shared" si="3"/>
        <v>0</v>
      </c>
      <c r="J40" s="1069">
        <f t="shared" si="3"/>
        <v>0</v>
      </c>
      <c r="K40" s="1069">
        <f t="shared" si="3"/>
        <v>0</v>
      </c>
      <c r="L40" s="1069"/>
      <c r="M40" s="873"/>
      <c r="N40" s="873"/>
      <c r="O40" s="873"/>
      <c r="P40" s="1069"/>
      <c r="Q40" s="873"/>
      <c r="R40" s="873"/>
      <c r="S40" s="873"/>
    </row>
    <row r="41" spans="1:19" hidden="1">
      <c r="A41" s="1100">
        <f t="shared" si="4"/>
        <v>2.2499999999999947</v>
      </c>
      <c r="B41" s="873"/>
      <c r="C41" s="1069">
        <f t="shared" si="0"/>
        <v>0</v>
      </c>
      <c r="D41" s="1069">
        <f t="shared" si="1"/>
        <v>0</v>
      </c>
      <c r="E41" s="1069"/>
      <c r="F41" s="1069"/>
      <c r="G41" s="1069">
        <f t="shared" si="2"/>
        <v>0</v>
      </c>
      <c r="H41" s="1069"/>
      <c r="I41" s="1069">
        <f t="shared" si="3"/>
        <v>0</v>
      </c>
      <c r="J41" s="1069">
        <f t="shared" si="3"/>
        <v>0</v>
      </c>
      <c r="K41" s="1069">
        <f t="shared" si="3"/>
        <v>0</v>
      </c>
      <c r="L41" s="1069"/>
      <c r="M41" s="873"/>
      <c r="N41" s="873"/>
      <c r="O41" s="873"/>
      <c r="P41" s="1069"/>
      <c r="Q41" s="873"/>
      <c r="R41" s="873"/>
      <c r="S41" s="873"/>
    </row>
    <row r="42" spans="1:19" hidden="1">
      <c r="A42" s="1100">
        <f t="shared" si="4"/>
        <v>2.2599999999999945</v>
      </c>
      <c r="B42" s="873"/>
      <c r="C42" s="1069">
        <f t="shared" si="0"/>
        <v>0</v>
      </c>
      <c r="D42" s="1069">
        <f t="shared" si="1"/>
        <v>0</v>
      </c>
      <c r="E42" s="1069"/>
      <c r="F42" s="1069"/>
      <c r="G42" s="1069">
        <f t="shared" si="2"/>
        <v>0</v>
      </c>
      <c r="H42" s="1069"/>
      <c r="I42" s="1069">
        <f t="shared" si="3"/>
        <v>0</v>
      </c>
      <c r="J42" s="1069">
        <f t="shared" si="3"/>
        <v>0</v>
      </c>
      <c r="K42" s="1069">
        <f t="shared" si="3"/>
        <v>0</v>
      </c>
      <c r="L42" s="1069"/>
      <c r="M42" s="873"/>
      <c r="N42" s="873"/>
      <c r="O42" s="873"/>
      <c r="P42" s="1069"/>
      <c r="Q42" s="873"/>
      <c r="R42" s="873"/>
      <c r="S42" s="873"/>
    </row>
    <row r="43" spans="1:19" hidden="1">
      <c r="A43" s="1100">
        <f t="shared" si="4"/>
        <v>2.2699999999999942</v>
      </c>
      <c r="B43" s="873"/>
      <c r="C43" s="1069">
        <f t="shared" si="0"/>
        <v>0</v>
      </c>
      <c r="D43" s="1069">
        <f t="shared" si="1"/>
        <v>0</v>
      </c>
      <c r="E43" s="1069"/>
      <c r="F43" s="1069"/>
      <c r="G43" s="1069">
        <f t="shared" si="2"/>
        <v>0</v>
      </c>
      <c r="H43" s="1069"/>
      <c r="I43" s="1069">
        <f t="shared" si="3"/>
        <v>0</v>
      </c>
      <c r="J43" s="1069">
        <f t="shared" si="3"/>
        <v>0</v>
      </c>
      <c r="K43" s="1069">
        <f t="shared" si="3"/>
        <v>0</v>
      </c>
      <c r="L43" s="1069"/>
      <c r="M43" s="873"/>
      <c r="N43" s="873"/>
      <c r="O43" s="873"/>
      <c r="P43" s="1069"/>
      <c r="Q43" s="873"/>
      <c r="R43" s="873"/>
      <c r="S43" s="873"/>
    </row>
    <row r="44" spans="1:19" hidden="1">
      <c r="A44" s="1100">
        <f t="shared" si="4"/>
        <v>2.279999999999994</v>
      </c>
      <c r="B44" s="873"/>
      <c r="C44" s="1069">
        <f t="shared" si="0"/>
        <v>0</v>
      </c>
      <c r="D44" s="1069">
        <f t="shared" si="1"/>
        <v>0</v>
      </c>
      <c r="E44" s="1069"/>
      <c r="F44" s="1069"/>
      <c r="G44" s="1069">
        <f t="shared" si="2"/>
        <v>0</v>
      </c>
      <c r="H44" s="1069"/>
      <c r="I44" s="1069">
        <f t="shared" si="3"/>
        <v>0</v>
      </c>
      <c r="J44" s="1069">
        <f t="shared" si="3"/>
        <v>0</v>
      </c>
      <c r="K44" s="1069">
        <f t="shared" si="3"/>
        <v>0</v>
      </c>
      <c r="L44" s="1069"/>
      <c r="M44" s="873"/>
      <c r="N44" s="873"/>
      <c r="O44" s="873"/>
      <c r="P44" s="1069"/>
      <c r="Q44" s="873"/>
      <c r="R44" s="873"/>
      <c r="S44" s="873"/>
    </row>
    <row r="45" spans="1:19" hidden="1">
      <c r="A45" s="1100">
        <f t="shared" si="4"/>
        <v>2.2899999999999938</v>
      </c>
      <c r="B45" s="873"/>
      <c r="C45" s="1069">
        <f t="shared" si="0"/>
        <v>0</v>
      </c>
      <c r="D45" s="1069">
        <f t="shared" si="1"/>
        <v>0</v>
      </c>
      <c r="E45" s="1069"/>
      <c r="F45" s="1069"/>
      <c r="G45" s="1069">
        <f t="shared" si="2"/>
        <v>0</v>
      </c>
      <c r="H45" s="1069"/>
      <c r="I45" s="1069">
        <f t="shared" si="3"/>
        <v>0</v>
      </c>
      <c r="J45" s="1069">
        <f t="shared" si="3"/>
        <v>0</v>
      </c>
      <c r="K45" s="1069">
        <f t="shared" si="3"/>
        <v>0</v>
      </c>
      <c r="L45" s="1069"/>
      <c r="M45" s="873"/>
      <c r="N45" s="873"/>
      <c r="O45" s="873"/>
      <c r="P45" s="1069"/>
      <c r="Q45" s="873"/>
      <c r="R45" s="873"/>
      <c r="S45" s="873"/>
    </row>
    <row r="46" spans="1:19" hidden="1">
      <c r="A46" s="1100">
        <f t="shared" si="4"/>
        <v>2.2999999999999936</v>
      </c>
      <c r="B46" s="873"/>
      <c r="C46" s="1069">
        <f t="shared" si="0"/>
        <v>0</v>
      </c>
      <c r="D46" s="1069">
        <f t="shared" si="1"/>
        <v>0</v>
      </c>
      <c r="E46" s="1069"/>
      <c r="F46" s="1069"/>
      <c r="G46" s="1069">
        <f t="shared" si="2"/>
        <v>0</v>
      </c>
      <c r="H46" s="1069"/>
      <c r="I46" s="1069">
        <f t="shared" si="3"/>
        <v>0</v>
      </c>
      <c r="J46" s="1069">
        <f t="shared" si="3"/>
        <v>0</v>
      </c>
      <c r="K46" s="1069">
        <f t="shared" si="3"/>
        <v>0</v>
      </c>
      <c r="L46" s="1069"/>
      <c r="M46" s="873"/>
      <c r="N46" s="873"/>
      <c r="O46" s="873"/>
      <c r="P46" s="1069"/>
      <c r="Q46" s="873"/>
      <c r="R46" s="873"/>
      <c r="S46" s="873"/>
    </row>
    <row r="47" spans="1:19" hidden="1">
      <c r="A47" s="1100">
        <f t="shared" si="4"/>
        <v>2.3099999999999934</v>
      </c>
      <c r="B47" s="873"/>
      <c r="C47" s="1069">
        <f t="shared" si="0"/>
        <v>0</v>
      </c>
      <c r="D47" s="1069">
        <f t="shared" si="1"/>
        <v>0</v>
      </c>
      <c r="E47" s="1069"/>
      <c r="F47" s="1069"/>
      <c r="G47" s="1069">
        <f t="shared" si="2"/>
        <v>0</v>
      </c>
      <c r="H47" s="1069"/>
      <c r="I47" s="1069">
        <f t="shared" si="3"/>
        <v>0</v>
      </c>
      <c r="J47" s="1069">
        <f t="shared" si="3"/>
        <v>0</v>
      </c>
      <c r="K47" s="1069">
        <f t="shared" si="3"/>
        <v>0</v>
      </c>
      <c r="L47" s="1069"/>
      <c r="M47" s="873"/>
      <c r="N47" s="873"/>
      <c r="O47" s="873"/>
      <c r="P47" s="1069"/>
      <c r="Q47" s="873"/>
      <c r="R47" s="873"/>
      <c r="S47" s="873"/>
    </row>
    <row r="48" spans="1:19" hidden="1">
      <c r="A48" s="1100">
        <f t="shared" si="4"/>
        <v>2.3199999999999932</v>
      </c>
      <c r="B48" s="873"/>
      <c r="C48" s="1069">
        <f t="shared" si="0"/>
        <v>0</v>
      </c>
      <c r="D48" s="1069">
        <f t="shared" si="1"/>
        <v>0</v>
      </c>
      <c r="E48" s="1069"/>
      <c r="F48" s="1069"/>
      <c r="G48" s="1069">
        <f t="shared" si="2"/>
        <v>0</v>
      </c>
      <c r="H48" s="1069"/>
      <c r="I48" s="1069">
        <f t="shared" si="3"/>
        <v>0</v>
      </c>
      <c r="J48" s="1069">
        <f t="shared" si="3"/>
        <v>0</v>
      </c>
      <c r="K48" s="1069">
        <f t="shared" si="3"/>
        <v>0</v>
      </c>
      <c r="L48" s="1069"/>
      <c r="M48" s="873"/>
      <c r="N48" s="873"/>
      <c r="O48" s="873"/>
      <c r="P48" s="1069"/>
      <c r="Q48" s="873"/>
      <c r="R48" s="873"/>
      <c r="S48" s="873"/>
    </row>
    <row r="49" spans="1:19" hidden="1">
      <c r="A49" s="1100">
        <f t="shared" si="4"/>
        <v>2.329999999999993</v>
      </c>
      <c r="B49" s="873"/>
      <c r="C49" s="1069">
        <f t="shared" si="0"/>
        <v>0</v>
      </c>
      <c r="D49" s="1069">
        <f t="shared" si="1"/>
        <v>0</v>
      </c>
      <c r="E49" s="1069"/>
      <c r="F49" s="1069"/>
      <c r="G49" s="1069">
        <f t="shared" si="2"/>
        <v>0</v>
      </c>
      <c r="H49" s="1069"/>
      <c r="I49" s="1069">
        <f t="shared" ref="I49:K80" si="5">(M49+Q49)/2</f>
        <v>0</v>
      </c>
      <c r="J49" s="1069">
        <f t="shared" si="5"/>
        <v>0</v>
      </c>
      <c r="K49" s="1069">
        <f t="shared" si="5"/>
        <v>0</v>
      </c>
      <c r="L49" s="1069"/>
      <c r="M49" s="873"/>
      <c r="N49" s="873"/>
      <c r="O49" s="873"/>
      <c r="P49" s="1069"/>
      <c r="Q49" s="873"/>
      <c r="R49" s="873"/>
      <c r="S49" s="873"/>
    </row>
    <row r="50" spans="1:19" hidden="1">
      <c r="A50" s="1100">
        <f t="shared" si="4"/>
        <v>2.3399999999999928</v>
      </c>
      <c r="B50" s="873"/>
      <c r="C50" s="1069">
        <f t="shared" si="0"/>
        <v>0</v>
      </c>
      <c r="D50" s="1069">
        <f t="shared" si="1"/>
        <v>0</v>
      </c>
      <c r="E50" s="1069"/>
      <c r="F50" s="1069"/>
      <c r="G50" s="1069">
        <f t="shared" si="2"/>
        <v>0</v>
      </c>
      <c r="H50" s="1069"/>
      <c r="I50" s="1069">
        <f t="shared" si="5"/>
        <v>0</v>
      </c>
      <c r="J50" s="1069">
        <f t="shared" si="5"/>
        <v>0</v>
      </c>
      <c r="K50" s="1069">
        <f t="shared" si="5"/>
        <v>0</v>
      </c>
      <c r="L50" s="1069"/>
      <c r="M50" s="873"/>
      <c r="N50" s="873"/>
      <c r="O50" s="873"/>
      <c r="P50" s="1069"/>
      <c r="Q50" s="873"/>
      <c r="R50" s="873"/>
      <c r="S50" s="873"/>
    </row>
    <row r="51" spans="1:19" hidden="1">
      <c r="A51" s="1100">
        <f t="shared" si="4"/>
        <v>2.3499999999999925</v>
      </c>
      <c r="B51" s="873"/>
      <c r="C51" s="1069">
        <f t="shared" si="0"/>
        <v>0</v>
      </c>
      <c r="D51" s="1069">
        <f t="shared" si="1"/>
        <v>0</v>
      </c>
      <c r="E51" s="1069"/>
      <c r="F51" s="1069"/>
      <c r="G51" s="1069">
        <f t="shared" si="2"/>
        <v>0</v>
      </c>
      <c r="H51" s="1069"/>
      <c r="I51" s="1069">
        <f t="shared" si="5"/>
        <v>0</v>
      </c>
      <c r="J51" s="1069">
        <f t="shared" si="5"/>
        <v>0</v>
      </c>
      <c r="K51" s="1069">
        <f t="shared" si="5"/>
        <v>0</v>
      </c>
      <c r="L51" s="1069"/>
      <c r="M51" s="873"/>
      <c r="N51" s="873"/>
      <c r="O51" s="873"/>
      <c r="P51" s="1069"/>
      <c r="Q51" s="873"/>
      <c r="R51" s="873"/>
      <c r="S51" s="873"/>
    </row>
    <row r="52" spans="1:19" hidden="1">
      <c r="A52" s="1100">
        <f t="shared" si="4"/>
        <v>2.3599999999999923</v>
      </c>
      <c r="B52" s="873"/>
      <c r="C52" s="1069">
        <f t="shared" si="0"/>
        <v>0</v>
      </c>
      <c r="D52" s="1069">
        <f t="shared" si="1"/>
        <v>0</v>
      </c>
      <c r="E52" s="1069"/>
      <c r="F52" s="1069"/>
      <c r="G52" s="1069">
        <f t="shared" si="2"/>
        <v>0</v>
      </c>
      <c r="H52" s="1069"/>
      <c r="I52" s="1069">
        <f t="shared" si="5"/>
        <v>0</v>
      </c>
      <c r="J52" s="1069">
        <f t="shared" si="5"/>
        <v>0</v>
      </c>
      <c r="K52" s="1069">
        <f t="shared" si="5"/>
        <v>0</v>
      </c>
      <c r="L52" s="1069"/>
      <c r="M52" s="873"/>
      <c r="N52" s="873"/>
      <c r="O52" s="873"/>
      <c r="P52" s="1069"/>
      <c r="Q52" s="873"/>
      <c r="R52" s="873"/>
      <c r="S52" s="873"/>
    </row>
    <row r="53" spans="1:19" hidden="1">
      <c r="A53" s="1100">
        <f t="shared" si="4"/>
        <v>2.3699999999999921</v>
      </c>
      <c r="B53" s="873"/>
      <c r="C53" s="1069">
        <f t="shared" si="0"/>
        <v>0</v>
      </c>
      <c r="D53" s="1069">
        <f t="shared" si="1"/>
        <v>0</v>
      </c>
      <c r="E53" s="1069"/>
      <c r="F53" s="1069"/>
      <c r="G53" s="1069">
        <f t="shared" si="2"/>
        <v>0</v>
      </c>
      <c r="H53" s="1069"/>
      <c r="I53" s="1069">
        <f t="shared" si="5"/>
        <v>0</v>
      </c>
      <c r="J53" s="1069">
        <f t="shared" si="5"/>
        <v>0</v>
      </c>
      <c r="K53" s="1069">
        <f t="shared" si="5"/>
        <v>0</v>
      </c>
      <c r="L53" s="1069"/>
      <c r="M53" s="873"/>
      <c r="N53" s="873"/>
      <c r="O53" s="873"/>
      <c r="P53" s="1069"/>
      <c r="Q53" s="873"/>
      <c r="R53" s="873"/>
      <c r="S53" s="873"/>
    </row>
    <row r="54" spans="1:19" hidden="1">
      <c r="A54" s="1100">
        <f t="shared" si="4"/>
        <v>2.3799999999999919</v>
      </c>
      <c r="B54" s="873"/>
      <c r="C54" s="1069">
        <f t="shared" si="0"/>
        <v>0</v>
      </c>
      <c r="D54" s="1069">
        <f t="shared" si="1"/>
        <v>0</v>
      </c>
      <c r="E54" s="1069"/>
      <c r="F54" s="1069"/>
      <c r="G54" s="1069">
        <f t="shared" si="2"/>
        <v>0</v>
      </c>
      <c r="H54" s="1069"/>
      <c r="I54" s="1069">
        <f t="shared" si="5"/>
        <v>0</v>
      </c>
      <c r="J54" s="1069">
        <f t="shared" si="5"/>
        <v>0</v>
      </c>
      <c r="K54" s="1069">
        <f t="shared" si="5"/>
        <v>0</v>
      </c>
      <c r="L54" s="1069"/>
      <c r="M54" s="873"/>
      <c r="N54" s="873"/>
      <c r="O54" s="873"/>
      <c r="P54" s="1069"/>
      <c r="Q54" s="873"/>
      <c r="R54" s="873"/>
      <c r="S54" s="873"/>
    </row>
    <row r="55" spans="1:19" hidden="1">
      <c r="A55" s="1100">
        <f t="shared" si="4"/>
        <v>2.3899999999999917</v>
      </c>
      <c r="B55" s="873"/>
      <c r="C55" s="1069">
        <f t="shared" si="0"/>
        <v>0</v>
      </c>
      <c r="D55" s="1069">
        <f t="shared" si="1"/>
        <v>0</v>
      </c>
      <c r="E55" s="1069"/>
      <c r="F55" s="1069"/>
      <c r="G55" s="1069">
        <f t="shared" si="2"/>
        <v>0</v>
      </c>
      <c r="H55" s="1069"/>
      <c r="I55" s="1069">
        <f t="shared" si="5"/>
        <v>0</v>
      </c>
      <c r="J55" s="1069">
        <f t="shared" si="5"/>
        <v>0</v>
      </c>
      <c r="K55" s="1069">
        <f t="shared" si="5"/>
        <v>0</v>
      </c>
      <c r="L55" s="1069"/>
      <c r="M55" s="873"/>
      <c r="N55" s="873"/>
      <c r="O55" s="873"/>
      <c r="P55" s="1069"/>
      <c r="Q55" s="873"/>
      <c r="R55" s="873"/>
      <c r="S55" s="873"/>
    </row>
    <row r="56" spans="1:19" hidden="1">
      <c r="A56" s="1100">
        <f t="shared" si="4"/>
        <v>2.3999999999999915</v>
      </c>
      <c r="B56" s="873"/>
      <c r="C56" s="1069">
        <f t="shared" si="0"/>
        <v>0</v>
      </c>
      <c r="D56" s="1069">
        <f t="shared" si="1"/>
        <v>0</v>
      </c>
      <c r="E56" s="1069"/>
      <c r="F56" s="1069"/>
      <c r="G56" s="1069">
        <f t="shared" si="2"/>
        <v>0</v>
      </c>
      <c r="H56" s="1069"/>
      <c r="I56" s="1069">
        <f t="shared" si="5"/>
        <v>0</v>
      </c>
      <c r="J56" s="1069">
        <f t="shared" si="5"/>
        <v>0</v>
      </c>
      <c r="K56" s="1069">
        <f t="shared" si="5"/>
        <v>0</v>
      </c>
      <c r="L56" s="1069"/>
      <c r="M56" s="873"/>
      <c r="N56" s="873"/>
      <c r="O56" s="873"/>
      <c r="P56" s="1069"/>
      <c r="Q56" s="873"/>
      <c r="R56" s="873"/>
      <c r="S56" s="873"/>
    </row>
    <row r="57" spans="1:19" hidden="1">
      <c r="A57" s="1100">
        <f t="shared" si="4"/>
        <v>2.4099999999999913</v>
      </c>
      <c r="B57" s="873"/>
      <c r="C57" s="1069">
        <f t="shared" si="0"/>
        <v>0</v>
      </c>
      <c r="D57" s="1069">
        <f t="shared" si="1"/>
        <v>0</v>
      </c>
      <c r="E57" s="1069"/>
      <c r="F57" s="1069"/>
      <c r="G57" s="1069">
        <f t="shared" si="2"/>
        <v>0</v>
      </c>
      <c r="H57" s="1069"/>
      <c r="I57" s="1069">
        <f t="shared" si="5"/>
        <v>0</v>
      </c>
      <c r="J57" s="1069">
        <f t="shared" si="5"/>
        <v>0</v>
      </c>
      <c r="K57" s="1069">
        <f t="shared" si="5"/>
        <v>0</v>
      </c>
      <c r="L57" s="1069"/>
      <c r="M57" s="873"/>
      <c r="N57" s="873"/>
      <c r="O57" s="873"/>
      <c r="P57" s="1069"/>
      <c r="Q57" s="873"/>
      <c r="R57" s="873"/>
      <c r="S57" s="873"/>
    </row>
    <row r="58" spans="1:19" hidden="1">
      <c r="A58" s="1100">
        <f t="shared" si="4"/>
        <v>2.419999999999991</v>
      </c>
      <c r="B58" s="873"/>
      <c r="C58" s="1069">
        <f t="shared" si="0"/>
        <v>0</v>
      </c>
      <c r="D58" s="1069">
        <f t="shared" si="1"/>
        <v>0</v>
      </c>
      <c r="E58" s="1069"/>
      <c r="F58" s="1069"/>
      <c r="G58" s="1069">
        <f t="shared" si="2"/>
        <v>0</v>
      </c>
      <c r="H58" s="1069"/>
      <c r="I58" s="1069">
        <f t="shared" si="5"/>
        <v>0</v>
      </c>
      <c r="J58" s="1069">
        <f t="shared" si="5"/>
        <v>0</v>
      </c>
      <c r="K58" s="1069">
        <f t="shared" si="5"/>
        <v>0</v>
      </c>
      <c r="L58" s="1069"/>
      <c r="M58" s="873"/>
      <c r="N58" s="873"/>
      <c r="O58" s="873"/>
      <c r="P58" s="1069"/>
      <c r="Q58" s="873"/>
      <c r="R58" s="873"/>
      <c r="S58" s="873"/>
    </row>
    <row r="59" spans="1:19" hidden="1">
      <c r="A59" s="1100">
        <f t="shared" si="4"/>
        <v>2.4299999999999908</v>
      </c>
      <c r="B59" s="873"/>
      <c r="C59" s="1069">
        <f t="shared" si="0"/>
        <v>0</v>
      </c>
      <c r="D59" s="1069">
        <f t="shared" si="1"/>
        <v>0</v>
      </c>
      <c r="E59" s="1069"/>
      <c r="F59" s="1069"/>
      <c r="G59" s="1069">
        <f t="shared" si="2"/>
        <v>0</v>
      </c>
      <c r="H59" s="1069"/>
      <c r="I59" s="1069">
        <f t="shared" si="5"/>
        <v>0</v>
      </c>
      <c r="J59" s="1069">
        <f t="shared" si="5"/>
        <v>0</v>
      </c>
      <c r="K59" s="1069">
        <f t="shared" si="5"/>
        <v>0</v>
      </c>
      <c r="L59" s="1069"/>
      <c r="M59" s="873"/>
      <c r="N59" s="873"/>
      <c r="O59" s="873"/>
      <c r="P59" s="1069"/>
      <c r="Q59" s="873"/>
      <c r="R59" s="873"/>
      <c r="S59" s="873"/>
    </row>
    <row r="60" spans="1:19" hidden="1">
      <c r="A60" s="1100">
        <f t="shared" si="4"/>
        <v>2.4399999999999906</v>
      </c>
      <c r="B60" s="873"/>
      <c r="C60" s="1069">
        <f t="shared" si="0"/>
        <v>0</v>
      </c>
      <c r="D60" s="1069">
        <f t="shared" si="1"/>
        <v>0</v>
      </c>
      <c r="E60" s="1069"/>
      <c r="F60" s="1069"/>
      <c r="G60" s="1069">
        <f t="shared" si="2"/>
        <v>0</v>
      </c>
      <c r="H60" s="1069"/>
      <c r="I60" s="1069">
        <f t="shared" si="5"/>
        <v>0</v>
      </c>
      <c r="J60" s="1069">
        <f t="shared" si="5"/>
        <v>0</v>
      </c>
      <c r="K60" s="1069">
        <f t="shared" si="5"/>
        <v>0</v>
      </c>
      <c r="L60" s="1069"/>
      <c r="M60" s="873"/>
      <c r="N60" s="873"/>
      <c r="O60" s="873"/>
      <c r="P60" s="1069"/>
      <c r="Q60" s="873"/>
      <c r="R60" s="873"/>
      <c r="S60" s="873"/>
    </row>
    <row r="61" spans="1:19" hidden="1">
      <c r="A61" s="1100">
        <f t="shared" si="4"/>
        <v>2.4499999999999904</v>
      </c>
      <c r="B61" s="873"/>
      <c r="C61" s="1069">
        <f t="shared" si="0"/>
        <v>0</v>
      </c>
      <c r="D61" s="1069">
        <f t="shared" si="1"/>
        <v>0</v>
      </c>
      <c r="E61" s="1069"/>
      <c r="F61" s="1069"/>
      <c r="G61" s="1069">
        <f t="shared" si="2"/>
        <v>0</v>
      </c>
      <c r="H61" s="1069"/>
      <c r="I61" s="1069">
        <f t="shared" si="5"/>
        <v>0</v>
      </c>
      <c r="J61" s="1069">
        <f t="shared" si="5"/>
        <v>0</v>
      </c>
      <c r="K61" s="1069">
        <f t="shared" si="5"/>
        <v>0</v>
      </c>
      <c r="L61" s="1069"/>
      <c r="M61" s="873"/>
      <c r="N61" s="873"/>
      <c r="O61" s="873"/>
      <c r="P61" s="1069"/>
      <c r="Q61" s="873"/>
      <c r="R61" s="873"/>
      <c r="S61" s="873"/>
    </row>
    <row r="62" spans="1:19" hidden="1">
      <c r="A62" s="1100">
        <f t="shared" si="4"/>
        <v>2.4599999999999902</v>
      </c>
      <c r="B62" s="873"/>
      <c r="C62" s="1069">
        <f t="shared" si="0"/>
        <v>0</v>
      </c>
      <c r="D62" s="1069">
        <f t="shared" si="1"/>
        <v>0</v>
      </c>
      <c r="E62" s="1069"/>
      <c r="F62" s="1069"/>
      <c r="G62" s="1069">
        <f t="shared" si="2"/>
        <v>0</v>
      </c>
      <c r="H62" s="1069"/>
      <c r="I62" s="1069">
        <f t="shared" si="5"/>
        <v>0</v>
      </c>
      <c r="J62" s="1069">
        <f t="shared" si="5"/>
        <v>0</v>
      </c>
      <c r="K62" s="1069">
        <f t="shared" si="5"/>
        <v>0</v>
      </c>
      <c r="L62" s="1069"/>
      <c r="M62" s="873"/>
      <c r="N62" s="873"/>
      <c r="O62" s="873"/>
      <c r="P62" s="1069"/>
      <c r="Q62" s="873"/>
      <c r="R62" s="873"/>
      <c r="S62" s="873"/>
    </row>
    <row r="63" spans="1:19" hidden="1">
      <c r="A63" s="1100">
        <f t="shared" si="4"/>
        <v>2.46999999999999</v>
      </c>
      <c r="B63" s="873"/>
      <c r="C63" s="1069">
        <f t="shared" si="0"/>
        <v>0</v>
      </c>
      <c r="D63" s="1069">
        <f t="shared" si="1"/>
        <v>0</v>
      </c>
      <c r="E63" s="1069"/>
      <c r="F63" s="1069"/>
      <c r="G63" s="1069">
        <f t="shared" si="2"/>
        <v>0</v>
      </c>
      <c r="H63" s="1069"/>
      <c r="I63" s="1069">
        <f t="shared" si="5"/>
        <v>0</v>
      </c>
      <c r="J63" s="1069">
        <f t="shared" si="5"/>
        <v>0</v>
      </c>
      <c r="K63" s="1069">
        <f t="shared" si="5"/>
        <v>0</v>
      </c>
      <c r="L63" s="1069"/>
      <c r="M63" s="873"/>
      <c r="N63" s="873"/>
      <c r="O63" s="873"/>
      <c r="P63" s="1069"/>
      <c r="Q63" s="873"/>
      <c r="R63" s="873"/>
      <c r="S63" s="873"/>
    </row>
    <row r="64" spans="1:19" hidden="1">
      <c r="A64" s="1100">
        <f t="shared" si="4"/>
        <v>2.4799999999999898</v>
      </c>
      <c r="B64" s="873"/>
      <c r="C64" s="1069">
        <f t="shared" si="0"/>
        <v>0</v>
      </c>
      <c r="D64" s="1069">
        <f t="shared" si="1"/>
        <v>0</v>
      </c>
      <c r="E64" s="1069"/>
      <c r="F64" s="1069"/>
      <c r="G64" s="1069">
        <f t="shared" si="2"/>
        <v>0</v>
      </c>
      <c r="H64" s="1069"/>
      <c r="I64" s="1069">
        <f t="shared" si="5"/>
        <v>0</v>
      </c>
      <c r="J64" s="1069">
        <f t="shared" si="5"/>
        <v>0</v>
      </c>
      <c r="K64" s="1069">
        <f t="shared" si="5"/>
        <v>0</v>
      </c>
      <c r="L64" s="1069"/>
      <c r="M64" s="873"/>
      <c r="N64" s="873"/>
      <c r="O64" s="873"/>
      <c r="P64" s="1069"/>
      <c r="Q64" s="873"/>
      <c r="R64" s="873"/>
      <c r="S64" s="873"/>
    </row>
    <row r="65" spans="1:19" hidden="1">
      <c r="A65" s="1100">
        <f t="shared" si="4"/>
        <v>2.4899999999999896</v>
      </c>
      <c r="B65" s="873"/>
      <c r="C65" s="1069">
        <f t="shared" si="0"/>
        <v>0</v>
      </c>
      <c r="D65" s="1069">
        <f t="shared" si="1"/>
        <v>0</v>
      </c>
      <c r="E65" s="1069"/>
      <c r="F65" s="1069"/>
      <c r="G65" s="1069">
        <f t="shared" si="2"/>
        <v>0</v>
      </c>
      <c r="H65" s="1069"/>
      <c r="I65" s="1069">
        <f t="shared" si="5"/>
        <v>0</v>
      </c>
      <c r="J65" s="1069">
        <f t="shared" si="5"/>
        <v>0</v>
      </c>
      <c r="K65" s="1069">
        <f t="shared" si="5"/>
        <v>0</v>
      </c>
      <c r="L65" s="1069"/>
      <c r="M65" s="873"/>
      <c r="N65" s="873"/>
      <c r="O65" s="873"/>
      <c r="P65" s="1069"/>
      <c r="Q65" s="873"/>
      <c r="R65" s="873"/>
      <c r="S65" s="873"/>
    </row>
    <row r="66" spans="1:19" hidden="1">
      <c r="A66" s="1100">
        <f t="shared" si="4"/>
        <v>2.4999999999999893</v>
      </c>
      <c r="B66" s="873"/>
      <c r="C66" s="1069">
        <f t="shared" si="0"/>
        <v>0</v>
      </c>
      <c r="D66" s="1069">
        <f t="shared" si="1"/>
        <v>0</v>
      </c>
      <c r="E66" s="1069"/>
      <c r="F66" s="1069"/>
      <c r="G66" s="1069">
        <f t="shared" si="2"/>
        <v>0</v>
      </c>
      <c r="H66" s="1069"/>
      <c r="I66" s="1069">
        <f t="shared" si="5"/>
        <v>0</v>
      </c>
      <c r="J66" s="1069">
        <f t="shared" si="5"/>
        <v>0</v>
      </c>
      <c r="K66" s="1069">
        <f t="shared" si="5"/>
        <v>0</v>
      </c>
      <c r="L66" s="1069"/>
      <c r="M66" s="873"/>
      <c r="N66" s="873"/>
      <c r="O66" s="873"/>
      <c r="P66" s="1069"/>
      <c r="Q66" s="873"/>
      <c r="R66" s="873"/>
      <c r="S66" s="873"/>
    </row>
    <row r="67" spans="1:19" hidden="1">
      <c r="A67" s="1100">
        <f t="shared" si="4"/>
        <v>2.5099999999999891</v>
      </c>
      <c r="B67" s="873"/>
      <c r="C67" s="1069">
        <f t="shared" si="0"/>
        <v>0</v>
      </c>
      <c r="D67" s="1069">
        <f t="shared" si="1"/>
        <v>0</v>
      </c>
      <c r="E67" s="1069"/>
      <c r="F67" s="1069"/>
      <c r="G67" s="1069">
        <f t="shared" si="2"/>
        <v>0</v>
      </c>
      <c r="H67" s="1069"/>
      <c r="I67" s="1069">
        <f t="shared" si="5"/>
        <v>0</v>
      </c>
      <c r="J67" s="1069">
        <f t="shared" si="5"/>
        <v>0</v>
      </c>
      <c r="K67" s="1069">
        <f t="shared" si="5"/>
        <v>0</v>
      </c>
      <c r="L67" s="1069"/>
      <c r="M67" s="873"/>
      <c r="N67" s="873"/>
      <c r="O67" s="873"/>
      <c r="P67" s="1069"/>
      <c r="Q67" s="873"/>
      <c r="R67" s="873"/>
      <c r="S67" s="873"/>
    </row>
    <row r="68" spans="1:19" hidden="1">
      <c r="A68" s="1100">
        <f t="shared" si="4"/>
        <v>2.5199999999999889</v>
      </c>
      <c r="B68" s="873"/>
      <c r="C68" s="1069">
        <f t="shared" si="0"/>
        <v>0</v>
      </c>
      <c r="D68" s="1069">
        <f t="shared" si="1"/>
        <v>0</v>
      </c>
      <c r="E68" s="1069"/>
      <c r="F68" s="1069"/>
      <c r="G68" s="1069">
        <f t="shared" si="2"/>
        <v>0</v>
      </c>
      <c r="H68" s="1069"/>
      <c r="I68" s="1069">
        <f t="shared" si="5"/>
        <v>0</v>
      </c>
      <c r="J68" s="1069">
        <f t="shared" si="5"/>
        <v>0</v>
      </c>
      <c r="K68" s="1069">
        <f t="shared" si="5"/>
        <v>0</v>
      </c>
      <c r="L68" s="1069"/>
      <c r="M68" s="873"/>
      <c r="N68" s="873"/>
      <c r="O68" s="873"/>
      <c r="P68" s="1069"/>
      <c r="Q68" s="873"/>
      <c r="R68" s="873"/>
      <c r="S68" s="873"/>
    </row>
    <row r="69" spans="1:19" hidden="1">
      <c r="A69" s="1100">
        <f t="shared" si="4"/>
        <v>2.5299999999999887</v>
      </c>
      <c r="B69" s="873"/>
      <c r="C69" s="1069">
        <f t="shared" si="0"/>
        <v>0</v>
      </c>
      <c r="D69" s="1069">
        <f t="shared" si="1"/>
        <v>0</v>
      </c>
      <c r="E69" s="1069"/>
      <c r="F69" s="1069"/>
      <c r="G69" s="1069">
        <f t="shared" si="2"/>
        <v>0</v>
      </c>
      <c r="H69" s="1069"/>
      <c r="I69" s="1069">
        <f t="shared" si="5"/>
        <v>0</v>
      </c>
      <c r="J69" s="1069">
        <f t="shared" si="5"/>
        <v>0</v>
      </c>
      <c r="K69" s="1069">
        <f t="shared" si="5"/>
        <v>0</v>
      </c>
      <c r="L69" s="1069"/>
      <c r="M69" s="873"/>
      <c r="N69" s="873"/>
      <c r="O69" s="873"/>
      <c r="P69" s="1069"/>
      <c r="Q69" s="873"/>
      <c r="R69" s="873"/>
      <c r="S69" s="873"/>
    </row>
    <row r="70" spans="1:19" hidden="1">
      <c r="A70" s="1100">
        <f t="shared" si="4"/>
        <v>2.5399999999999885</v>
      </c>
      <c r="B70" s="873"/>
      <c r="C70" s="1069">
        <f t="shared" si="0"/>
        <v>0</v>
      </c>
      <c r="D70" s="1069">
        <f t="shared" si="1"/>
        <v>0</v>
      </c>
      <c r="E70" s="1069"/>
      <c r="F70" s="1069"/>
      <c r="G70" s="1069">
        <f t="shared" si="2"/>
        <v>0</v>
      </c>
      <c r="H70" s="1069"/>
      <c r="I70" s="1069">
        <f t="shared" si="5"/>
        <v>0</v>
      </c>
      <c r="J70" s="1069">
        <f t="shared" si="5"/>
        <v>0</v>
      </c>
      <c r="K70" s="1069">
        <f t="shared" si="5"/>
        <v>0</v>
      </c>
      <c r="L70" s="1069"/>
      <c r="M70" s="873"/>
      <c r="N70" s="873"/>
      <c r="O70" s="873"/>
      <c r="P70" s="1069"/>
      <c r="Q70" s="873"/>
      <c r="R70" s="873"/>
      <c r="S70" s="873"/>
    </row>
    <row r="71" spans="1:19" hidden="1">
      <c r="A71" s="1100">
        <f t="shared" si="4"/>
        <v>2.5499999999999883</v>
      </c>
      <c r="B71" s="873"/>
      <c r="C71" s="1069">
        <f t="shared" si="0"/>
        <v>0</v>
      </c>
      <c r="D71" s="1069">
        <f t="shared" si="1"/>
        <v>0</v>
      </c>
      <c r="E71" s="1069"/>
      <c r="F71" s="1069"/>
      <c r="G71" s="1069">
        <f t="shared" si="2"/>
        <v>0</v>
      </c>
      <c r="H71" s="1069"/>
      <c r="I71" s="1069">
        <f t="shared" si="5"/>
        <v>0</v>
      </c>
      <c r="J71" s="1069">
        <f t="shared" si="5"/>
        <v>0</v>
      </c>
      <c r="K71" s="1069">
        <f t="shared" si="5"/>
        <v>0</v>
      </c>
      <c r="L71" s="1069"/>
      <c r="M71" s="873"/>
      <c r="N71" s="873"/>
      <c r="O71" s="873"/>
      <c r="P71" s="1069"/>
      <c r="Q71" s="873"/>
      <c r="R71" s="873"/>
      <c r="S71" s="873"/>
    </row>
    <row r="72" spans="1:19" hidden="1">
      <c r="A72" s="1100">
        <f t="shared" si="4"/>
        <v>2.5599999999999881</v>
      </c>
      <c r="B72" s="873"/>
      <c r="C72" s="1069">
        <f t="shared" si="0"/>
        <v>0</v>
      </c>
      <c r="D72" s="1069">
        <f t="shared" si="1"/>
        <v>0</v>
      </c>
      <c r="E72" s="1069"/>
      <c r="F72" s="1069"/>
      <c r="G72" s="1069">
        <f t="shared" si="2"/>
        <v>0</v>
      </c>
      <c r="H72" s="1069"/>
      <c r="I72" s="1069">
        <f t="shared" si="5"/>
        <v>0</v>
      </c>
      <c r="J72" s="1069">
        <f t="shared" si="5"/>
        <v>0</v>
      </c>
      <c r="K72" s="1069">
        <f t="shared" si="5"/>
        <v>0</v>
      </c>
      <c r="L72" s="1069"/>
      <c r="M72" s="873"/>
      <c r="N72" s="873"/>
      <c r="O72" s="873"/>
      <c r="P72" s="1069"/>
      <c r="Q72" s="873"/>
      <c r="R72" s="873"/>
      <c r="S72" s="873"/>
    </row>
    <row r="73" spans="1:19" hidden="1">
      <c r="A73" s="1100">
        <f t="shared" si="4"/>
        <v>2.5699999999999878</v>
      </c>
      <c r="B73" s="873"/>
      <c r="C73" s="1069">
        <f t="shared" si="0"/>
        <v>0</v>
      </c>
      <c r="D73" s="1069">
        <f t="shared" si="1"/>
        <v>0</v>
      </c>
      <c r="E73" s="1069"/>
      <c r="F73" s="1069"/>
      <c r="G73" s="1069">
        <f t="shared" si="2"/>
        <v>0</v>
      </c>
      <c r="H73" s="1069"/>
      <c r="I73" s="1069">
        <f t="shared" si="5"/>
        <v>0</v>
      </c>
      <c r="J73" s="1069">
        <f t="shared" si="5"/>
        <v>0</v>
      </c>
      <c r="K73" s="1069">
        <f t="shared" si="5"/>
        <v>0</v>
      </c>
      <c r="L73" s="1069"/>
      <c r="M73" s="873"/>
      <c r="N73" s="873"/>
      <c r="O73" s="873"/>
      <c r="P73" s="1069"/>
      <c r="Q73" s="873"/>
      <c r="R73" s="873"/>
      <c r="S73" s="873"/>
    </row>
    <row r="74" spans="1:19" hidden="1">
      <c r="A74" s="1100">
        <f t="shared" si="4"/>
        <v>2.5799999999999876</v>
      </c>
      <c r="B74" s="873"/>
      <c r="C74" s="1069">
        <f t="shared" si="0"/>
        <v>0</v>
      </c>
      <c r="D74" s="1069">
        <f t="shared" si="1"/>
        <v>0</v>
      </c>
      <c r="E74" s="1069"/>
      <c r="F74" s="1069"/>
      <c r="G74" s="1069">
        <f t="shared" si="2"/>
        <v>0</v>
      </c>
      <c r="H74" s="1069"/>
      <c r="I74" s="1069">
        <f t="shared" si="5"/>
        <v>0</v>
      </c>
      <c r="J74" s="1069">
        <f t="shared" si="5"/>
        <v>0</v>
      </c>
      <c r="K74" s="1069">
        <f t="shared" si="5"/>
        <v>0</v>
      </c>
      <c r="L74" s="1069"/>
      <c r="M74" s="873"/>
      <c r="N74" s="873"/>
      <c r="O74" s="873"/>
      <c r="P74" s="1069"/>
      <c r="Q74" s="873"/>
      <c r="R74" s="873"/>
      <c r="S74" s="873"/>
    </row>
    <row r="75" spans="1:19" hidden="1">
      <c r="A75" s="1100">
        <f t="shared" si="4"/>
        <v>2.5899999999999874</v>
      </c>
      <c r="B75" s="873"/>
      <c r="C75" s="1069">
        <f t="shared" si="0"/>
        <v>0</v>
      </c>
      <c r="D75" s="1069">
        <f t="shared" si="1"/>
        <v>0</v>
      </c>
      <c r="E75" s="1069"/>
      <c r="F75" s="1069"/>
      <c r="G75" s="1069">
        <f t="shared" si="2"/>
        <v>0</v>
      </c>
      <c r="H75" s="1069"/>
      <c r="I75" s="1069">
        <f t="shared" si="5"/>
        <v>0</v>
      </c>
      <c r="J75" s="1069">
        <f t="shared" si="5"/>
        <v>0</v>
      </c>
      <c r="K75" s="1069">
        <f t="shared" si="5"/>
        <v>0</v>
      </c>
      <c r="L75" s="1069"/>
      <c r="M75" s="873"/>
      <c r="N75" s="873"/>
      <c r="O75" s="873"/>
      <c r="P75" s="1069"/>
      <c r="Q75" s="873"/>
      <c r="R75" s="873"/>
      <c r="S75" s="873"/>
    </row>
    <row r="76" spans="1:19" hidden="1">
      <c r="A76" s="1100">
        <f t="shared" si="4"/>
        <v>2.5999999999999872</v>
      </c>
      <c r="B76" s="873"/>
      <c r="C76" s="1069">
        <f t="shared" si="0"/>
        <v>0</v>
      </c>
      <c r="D76" s="1069">
        <f t="shared" si="1"/>
        <v>0</v>
      </c>
      <c r="E76" s="1069"/>
      <c r="F76" s="1069"/>
      <c r="G76" s="1069">
        <f t="shared" si="2"/>
        <v>0</v>
      </c>
      <c r="H76" s="1069"/>
      <c r="I76" s="1069">
        <f t="shared" si="5"/>
        <v>0</v>
      </c>
      <c r="J76" s="1069">
        <f t="shared" si="5"/>
        <v>0</v>
      </c>
      <c r="K76" s="1069">
        <f t="shared" si="5"/>
        <v>0</v>
      </c>
      <c r="L76" s="1069"/>
      <c r="M76" s="873"/>
      <c r="N76" s="873"/>
      <c r="O76" s="873"/>
      <c r="P76" s="1069"/>
      <c r="Q76" s="873"/>
      <c r="R76" s="873"/>
      <c r="S76" s="873"/>
    </row>
    <row r="77" spans="1:19" hidden="1">
      <c r="A77" s="1100">
        <f t="shared" si="4"/>
        <v>2.609999999999987</v>
      </c>
      <c r="B77" s="873"/>
      <c r="C77" s="1074">
        <f t="shared" si="0"/>
        <v>0</v>
      </c>
      <c r="D77" s="1074">
        <f t="shared" si="1"/>
        <v>0</v>
      </c>
      <c r="E77" s="1074"/>
      <c r="F77" s="1074"/>
      <c r="G77" s="1074">
        <f t="shared" si="2"/>
        <v>0</v>
      </c>
      <c r="H77" s="1074"/>
      <c r="I77" s="1074">
        <f t="shared" si="5"/>
        <v>0</v>
      </c>
      <c r="J77" s="1074">
        <f t="shared" si="5"/>
        <v>0</v>
      </c>
      <c r="K77" s="1074">
        <f t="shared" si="5"/>
        <v>0</v>
      </c>
      <c r="L77" s="1074"/>
      <c r="M77" s="873"/>
      <c r="N77" s="873"/>
      <c r="O77" s="873"/>
      <c r="P77" s="1074"/>
      <c r="Q77" s="873"/>
      <c r="R77" s="873"/>
      <c r="S77" s="873"/>
    </row>
    <row r="78" spans="1:19" hidden="1">
      <c r="A78" s="1100">
        <f t="shared" si="4"/>
        <v>2.6199999999999868</v>
      </c>
      <c r="B78" s="873"/>
      <c r="C78" s="1074">
        <f t="shared" si="0"/>
        <v>0</v>
      </c>
      <c r="D78" s="1074">
        <f t="shared" si="1"/>
        <v>0</v>
      </c>
      <c r="E78" s="1074"/>
      <c r="F78" s="1074"/>
      <c r="G78" s="1074">
        <f t="shared" si="2"/>
        <v>0</v>
      </c>
      <c r="H78" s="1074"/>
      <c r="I78" s="1074">
        <f t="shared" si="5"/>
        <v>0</v>
      </c>
      <c r="J78" s="1074">
        <f t="shared" si="5"/>
        <v>0</v>
      </c>
      <c r="K78" s="1074">
        <f t="shared" si="5"/>
        <v>0</v>
      </c>
      <c r="L78" s="1074"/>
      <c r="M78" s="873"/>
      <c r="N78" s="873"/>
      <c r="O78" s="873"/>
      <c r="P78" s="1074"/>
      <c r="Q78" s="873"/>
      <c r="R78" s="873"/>
      <c r="S78" s="873"/>
    </row>
    <row r="79" spans="1:19" hidden="1">
      <c r="A79" s="1100">
        <f t="shared" si="4"/>
        <v>2.6299999999999866</v>
      </c>
      <c r="B79" s="873"/>
      <c r="C79" s="1069">
        <f t="shared" si="0"/>
        <v>0</v>
      </c>
      <c r="D79" s="1069">
        <f t="shared" si="1"/>
        <v>0</v>
      </c>
      <c r="E79" s="1069"/>
      <c r="F79" s="1069"/>
      <c r="G79" s="1069">
        <f t="shared" si="2"/>
        <v>0</v>
      </c>
      <c r="H79" s="1069"/>
      <c r="I79" s="1069">
        <f t="shared" si="5"/>
        <v>0</v>
      </c>
      <c r="J79" s="1069">
        <f t="shared" si="5"/>
        <v>0</v>
      </c>
      <c r="K79" s="1069">
        <f t="shared" si="5"/>
        <v>0</v>
      </c>
      <c r="L79" s="1069"/>
      <c r="M79" s="873"/>
      <c r="N79" s="873"/>
      <c r="O79" s="873"/>
      <c r="P79" s="1069"/>
      <c r="Q79" s="873"/>
      <c r="R79" s="873"/>
      <c r="S79" s="873"/>
    </row>
    <row r="80" spans="1:19" hidden="1">
      <c r="A80" s="1100">
        <f t="shared" si="4"/>
        <v>2.6399999999999864</v>
      </c>
      <c r="B80" s="873"/>
      <c r="C80" s="1069">
        <f t="shared" si="0"/>
        <v>0</v>
      </c>
      <c r="D80" s="1069">
        <f t="shared" si="1"/>
        <v>0</v>
      </c>
      <c r="E80" s="1069"/>
      <c r="F80" s="1069"/>
      <c r="G80" s="1069">
        <f t="shared" si="2"/>
        <v>0</v>
      </c>
      <c r="H80" s="1069"/>
      <c r="I80" s="1069">
        <f t="shared" si="5"/>
        <v>0</v>
      </c>
      <c r="J80" s="1069">
        <f t="shared" si="5"/>
        <v>0</v>
      </c>
      <c r="K80" s="1069">
        <f t="shared" si="5"/>
        <v>0</v>
      </c>
      <c r="L80" s="1069"/>
      <c r="M80" s="873"/>
      <c r="N80" s="873"/>
      <c r="O80" s="873"/>
      <c r="P80" s="1069"/>
      <c r="Q80" s="873"/>
      <c r="R80" s="873"/>
      <c r="S80" s="873"/>
    </row>
    <row r="81" spans="1:19" hidden="1">
      <c r="A81" s="1100">
        <f t="shared" si="4"/>
        <v>2.6499999999999861</v>
      </c>
      <c r="B81" s="873"/>
      <c r="C81" s="1069">
        <f t="shared" ref="C81:C95" si="6">SUM(M81:O81)</f>
        <v>0</v>
      </c>
      <c r="D81" s="1069">
        <f t="shared" ref="D81:D95" si="7">SUM(Q81:S81)</f>
        <v>0</v>
      </c>
      <c r="E81" s="1069"/>
      <c r="F81" s="1069"/>
      <c r="G81" s="1069">
        <f t="shared" ref="G81:G107" si="8">ROUND(SUM(C81:F81)/2,0)</f>
        <v>0</v>
      </c>
      <c r="H81" s="1069"/>
      <c r="I81" s="1069">
        <f t="shared" ref="I81:K95" si="9">(M81+Q81)/2</f>
        <v>0</v>
      </c>
      <c r="J81" s="1069">
        <f t="shared" si="9"/>
        <v>0</v>
      </c>
      <c r="K81" s="1069">
        <f t="shared" si="9"/>
        <v>0</v>
      </c>
      <c r="L81" s="1069"/>
      <c r="M81" s="873"/>
      <c r="N81" s="873"/>
      <c r="O81" s="873"/>
      <c r="P81" s="1069"/>
      <c r="Q81" s="873"/>
      <c r="R81" s="873"/>
      <c r="S81" s="873"/>
    </row>
    <row r="82" spans="1:19" hidden="1">
      <c r="A82" s="1100">
        <f t="shared" si="4"/>
        <v>2.6599999999999859</v>
      </c>
      <c r="B82" s="873"/>
      <c r="C82" s="1069">
        <f t="shared" si="6"/>
        <v>0</v>
      </c>
      <c r="D82" s="1069">
        <f t="shared" si="7"/>
        <v>0</v>
      </c>
      <c r="E82" s="1069"/>
      <c r="F82" s="1069"/>
      <c r="G82" s="1069">
        <f t="shared" si="8"/>
        <v>0</v>
      </c>
      <c r="H82" s="1069"/>
      <c r="I82" s="1069">
        <f t="shared" si="9"/>
        <v>0</v>
      </c>
      <c r="J82" s="1069">
        <f t="shared" si="9"/>
        <v>0</v>
      </c>
      <c r="K82" s="1069">
        <f t="shared" si="9"/>
        <v>0</v>
      </c>
      <c r="L82" s="1069"/>
      <c r="M82" s="873"/>
      <c r="N82" s="873"/>
      <c r="O82" s="873"/>
      <c r="P82" s="1069"/>
      <c r="Q82" s="873"/>
      <c r="R82" s="873"/>
      <c r="S82" s="873"/>
    </row>
    <row r="83" spans="1:19" hidden="1">
      <c r="A83" s="1100">
        <f t="shared" ref="A83:A107" si="10">A82+0.01</f>
        <v>2.6699999999999857</v>
      </c>
      <c r="B83" s="873"/>
      <c r="C83" s="1069">
        <f t="shared" si="6"/>
        <v>0</v>
      </c>
      <c r="D83" s="1069">
        <f t="shared" si="7"/>
        <v>0</v>
      </c>
      <c r="E83" s="1069"/>
      <c r="F83" s="1069"/>
      <c r="G83" s="1069">
        <f t="shared" si="8"/>
        <v>0</v>
      </c>
      <c r="H83" s="1069"/>
      <c r="I83" s="1069">
        <f t="shared" si="9"/>
        <v>0</v>
      </c>
      <c r="J83" s="1069">
        <f t="shared" si="9"/>
        <v>0</v>
      </c>
      <c r="K83" s="1069">
        <f t="shared" si="9"/>
        <v>0</v>
      </c>
      <c r="L83" s="1069"/>
      <c r="M83" s="873"/>
      <c r="N83" s="873"/>
      <c r="O83" s="873"/>
      <c r="P83" s="1069"/>
      <c r="Q83" s="873"/>
      <c r="R83" s="873"/>
      <c r="S83" s="873"/>
    </row>
    <row r="84" spans="1:19" hidden="1">
      <c r="A84" s="1100">
        <f t="shared" si="10"/>
        <v>2.6799999999999855</v>
      </c>
      <c r="B84" s="873"/>
      <c r="C84" s="1069">
        <f t="shared" si="6"/>
        <v>0</v>
      </c>
      <c r="D84" s="1069">
        <f t="shared" si="7"/>
        <v>0</v>
      </c>
      <c r="E84" s="1069"/>
      <c r="F84" s="1069"/>
      <c r="G84" s="1069">
        <f t="shared" si="8"/>
        <v>0</v>
      </c>
      <c r="H84" s="1069"/>
      <c r="I84" s="1069">
        <f t="shared" si="9"/>
        <v>0</v>
      </c>
      <c r="J84" s="1069">
        <f t="shared" si="9"/>
        <v>0</v>
      </c>
      <c r="K84" s="1069">
        <f t="shared" si="9"/>
        <v>0</v>
      </c>
      <c r="L84" s="1069"/>
      <c r="M84" s="873"/>
      <c r="N84" s="873"/>
      <c r="O84" s="873"/>
      <c r="P84" s="1069"/>
      <c r="Q84" s="873"/>
      <c r="R84" s="873"/>
      <c r="S84" s="873"/>
    </row>
    <row r="85" spans="1:19" hidden="1">
      <c r="A85" s="1100">
        <f t="shared" si="10"/>
        <v>2.6899999999999853</v>
      </c>
      <c r="B85" s="873"/>
      <c r="C85" s="1069">
        <f t="shared" si="6"/>
        <v>0</v>
      </c>
      <c r="D85" s="1069">
        <f t="shared" si="7"/>
        <v>0</v>
      </c>
      <c r="E85" s="1069"/>
      <c r="F85" s="1069"/>
      <c r="G85" s="1069">
        <f t="shared" si="8"/>
        <v>0</v>
      </c>
      <c r="H85" s="1069"/>
      <c r="I85" s="1069">
        <f t="shared" si="9"/>
        <v>0</v>
      </c>
      <c r="J85" s="1069">
        <f t="shared" si="9"/>
        <v>0</v>
      </c>
      <c r="K85" s="1069">
        <f t="shared" si="9"/>
        <v>0</v>
      </c>
      <c r="L85" s="1069"/>
      <c r="M85" s="873"/>
      <c r="N85" s="873"/>
      <c r="O85" s="873"/>
      <c r="P85" s="1069"/>
      <c r="Q85" s="873"/>
      <c r="R85" s="873"/>
      <c r="S85" s="873"/>
    </row>
    <row r="86" spans="1:19" hidden="1">
      <c r="A86" s="1100">
        <f t="shared" si="10"/>
        <v>2.6999999999999851</v>
      </c>
      <c r="B86" s="873"/>
      <c r="C86" s="1069">
        <f t="shared" si="6"/>
        <v>0</v>
      </c>
      <c r="D86" s="1069">
        <f t="shared" si="7"/>
        <v>0</v>
      </c>
      <c r="E86" s="1069"/>
      <c r="F86" s="1069"/>
      <c r="G86" s="1069">
        <f t="shared" si="8"/>
        <v>0</v>
      </c>
      <c r="H86" s="1069"/>
      <c r="I86" s="1069">
        <f t="shared" si="9"/>
        <v>0</v>
      </c>
      <c r="J86" s="1069">
        <f t="shared" si="9"/>
        <v>0</v>
      </c>
      <c r="K86" s="1069">
        <f t="shared" si="9"/>
        <v>0</v>
      </c>
      <c r="L86" s="1069"/>
      <c r="M86" s="873"/>
      <c r="N86" s="873"/>
      <c r="O86" s="873"/>
      <c r="P86" s="1069"/>
      <c r="Q86" s="873"/>
      <c r="R86" s="873"/>
      <c r="S86" s="873"/>
    </row>
    <row r="87" spans="1:19" hidden="1">
      <c r="A87" s="1100">
        <f t="shared" si="10"/>
        <v>2.7099999999999849</v>
      </c>
      <c r="B87" s="873"/>
      <c r="C87" s="1069">
        <f t="shared" si="6"/>
        <v>0</v>
      </c>
      <c r="D87" s="1069">
        <f t="shared" si="7"/>
        <v>0</v>
      </c>
      <c r="E87" s="1069"/>
      <c r="F87" s="1069"/>
      <c r="G87" s="1069">
        <f t="shared" si="8"/>
        <v>0</v>
      </c>
      <c r="H87" s="1069"/>
      <c r="I87" s="1069">
        <f t="shared" si="9"/>
        <v>0</v>
      </c>
      <c r="J87" s="1069">
        <f t="shared" si="9"/>
        <v>0</v>
      </c>
      <c r="K87" s="1069">
        <f t="shared" si="9"/>
        <v>0</v>
      </c>
      <c r="L87" s="1069"/>
      <c r="M87" s="873"/>
      <c r="N87" s="873"/>
      <c r="O87" s="873"/>
      <c r="P87" s="1069"/>
      <c r="Q87" s="873"/>
      <c r="R87" s="873"/>
      <c r="S87" s="873"/>
    </row>
    <row r="88" spans="1:19" hidden="1">
      <c r="A88" s="1100">
        <f t="shared" si="10"/>
        <v>2.7199999999999847</v>
      </c>
      <c r="B88" s="873"/>
      <c r="C88" s="1069">
        <f t="shared" si="6"/>
        <v>0</v>
      </c>
      <c r="D88" s="1069">
        <f t="shared" si="7"/>
        <v>0</v>
      </c>
      <c r="E88" s="1069"/>
      <c r="F88" s="1069"/>
      <c r="G88" s="1069">
        <f t="shared" si="8"/>
        <v>0</v>
      </c>
      <c r="H88" s="1069"/>
      <c r="I88" s="1069">
        <f t="shared" si="9"/>
        <v>0</v>
      </c>
      <c r="J88" s="1069">
        <f t="shared" si="9"/>
        <v>0</v>
      </c>
      <c r="K88" s="1069">
        <f t="shared" si="9"/>
        <v>0</v>
      </c>
      <c r="L88" s="1069"/>
      <c r="M88" s="873"/>
      <c r="N88" s="873"/>
      <c r="O88" s="873"/>
      <c r="P88" s="1069"/>
      <c r="Q88" s="873"/>
      <c r="R88" s="873"/>
      <c r="S88" s="873"/>
    </row>
    <row r="89" spans="1:19" hidden="1">
      <c r="A89" s="1100">
        <f t="shared" si="10"/>
        <v>2.7299999999999844</v>
      </c>
      <c r="B89" s="873"/>
      <c r="C89" s="1069">
        <f t="shared" si="6"/>
        <v>0</v>
      </c>
      <c r="D89" s="1069">
        <f t="shared" si="7"/>
        <v>0</v>
      </c>
      <c r="E89" s="1069"/>
      <c r="F89" s="1069"/>
      <c r="G89" s="1069">
        <f t="shared" si="8"/>
        <v>0</v>
      </c>
      <c r="H89" s="1069"/>
      <c r="I89" s="1069">
        <f t="shared" si="9"/>
        <v>0</v>
      </c>
      <c r="J89" s="1069">
        <f t="shared" si="9"/>
        <v>0</v>
      </c>
      <c r="K89" s="1069">
        <f t="shared" si="9"/>
        <v>0</v>
      </c>
      <c r="L89" s="1069"/>
      <c r="M89" s="873"/>
      <c r="N89" s="873"/>
      <c r="O89" s="873"/>
      <c r="P89" s="1069"/>
      <c r="Q89" s="873"/>
      <c r="R89" s="873"/>
      <c r="S89" s="873"/>
    </row>
    <row r="90" spans="1:19" hidden="1">
      <c r="A90" s="1100">
        <f t="shared" si="10"/>
        <v>2.7399999999999842</v>
      </c>
      <c r="B90" s="873"/>
      <c r="C90" s="1069">
        <f t="shared" si="6"/>
        <v>0</v>
      </c>
      <c r="D90" s="1069">
        <f t="shared" si="7"/>
        <v>0</v>
      </c>
      <c r="E90" s="1069"/>
      <c r="F90" s="1069"/>
      <c r="G90" s="1069">
        <f t="shared" si="8"/>
        <v>0</v>
      </c>
      <c r="H90" s="1069"/>
      <c r="I90" s="1069">
        <f t="shared" si="9"/>
        <v>0</v>
      </c>
      <c r="J90" s="1069">
        <f t="shared" si="9"/>
        <v>0</v>
      </c>
      <c r="K90" s="1069">
        <f t="shared" si="9"/>
        <v>0</v>
      </c>
      <c r="L90" s="1069"/>
      <c r="M90" s="873"/>
      <c r="N90" s="873"/>
      <c r="O90" s="873"/>
      <c r="P90" s="1069"/>
      <c r="Q90" s="873"/>
      <c r="R90" s="873"/>
      <c r="S90" s="873"/>
    </row>
    <row r="91" spans="1:19" hidden="1">
      <c r="A91" s="1100">
        <f t="shared" si="10"/>
        <v>2.749999999999984</v>
      </c>
      <c r="B91" s="873"/>
      <c r="C91" s="1069">
        <f t="shared" si="6"/>
        <v>0</v>
      </c>
      <c r="D91" s="1069">
        <f t="shared" si="7"/>
        <v>0</v>
      </c>
      <c r="E91" s="1069"/>
      <c r="F91" s="1069"/>
      <c r="G91" s="1069">
        <f t="shared" si="8"/>
        <v>0</v>
      </c>
      <c r="H91" s="1069"/>
      <c r="I91" s="1069">
        <f t="shared" si="9"/>
        <v>0</v>
      </c>
      <c r="J91" s="1069">
        <f t="shared" si="9"/>
        <v>0</v>
      </c>
      <c r="K91" s="1069">
        <f t="shared" si="9"/>
        <v>0</v>
      </c>
      <c r="L91" s="1069"/>
      <c r="M91" s="873"/>
      <c r="N91" s="873"/>
      <c r="O91" s="873"/>
      <c r="P91" s="1069"/>
      <c r="Q91" s="873"/>
      <c r="R91" s="873"/>
      <c r="S91" s="873"/>
    </row>
    <row r="92" spans="1:19" hidden="1">
      <c r="A92" s="1100">
        <f t="shared" si="10"/>
        <v>2.7599999999999838</v>
      </c>
      <c r="B92" s="873"/>
      <c r="C92" s="1069">
        <f t="shared" si="6"/>
        <v>0</v>
      </c>
      <c r="D92" s="1069">
        <f t="shared" si="7"/>
        <v>0</v>
      </c>
      <c r="E92" s="1069"/>
      <c r="F92" s="1069"/>
      <c r="G92" s="1069">
        <f t="shared" si="8"/>
        <v>0</v>
      </c>
      <c r="H92" s="1069"/>
      <c r="I92" s="1069">
        <f t="shared" si="9"/>
        <v>0</v>
      </c>
      <c r="J92" s="1069">
        <f t="shared" si="9"/>
        <v>0</v>
      </c>
      <c r="K92" s="1069">
        <f t="shared" si="9"/>
        <v>0</v>
      </c>
      <c r="L92" s="1069"/>
      <c r="M92" s="873"/>
      <c r="N92" s="873"/>
      <c r="O92" s="873"/>
      <c r="P92" s="1069"/>
      <c r="Q92" s="873"/>
      <c r="R92" s="873"/>
      <c r="S92" s="873"/>
    </row>
    <row r="93" spans="1:19" hidden="1">
      <c r="A93" s="1100">
        <f t="shared" si="10"/>
        <v>2.7699999999999836</v>
      </c>
      <c r="B93" s="873"/>
      <c r="C93" s="1069">
        <f t="shared" si="6"/>
        <v>0</v>
      </c>
      <c r="D93" s="1069">
        <f t="shared" si="7"/>
        <v>0</v>
      </c>
      <c r="E93" s="1069"/>
      <c r="F93" s="1069"/>
      <c r="G93" s="1069">
        <f t="shared" si="8"/>
        <v>0</v>
      </c>
      <c r="H93" s="1069"/>
      <c r="I93" s="1069">
        <f t="shared" si="9"/>
        <v>0</v>
      </c>
      <c r="J93" s="1069">
        <f t="shared" si="9"/>
        <v>0</v>
      </c>
      <c r="K93" s="1069">
        <f t="shared" si="9"/>
        <v>0</v>
      </c>
      <c r="L93" s="1069"/>
      <c r="M93" s="873"/>
      <c r="N93" s="873"/>
      <c r="O93" s="873"/>
      <c r="P93" s="1069"/>
      <c r="Q93" s="873"/>
      <c r="R93" s="873"/>
      <c r="S93" s="873"/>
    </row>
    <row r="94" spans="1:19" hidden="1">
      <c r="A94" s="1100">
        <f t="shared" si="10"/>
        <v>2.7799999999999834</v>
      </c>
      <c r="B94" s="873"/>
      <c r="C94" s="1069">
        <f t="shared" si="6"/>
        <v>0</v>
      </c>
      <c r="D94" s="1069">
        <f t="shared" si="7"/>
        <v>0</v>
      </c>
      <c r="E94" s="1069"/>
      <c r="F94" s="1069"/>
      <c r="G94" s="1069">
        <f t="shared" si="8"/>
        <v>0</v>
      </c>
      <c r="H94" s="1069"/>
      <c r="I94" s="1069">
        <f t="shared" si="9"/>
        <v>0</v>
      </c>
      <c r="J94" s="1069">
        <f t="shared" si="9"/>
        <v>0</v>
      </c>
      <c r="K94" s="1069">
        <f t="shared" si="9"/>
        <v>0</v>
      </c>
      <c r="L94" s="1069"/>
      <c r="M94" s="873"/>
      <c r="N94" s="873"/>
      <c r="O94" s="873"/>
      <c r="P94" s="1069"/>
      <c r="Q94" s="873"/>
      <c r="R94" s="873"/>
      <c r="S94" s="873"/>
    </row>
    <row r="95" spans="1:19">
      <c r="A95" s="1100">
        <f t="shared" si="10"/>
        <v>2.7899999999999832</v>
      </c>
      <c r="B95" s="873"/>
      <c r="C95" s="1069">
        <f t="shared" si="6"/>
        <v>0</v>
      </c>
      <c r="D95" s="1069">
        <f t="shared" si="7"/>
        <v>0</v>
      </c>
      <c r="E95" s="1069"/>
      <c r="F95" s="1069"/>
      <c r="G95" s="1069">
        <f t="shared" si="8"/>
        <v>0</v>
      </c>
      <c r="H95" s="1069"/>
      <c r="I95" s="1069">
        <f t="shared" si="9"/>
        <v>0</v>
      </c>
      <c r="J95" s="1069">
        <f t="shared" si="9"/>
        <v>0</v>
      </c>
      <c r="K95" s="1069">
        <f t="shared" si="9"/>
        <v>0</v>
      </c>
      <c r="L95" s="1069"/>
      <c r="M95" s="873"/>
      <c r="N95" s="873"/>
      <c r="O95" s="873"/>
      <c r="P95" s="1069"/>
      <c r="Q95" s="873"/>
      <c r="R95" s="873"/>
      <c r="S95" s="873"/>
    </row>
    <row r="96" spans="1:19">
      <c r="A96" s="1100">
        <f t="shared" si="10"/>
        <v>2.7999999999999829</v>
      </c>
      <c r="B96" s="873"/>
      <c r="C96" s="873"/>
      <c r="D96" s="873"/>
      <c r="E96" s="1069">
        <f t="shared" ref="E96:F106" si="11">-C96</f>
        <v>0</v>
      </c>
      <c r="F96" s="1069">
        <f t="shared" si="11"/>
        <v>0</v>
      </c>
      <c r="G96" s="1069">
        <f t="shared" si="8"/>
        <v>0</v>
      </c>
      <c r="H96" s="1069"/>
      <c r="I96" s="1069"/>
      <c r="J96" s="1069"/>
      <c r="K96" s="1069"/>
      <c r="L96" s="1069"/>
      <c r="M96" s="1069"/>
      <c r="N96" s="1069"/>
      <c r="O96" s="1069"/>
      <c r="P96" s="1069"/>
      <c r="Q96" s="1069"/>
      <c r="R96" s="1069"/>
      <c r="S96" s="1069"/>
    </row>
    <row r="97" spans="1:256">
      <c r="A97" s="1100">
        <f t="shared" si="10"/>
        <v>2.8099999999999827</v>
      </c>
      <c r="B97" s="873"/>
      <c r="C97" s="873"/>
      <c r="D97" s="873"/>
      <c r="E97" s="1069">
        <f t="shared" si="11"/>
        <v>0</v>
      </c>
      <c r="F97" s="1069">
        <f t="shared" si="11"/>
        <v>0</v>
      </c>
      <c r="G97" s="1069">
        <f t="shared" si="8"/>
        <v>0</v>
      </c>
      <c r="H97" s="1069"/>
      <c r="I97" s="1069"/>
      <c r="J97" s="1069"/>
      <c r="K97" s="1069"/>
      <c r="L97" s="1069"/>
      <c r="M97" s="1069"/>
      <c r="N97" s="1069"/>
      <c r="O97" s="1069"/>
      <c r="P97" s="1069"/>
      <c r="Q97" s="1069"/>
      <c r="R97" s="1069"/>
      <c r="S97" s="1069"/>
    </row>
    <row r="98" spans="1:256">
      <c r="A98" s="1100">
        <f t="shared" si="10"/>
        <v>2.8199999999999825</v>
      </c>
      <c r="B98" s="873"/>
      <c r="C98" s="873"/>
      <c r="D98" s="873"/>
      <c r="E98" s="1069">
        <f t="shared" si="11"/>
        <v>0</v>
      </c>
      <c r="F98" s="1069">
        <f t="shared" si="11"/>
        <v>0</v>
      </c>
      <c r="G98" s="1069">
        <f t="shared" si="8"/>
        <v>0</v>
      </c>
      <c r="H98" s="1069"/>
      <c r="I98" s="1069"/>
      <c r="J98" s="1069"/>
      <c r="K98" s="1069"/>
      <c r="L98" s="1069"/>
      <c r="M98" s="1069"/>
      <c r="N98" s="1069"/>
      <c r="O98" s="1069"/>
      <c r="P98" s="1069"/>
      <c r="Q98" s="1069"/>
      <c r="R98" s="1069"/>
      <c r="S98" s="1069"/>
    </row>
    <row r="99" spans="1:256">
      <c r="A99" s="1100">
        <f t="shared" si="10"/>
        <v>2.8299999999999823</v>
      </c>
      <c r="B99" s="873"/>
      <c r="C99" s="873"/>
      <c r="D99" s="873"/>
      <c r="E99" s="1069">
        <f t="shared" si="11"/>
        <v>0</v>
      </c>
      <c r="F99" s="1069">
        <f t="shared" si="11"/>
        <v>0</v>
      </c>
      <c r="G99" s="1069">
        <f t="shared" si="8"/>
        <v>0</v>
      </c>
      <c r="H99" s="1069"/>
      <c r="I99" s="1069"/>
      <c r="J99" s="1069"/>
      <c r="K99" s="1069"/>
      <c r="L99" s="1069"/>
      <c r="M99" s="1069"/>
      <c r="N99" s="1069"/>
      <c r="O99" s="1069"/>
      <c r="P99" s="1069"/>
      <c r="Q99" s="1069"/>
      <c r="R99" s="1069"/>
      <c r="S99" s="1069"/>
    </row>
    <row r="100" spans="1:256">
      <c r="A100" s="1100">
        <f t="shared" si="10"/>
        <v>2.8399999999999821</v>
      </c>
      <c r="B100" s="873"/>
      <c r="C100" s="873"/>
      <c r="D100" s="873"/>
      <c r="E100" s="1069">
        <f t="shared" si="11"/>
        <v>0</v>
      </c>
      <c r="F100" s="1069">
        <f t="shared" si="11"/>
        <v>0</v>
      </c>
      <c r="G100" s="1069">
        <f t="shared" si="8"/>
        <v>0</v>
      </c>
      <c r="H100" s="1069"/>
      <c r="I100" s="1069"/>
      <c r="J100" s="1069"/>
      <c r="K100" s="1069"/>
      <c r="L100" s="1069"/>
      <c r="M100" s="1069"/>
      <c r="N100" s="1069"/>
      <c r="O100" s="1069"/>
      <c r="P100" s="1069"/>
      <c r="Q100" s="1069"/>
      <c r="R100" s="1069"/>
      <c r="S100" s="1069"/>
    </row>
    <row r="101" spans="1:256">
      <c r="A101" s="1100">
        <f t="shared" si="10"/>
        <v>2.8499999999999819</v>
      </c>
      <c r="B101" s="873"/>
      <c r="C101" s="873"/>
      <c r="D101" s="873"/>
      <c r="E101" s="1069">
        <f t="shared" si="11"/>
        <v>0</v>
      </c>
      <c r="F101" s="1069">
        <f t="shared" si="11"/>
        <v>0</v>
      </c>
      <c r="G101" s="1069">
        <f t="shared" si="8"/>
        <v>0</v>
      </c>
      <c r="H101" s="1069"/>
      <c r="I101" s="1069"/>
      <c r="J101" s="1069"/>
      <c r="K101" s="1069"/>
      <c r="L101" s="1069"/>
      <c r="M101" s="1069"/>
      <c r="N101" s="1069"/>
      <c r="O101" s="1069"/>
      <c r="P101" s="1069"/>
      <c r="Q101" s="1069"/>
      <c r="R101" s="1069"/>
      <c r="S101" s="1069"/>
    </row>
    <row r="102" spans="1:256">
      <c r="A102" s="1100">
        <f t="shared" si="10"/>
        <v>2.8599999999999817</v>
      </c>
      <c r="B102" s="873"/>
      <c r="C102" s="873"/>
      <c r="D102" s="873"/>
      <c r="E102" s="1069">
        <f t="shared" si="11"/>
        <v>0</v>
      </c>
      <c r="F102" s="1069">
        <f t="shared" si="11"/>
        <v>0</v>
      </c>
      <c r="G102" s="1069">
        <f t="shared" si="8"/>
        <v>0</v>
      </c>
      <c r="H102" s="1069"/>
      <c r="I102" s="1069"/>
      <c r="J102" s="1069"/>
      <c r="K102" s="1069"/>
      <c r="L102" s="1069"/>
      <c r="M102" s="1069"/>
      <c r="N102" s="1069"/>
      <c r="O102" s="1069"/>
      <c r="P102" s="1069"/>
      <c r="Q102" s="1069"/>
      <c r="R102" s="1069"/>
      <c r="S102" s="1069"/>
    </row>
    <row r="103" spans="1:256">
      <c r="A103" s="1100">
        <f t="shared" si="10"/>
        <v>2.8699999999999815</v>
      </c>
      <c r="B103" s="873"/>
      <c r="C103" s="873"/>
      <c r="D103" s="873"/>
      <c r="E103" s="1069">
        <f t="shared" si="11"/>
        <v>0</v>
      </c>
      <c r="F103" s="1069">
        <f t="shared" si="11"/>
        <v>0</v>
      </c>
      <c r="G103" s="1069">
        <f t="shared" si="8"/>
        <v>0</v>
      </c>
      <c r="H103" s="1069"/>
      <c r="I103" s="1069"/>
      <c r="J103" s="1069"/>
      <c r="K103" s="1069"/>
      <c r="L103" s="1069"/>
      <c r="M103" s="1069"/>
      <c r="N103" s="1069"/>
      <c r="O103" s="1069"/>
      <c r="P103" s="1069"/>
      <c r="Q103" s="1069"/>
      <c r="R103" s="1069"/>
      <c r="S103" s="1069"/>
    </row>
    <row r="104" spans="1:256">
      <c r="A104" s="1100">
        <f t="shared" si="10"/>
        <v>2.8799999999999812</v>
      </c>
      <c r="B104" s="873"/>
      <c r="C104" s="873"/>
      <c r="D104" s="873"/>
      <c r="E104" s="1069">
        <f t="shared" si="11"/>
        <v>0</v>
      </c>
      <c r="F104" s="1069">
        <f t="shared" si="11"/>
        <v>0</v>
      </c>
      <c r="G104" s="1069">
        <f t="shared" si="8"/>
        <v>0</v>
      </c>
      <c r="H104" s="1069"/>
      <c r="I104" s="1069"/>
      <c r="J104" s="1069"/>
      <c r="K104" s="1069"/>
      <c r="L104" s="1069"/>
      <c r="M104" s="1069"/>
      <c r="N104" s="1069"/>
      <c r="O104" s="1069"/>
      <c r="P104" s="1069"/>
      <c r="Q104" s="1069"/>
      <c r="R104" s="1069"/>
      <c r="S104" s="1069"/>
    </row>
    <row r="105" spans="1:256">
      <c r="A105" s="1100">
        <f t="shared" si="10"/>
        <v>2.889999999999981</v>
      </c>
      <c r="B105" s="873"/>
      <c r="C105" s="873"/>
      <c r="D105" s="873"/>
      <c r="E105" s="1069">
        <f t="shared" si="11"/>
        <v>0</v>
      </c>
      <c r="F105" s="1069">
        <f t="shared" si="11"/>
        <v>0</v>
      </c>
      <c r="G105" s="1069">
        <f t="shared" si="8"/>
        <v>0</v>
      </c>
      <c r="H105" s="1069"/>
      <c r="I105" s="1069"/>
      <c r="J105" s="1069"/>
      <c r="K105" s="1069"/>
      <c r="L105" s="1069"/>
      <c r="M105" s="1069"/>
      <c r="N105" s="1069"/>
      <c r="O105" s="1069"/>
      <c r="P105" s="1069"/>
      <c r="Q105" s="1069"/>
      <c r="R105" s="1069"/>
      <c r="S105" s="1069"/>
    </row>
    <row r="106" spans="1:256">
      <c r="A106" s="1100">
        <f t="shared" si="10"/>
        <v>2.8999999999999808</v>
      </c>
      <c r="B106" s="873"/>
      <c r="C106" s="873"/>
      <c r="D106" s="873"/>
      <c r="E106" s="1069">
        <f t="shared" si="11"/>
        <v>0</v>
      </c>
      <c r="F106" s="1069">
        <f t="shared" si="11"/>
        <v>0</v>
      </c>
      <c r="G106" s="1069">
        <f t="shared" si="8"/>
        <v>0</v>
      </c>
      <c r="H106" s="1069"/>
      <c r="I106" s="1069">
        <f t="shared" ref="I106:K107" si="12">(M106+Q106)/2</f>
        <v>0</v>
      </c>
      <c r="J106" s="1069">
        <f t="shared" si="12"/>
        <v>0</v>
      </c>
      <c r="K106" s="1069">
        <f t="shared" si="12"/>
        <v>0</v>
      </c>
      <c r="L106" s="1069"/>
      <c r="M106" s="1069"/>
      <c r="N106" s="1069"/>
      <c r="O106" s="1069"/>
      <c r="P106" s="1069"/>
      <c r="Q106" s="1069"/>
      <c r="R106" s="1069"/>
      <c r="S106" s="1069"/>
    </row>
    <row r="107" spans="1:256">
      <c r="A107" s="1100">
        <f t="shared" si="10"/>
        <v>2.9099999999999806</v>
      </c>
      <c r="B107" s="873"/>
      <c r="C107" s="1069">
        <f>SUM(M107:O107)</f>
        <v>0</v>
      </c>
      <c r="D107" s="1069">
        <f>SUM(Q107:S107)</f>
        <v>0</v>
      </c>
      <c r="E107" s="1069"/>
      <c r="F107" s="1069"/>
      <c r="G107" s="1069">
        <f t="shared" si="8"/>
        <v>0</v>
      </c>
      <c r="H107" s="1069"/>
      <c r="I107" s="1069">
        <f t="shared" si="12"/>
        <v>0</v>
      </c>
      <c r="J107" s="1069">
        <f t="shared" si="12"/>
        <v>0</v>
      </c>
      <c r="K107" s="1069">
        <f t="shared" si="12"/>
        <v>0</v>
      </c>
      <c r="L107" s="1069"/>
      <c r="M107" s="1071"/>
      <c r="N107" s="1071"/>
      <c r="O107" s="1071"/>
      <c r="P107" s="1069"/>
      <c r="Q107" s="1071"/>
      <c r="R107" s="1071"/>
      <c r="S107" s="1071"/>
    </row>
    <row r="108" spans="1:256">
      <c r="A108" s="1090"/>
      <c r="B108" s="1069"/>
      <c r="C108" s="1069"/>
      <c r="D108" s="1069"/>
      <c r="E108" s="1069"/>
      <c r="F108" s="1069"/>
      <c r="G108" s="1069"/>
      <c r="H108" s="1069"/>
      <c r="I108" s="1069"/>
      <c r="J108" s="1069"/>
      <c r="K108" s="1069"/>
      <c r="L108" s="1069"/>
      <c r="M108" s="1069"/>
      <c r="N108" s="1069"/>
      <c r="O108" s="1069"/>
      <c r="P108" s="1069"/>
      <c r="Q108" s="1069"/>
      <c r="R108" s="1069"/>
      <c r="S108" s="1069"/>
    </row>
    <row r="109" spans="1:256" ht="13.5" thickBot="1">
      <c r="A109" s="22">
        <v>3</v>
      </c>
      <c r="B109" s="1075" t="s">
        <v>745</v>
      </c>
      <c r="C109" s="1091">
        <f>SUM(C17:C108)</f>
        <v>0</v>
      </c>
      <c r="D109" s="1091">
        <f>SUM(D17:D108)</f>
        <v>0</v>
      </c>
      <c r="E109" s="1091">
        <f>SUM(E17:E108)</f>
        <v>0</v>
      </c>
      <c r="F109" s="1091">
        <f>SUM(F17:F108)</f>
        <v>0</v>
      </c>
      <c r="G109" s="1091">
        <f>SUM(G17:G108)</f>
        <v>0</v>
      </c>
      <c r="H109" s="1069"/>
      <c r="I109" s="1091">
        <f>SUM(I17:I108)</f>
        <v>0</v>
      </c>
      <c r="J109" s="1091">
        <f>SUM(J17:J108)</f>
        <v>0</v>
      </c>
      <c r="K109" s="1091">
        <f>SUM(K17:K108)</f>
        <v>0</v>
      </c>
      <c r="L109" s="1069"/>
      <c r="M109" s="1091">
        <f>SUM(M17:M108)</f>
        <v>0</v>
      </c>
      <c r="N109" s="1091">
        <f>SUM(N17:N108)</f>
        <v>0</v>
      </c>
      <c r="O109" s="1091">
        <f>SUM(O17:O108)</f>
        <v>0</v>
      </c>
      <c r="P109" s="1069"/>
      <c r="Q109" s="1091">
        <f>SUM(Q17:Q108)</f>
        <v>0</v>
      </c>
      <c r="R109" s="1091">
        <f>SUM(R17:R108)</f>
        <v>0</v>
      </c>
      <c r="S109" s="1091">
        <f>SUM(S17:S108)</f>
        <v>0</v>
      </c>
    </row>
    <row r="110" spans="1:256" ht="13.5" thickTop="1">
      <c r="A110" s="1">
        <v>4</v>
      </c>
      <c r="B110" s="1147" t="s">
        <v>748</v>
      </c>
      <c r="C110" s="1148">
        <f>C77+C78</f>
        <v>0</v>
      </c>
      <c r="D110" s="1148">
        <f>D77+D78</f>
        <v>0</v>
      </c>
      <c r="E110" s="1148">
        <f>E77+E78</f>
        <v>0</v>
      </c>
      <c r="F110" s="1148">
        <f>F77+F78</f>
        <v>0</v>
      </c>
      <c r="G110" s="1148">
        <f>G77+G78</f>
        <v>0</v>
      </c>
      <c r="H110" s="6"/>
      <c r="I110" s="1148">
        <f>I77+I78</f>
        <v>0</v>
      </c>
      <c r="J110" s="1148">
        <f>J77+J78</f>
        <v>0</v>
      </c>
      <c r="K110" s="1148">
        <f>K77+K78</f>
        <v>0</v>
      </c>
      <c r="L110" s="6"/>
      <c r="M110" s="1148">
        <f>M77+M78</f>
        <v>0</v>
      </c>
      <c r="N110" s="1148">
        <f>N77+N78</f>
        <v>0</v>
      </c>
      <c r="O110" s="1148">
        <f>O77+O78</f>
        <v>0</v>
      </c>
      <c r="P110" s="6"/>
      <c r="Q110" s="1148">
        <f>Q77+Q78</f>
        <v>0</v>
      </c>
      <c r="R110" s="1148">
        <f>R77+R78</f>
        <v>0</v>
      </c>
      <c r="S110" s="1148">
        <f>S77+S78</f>
        <v>0</v>
      </c>
      <c r="T110" s="6"/>
      <c r="IV110" s="1092"/>
    </row>
    <row r="111" spans="1:256">
      <c r="I111" s="1092"/>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sqref="A1:IV65536"/>
    </sheetView>
  </sheetViews>
  <sheetFormatPr defaultColWidth="10" defaultRowHeight="12"/>
  <cols>
    <col min="1" max="1" width="9.42578125" style="1348" customWidth="1"/>
    <col min="2" max="2" width="20.85546875" style="1349" customWidth="1"/>
    <col min="3" max="3" width="35.5703125" style="1348" customWidth="1"/>
    <col min="4" max="4" width="12.85546875" style="1348" customWidth="1"/>
    <col min="5" max="5" width="10.42578125" style="1348" customWidth="1"/>
    <col min="6" max="6" width="16.42578125" style="1348" customWidth="1"/>
    <col min="7" max="7" width="12" style="1348" customWidth="1"/>
    <col min="8" max="8" width="14.28515625" style="1348" bestFit="1" customWidth="1"/>
    <col min="9" max="9" width="18.85546875" style="1348" customWidth="1"/>
    <col min="10" max="10" width="15.5703125" style="1348" customWidth="1"/>
    <col min="11" max="11" width="16.140625" style="1348" customWidth="1"/>
    <col min="12" max="13" width="15" style="1348" customWidth="1"/>
    <col min="14" max="14" width="13.5703125" style="1348" customWidth="1"/>
    <col min="15" max="15" width="15" style="1348" customWidth="1"/>
    <col min="16" max="17" width="17.5703125" style="1348" customWidth="1"/>
    <col min="18" max="18" width="33" style="1348" customWidth="1"/>
    <col min="19" max="19" width="15" style="1348" customWidth="1"/>
    <col min="20" max="21" width="14.5703125" style="1348" bestFit="1" customWidth="1"/>
    <col min="22" max="22" width="10.5703125" style="1348" bestFit="1" customWidth="1"/>
    <col min="23" max="16384" width="10" style="1348"/>
  </cols>
  <sheetData>
    <row r="1" spans="1:23" ht="12.75">
      <c r="A1" s="1348" t="s">
        <v>1007</v>
      </c>
      <c r="R1" s="1350"/>
    </row>
    <row r="2" spans="1:23" ht="12.75">
      <c r="A2" s="1348" t="s">
        <v>1008</v>
      </c>
      <c r="R2" s="1350"/>
      <c r="V2" s="1351"/>
    </row>
    <row r="3" spans="1:23" ht="12.75">
      <c r="A3" s="1348" t="s">
        <v>1009</v>
      </c>
      <c r="R3" s="1350"/>
      <c r="V3" s="1352"/>
    </row>
    <row r="4" spans="1:23">
      <c r="A4" s="1348" t="s">
        <v>1010</v>
      </c>
      <c r="G4" s="1353"/>
    </row>
    <row r="5" spans="1:23">
      <c r="A5" s="1348" t="s">
        <v>1011</v>
      </c>
      <c r="I5" s="1354"/>
      <c r="J5" s="1354"/>
      <c r="P5" s="1354"/>
      <c r="Q5" s="1354"/>
    </row>
    <row r="6" spans="1:23">
      <c r="J6" s="1354"/>
      <c r="K6" s="1355"/>
      <c r="L6" s="1349"/>
      <c r="M6" s="1349"/>
      <c r="N6" s="1349"/>
      <c r="O6" s="1349"/>
      <c r="P6" s="1349"/>
      <c r="Q6" s="1349"/>
    </row>
    <row r="7" spans="1:23">
      <c r="B7" s="1356"/>
      <c r="C7" s="1356"/>
      <c r="D7" s="1356"/>
      <c r="E7" s="1356"/>
      <c r="F7" s="1356"/>
      <c r="G7" s="1356"/>
      <c r="H7" s="1356"/>
      <c r="I7" s="1356"/>
      <c r="J7" s="1356"/>
      <c r="K7" s="1356"/>
      <c r="L7" s="1356"/>
      <c r="M7" s="1356"/>
      <c r="N7" s="1356"/>
      <c r="O7" s="1356"/>
      <c r="P7" s="1356"/>
      <c r="Q7" s="1349"/>
    </row>
    <row r="8" spans="1:23">
      <c r="A8" s="1349" t="s">
        <v>149</v>
      </c>
      <c r="B8" s="1349" t="s">
        <v>150</v>
      </c>
      <c r="C8" s="1349" t="s">
        <v>151</v>
      </c>
      <c r="D8" s="1349" t="s">
        <v>152</v>
      </c>
      <c r="E8" s="1349" t="s">
        <v>153</v>
      </c>
      <c r="F8" s="1349" t="s">
        <v>154</v>
      </c>
      <c r="G8" s="1349" t="s">
        <v>155</v>
      </c>
      <c r="H8" s="1349" t="s">
        <v>156</v>
      </c>
      <c r="I8" s="1349" t="s">
        <v>1012</v>
      </c>
      <c r="J8" s="1349" t="s">
        <v>1013</v>
      </c>
      <c r="K8" s="1349" t="s">
        <v>159</v>
      </c>
      <c r="L8" s="1349" t="s">
        <v>160</v>
      </c>
      <c r="M8" s="1349" t="s">
        <v>161</v>
      </c>
      <c r="N8" s="1349" t="s">
        <v>246</v>
      </c>
      <c r="O8" s="1349" t="s">
        <v>305</v>
      </c>
      <c r="P8" s="1349" t="s">
        <v>351</v>
      </c>
      <c r="Q8" s="1349" t="s">
        <v>352</v>
      </c>
      <c r="R8" s="1349" t="s">
        <v>353</v>
      </c>
    </row>
    <row r="9" spans="1:23" ht="14.45" customHeight="1">
      <c r="A9" s="1348" t="s">
        <v>1014</v>
      </c>
      <c r="B9" s="3"/>
      <c r="C9" s="3"/>
      <c r="D9" s="3"/>
      <c r="E9" s="3"/>
      <c r="I9" s="1477" t="s">
        <v>1015</v>
      </c>
      <c r="J9" s="1477"/>
      <c r="K9" s="1478" t="s">
        <v>1016</v>
      </c>
      <c r="L9" s="1478"/>
      <c r="M9" s="1478"/>
      <c r="N9" s="1479" t="s">
        <v>1017</v>
      </c>
      <c r="O9" s="1479"/>
      <c r="P9" s="1477" t="s">
        <v>1018</v>
      </c>
      <c r="Q9" s="1477"/>
    </row>
    <row r="10" spans="1:23" ht="48">
      <c r="A10" s="1357" t="s">
        <v>1019</v>
      </c>
      <c r="B10" s="1358" t="s">
        <v>1020</v>
      </c>
      <c r="C10" s="1358" t="s">
        <v>1021</v>
      </c>
      <c r="D10" s="1359" t="s">
        <v>1022</v>
      </c>
      <c r="E10" s="1359" t="s">
        <v>1023</v>
      </c>
      <c r="F10" s="1359" t="s">
        <v>1024</v>
      </c>
      <c r="G10" s="1359" t="s">
        <v>1025</v>
      </c>
      <c r="H10" s="1359" t="s">
        <v>1026</v>
      </c>
      <c r="I10" s="1360" t="s">
        <v>1027</v>
      </c>
      <c r="J10" s="1360" t="s">
        <v>1028</v>
      </c>
      <c r="K10" s="1361" t="s">
        <v>1029</v>
      </c>
      <c r="L10" s="1361">
        <v>182.3</v>
      </c>
      <c r="M10" s="1361">
        <v>254</v>
      </c>
      <c r="N10" s="1361" t="s">
        <v>1030</v>
      </c>
      <c r="O10" s="1361" t="s">
        <v>1031</v>
      </c>
      <c r="P10" s="1360" t="s">
        <v>1027</v>
      </c>
      <c r="Q10" s="1360" t="s">
        <v>1028</v>
      </c>
      <c r="R10" s="1362" t="s">
        <v>1032</v>
      </c>
      <c r="S10" s="1363"/>
    </row>
    <row r="11" spans="1:23">
      <c r="B11" s="1348"/>
      <c r="D11" s="1364"/>
      <c r="E11" s="1364"/>
      <c r="F11" s="1364"/>
      <c r="G11" s="1364"/>
      <c r="H11" s="1364"/>
      <c r="I11" s="1365"/>
      <c r="J11" s="1365"/>
      <c r="K11" s="1365"/>
      <c r="L11" s="1365"/>
      <c r="M11" s="1365"/>
      <c r="N11" s="1365"/>
      <c r="O11" s="1365"/>
      <c r="P11" s="1480" t="s">
        <v>1033</v>
      </c>
      <c r="Q11" s="1480"/>
      <c r="R11" s="1366">
        <f>+Q14+P15</f>
        <v>0</v>
      </c>
      <c r="S11" s="1363"/>
    </row>
    <row r="12" spans="1:23">
      <c r="B12" s="1367" t="s">
        <v>1034</v>
      </c>
      <c r="C12" s="1368"/>
      <c r="D12" s="1368"/>
      <c r="E12" s="1368"/>
      <c r="F12" s="1368"/>
      <c r="G12" s="1368"/>
      <c r="H12" s="1368"/>
      <c r="I12" s="1368"/>
      <c r="J12" s="1368"/>
      <c r="K12" s="1368"/>
      <c r="L12" s="1368"/>
      <c r="M12" s="1368"/>
      <c r="N12" s="1368"/>
      <c r="O12" s="1368"/>
      <c r="P12" s="1368"/>
      <c r="Q12" s="1368"/>
      <c r="R12" s="1352"/>
      <c r="S12" s="1369"/>
      <c r="T12" s="1352"/>
      <c r="U12" s="1352"/>
      <c r="V12" s="1352"/>
      <c r="W12" s="1352"/>
    </row>
    <row r="13" spans="1:23">
      <c r="A13" s="1348" t="s">
        <v>1035</v>
      </c>
      <c r="B13" s="1370" t="s">
        <v>1036</v>
      </c>
      <c r="C13" s="1348" t="s">
        <v>1037</v>
      </c>
      <c r="D13" s="1371" t="s">
        <v>1038</v>
      </c>
      <c r="E13" s="1371" t="s">
        <v>1039</v>
      </c>
      <c r="F13" s="1372"/>
      <c r="G13" s="1371"/>
      <c r="H13" s="1371"/>
      <c r="I13" s="1373">
        <v>141975892</v>
      </c>
      <c r="J13" s="1374" t="s">
        <v>115</v>
      </c>
      <c r="K13" s="1373"/>
      <c r="L13" s="1373"/>
      <c r="M13" s="1373">
        <v>27657906</v>
      </c>
      <c r="N13" s="1373"/>
      <c r="O13" s="1373"/>
      <c r="P13" s="1375">
        <f>SUM(I13:O13)</f>
        <v>169633798</v>
      </c>
      <c r="Q13" s="1376"/>
      <c r="R13" s="1377" t="s">
        <v>1040</v>
      </c>
      <c r="S13" s="1369"/>
      <c r="T13" s="1352"/>
      <c r="U13" s="1352"/>
      <c r="V13" s="1352"/>
      <c r="W13" s="1352"/>
    </row>
    <row r="14" spans="1:23" s="1371" customFormat="1">
      <c r="A14" s="1371" t="s">
        <v>1041</v>
      </c>
      <c r="B14" s="1370" t="s">
        <v>1042</v>
      </c>
      <c r="C14" s="1378" t="s">
        <v>1043</v>
      </c>
      <c r="D14" s="1378" t="s">
        <v>1044</v>
      </c>
      <c r="E14" s="1371" t="s">
        <v>1039</v>
      </c>
      <c r="F14" s="1379">
        <v>-11772442</v>
      </c>
      <c r="G14" s="1380" t="s">
        <v>1045</v>
      </c>
      <c r="H14" s="1380" t="s">
        <v>1046</v>
      </c>
      <c r="I14" s="1376"/>
      <c r="J14" s="1377">
        <v>-11692443</v>
      </c>
      <c r="K14" s="1381"/>
      <c r="L14" s="1381"/>
      <c r="M14" s="1381"/>
      <c r="N14" s="1381">
        <v>178989</v>
      </c>
      <c r="O14" s="1381">
        <v>50779</v>
      </c>
      <c r="P14" s="1376"/>
      <c r="Q14" s="1375">
        <f>SUM(J14:P14)</f>
        <v>-11462675</v>
      </c>
      <c r="R14" s="1377"/>
      <c r="S14" s="1369"/>
      <c r="T14" s="1382"/>
      <c r="U14" s="1382"/>
      <c r="V14" s="1382"/>
      <c r="W14" s="1382"/>
    </row>
    <row r="15" spans="1:23" s="1371" customFormat="1">
      <c r="A15" s="1371" t="s">
        <v>1047</v>
      </c>
      <c r="B15" s="1370" t="s">
        <v>1048</v>
      </c>
      <c r="C15" s="1378" t="s">
        <v>1049</v>
      </c>
      <c r="D15" s="1378" t="s">
        <v>1044</v>
      </c>
      <c r="E15" s="1371" t="s">
        <v>1039</v>
      </c>
      <c r="F15" s="1372"/>
      <c r="I15" s="1377">
        <v>11692443</v>
      </c>
      <c r="J15" s="1376"/>
      <c r="K15" s="1381"/>
      <c r="L15" s="1381"/>
      <c r="M15" s="1381">
        <v>-229768</v>
      </c>
      <c r="N15" s="1381"/>
      <c r="O15" s="1381"/>
      <c r="P15" s="1375">
        <f>SUM(I15:O15)</f>
        <v>11462675</v>
      </c>
      <c r="Q15" s="1383"/>
      <c r="R15" s="1377" t="s">
        <v>1050</v>
      </c>
      <c r="S15" s="1369"/>
      <c r="T15" s="1382"/>
      <c r="U15" s="1382"/>
      <c r="V15" s="1382"/>
      <c r="W15" s="1382"/>
    </row>
    <row r="16" spans="1:23">
      <c r="A16" s="1348" t="s">
        <v>1051</v>
      </c>
      <c r="B16" s="1370" t="s">
        <v>1052</v>
      </c>
      <c r="C16" s="1348" t="s">
        <v>1053</v>
      </c>
      <c r="D16" s="1371" t="s">
        <v>1044</v>
      </c>
      <c r="E16" s="1371" t="s">
        <v>1039</v>
      </c>
      <c r="F16" s="1384">
        <v>-410365997</v>
      </c>
      <c r="G16" s="1380" t="s">
        <v>1045</v>
      </c>
      <c r="H16" s="1380" t="s">
        <v>1046</v>
      </c>
      <c r="I16" s="1376"/>
      <c r="J16" s="1385">
        <v>-383352324</v>
      </c>
      <c r="K16" s="1385"/>
      <c r="L16" s="1385"/>
      <c r="M16" s="1385"/>
      <c r="N16" s="1385">
        <v>12050328</v>
      </c>
      <c r="O16" s="1385">
        <v>33866541</v>
      </c>
      <c r="P16" s="1376"/>
      <c r="Q16" s="1386">
        <f>SUM(J16:O16)</f>
        <v>-337435455</v>
      </c>
      <c r="R16" s="1475" t="s">
        <v>1054</v>
      </c>
      <c r="S16" s="1369"/>
      <c r="T16" s="1352"/>
      <c r="U16" s="1352"/>
      <c r="V16" s="1352"/>
      <c r="W16" s="1352"/>
    </row>
    <row r="17" spans="1:23">
      <c r="A17" s="1348" t="s">
        <v>1055</v>
      </c>
      <c r="B17" s="1370" t="s">
        <v>1052</v>
      </c>
      <c r="C17" s="1348" t="s">
        <v>1053</v>
      </c>
      <c r="D17" s="1371" t="s">
        <v>1056</v>
      </c>
      <c r="E17" s="1371" t="s">
        <v>1039</v>
      </c>
      <c r="F17" s="1387">
        <v>-148924633</v>
      </c>
      <c r="G17" s="1380" t="s">
        <v>1057</v>
      </c>
      <c r="H17" s="1380" t="s">
        <v>1058</v>
      </c>
      <c r="I17" s="1376"/>
      <c r="J17" s="1381">
        <v>-137178388</v>
      </c>
      <c r="K17" s="1381"/>
      <c r="L17" s="1381"/>
      <c r="M17" s="1381"/>
      <c r="N17" s="1381">
        <v>17506744</v>
      </c>
      <c r="O17" s="1381">
        <v>-22830662</v>
      </c>
      <c r="P17" s="1376"/>
      <c r="Q17" s="1388">
        <f>SUM(J17:O17)</f>
        <v>-142502306</v>
      </c>
      <c r="R17" s="1475"/>
      <c r="S17" s="1369"/>
      <c r="T17" s="1352"/>
      <c r="U17" s="1352"/>
      <c r="V17" s="1352"/>
      <c r="W17" s="1352"/>
    </row>
    <row r="18" spans="1:23">
      <c r="A18" s="1348" t="s">
        <v>1059</v>
      </c>
      <c r="B18" s="1370" t="s">
        <v>1060</v>
      </c>
      <c r="C18" s="1348" t="s">
        <v>1061</v>
      </c>
      <c r="D18" s="1371" t="s">
        <v>1044</v>
      </c>
      <c r="E18" s="1371" t="s">
        <v>1039</v>
      </c>
      <c r="F18" s="1387"/>
      <c r="G18" s="1380"/>
      <c r="H18" s="1380"/>
      <c r="I18" s="1381">
        <v>383352324</v>
      </c>
      <c r="J18" s="1376"/>
      <c r="K18" s="1381"/>
      <c r="L18" s="1381"/>
      <c r="M18" s="1381">
        <v>-45916869</v>
      </c>
      <c r="N18" s="1381"/>
      <c r="O18" s="1381"/>
      <c r="P18" s="1389">
        <f>SUM(I18:O18)</f>
        <v>337435455</v>
      </c>
      <c r="Q18" s="1376"/>
      <c r="R18" s="1481" t="s">
        <v>1062</v>
      </c>
      <c r="S18" s="1369"/>
      <c r="T18" s="1352"/>
      <c r="U18" s="1352"/>
      <c r="V18" s="1352"/>
      <c r="W18" s="1352"/>
    </row>
    <row r="19" spans="1:23">
      <c r="A19" s="1348" t="s">
        <v>1063</v>
      </c>
      <c r="B19" s="1370" t="s">
        <v>1060</v>
      </c>
      <c r="C19" s="1348" t="s">
        <v>1061</v>
      </c>
      <c r="D19" s="1371" t="s">
        <v>1056</v>
      </c>
      <c r="E19" s="1371" t="s">
        <v>1039</v>
      </c>
      <c r="F19" s="1387"/>
      <c r="G19" s="1380"/>
      <c r="H19" s="1380"/>
      <c r="I19" s="1381">
        <v>137178388</v>
      </c>
      <c r="J19" s="1376"/>
      <c r="K19" s="1381"/>
      <c r="L19" s="1381"/>
      <c r="M19" s="1381">
        <v>5323928</v>
      </c>
      <c r="N19" s="1381"/>
      <c r="O19" s="1381"/>
      <c r="P19" s="1389">
        <f>SUM(I19:O19)</f>
        <v>142502316</v>
      </c>
      <c r="Q19" s="1376"/>
      <c r="R19" s="1481"/>
      <c r="S19" s="1369"/>
      <c r="T19" s="1352"/>
      <c r="U19" s="1352"/>
      <c r="V19" s="1352"/>
      <c r="W19" s="1352"/>
    </row>
    <row r="20" spans="1:23">
      <c r="A20" s="1348" t="s">
        <v>1064</v>
      </c>
      <c r="B20" s="1370" t="s">
        <v>1065</v>
      </c>
      <c r="C20" s="1348" t="s">
        <v>1066</v>
      </c>
      <c r="D20" s="1371" t="s">
        <v>1056</v>
      </c>
      <c r="E20" s="1371" t="s">
        <v>1039</v>
      </c>
      <c r="F20" s="1387">
        <v>-5353470</v>
      </c>
      <c r="G20" s="1380" t="s">
        <v>1057</v>
      </c>
      <c r="H20" s="1380" t="s">
        <v>1058</v>
      </c>
      <c r="I20" s="1376"/>
      <c r="J20" s="1381">
        <v>-1876626</v>
      </c>
      <c r="K20" s="1381"/>
      <c r="L20" s="1381"/>
      <c r="M20" s="1381"/>
      <c r="N20" s="1381">
        <v>12742930</v>
      </c>
      <c r="O20" s="1381">
        <v>-5149292</v>
      </c>
      <c r="P20" s="1390" t="s">
        <v>115</v>
      </c>
      <c r="Q20" s="1388">
        <f>SUM(J20:O20)</f>
        <v>5717012</v>
      </c>
      <c r="R20" s="1377" t="s">
        <v>1067</v>
      </c>
      <c r="S20" s="1369"/>
      <c r="T20" s="1352"/>
      <c r="U20" s="1352"/>
      <c r="V20" s="1352"/>
      <c r="W20" s="1352"/>
    </row>
    <row r="21" spans="1:23">
      <c r="A21" s="1348" t="s">
        <v>1068</v>
      </c>
      <c r="B21" s="1391" t="s">
        <v>1069</v>
      </c>
      <c r="C21" s="1348" t="s">
        <v>1070</v>
      </c>
      <c r="D21" s="1371" t="s">
        <v>1056</v>
      </c>
      <c r="E21" s="1371" t="s">
        <v>1039</v>
      </c>
      <c r="F21" s="1384"/>
      <c r="G21" s="1380"/>
      <c r="H21" s="1380"/>
      <c r="I21" s="1381">
        <v>46082952</v>
      </c>
      <c r="J21" s="1392"/>
      <c r="K21" s="1381"/>
      <c r="L21" s="1381"/>
      <c r="M21" s="1381">
        <v>-47999123</v>
      </c>
      <c r="N21" s="1381"/>
      <c r="O21" s="1381"/>
      <c r="P21" s="1389">
        <f>SUM(I21:O21)</f>
        <v>-1916171</v>
      </c>
      <c r="Q21" s="1390"/>
      <c r="R21" s="1393" t="s">
        <v>1071</v>
      </c>
      <c r="S21" s="1369"/>
      <c r="T21" s="1352"/>
      <c r="U21" s="1352"/>
      <c r="V21" s="1352"/>
      <c r="W21" s="1352"/>
    </row>
    <row r="22" spans="1:23">
      <c r="A22" s="1348" t="s">
        <v>1072</v>
      </c>
      <c r="B22" s="1394" t="s">
        <v>1073</v>
      </c>
      <c r="D22" s="1371"/>
      <c r="E22" s="1371"/>
      <c r="F22" s="1384"/>
      <c r="G22" s="1380"/>
      <c r="H22" s="1380"/>
      <c r="I22" s="1381"/>
      <c r="J22" s="1381"/>
      <c r="K22" s="1381"/>
      <c r="L22" s="1381"/>
      <c r="M22" s="1381"/>
      <c r="N22" s="1381"/>
      <c r="O22" s="1381"/>
      <c r="P22" s="1383"/>
      <c r="Q22" s="1389"/>
      <c r="R22" s="1393"/>
      <c r="S22" s="1369"/>
      <c r="T22" s="1352"/>
      <c r="U22" s="1352"/>
      <c r="V22" s="1352"/>
      <c r="W22" s="1352"/>
    </row>
    <row r="23" spans="1:23" ht="12.75">
      <c r="B23" s="1395"/>
      <c r="C23" s="1395"/>
      <c r="D23" s="1395"/>
      <c r="E23" s="1395"/>
      <c r="F23" s="1395"/>
      <c r="G23" s="1395"/>
      <c r="H23" s="1395"/>
      <c r="I23" s="1395"/>
      <c r="J23" s="1395"/>
      <c r="K23" s="1395"/>
      <c r="L23" s="1395"/>
      <c r="M23" s="1395"/>
      <c r="N23"/>
      <c r="O23"/>
      <c r="P23" s="1396"/>
      <c r="Q23"/>
      <c r="R23"/>
      <c r="S23" s="1369"/>
      <c r="T23" s="1352"/>
      <c r="U23" s="1352"/>
      <c r="V23" s="1352"/>
      <c r="W23" s="1352"/>
    </row>
    <row r="24" spans="1:23" s="1352" customFormat="1">
      <c r="A24" s="1348"/>
      <c r="B24" s="1367" t="s">
        <v>1074</v>
      </c>
      <c r="Q24" s="1369"/>
      <c r="R24" s="1397"/>
      <c r="S24" s="1369"/>
    </row>
    <row r="25" spans="1:23" ht="11.45" customHeight="1">
      <c r="A25" s="1348" t="s">
        <v>1075</v>
      </c>
      <c r="B25" s="1398">
        <v>182.3</v>
      </c>
      <c r="C25" s="1399" t="s">
        <v>1076</v>
      </c>
      <c r="D25" s="1376" t="s">
        <v>115</v>
      </c>
      <c r="E25" s="1371" t="s">
        <v>1039</v>
      </c>
      <c r="F25" s="1376"/>
      <c r="G25" s="1376" t="s">
        <v>115</v>
      </c>
      <c r="H25" s="1376"/>
      <c r="I25" s="1400">
        <v>-3777595</v>
      </c>
      <c r="J25" s="1376"/>
      <c r="K25" s="1381"/>
      <c r="L25" s="1381"/>
      <c r="M25" s="1381"/>
      <c r="N25" s="1376"/>
      <c r="O25" s="1376"/>
      <c r="P25" s="1383">
        <f>SUM(I25:O25)</f>
        <v>-3777595</v>
      </c>
      <c r="Q25" s="1401"/>
      <c r="R25" s="1377" t="s">
        <v>1077</v>
      </c>
      <c r="S25" s="1369"/>
      <c r="T25" s="1352"/>
      <c r="U25" s="1352"/>
      <c r="V25" s="1352"/>
      <c r="W25" s="1352"/>
    </row>
    <row r="26" spans="1:23" ht="11.45" customHeight="1">
      <c r="A26" s="1348" t="s">
        <v>1078</v>
      </c>
      <c r="B26" s="1398">
        <v>254</v>
      </c>
      <c r="C26" s="1399" t="s">
        <v>1079</v>
      </c>
      <c r="D26" s="1376" t="s">
        <v>115</v>
      </c>
      <c r="E26" s="1371" t="s">
        <v>1039</v>
      </c>
      <c r="F26" s="1376"/>
      <c r="G26" s="1376" t="s">
        <v>115</v>
      </c>
      <c r="H26" s="1376"/>
      <c r="I26" s="1400">
        <v>-716504404</v>
      </c>
      <c r="J26" s="1376"/>
      <c r="K26" s="1381"/>
      <c r="L26" s="1381"/>
      <c r="M26" s="1381">
        <f>-27657906+229768+45916869-5323928+47999123</f>
        <v>61163926</v>
      </c>
      <c r="N26" s="1376"/>
      <c r="O26" s="1376"/>
      <c r="P26" s="1383">
        <f>SUM(I26:O26)</f>
        <v>-655340478</v>
      </c>
      <c r="Q26" s="1401"/>
      <c r="R26" s="1377" t="s">
        <v>1080</v>
      </c>
      <c r="S26" s="1369"/>
      <c r="T26" s="1352"/>
      <c r="U26" s="1352"/>
      <c r="V26" s="1352"/>
      <c r="W26" s="1352"/>
    </row>
    <row r="27" spans="1:23" ht="11.45" customHeight="1">
      <c r="A27" s="1348" t="s">
        <v>1081</v>
      </c>
      <c r="B27" s="1394" t="s">
        <v>1073</v>
      </c>
      <c r="C27" s="1399"/>
      <c r="D27" s="1376"/>
      <c r="E27" s="1371"/>
      <c r="F27" s="1376"/>
      <c r="G27" s="1376"/>
      <c r="H27" s="1376"/>
      <c r="I27" s="1381"/>
      <c r="J27" s="1376"/>
      <c r="K27" s="1381"/>
      <c r="L27" s="1381"/>
      <c r="M27" s="1381"/>
      <c r="N27" s="1376"/>
      <c r="O27" s="1376"/>
      <c r="P27" s="1401"/>
      <c r="Q27" s="1401"/>
      <c r="R27" s="1377"/>
      <c r="S27" s="1369"/>
      <c r="T27" s="1352"/>
      <c r="U27" s="1352"/>
      <c r="V27" s="1352"/>
      <c r="W27" s="1352"/>
    </row>
    <row r="28" spans="1:23">
      <c r="B28" s="1398"/>
      <c r="C28" s="1399"/>
      <c r="D28" s="1356"/>
      <c r="E28" s="1356"/>
      <c r="F28" s="1356"/>
      <c r="G28" s="1356"/>
      <c r="H28" s="1356"/>
      <c r="I28" s="1356"/>
      <c r="J28" s="1356"/>
      <c r="K28" s="1356"/>
      <c r="L28" s="1356"/>
      <c r="M28" s="1356"/>
      <c r="N28" s="1356"/>
      <c r="O28" s="1356"/>
      <c r="P28" s="1356"/>
      <c r="Q28" s="1356"/>
      <c r="R28" s="1402"/>
      <c r="S28" s="1369"/>
      <c r="T28" s="1352"/>
      <c r="U28" s="1352"/>
      <c r="V28" s="1352"/>
      <c r="W28" s="1352"/>
    </row>
    <row r="29" spans="1:23" ht="12.75" thickBot="1">
      <c r="A29" s="1403">
        <v>3</v>
      </c>
      <c r="B29" s="1476" t="str">
        <f>"Total For Accounting Entires (Sum of Lines "&amp;A13&amp;" through "&amp;A26&amp;")"</f>
        <v>Total For Accounting Entires (Sum of Lines 1a through 2b)</v>
      </c>
      <c r="C29" s="1476"/>
      <c r="D29" s="1376"/>
      <c r="E29" s="1376"/>
      <c r="F29" s="1376"/>
      <c r="G29" s="1376"/>
      <c r="H29" s="1376"/>
      <c r="I29" s="1404">
        <f>SUM(I13:I28)</f>
        <v>0</v>
      </c>
      <c r="J29" s="1405">
        <f>SUM(J13:J28)</f>
        <v>-534099781</v>
      </c>
      <c r="K29" s="1406">
        <f>SUM(K13:K28)</f>
        <v>0</v>
      </c>
      <c r="L29" s="1406">
        <f>SUM(L13:L28)</f>
        <v>0</v>
      </c>
      <c r="M29" s="1406">
        <f>SUM(M13:M28)</f>
        <v>0</v>
      </c>
      <c r="N29" s="1407">
        <f>-SUM(N13:N28)</f>
        <v>-42478991</v>
      </c>
      <c r="O29" s="1405">
        <f>-SUM(O13:O28)</f>
        <v>-5937366</v>
      </c>
      <c r="P29" s="1406">
        <f>SUM(P13:P28)</f>
        <v>0</v>
      </c>
      <c r="Q29" s="1405">
        <f>SUM(Q13:Q28)</f>
        <v>-485683424</v>
      </c>
      <c r="R29" s="1408"/>
      <c r="S29" s="1369"/>
      <c r="T29" s="1352"/>
      <c r="U29" s="1352"/>
      <c r="V29" s="1352"/>
      <c r="W29" s="1352"/>
    </row>
    <row r="30" spans="1:23" ht="12.75" thickTop="1">
      <c r="B30" s="1398"/>
      <c r="C30" s="1399"/>
      <c r="D30" s="1356"/>
      <c r="E30" s="1356"/>
      <c r="F30" s="1356"/>
      <c r="G30" s="1356"/>
      <c r="H30" s="1356"/>
      <c r="I30" s="1409"/>
      <c r="J30" s="1387"/>
      <c r="K30" s="1410"/>
      <c r="L30" s="1410"/>
      <c r="M30" s="1410"/>
      <c r="N30" s="1411" t="s">
        <v>1082</v>
      </c>
      <c r="O30" s="1411"/>
      <c r="P30" s="1410"/>
      <c r="Q30" s="1412"/>
      <c r="R30" s="1408"/>
      <c r="S30" s="1369"/>
      <c r="T30" s="1352"/>
      <c r="U30" s="1352"/>
      <c r="V30" s="1352"/>
      <c r="W30" s="1352"/>
    </row>
    <row r="31" spans="1:23">
      <c r="A31" s="1394" t="s">
        <v>1083</v>
      </c>
      <c r="B31" s="1398"/>
      <c r="C31" s="1399"/>
      <c r="D31" s="1356"/>
      <c r="E31" s="1356"/>
      <c r="F31" s="1356"/>
      <c r="G31" s="1356"/>
      <c r="H31" s="1356"/>
      <c r="I31" s="1409"/>
      <c r="J31" s="1387"/>
      <c r="K31" s="1410"/>
      <c r="L31" s="1410"/>
      <c r="M31" s="1410"/>
      <c r="N31" s="1387"/>
      <c r="O31" s="1387"/>
      <c r="P31" s="1410"/>
      <c r="Q31" s="1412"/>
      <c r="R31" s="1408"/>
      <c r="S31" s="1369"/>
      <c r="T31" s="1352"/>
      <c r="U31" s="1352"/>
      <c r="V31" s="1352"/>
      <c r="W31" s="1352"/>
    </row>
    <row r="32" spans="1:23">
      <c r="B32" s="1348"/>
      <c r="D32" s="1364"/>
      <c r="E32" s="1364"/>
      <c r="F32" s="1364"/>
      <c r="G32" s="1364"/>
      <c r="H32" s="1364"/>
      <c r="I32" s="1365"/>
      <c r="J32" s="1365"/>
      <c r="K32" s="1365"/>
      <c r="L32" s="1365"/>
      <c r="M32" s="1365"/>
      <c r="N32" s="1365"/>
      <c r="O32" s="1365"/>
      <c r="P32" s="1480" t="s">
        <v>1033</v>
      </c>
      <c r="Q32" s="1480"/>
      <c r="R32" s="1362"/>
      <c r="S32" s="1369"/>
      <c r="T32" s="1352"/>
      <c r="U32" s="1352"/>
      <c r="V32" s="1352"/>
      <c r="W32" s="1352"/>
    </row>
    <row r="33" spans="1:23">
      <c r="B33" s="1367" t="s">
        <v>1034</v>
      </c>
      <c r="C33" s="1368"/>
      <c r="D33" s="1368"/>
      <c r="E33" s="1368"/>
      <c r="F33" s="1368"/>
      <c r="G33" s="1368"/>
      <c r="H33" s="1368"/>
      <c r="I33" s="1368"/>
      <c r="J33" s="1368"/>
      <c r="K33" s="1368"/>
      <c r="L33" s="1368"/>
      <c r="M33" s="1368"/>
      <c r="N33" s="1368"/>
      <c r="O33" s="1368"/>
      <c r="P33" s="1368"/>
      <c r="Q33" s="1368"/>
      <c r="R33" s="1352"/>
      <c r="S33" s="1369"/>
      <c r="T33" s="1352"/>
      <c r="U33" s="1352"/>
      <c r="V33" s="1352"/>
      <c r="W33" s="1352"/>
    </row>
    <row r="34" spans="1:23">
      <c r="A34" s="1348" t="s">
        <v>1084</v>
      </c>
      <c r="B34" s="1370" t="s">
        <v>1036</v>
      </c>
      <c r="C34" s="1348" t="s">
        <v>1037</v>
      </c>
      <c r="D34" s="1371" t="s">
        <v>1038</v>
      </c>
      <c r="E34" s="1371" t="s">
        <v>1039</v>
      </c>
      <c r="F34" s="1372"/>
      <c r="G34" s="1371"/>
      <c r="H34" s="1371"/>
      <c r="I34" s="1381">
        <v>23470157</v>
      </c>
      <c r="J34" s="1392" t="s">
        <v>115</v>
      </c>
      <c r="K34" s="1381"/>
      <c r="L34" s="1381"/>
      <c r="M34" s="1381">
        <v>6035548</v>
      </c>
      <c r="N34" s="1381"/>
      <c r="O34" s="1381"/>
      <c r="P34" s="1389">
        <f>SUM(I34:O34)</f>
        <v>29505705</v>
      </c>
      <c r="Q34" s="1376"/>
      <c r="R34" s="1377" t="s">
        <v>642</v>
      </c>
      <c r="S34" s="1369"/>
      <c r="T34" s="1352"/>
      <c r="U34" s="1352"/>
      <c r="V34" s="1352"/>
      <c r="W34" s="1352"/>
    </row>
    <row r="35" spans="1:23">
      <c r="A35" s="1348" t="s">
        <v>1085</v>
      </c>
      <c r="B35" s="1370" t="s">
        <v>1052</v>
      </c>
      <c r="C35" s="1348" t="s">
        <v>1053</v>
      </c>
      <c r="D35" s="1371" t="s">
        <v>1044</v>
      </c>
      <c r="E35" s="1371" t="s">
        <v>1039</v>
      </c>
      <c r="F35" s="1384">
        <v>-82304124</v>
      </c>
      <c r="G35" s="1380" t="s">
        <v>1045</v>
      </c>
      <c r="H35" s="1380" t="s">
        <v>1046</v>
      </c>
      <c r="I35" s="1376"/>
      <c r="J35" s="1381">
        <v>-79548435</v>
      </c>
      <c r="K35" s="1381"/>
      <c r="L35" s="1381"/>
      <c r="M35" s="1381"/>
      <c r="N35" s="1381">
        <v>1147396</v>
      </c>
      <c r="O35" s="1381">
        <v>13319418</v>
      </c>
      <c r="P35" s="1376"/>
      <c r="Q35" s="1388">
        <f>SUM(J35:O35)</f>
        <v>-65081621</v>
      </c>
      <c r="R35" s="1475" t="s">
        <v>1086</v>
      </c>
      <c r="S35" s="1369"/>
      <c r="T35" s="1352"/>
      <c r="U35" s="1352"/>
      <c r="V35" s="1352"/>
      <c r="W35" s="1352"/>
    </row>
    <row r="36" spans="1:23">
      <c r="A36" s="1348" t="s">
        <v>1087</v>
      </c>
      <c r="B36" s="1370" t="s">
        <v>1052</v>
      </c>
      <c r="C36" s="1348" t="s">
        <v>1053</v>
      </c>
      <c r="D36" s="1371" t="s">
        <v>1056</v>
      </c>
      <c r="E36" s="1371" t="s">
        <v>1039</v>
      </c>
      <c r="F36" s="1387">
        <v>-14907164</v>
      </c>
      <c r="G36" s="1380" t="s">
        <v>1057</v>
      </c>
      <c r="H36" s="1380" t="s">
        <v>1058</v>
      </c>
      <c r="I36" s="1376"/>
      <c r="J36" s="1381">
        <v>-13431855</v>
      </c>
      <c r="K36" s="1381"/>
      <c r="L36" s="1381"/>
      <c r="M36" s="1381"/>
      <c r="N36" s="1381">
        <v>3749270</v>
      </c>
      <c r="O36" s="1381">
        <v>-20310000</v>
      </c>
      <c r="P36" s="1376"/>
      <c r="Q36" s="1388">
        <f>SUM(J36:O36)</f>
        <v>-29992585</v>
      </c>
      <c r="R36" s="1475"/>
      <c r="S36" s="1369"/>
      <c r="T36" s="1352"/>
      <c r="U36" s="1352"/>
      <c r="V36" s="1352"/>
      <c r="W36" s="1352"/>
    </row>
    <row r="37" spans="1:23">
      <c r="A37" s="1348" t="s">
        <v>1088</v>
      </c>
      <c r="B37" s="1370" t="s">
        <v>1060</v>
      </c>
      <c r="C37" s="1348" t="s">
        <v>1061</v>
      </c>
      <c r="D37" s="1371" t="s">
        <v>1044</v>
      </c>
      <c r="E37" s="1371" t="s">
        <v>1039</v>
      </c>
      <c r="F37" s="1387"/>
      <c r="G37" s="1380"/>
      <c r="H37" s="1380"/>
      <c r="I37" s="1381">
        <v>79548435</v>
      </c>
      <c r="J37" s="1376"/>
      <c r="K37" s="1381"/>
      <c r="L37" s="1381"/>
      <c r="M37" s="1381">
        <v>-14466814</v>
      </c>
      <c r="N37" s="1381"/>
      <c r="O37" s="1381"/>
      <c r="P37" s="1389">
        <f>SUM(I37:O37)</f>
        <v>65081621</v>
      </c>
      <c r="Q37" s="1376"/>
      <c r="R37" s="1481" t="s">
        <v>642</v>
      </c>
      <c r="S37" s="1369"/>
      <c r="T37" s="1352"/>
      <c r="U37" s="1352"/>
      <c r="V37" s="1352"/>
      <c r="W37" s="1352"/>
    </row>
    <row r="38" spans="1:23">
      <c r="A38" s="1348" t="s">
        <v>1089</v>
      </c>
      <c r="B38" s="1370" t="s">
        <v>1060</v>
      </c>
      <c r="C38" s="1348" t="s">
        <v>1061</v>
      </c>
      <c r="D38" s="1371" t="s">
        <v>1056</v>
      </c>
      <c r="E38" s="1371" t="s">
        <v>1039</v>
      </c>
      <c r="F38" s="1387"/>
      <c r="G38" s="1380"/>
      <c r="H38" s="1380"/>
      <c r="I38" s="1381">
        <v>13431855</v>
      </c>
      <c r="J38" s="1376"/>
      <c r="K38" s="1381"/>
      <c r="L38" s="1381"/>
      <c r="M38" s="1381">
        <v>16560730</v>
      </c>
      <c r="N38" s="1381"/>
      <c r="O38" s="1381"/>
      <c r="P38" s="1389">
        <f>SUM(I38:O38)</f>
        <v>29992585</v>
      </c>
      <c r="Q38" s="1376"/>
      <c r="R38" s="1481"/>
      <c r="S38" s="1369"/>
      <c r="T38" s="1352"/>
      <c r="U38" s="1352"/>
      <c r="V38" s="1352"/>
      <c r="W38" s="1352"/>
    </row>
    <row r="39" spans="1:23">
      <c r="A39" s="1348" t="s">
        <v>1090</v>
      </c>
      <c r="B39" s="1370" t="s">
        <v>1065</v>
      </c>
      <c r="C39" s="1348" t="s">
        <v>1066</v>
      </c>
      <c r="D39" s="1371" t="s">
        <v>1056</v>
      </c>
      <c r="E39" s="1371" t="s">
        <v>1039</v>
      </c>
      <c r="F39" s="1387">
        <v>5174807</v>
      </c>
      <c r="G39" s="1380" t="s">
        <v>1057</v>
      </c>
      <c r="H39" s="1380" t="s">
        <v>1058</v>
      </c>
      <c r="I39" s="1376"/>
      <c r="J39" s="1381">
        <v>4687796</v>
      </c>
      <c r="K39" s="1381"/>
      <c r="L39" s="1381"/>
      <c r="M39" s="1381"/>
      <c r="N39" s="1381">
        <v>-1308950</v>
      </c>
      <c r="O39" s="1381">
        <v>7091176</v>
      </c>
      <c r="P39" s="1390" t="s">
        <v>115</v>
      </c>
      <c r="Q39" s="1388">
        <f>SUM(J39:O39)</f>
        <v>10470022</v>
      </c>
      <c r="R39" s="1377" t="s">
        <v>1091</v>
      </c>
      <c r="S39" s="1369"/>
      <c r="T39" s="1352"/>
      <c r="U39" s="1352"/>
      <c r="V39" s="1352"/>
      <c r="W39" s="1352"/>
    </row>
    <row r="40" spans="1:23">
      <c r="A40" s="1348" t="s">
        <v>1092</v>
      </c>
      <c r="B40" s="1391" t="s">
        <v>1069</v>
      </c>
      <c r="C40" s="1348" t="s">
        <v>1070</v>
      </c>
      <c r="D40" s="1371" t="s">
        <v>1056</v>
      </c>
      <c r="E40" s="1371" t="s">
        <v>1039</v>
      </c>
      <c r="F40" s="1384"/>
      <c r="G40" s="1380"/>
      <c r="H40" s="1380"/>
      <c r="I40" s="1381">
        <v>4064407</v>
      </c>
      <c r="J40" s="1392"/>
      <c r="K40" s="1381"/>
      <c r="L40" s="1381"/>
      <c r="M40" s="1381">
        <v>-12428476</v>
      </c>
      <c r="N40" s="1381"/>
      <c r="O40" s="1381"/>
      <c r="P40" s="1389">
        <f>SUM(I40:O40)</f>
        <v>-8364069</v>
      </c>
      <c r="Q40" s="1390"/>
      <c r="R40" s="1393" t="s">
        <v>642</v>
      </c>
      <c r="S40" s="1369"/>
      <c r="T40" s="1352"/>
      <c r="U40" s="1352"/>
      <c r="V40" s="1352"/>
      <c r="W40" s="1352"/>
    </row>
    <row r="41" spans="1:23">
      <c r="A41" s="1348" t="s">
        <v>1093</v>
      </c>
      <c r="B41" s="1394" t="s">
        <v>1073</v>
      </c>
      <c r="D41" s="1371"/>
      <c r="E41" s="1371"/>
      <c r="F41" s="1384"/>
      <c r="G41" s="1380"/>
      <c r="H41" s="1380"/>
      <c r="I41" s="1381"/>
      <c r="J41" s="1381"/>
      <c r="K41" s="1381"/>
      <c r="L41" s="1381"/>
      <c r="M41" s="1381"/>
      <c r="N41" s="1381"/>
      <c r="O41" s="1381"/>
      <c r="P41" s="1383"/>
      <c r="Q41" s="1389"/>
      <c r="R41" s="1393"/>
      <c r="S41" s="1352"/>
      <c r="T41" s="1352"/>
      <c r="U41" s="1352"/>
      <c r="V41" s="1352"/>
      <c r="W41" s="1352"/>
    </row>
    <row r="42" spans="1:23" ht="12.75">
      <c r="B42" s="1395"/>
      <c r="C42" s="1395"/>
      <c r="D42" s="1395"/>
      <c r="E42" s="1395"/>
      <c r="F42" s="1395"/>
      <c r="G42" s="1395"/>
      <c r="H42" s="1395"/>
      <c r="I42" s="1395"/>
      <c r="J42" s="1395"/>
      <c r="K42" s="1395"/>
      <c r="L42" s="1395"/>
      <c r="M42" s="1395"/>
      <c r="N42"/>
      <c r="O42"/>
      <c r="P42"/>
      <c r="Q42"/>
      <c r="R42"/>
      <c r="S42" s="1352"/>
      <c r="T42" s="1352"/>
      <c r="U42" s="1352"/>
      <c r="V42" s="1352"/>
      <c r="W42" s="1352"/>
    </row>
    <row r="43" spans="1:23">
      <c r="B43" s="1367" t="s">
        <v>1074</v>
      </c>
      <c r="C43" s="1352"/>
      <c r="D43" s="1352"/>
      <c r="E43" s="1352"/>
      <c r="F43" s="1352"/>
      <c r="G43" s="1352"/>
      <c r="H43" s="1352"/>
      <c r="I43" s="1352"/>
      <c r="J43" s="1352"/>
      <c r="K43" s="1352"/>
      <c r="L43" s="1352"/>
      <c r="M43" s="1352"/>
      <c r="N43" s="1352"/>
      <c r="O43" s="1352"/>
      <c r="P43" s="1352"/>
      <c r="Q43" s="1369"/>
      <c r="R43" s="1413"/>
      <c r="S43" s="1352"/>
      <c r="T43" s="1352"/>
      <c r="U43" s="1352"/>
      <c r="V43" s="1352"/>
      <c r="W43" s="1352"/>
    </row>
    <row r="44" spans="1:23">
      <c r="A44" s="1348" t="s">
        <v>625</v>
      </c>
      <c r="B44" s="1398">
        <v>182.3</v>
      </c>
      <c r="C44" s="1399" t="s">
        <v>1076</v>
      </c>
      <c r="D44" s="1376" t="s">
        <v>115</v>
      </c>
      <c r="E44" s="1371" t="s">
        <v>1039</v>
      </c>
      <c r="F44" s="1376"/>
      <c r="G44" s="1376" t="s">
        <v>115</v>
      </c>
      <c r="H44" s="1376"/>
      <c r="I44" s="1400">
        <v>-2105953</v>
      </c>
      <c r="J44" s="1376"/>
      <c r="K44" s="1381"/>
      <c r="L44" s="1381"/>
      <c r="M44" s="1381"/>
      <c r="N44" s="1376"/>
      <c r="O44" s="1376"/>
      <c r="P44" s="1383">
        <f>SUM(I44:O44)</f>
        <v>-2105953</v>
      </c>
      <c r="Q44" s="1401"/>
      <c r="R44" s="1377" t="s">
        <v>1077</v>
      </c>
      <c r="S44" s="1352"/>
      <c r="T44" s="1352"/>
      <c r="U44" s="1352"/>
      <c r="V44" s="1352"/>
      <c r="W44" s="1352"/>
    </row>
    <row r="45" spans="1:23">
      <c r="A45" s="1348" t="s">
        <v>626</v>
      </c>
      <c r="B45" s="1398">
        <v>254</v>
      </c>
      <c r="C45" s="1399" t="s">
        <v>1079</v>
      </c>
      <c r="D45" s="1376" t="s">
        <v>115</v>
      </c>
      <c r="E45" s="1371" t="s">
        <v>1039</v>
      </c>
      <c r="F45" s="1376"/>
      <c r="G45" s="1376" t="s">
        <v>115</v>
      </c>
      <c r="H45" s="1376"/>
      <c r="I45" s="1400">
        <v>-118408901</v>
      </c>
      <c r="J45" s="1376"/>
      <c r="K45" s="1381"/>
      <c r="L45" s="1381"/>
      <c r="M45" s="1381">
        <f>-6035548+14466814-16560730+12428476</f>
        <v>4299012</v>
      </c>
      <c r="N45" s="1376"/>
      <c r="O45" s="1376"/>
      <c r="P45" s="1383">
        <f>SUM(I45:O45)</f>
        <v>-114109889</v>
      </c>
      <c r="Q45" s="1401"/>
      <c r="R45" s="1377" t="s">
        <v>1077</v>
      </c>
      <c r="S45" s="1352"/>
      <c r="T45" s="1352"/>
      <c r="U45" s="1352"/>
      <c r="V45" s="1352"/>
      <c r="W45" s="1352"/>
    </row>
    <row r="46" spans="1:23">
      <c r="A46" s="1348" t="s">
        <v>1094</v>
      </c>
      <c r="B46" s="1394" t="s">
        <v>1073</v>
      </c>
      <c r="C46" s="1399"/>
      <c r="D46" s="1376"/>
      <c r="E46" s="1371"/>
      <c r="F46" s="1376"/>
      <c r="G46" s="1376"/>
      <c r="H46" s="1376"/>
      <c r="I46" s="1381"/>
      <c r="J46" s="1376"/>
      <c r="K46" s="1381"/>
      <c r="L46" s="1381"/>
      <c r="M46" s="1381"/>
      <c r="N46" s="1376"/>
      <c r="O46" s="1376"/>
      <c r="P46" s="1401"/>
      <c r="Q46" s="1401"/>
      <c r="R46" s="1377"/>
      <c r="S46" s="1352"/>
      <c r="T46" s="1352"/>
      <c r="U46" s="1352"/>
      <c r="V46" s="1352"/>
      <c r="W46" s="1352"/>
    </row>
    <row r="47" spans="1:23">
      <c r="B47" s="1398"/>
      <c r="C47" s="1399"/>
      <c r="D47" s="1356"/>
      <c r="E47" s="1356"/>
      <c r="F47" s="1356"/>
      <c r="G47" s="1356"/>
      <c r="H47" s="1356"/>
      <c r="I47" s="1356"/>
      <c r="J47" s="1356"/>
      <c r="K47" s="1356"/>
      <c r="L47" s="1356"/>
      <c r="M47" s="1356"/>
      <c r="N47" s="1414"/>
      <c r="O47" s="1356"/>
      <c r="P47" s="1356"/>
      <c r="Q47" s="1356"/>
      <c r="R47" s="1402"/>
      <c r="S47" s="1352"/>
      <c r="T47" s="1352"/>
      <c r="U47" s="1352"/>
      <c r="V47" s="1352"/>
      <c r="W47" s="1352"/>
    </row>
    <row r="48" spans="1:23" ht="12.75" thickBot="1">
      <c r="A48" s="1403">
        <v>6</v>
      </c>
      <c r="B48" s="1476" t="str">
        <f>"Total For Accounting Entires (Sum of Lines "&amp;A34&amp;" through "&amp;A45&amp;")"</f>
        <v>Total For Accounting Entires (Sum of Lines 4a through 5b)</v>
      </c>
      <c r="C48" s="1476"/>
      <c r="D48" s="1376"/>
      <c r="E48" s="1376"/>
      <c r="F48" s="1376"/>
      <c r="G48" s="1376"/>
      <c r="H48" s="1376"/>
      <c r="I48" s="1404">
        <f>SUM(I34:I47)</f>
        <v>0</v>
      </c>
      <c r="J48" s="1405">
        <f>SUM(J34:J47)</f>
        <v>-88292494</v>
      </c>
      <c r="K48" s="1406">
        <f>SUM(K34:K47)</f>
        <v>0</v>
      </c>
      <c r="L48" s="1406">
        <f>SUM(L34:L47)</f>
        <v>0</v>
      </c>
      <c r="M48" s="1405">
        <f>SUM(M34:M47)</f>
        <v>0</v>
      </c>
      <c r="N48" s="1407">
        <f>-SUM(N34:N47)</f>
        <v>-3587716</v>
      </c>
      <c r="O48" s="1405">
        <f>-SUM(O34:O47)</f>
        <v>-100594</v>
      </c>
      <c r="P48" s="1406">
        <f>SUM(P34:P47)</f>
        <v>0</v>
      </c>
      <c r="Q48" s="1405">
        <f>SUM(Q34:Q47)</f>
        <v>-84604184</v>
      </c>
      <c r="R48" s="1408"/>
      <c r="S48" s="1352"/>
      <c r="T48" s="1352"/>
      <c r="U48" s="1352"/>
      <c r="V48" s="1352"/>
      <c r="W48" s="1352"/>
    </row>
    <row r="49" spans="1:23" ht="12.75" thickTop="1">
      <c r="B49" s="1398"/>
      <c r="C49" s="1399"/>
      <c r="D49" s="1356"/>
      <c r="E49" s="1356"/>
      <c r="F49" s="1356"/>
      <c r="G49" s="1356"/>
      <c r="H49" s="1356"/>
      <c r="I49" s="1409"/>
      <c r="J49" s="1387"/>
      <c r="K49" s="1410"/>
      <c r="L49" s="1410"/>
      <c r="M49" s="1410"/>
      <c r="N49" s="1411" t="s">
        <v>1082</v>
      </c>
      <c r="O49" s="1387"/>
      <c r="P49" s="1410"/>
      <c r="Q49" s="1412"/>
      <c r="R49" s="1408"/>
      <c r="S49" s="1352"/>
      <c r="T49" s="1352"/>
      <c r="U49" s="1352"/>
      <c r="V49" s="1352"/>
      <c r="W49" s="1352"/>
    </row>
    <row r="50" spans="1:23">
      <c r="B50" s="1398"/>
      <c r="C50" s="1399"/>
      <c r="D50" s="1356"/>
      <c r="E50" s="1356"/>
      <c r="F50" s="1356"/>
      <c r="G50" s="1356"/>
      <c r="H50" s="1356"/>
      <c r="I50" s="1409"/>
      <c r="J50" s="1387"/>
      <c r="K50" s="1410"/>
      <c r="L50" s="1410"/>
      <c r="M50" s="1410"/>
      <c r="N50" s="1387"/>
      <c r="O50" s="1387"/>
      <c r="P50" s="1410"/>
      <c r="Q50" s="1412"/>
      <c r="R50" s="1408"/>
      <c r="S50" s="1352"/>
      <c r="T50" s="1352"/>
      <c r="U50" s="1352"/>
      <c r="V50" s="1352"/>
      <c r="W50" s="1352"/>
    </row>
    <row r="51" spans="1:23" ht="18.600000000000001" customHeight="1">
      <c r="A51" s="1482" t="s">
        <v>1095</v>
      </c>
      <c r="B51" s="1482"/>
      <c r="C51" s="1482"/>
      <c r="D51" s="1482"/>
      <c r="E51" s="1482"/>
      <c r="F51" s="1482"/>
      <c r="G51" s="1482"/>
      <c r="H51" s="1482"/>
      <c r="I51" s="1482"/>
      <c r="J51" s="1482"/>
      <c r="K51" s="1410"/>
      <c r="L51" s="1410"/>
      <c r="M51" s="1410"/>
      <c r="N51" s="1387"/>
      <c r="O51" s="1387"/>
      <c r="P51" s="1410"/>
      <c r="Q51" s="1412"/>
      <c r="R51" s="1408"/>
      <c r="S51" s="1352"/>
      <c r="T51" s="1352"/>
      <c r="U51" s="1352"/>
      <c r="V51" s="1352"/>
      <c r="W51" s="1352"/>
    </row>
    <row r="52" spans="1:23" ht="23.1" customHeight="1">
      <c r="A52" s="1482"/>
      <c r="B52" s="1482"/>
      <c r="C52" s="1482"/>
      <c r="D52" s="1482"/>
      <c r="E52" s="1482"/>
      <c r="F52" s="1482"/>
      <c r="G52" s="1482"/>
      <c r="H52" s="1482"/>
      <c r="I52" s="1482"/>
      <c r="J52" s="1482"/>
      <c r="K52" s="1410"/>
      <c r="L52" s="1410"/>
      <c r="M52" s="1410"/>
      <c r="N52" s="1387"/>
      <c r="O52" s="1387"/>
      <c r="P52" s="1410"/>
      <c r="Q52" s="1412"/>
      <c r="R52" s="1408"/>
      <c r="S52" s="1352"/>
      <c r="T52" s="1352"/>
      <c r="U52" s="1352"/>
      <c r="V52" s="1352"/>
      <c r="W52" s="1352"/>
    </row>
    <row r="53" spans="1:23" ht="15" customHeight="1">
      <c r="B53" s="1398"/>
      <c r="C53" s="1399"/>
      <c r="D53" s="1356"/>
      <c r="E53" s="1356"/>
      <c r="F53" s="1356"/>
      <c r="G53" s="1356"/>
      <c r="H53" s="1356"/>
      <c r="I53" s="1409"/>
      <c r="J53" s="1387"/>
      <c r="K53" s="1410"/>
      <c r="L53" s="1410"/>
      <c r="M53" s="1410"/>
      <c r="N53" s="1387"/>
      <c r="O53" s="1387"/>
      <c r="P53" s="1410"/>
      <c r="Q53" s="1412"/>
      <c r="R53" s="1408"/>
      <c r="S53" s="1352"/>
      <c r="T53" s="1352"/>
      <c r="U53" s="1352"/>
      <c r="V53" s="1352"/>
      <c r="W53" s="1352"/>
    </row>
    <row r="54" spans="1:23">
      <c r="B54" s="1348"/>
      <c r="C54" s="1399"/>
      <c r="D54" s="1356"/>
      <c r="E54" s="1356"/>
      <c r="F54" s="1356"/>
      <c r="G54" s="1356"/>
      <c r="H54" s="1356"/>
      <c r="I54" s="1409"/>
      <c r="J54" s="1412"/>
      <c r="K54" s="1410"/>
      <c r="L54" s="1410"/>
      <c r="M54" s="1410"/>
      <c r="N54" s="1412"/>
      <c r="O54" s="1412"/>
      <c r="P54" s="1410"/>
      <c r="Q54" s="1412"/>
      <c r="R54" s="1408"/>
      <c r="S54" s="1352"/>
      <c r="T54" s="1352"/>
      <c r="U54" s="1352"/>
      <c r="V54" s="1352"/>
      <c r="W54" s="1352"/>
    </row>
    <row r="55" spans="1:23" ht="15" customHeight="1">
      <c r="A55" s="1415" t="s">
        <v>1096</v>
      </c>
      <c r="B55" s="1483" t="s">
        <v>1097</v>
      </c>
      <c r="C55" s="1483"/>
      <c r="D55" s="1483"/>
      <c r="E55" s="1483"/>
      <c r="F55" s="1483"/>
      <c r="G55" s="1483"/>
      <c r="H55" s="1483"/>
      <c r="I55" s="1483"/>
      <c r="J55" s="1483"/>
      <c r="K55" s="1416"/>
      <c r="L55" s="1410"/>
      <c r="M55" s="1410"/>
      <c r="O55" s="1417"/>
      <c r="P55" s="1417"/>
      <c r="Q55" s="1417"/>
      <c r="R55" s="1352"/>
    </row>
    <row r="56" spans="1:23">
      <c r="B56" s="1483"/>
      <c r="C56" s="1483"/>
      <c r="D56" s="1483"/>
      <c r="E56" s="1483"/>
      <c r="F56" s="1483"/>
      <c r="G56" s="1483"/>
      <c r="H56" s="1483"/>
      <c r="I56" s="1483"/>
      <c r="J56" s="1483"/>
      <c r="K56" s="1416"/>
      <c r="L56" s="1418"/>
      <c r="O56" s="1417"/>
      <c r="R56" s="1352"/>
    </row>
    <row r="57" spans="1:23">
      <c r="B57" s="1483"/>
      <c r="C57" s="1483"/>
      <c r="D57" s="1483"/>
      <c r="E57" s="1483"/>
      <c r="F57" s="1483"/>
      <c r="G57" s="1483"/>
      <c r="H57" s="1483"/>
      <c r="I57" s="1483"/>
      <c r="J57" s="1483"/>
      <c r="K57" s="1416"/>
      <c r="L57" s="1418"/>
      <c r="R57" s="1352"/>
    </row>
    <row r="58" spans="1:23">
      <c r="B58" s="1483"/>
      <c r="C58" s="1483"/>
      <c r="D58" s="1483"/>
      <c r="E58" s="1483"/>
      <c r="F58" s="1483"/>
      <c r="G58" s="1483"/>
      <c r="H58" s="1483"/>
      <c r="I58" s="1483"/>
      <c r="J58" s="1483"/>
      <c r="K58" s="1416"/>
      <c r="L58" s="1418"/>
      <c r="P58" s="1417"/>
      <c r="Q58" s="1417"/>
      <c r="R58" s="1352"/>
    </row>
    <row r="59" spans="1:23">
      <c r="B59" s="1483"/>
      <c r="C59" s="1483"/>
      <c r="D59" s="1483"/>
      <c r="E59" s="1483"/>
      <c r="F59" s="1483"/>
      <c r="G59" s="1483"/>
      <c r="H59" s="1483"/>
      <c r="I59" s="1483"/>
      <c r="J59" s="1483"/>
      <c r="K59" s="1416"/>
      <c r="R59" s="1352"/>
    </row>
    <row r="60" spans="1:23">
      <c r="B60" s="1483"/>
      <c r="C60" s="1483"/>
      <c r="D60" s="1483"/>
      <c r="E60" s="1483"/>
      <c r="F60" s="1483"/>
      <c r="G60" s="1483"/>
      <c r="H60" s="1483"/>
      <c r="I60" s="1483"/>
      <c r="J60" s="1483"/>
      <c r="K60" s="1416"/>
      <c r="R60" s="1352"/>
    </row>
    <row r="61" spans="1:23" ht="5.0999999999999996" customHeight="1">
      <c r="B61" s="1416"/>
      <c r="C61" s="1416"/>
      <c r="D61" s="1416"/>
      <c r="E61" s="1416"/>
      <c r="F61" s="1416"/>
      <c r="G61" s="1416"/>
      <c r="H61" s="1416"/>
      <c r="I61" s="1416"/>
      <c r="J61" s="1416"/>
      <c r="K61" s="1416"/>
      <c r="R61" s="1352"/>
    </row>
    <row r="62" spans="1:23" ht="12.6" customHeight="1">
      <c r="A62" s="1348" t="s">
        <v>1098</v>
      </c>
      <c r="B62" s="1419" t="s">
        <v>1099</v>
      </c>
      <c r="C62" s="1419"/>
      <c r="D62" s="1419"/>
      <c r="E62" s="1419"/>
      <c r="F62" s="1419"/>
      <c r="G62" s="1419"/>
      <c r="H62" s="1419"/>
      <c r="I62" s="1419"/>
      <c r="J62" s="1419"/>
      <c r="K62" s="1416"/>
      <c r="L62" s="1410"/>
      <c r="M62" s="1410"/>
      <c r="R62" s="1352"/>
    </row>
    <row r="63" spans="1:23" ht="4.5" customHeight="1">
      <c r="B63" s="1419"/>
      <c r="C63" s="1419"/>
      <c r="D63" s="1419"/>
      <c r="E63" s="1419"/>
      <c r="F63" s="1419"/>
      <c r="G63" s="1419"/>
      <c r="H63" s="1419"/>
      <c r="I63" s="1419"/>
      <c r="J63" s="1419"/>
      <c r="K63" s="1416"/>
      <c r="M63" s="1410"/>
      <c r="R63" s="1352"/>
    </row>
    <row r="64" spans="1:23" ht="12.6" customHeight="1">
      <c r="A64" s="1348" t="s">
        <v>1100</v>
      </c>
      <c r="B64" s="1419" t="s">
        <v>1101</v>
      </c>
      <c r="C64" s="1419"/>
      <c r="D64" s="1419"/>
      <c r="E64" s="1419"/>
      <c r="F64" s="1419"/>
      <c r="G64" s="1419"/>
      <c r="H64" s="1419"/>
      <c r="I64" s="1419"/>
      <c r="J64" s="1419"/>
      <c r="K64" s="1416"/>
      <c r="L64" s="1410"/>
      <c r="M64" s="1410"/>
      <c r="R64" s="1352"/>
    </row>
    <row r="65" spans="1:18" ht="5.0999999999999996" customHeight="1">
      <c r="B65" s="1416"/>
      <c r="C65" s="1416"/>
      <c r="D65" s="1416"/>
      <c r="E65" s="1416"/>
      <c r="F65" s="1416"/>
      <c r="G65" s="1416"/>
      <c r="H65" s="1416"/>
      <c r="I65" s="1416"/>
      <c r="J65" s="1416"/>
      <c r="K65" s="1416"/>
      <c r="M65" s="1410"/>
      <c r="R65" s="1352"/>
    </row>
    <row r="66" spans="1:18" s="1363" customFormat="1" ht="12.6" customHeight="1">
      <c r="A66" s="1348" t="s">
        <v>1102</v>
      </c>
      <c r="B66" s="1484" t="s">
        <v>1103</v>
      </c>
      <c r="C66" s="1484"/>
      <c r="D66" s="1484"/>
      <c r="E66" s="1484"/>
      <c r="F66" s="1484"/>
      <c r="G66" s="1484"/>
      <c r="H66" s="1484"/>
      <c r="I66" s="1484"/>
      <c r="J66" s="1484"/>
      <c r="K66" s="1420"/>
      <c r="L66" s="1410"/>
      <c r="M66" s="1410"/>
      <c r="R66" s="1369"/>
    </row>
    <row r="67" spans="1:18" s="1363" customFormat="1" ht="12.6" customHeight="1">
      <c r="A67" s="1348"/>
      <c r="B67" s="1484"/>
      <c r="C67" s="1484"/>
      <c r="D67" s="1484"/>
      <c r="E67" s="1484"/>
      <c r="F67" s="1484"/>
      <c r="G67" s="1484"/>
      <c r="H67" s="1484"/>
      <c r="I67" s="1484"/>
      <c r="J67" s="1484"/>
      <c r="K67" s="1420"/>
      <c r="M67" s="1410"/>
      <c r="R67" s="1369"/>
    </row>
    <row r="68" spans="1:18" ht="5.0999999999999996" customHeight="1">
      <c r="B68" s="1416"/>
      <c r="C68" s="1416"/>
      <c r="D68" s="1416"/>
      <c r="E68" s="1416"/>
      <c r="F68" s="1416"/>
      <c r="G68" s="1416"/>
      <c r="H68" s="1416"/>
      <c r="I68" s="1416"/>
      <c r="J68" s="1416"/>
      <c r="K68" s="1416"/>
      <c r="M68" s="1410"/>
      <c r="R68" s="1352"/>
    </row>
    <row r="69" spans="1:18">
      <c r="A69" s="1348" t="s">
        <v>1104</v>
      </c>
      <c r="B69" s="1485" t="s">
        <v>1105</v>
      </c>
      <c r="C69" s="1485"/>
      <c r="D69" s="1485"/>
      <c r="E69" s="1485"/>
      <c r="F69" s="1485"/>
      <c r="G69" s="1485"/>
      <c r="H69" s="1485"/>
      <c r="I69" s="1485"/>
      <c r="J69" s="1485"/>
      <c r="K69" s="1416"/>
      <c r="L69" s="1410"/>
      <c r="M69" s="1410"/>
      <c r="R69" s="1352"/>
    </row>
    <row r="70" spans="1:18">
      <c r="B70" s="1485"/>
      <c r="C70" s="1485"/>
      <c r="D70" s="1485"/>
      <c r="E70" s="1485"/>
      <c r="F70" s="1485"/>
      <c r="G70" s="1485"/>
      <c r="H70" s="1485"/>
      <c r="I70" s="1485"/>
      <c r="J70" s="1485"/>
      <c r="K70" s="1416"/>
      <c r="M70" s="1410"/>
      <c r="R70" s="1352"/>
    </row>
    <row r="71" spans="1:18" ht="4.5" customHeight="1">
      <c r="B71" s="1421"/>
      <c r="C71" s="1416"/>
      <c r="D71" s="1416"/>
      <c r="E71" s="1416"/>
      <c r="F71" s="1416"/>
      <c r="G71" s="1416"/>
      <c r="H71" s="1416"/>
      <c r="I71" s="1416"/>
      <c r="J71" s="1416"/>
      <c r="K71" s="1416"/>
      <c r="M71" s="1410"/>
      <c r="R71" s="1352"/>
    </row>
    <row r="72" spans="1:18" ht="11.45" customHeight="1">
      <c r="A72" s="1403" t="s">
        <v>1106</v>
      </c>
      <c r="B72" s="1483"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83"/>
      <c r="D72" s="1483"/>
      <c r="E72" s="1483"/>
      <c r="F72" s="1483"/>
      <c r="G72" s="1483"/>
      <c r="H72" s="1483"/>
      <c r="I72" s="1483"/>
      <c r="J72" s="1416"/>
      <c r="K72" s="1418"/>
      <c r="L72" s="1410"/>
      <c r="M72" s="1410"/>
      <c r="R72" s="1352"/>
    </row>
    <row r="73" spans="1:18" ht="11.45" customHeight="1">
      <c r="B73" s="1483"/>
      <c r="C73" s="1483"/>
      <c r="D73" s="1483"/>
      <c r="E73" s="1483"/>
      <c r="F73" s="1483"/>
      <c r="G73" s="1483"/>
      <c r="H73" s="1483"/>
      <c r="I73" s="1483"/>
      <c r="J73" s="1416"/>
      <c r="R73" s="1352"/>
    </row>
    <row r="74" spans="1:18">
      <c r="B74" s="1483"/>
      <c r="C74" s="1483"/>
      <c r="D74" s="1483"/>
      <c r="E74" s="1483"/>
      <c r="F74" s="1483"/>
      <c r="G74" s="1483"/>
      <c r="H74" s="1483"/>
      <c r="I74" s="1483"/>
      <c r="R74" s="1352"/>
    </row>
    <row r="75" spans="1:18">
      <c r="R75" s="1352"/>
    </row>
    <row r="76" spans="1:18">
      <c r="R76" s="1352"/>
    </row>
    <row r="81" spans="1:11">
      <c r="A81" s="1415"/>
      <c r="B81" s="1415"/>
      <c r="C81" s="1415"/>
      <c r="D81" s="1415"/>
      <c r="E81" s="1415"/>
      <c r="F81" s="1415"/>
      <c r="G81" s="1415"/>
      <c r="H81" s="1415"/>
      <c r="I81" s="1415"/>
      <c r="J81" s="1415"/>
      <c r="K81" s="1415"/>
    </row>
    <row r="82" spans="1:11">
      <c r="A82" s="1415"/>
      <c r="B82" s="1415"/>
      <c r="C82" s="1415"/>
      <c r="D82" s="1415"/>
      <c r="E82" s="1415"/>
      <c r="F82" s="1415"/>
      <c r="G82" s="1415"/>
      <c r="H82" s="1415"/>
      <c r="I82" s="1415"/>
      <c r="J82" s="1415"/>
      <c r="K82" s="1415"/>
    </row>
    <row r="83" spans="1:11">
      <c r="D83" s="1415"/>
      <c r="E83" s="1415"/>
      <c r="F83" s="1415"/>
      <c r="G83" s="1415"/>
      <c r="H83" s="1415"/>
      <c r="I83" s="1415"/>
      <c r="J83" s="1415"/>
      <c r="K83" s="1415"/>
    </row>
    <row r="84" spans="1:11">
      <c r="A84" s="1415"/>
      <c r="B84" s="1415"/>
      <c r="C84" s="1415"/>
      <c r="D84" s="1415"/>
      <c r="E84" s="1415"/>
      <c r="F84" s="1415"/>
      <c r="G84" s="1415"/>
      <c r="H84" s="1415"/>
      <c r="I84" s="1415"/>
      <c r="J84" s="1415"/>
      <c r="K84" s="1415"/>
    </row>
    <row r="85" spans="1:11">
      <c r="A85" s="1415"/>
      <c r="B85" s="1415"/>
      <c r="C85" s="1415"/>
      <c r="D85" s="1415"/>
      <c r="E85" s="1415"/>
      <c r="F85" s="1415"/>
      <c r="G85" s="1415"/>
      <c r="H85" s="1415"/>
      <c r="I85" s="1415"/>
      <c r="J85" s="1415"/>
      <c r="K85" s="1415"/>
    </row>
    <row r="86" spans="1:11">
      <c r="A86" s="1415"/>
      <c r="B86" s="1415"/>
      <c r="C86" s="1415"/>
      <c r="D86" s="1415"/>
      <c r="E86" s="1415"/>
      <c r="F86" s="1415"/>
      <c r="G86" s="1415"/>
      <c r="H86" s="1415"/>
      <c r="I86" s="1415"/>
      <c r="J86" s="1415"/>
      <c r="K86" s="1415"/>
    </row>
    <row r="87" spans="1:11">
      <c r="A87" s="1415"/>
      <c r="B87" s="1415"/>
      <c r="C87" s="1415"/>
      <c r="D87" s="1415"/>
      <c r="E87" s="1415"/>
      <c r="F87" s="1415"/>
      <c r="G87" s="1415"/>
      <c r="H87" s="1415"/>
      <c r="I87" s="1415"/>
      <c r="J87" s="1415"/>
      <c r="K87" s="1415"/>
    </row>
    <row r="88" spans="1:11">
      <c r="A88" s="1415"/>
      <c r="B88" s="1415"/>
      <c r="C88" s="1415"/>
      <c r="D88" s="1415"/>
      <c r="E88" s="1415"/>
      <c r="F88" s="1415"/>
      <c r="G88" s="1415"/>
      <c r="H88" s="1415"/>
      <c r="I88" s="1415"/>
      <c r="J88" s="1415"/>
      <c r="K88" s="1415"/>
    </row>
    <row r="89" spans="1:11">
      <c r="A89" s="1415"/>
      <c r="B89" s="1415"/>
      <c r="C89" s="1415"/>
      <c r="D89" s="1415"/>
      <c r="E89" s="1415"/>
      <c r="F89" s="1415"/>
      <c r="G89" s="1415"/>
      <c r="H89" s="1415"/>
      <c r="I89" s="1415"/>
      <c r="J89" s="1415"/>
      <c r="K89" s="1415"/>
    </row>
    <row r="90" spans="1:11">
      <c r="A90" s="1415"/>
      <c r="B90" s="1415"/>
      <c r="C90" s="1415"/>
      <c r="D90" s="1415"/>
      <c r="E90" s="1415"/>
      <c r="F90" s="1415"/>
      <c r="G90" s="1415"/>
      <c r="H90" s="1415"/>
      <c r="I90" s="1415"/>
      <c r="J90" s="1415"/>
      <c r="K90" s="1415"/>
    </row>
    <row r="91" spans="1:11">
      <c r="A91" s="1415"/>
      <c r="B91" s="1415"/>
      <c r="C91" s="1415"/>
      <c r="D91" s="1415"/>
      <c r="E91" s="1415"/>
      <c r="F91" s="1415"/>
      <c r="G91" s="1415"/>
      <c r="H91" s="1415"/>
      <c r="I91" s="1415"/>
      <c r="J91" s="1415"/>
      <c r="K91" s="1415"/>
    </row>
    <row r="98" spans="1:11">
      <c r="B98" s="1403"/>
    </row>
    <row r="99" spans="1:11">
      <c r="B99" s="1418"/>
    </row>
    <row r="100" spans="1:11">
      <c r="B100" s="1418"/>
    </row>
    <row r="101" spans="1:11">
      <c r="B101" s="1418"/>
    </row>
    <row r="102" spans="1:11">
      <c r="B102" s="1418"/>
      <c r="D102" s="1363"/>
      <c r="E102" s="1363"/>
      <c r="F102" s="1363"/>
    </row>
    <row r="103" spans="1:11">
      <c r="A103" s="1422"/>
      <c r="B103" s="1415"/>
      <c r="C103" s="1415"/>
      <c r="D103" s="1415"/>
      <c r="E103" s="1415"/>
      <c r="F103" s="1415"/>
      <c r="G103" s="1415"/>
      <c r="H103" s="1415"/>
      <c r="I103" s="1415"/>
      <c r="J103" s="1415"/>
      <c r="K103" s="1415"/>
    </row>
    <row r="104" spans="1:11">
      <c r="A104" s="1415"/>
      <c r="B104" s="1415"/>
      <c r="C104" s="1415"/>
      <c r="D104" s="1415"/>
      <c r="E104" s="1415"/>
      <c r="F104" s="1415"/>
      <c r="G104" s="1415"/>
      <c r="H104" s="1415"/>
      <c r="I104" s="1415"/>
      <c r="J104" s="1415"/>
      <c r="K104" s="1415"/>
    </row>
    <row r="105" spans="1:11">
      <c r="A105" s="1415"/>
      <c r="B105" s="1415"/>
      <c r="C105" s="1415"/>
      <c r="D105" s="1415"/>
      <c r="E105" s="1415"/>
      <c r="F105" s="1415"/>
      <c r="G105" s="1415"/>
      <c r="H105" s="1415"/>
      <c r="I105" s="1415"/>
      <c r="J105" s="1415"/>
      <c r="K105" s="1415"/>
    </row>
    <row r="106" spans="1:11">
      <c r="A106" s="1415"/>
      <c r="B106" s="1415"/>
      <c r="C106" s="1415"/>
      <c r="D106" s="1415"/>
      <c r="E106" s="1415"/>
      <c r="F106" s="1415"/>
      <c r="G106" s="1415"/>
      <c r="H106" s="1415"/>
      <c r="I106" s="1415"/>
      <c r="J106" s="1415"/>
      <c r="K106" s="1415"/>
    </row>
    <row r="107" spans="1:11">
      <c r="A107" s="1415"/>
      <c r="B107" s="1415"/>
      <c r="C107" s="1415"/>
      <c r="D107" s="1423"/>
      <c r="E107" s="1423"/>
      <c r="F107" s="1423"/>
      <c r="G107" s="1415"/>
      <c r="H107" s="1415"/>
      <c r="I107" s="1415"/>
      <c r="J107" s="1415"/>
      <c r="K107" s="1415"/>
    </row>
    <row r="108" spans="1:11">
      <c r="A108" s="1415"/>
      <c r="B108" s="1415"/>
      <c r="C108" s="1415"/>
      <c r="D108" s="1417"/>
      <c r="E108" s="1417"/>
      <c r="F108" s="1417"/>
      <c r="G108" s="1415"/>
      <c r="H108" s="1415"/>
      <c r="I108" s="1415"/>
      <c r="J108" s="1415"/>
      <c r="K108" s="1415"/>
    </row>
    <row r="109" spans="1:11">
      <c r="A109" s="1415"/>
      <c r="B109" s="1415"/>
      <c r="C109" s="1415"/>
      <c r="D109" s="1423"/>
      <c r="E109" s="1423"/>
      <c r="F109" s="1423"/>
      <c r="G109" s="1415"/>
      <c r="H109" s="1415"/>
      <c r="I109" s="1415"/>
      <c r="J109" s="1415"/>
      <c r="K109" s="1415"/>
    </row>
    <row r="110" spans="1:11">
      <c r="A110" s="1415"/>
      <c r="B110" s="1415"/>
      <c r="C110" s="1415"/>
      <c r="D110" s="1415"/>
      <c r="E110" s="1415"/>
      <c r="F110" s="1415"/>
      <c r="G110" s="1415"/>
      <c r="H110" s="1415"/>
      <c r="I110" s="1415"/>
      <c r="J110" s="1415"/>
      <c r="K110" s="1415"/>
    </row>
    <row r="111" spans="1:11">
      <c r="A111" s="1415"/>
      <c r="B111" s="1415"/>
      <c r="C111" s="1415"/>
      <c r="D111" s="1415"/>
      <c r="E111" s="1415"/>
      <c r="F111" s="1415"/>
      <c r="G111" s="1415"/>
      <c r="H111" s="1415"/>
      <c r="I111" s="1415"/>
      <c r="J111" s="1415"/>
      <c r="K111" s="1415"/>
    </row>
    <row r="112" spans="1:11">
      <c r="A112" s="1415"/>
      <c r="B112" s="1415"/>
      <c r="C112" s="1415"/>
      <c r="D112" s="1415"/>
      <c r="E112" s="1415"/>
      <c r="F112" s="1415"/>
      <c r="G112" s="1415"/>
      <c r="H112" s="1415"/>
      <c r="I112" s="1415"/>
      <c r="J112" s="1415"/>
      <c r="K112" s="1415"/>
    </row>
    <row r="113" spans="1:11">
      <c r="A113" s="1415"/>
      <c r="C113" s="1415"/>
      <c r="D113" s="1415"/>
      <c r="E113" s="1415"/>
      <c r="F113" s="1415"/>
      <c r="G113" s="1415"/>
      <c r="H113" s="1415"/>
      <c r="I113" s="1415"/>
      <c r="J113" s="1415"/>
      <c r="K113" s="1415"/>
    </row>
    <row r="114" spans="1:11">
      <c r="A114" s="1415"/>
      <c r="B114" s="1415"/>
      <c r="C114" s="1415"/>
      <c r="D114" s="1415"/>
      <c r="E114" s="1415"/>
      <c r="F114" s="1415"/>
      <c r="G114" s="1415"/>
      <c r="H114" s="1415"/>
      <c r="I114" s="1415"/>
      <c r="J114" s="1415"/>
      <c r="K114" s="1415"/>
    </row>
    <row r="115" spans="1:11">
      <c r="A115" s="1415"/>
      <c r="B115" s="1415"/>
      <c r="C115" s="1415"/>
      <c r="D115" s="1415"/>
      <c r="E115" s="1415"/>
      <c r="F115" s="1415"/>
      <c r="G115" s="1415"/>
      <c r="H115" s="1415"/>
      <c r="I115" s="1415"/>
      <c r="J115" s="1415"/>
      <c r="K115" s="1415"/>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38"/>
  <sheetViews>
    <sheetView topLeftCell="A28" zoomScale="85" zoomScaleNormal="85" zoomScaleSheetLayoutView="100" workbookViewId="0">
      <selection activeCell="C47" sqref="C47"/>
    </sheetView>
  </sheetViews>
  <sheetFormatPr defaultColWidth="11.42578125" defaultRowHeight="12.75"/>
  <cols>
    <col min="1" max="1" width="8.140625" style="71" customWidth="1"/>
    <col min="2" max="2" width="16.5703125" style="72" bestFit="1" customWidth="1"/>
    <col min="3" max="3" width="44.140625" style="72" customWidth="1"/>
    <col min="4" max="4" width="29.7109375" style="72" customWidth="1"/>
    <col min="5" max="5" width="24.28515625" style="81" customWidth="1"/>
    <col min="6" max="6" width="1" style="81" customWidth="1"/>
    <col min="7" max="7" width="20.85546875" style="72" customWidth="1"/>
    <col min="8" max="8" width="1" style="72" customWidth="1"/>
    <col min="9" max="9" width="19.140625" style="72" customWidth="1"/>
    <col min="10" max="10" width="16.7109375" style="72" customWidth="1"/>
    <col min="11" max="11" width="15.28515625" style="72" customWidth="1"/>
    <col min="12" max="12" width="33.5703125" style="72" customWidth="1"/>
    <col min="13" max="14" width="13.42578125" style="72" customWidth="1"/>
    <col min="15" max="15" width="13.7109375" style="72" customWidth="1"/>
    <col min="16" max="16384" width="11.42578125" style="72"/>
  </cols>
  <sheetData>
    <row r="1" spans="1:15" ht="15.75">
      <c r="A1" s="920" t="s">
        <v>115</v>
      </c>
    </row>
    <row r="2" spans="1:15" ht="15.75">
      <c r="A2" s="920" t="s">
        <v>115</v>
      </c>
    </row>
    <row r="3" spans="1:15" ht="15">
      <c r="A3" s="1461" t="str">
        <f>+'WS B ADIT &amp; ITC'!A3:I3</f>
        <v>AEP East Companies</v>
      </c>
      <c r="B3" s="1461"/>
      <c r="C3" s="1461"/>
      <c r="D3" s="1461"/>
      <c r="E3" s="1461"/>
      <c r="F3" s="1461"/>
      <c r="G3" s="1461"/>
      <c r="H3" s="1461"/>
      <c r="I3" s="1461"/>
      <c r="J3" s="1461"/>
      <c r="K3" s="1461"/>
      <c r="L3" s="1461"/>
      <c r="M3" s="40"/>
      <c r="N3" s="40"/>
      <c r="O3" s="40"/>
    </row>
    <row r="4" spans="1:15"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99"/>
      <c r="N4" s="99"/>
      <c r="O4" s="99"/>
    </row>
    <row r="5" spans="1:15" ht="15">
      <c r="A5" s="1462" t="s">
        <v>496</v>
      </c>
      <c r="B5" s="1462"/>
      <c r="C5" s="1462"/>
      <c r="D5" s="1462"/>
      <c r="E5" s="1462"/>
      <c r="F5" s="1462"/>
      <c r="G5" s="1462"/>
      <c r="H5" s="1462"/>
      <c r="I5" s="1462"/>
      <c r="J5" s="1462"/>
      <c r="K5" s="1462"/>
      <c r="L5" s="1462"/>
      <c r="M5" s="98"/>
      <c r="N5" s="98"/>
      <c r="O5" s="98"/>
    </row>
    <row r="6" spans="1:15" ht="15">
      <c r="A6" s="1473" t="str">
        <f>TCOS!F9</f>
        <v xml:space="preserve">Indiana Michigan Power Company </v>
      </c>
      <c r="B6" s="1473"/>
      <c r="C6" s="1473"/>
      <c r="D6" s="1473"/>
      <c r="E6" s="1473"/>
      <c r="F6" s="1473"/>
      <c r="G6" s="1473"/>
      <c r="H6" s="1473"/>
      <c r="I6" s="1473"/>
      <c r="J6" s="1473"/>
      <c r="K6" s="1473"/>
      <c r="L6" s="1473"/>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c r="A9" s="69"/>
    </row>
    <row r="10" spans="1:15" ht="18">
      <c r="A10" s="93"/>
      <c r="B10" s="1487" t="s">
        <v>208</v>
      </c>
      <c r="C10" s="1487"/>
      <c r="D10" s="1487"/>
      <c r="E10" s="1487"/>
      <c r="F10" s="1487"/>
      <c r="G10" s="1487"/>
      <c r="H10" s="1487"/>
      <c r="I10" s="1487"/>
      <c r="J10" s="1487"/>
      <c r="K10" s="1487"/>
      <c r="O10" s="81"/>
    </row>
    <row r="11" spans="1:15">
      <c r="A11" s="93"/>
      <c r="I11" s="16"/>
      <c r="J11" s="16"/>
      <c r="O11" s="81"/>
    </row>
    <row r="12" spans="1:15" ht="12.75" customHeight="1">
      <c r="A12" s="12" t="s">
        <v>170</v>
      </c>
      <c r="B12" s="74"/>
      <c r="C12" s="82"/>
      <c r="D12" s="206"/>
      <c r="E12" s="1488" t="str">
        <f>"Balance @ December 31, "&amp;TCOS!L4&amp;""</f>
        <v>Balance @ December 31, 2021</v>
      </c>
      <c r="F12" s="206"/>
      <c r="G12" s="1488" t="str">
        <f>"Balance @ December 31, "&amp;TCOS!L4-1&amp;""</f>
        <v>Balance @ December 31, 2020</v>
      </c>
      <c r="H12" s="262"/>
      <c r="I12" s="1474" t="str">
        <f>"Average Balance for "&amp;TCOS!L4&amp;""</f>
        <v>Average Balance for 2021</v>
      </c>
      <c r="J12" s="105"/>
      <c r="K12" s="77"/>
      <c r="L12" s="83"/>
      <c r="M12" s="77"/>
      <c r="N12" s="77"/>
      <c r="O12" s="81"/>
    </row>
    <row r="13" spans="1:15">
      <c r="A13" s="12" t="s">
        <v>107</v>
      </c>
      <c r="B13" s="78"/>
      <c r="C13" s="74"/>
      <c r="D13" s="207" t="s">
        <v>207</v>
      </c>
      <c r="E13" s="1489"/>
      <c r="F13" s="208"/>
      <c r="G13" s="1489"/>
      <c r="H13" s="209"/>
      <c r="I13" s="1472"/>
      <c r="J13" s="105"/>
      <c r="K13" s="84"/>
      <c r="L13" s="85"/>
      <c r="M13" s="75"/>
      <c r="N13" s="75"/>
    </row>
    <row r="14" spans="1:15">
      <c r="A14" s="78"/>
      <c r="B14" s="78"/>
      <c r="C14" s="74"/>
      <c r="D14" s="80"/>
      <c r="E14" s="73"/>
      <c r="F14" s="73"/>
      <c r="G14" s="233"/>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74">
        <v>1489000</v>
      </c>
      <c r="F17" s="32"/>
      <c r="G17" s="874">
        <v>1489000</v>
      </c>
      <c r="H17" s="32"/>
      <c r="I17" s="142">
        <f>IF(G17="",0,(E17+G17)/2)</f>
        <v>1489000</v>
      </c>
      <c r="J17"/>
      <c r="K17" s="142"/>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74">
        <v>534000</v>
      </c>
      <c r="F19" s="32"/>
      <c r="G19" s="874">
        <v>534000</v>
      </c>
      <c r="H19" s="79"/>
      <c r="I19" s="142">
        <f>IF(G19="",0,(E19+G19)/2)</f>
        <v>534000</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765</v>
      </c>
      <c r="D21" s="76" t="s">
        <v>438</v>
      </c>
      <c r="E21" s="874">
        <v>0</v>
      </c>
      <c r="F21" s="32"/>
      <c r="G21" s="874">
        <v>0</v>
      </c>
      <c r="H21" s="79"/>
      <c r="I21" s="142">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6"/>
      <c r="B23" s="196"/>
      <c r="C23" s="197"/>
      <c r="D23" s="198"/>
      <c r="E23" s="199"/>
      <c r="F23" s="199"/>
      <c r="G23" s="200"/>
      <c r="H23" s="201"/>
      <c r="I23" s="200"/>
      <c r="J23" s="202"/>
      <c r="K23" s="203"/>
      <c r="L23" s="204"/>
      <c r="M23" s="75"/>
      <c r="N23" s="75"/>
    </row>
    <row r="24" spans="1:14" ht="18">
      <c r="A24" s="78"/>
      <c r="B24" s="1487" t="s">
        <v>764</v>
      </c>
      <c r="C24" s="1487"/>
      <c r="D24" s="1487"/>
      <c r="E24" s="1487"/>
      <c r="F24" s="1487"/>
      <c r="G24" s="1487"/>
      <c r="H24" s="1487"/>
      <c r="I24" s="1487"/>
      <c r="J24" s="1487"/>
      <c r="K24" s="1487"/>
      <c r="L24" s="85"/>
      <c r="M24" s="75"/>
      <c r="N24" s="75"/>
    </row>
    <row r="25" spans="1:14" ht="12.75" customHeight="1">
      <c r="A25" s="78"/>
      <c r="B25" s="155"/>
      <c r="C25" s="74"/>
      <c r="D25" s="26"/>
      <c r="E25" s="10"/>
      <c r="F25" s="72"/>
      <c r="G25" s="10" t="s">
        <v>88</v>
      </c>
      <c r="I25" s="8" t="s">
        <v>116</v>
      </c>
      <c r="J25" s="8" t="s">
        <v>116</v>
      </c>
      <c r="K25" s="8" t="s">
        <v>180</v>
      </c>
      <c r="L25" s="85"/>
      <c r="M25" s="75"/>
      <c r="N25" s="75"/>
    </row>
    <row r="26" spans="1:14" ht="12.75" customHeight="1">
      <c r="A26" s="78"/>
      <c r="B26" s="155"/>
      <c r="C26" s="74"/>
      <c r="D26" s="152" t="s">
        <v>502</v>
      </c>
      <c r="E26" s="8" t="s">
        <v>532</v>
      </c>
      <c r="F26" s="72"/>
      <c r="G26" s="8" t="s">
        <v>116</v>
      </c>
      <c r="I26" s="8" t="s">
        <v>524</v>
      </c>
      <c r="J26" s="8" t="s">
        <v>162</v>
      </c>
      <c r="K26" s="8" t="s">
        <v>181</v>
      </c>
      <c r="L26" s="85"/>
      <c r="M26" s="75"/>
      <c r="N26" s="75"/>
    </row>
    <row r="27" spans="1:14" ht="12.75" customHeight="1">
      <c r="A27" s="78">
        <f>+A21+1</f>
        <v>5</v>
      </c>
      <c r="B27" s="155"/>
      <c r="C27" s="74"/>
      <c r="D27" s="13" t="s">
        <v>89</v>
      </c>
      <c r="E27" s="13" t="s">
        <v>503</v>
      </c>
      <c r="F27" s="72"/>
      <c r="G27" s="13" t="s">
        <v>525</v>
      </c>
      <c r="I27" s="13" t="s">
        <v>525</v>
      </c>
      <c r="J27" s="13" t="s">
        <v>525</v>
      </c>
      <c r="K27" s="13" t="s">
        <v>526</v>
      </c>
      <c r="L27" s="85"/>
      <c r="M27" s="75"/>
      <c r="N27" s="75"/>
    </row>
    <row r="28" spans="1:14">
      <c r="A28" s="78"/>
      <c r="B28" s="78"/>
      <c r="C28" s="74"/>
      <c r="D28" s="80"/>
      <c r="E28" s="73"/>
      <c r="F28" s="73"/>
      <c r="G28" s="81"/>
      <c r="H28" s="79"/>
      <c r="I28" s="81"/>
      <c r="J28" s="16"/>
      <c r="K28" s="234"/>
      <c r="L28" s="85"/>
      <c r="M28" s="75"/>
      <c r="N28" s="75"/>
    </row>
    <row r="29" spans="1:14">
      <c r="A29" s="78">
        <f>+A27+1</f>
        <v>6</v>
      </c>
      <c r="B29" s="78"/>
      <c r="C29" s="72" t="str">
        <f>"Totals as of December 31, "&amp;TCOS!L4&amp;""</f>
        <v>Totals as of December 31, 2021</v>
      </c>
      <c r="D29" s="156">
        <f>ROUND(D61,0)</f>
        <v>12100000</v>
      </c>
      <c r="E29" s="243">
        <f>ROUND(E61,0)</f>
        <v>-181403000</v>
      </c>
      <c r="F29" s="157"/>
      <c r="G29" s="156">
        <f>ROUND(G61,0)</f>
        <v>0</v>
      </c>
      <c r="H29" s="79"/>
      <c r="I29" s="156">
        <f>ROUND(I61,0)</f>
        <v>8784000</v>
      </c>
      <c r="J29" s="158">
        <f>+J61</f>
        <v>184719000</v>
      </c>
      <c r="K29" s="156">
        <f>ROUND(K61,0)</f>
        <v>193503000</v>
      </c>
      <c r="L29" s="85"/>
      <c r="M29" s="75"/>
      <c r="N29" s="75"/>
    </row>
    <row r="30" spans="1:14">
      <c r="A30" s="78">
        <f>+A29+1</f>
        <v>7</v>
      </c>
      <c r="B30" s="78"/>
      <c r="C30" s="72" t="str">
        <f>"Totals as of December 31, "&amp;TCOS!L4-1&amp;""</f>
        <v>Totals as of December 31, 2020</v>
      </c>
      <c r="D30" s="161">
        <f>IF(D92="","",D92)</f>
        <v>12100000</v>
      </c>
      <c r="E30" s="244">
        <f>IF(E92="","",E92)</f>
        <v>-170462000</v>
      </c>
      <c r="F30" s="73"/>
      <c r="G30" s="161" t="str">
        <f>IF(G92="","",G92)</f>
        <v/>
      </c>
      <c r="H30" s="79"/>
      <c r="I30" s="161">
        <f>IF(I92="","",I92)</f>
        <v>8784000</v>
      </c>
      <c r="J30" s="161">
        <f>IF(J92="","",J92)</f>
        <v>173778000</v>
      </c>
      <c r="K30" s="161">
        <f>IF(K92="","",K92)</f>
        <v>182562000</v>
      </c>
      <c r="L30" s="85"/>
      <c r="M30" s="75"/>
      <c r="N30" s="75"/>
    </row>
    <row r="31" spans="1:14" ht="13.5" thickBot="1">
      <c r="A31" s="78">
        <f>+A30+1</f>
        <v>8</v>
      </c>
      <c r="B31" s="78"/>
      <c r="C31" s="101" t="s">
        <v>214</v>
      </c>
      <c r="D31" s="162">
        <f>IF(D30="",0,(D29+D30)/2)</f>
        <v>12100000</v>
      </c>
      <c r="E31" s="162">
        <f>IF(E30="",0,(E29+E30)/2)</f>
        <v>-175932500</v>
      </c>
      <c r="F31" s="163"/>
      <c r="G31" s="162">
        <f>IF(G30="",0,(G29+G30)/2)</f>
        <v>0</v>
      </c>
      <c r="H31" s="95"/>
      <c r="I31" s="162">
        <f>IF(I30="",0,(I29+I30)/2)</f>
        <v>8784000</v>
      </c>
      <c r="J31" s="162">
        <f>IF(J30="",0,(J29+J30)/2)</f>
        <v>179248500</v>
      </c>
      <c r="K31" s="162">
        <f>IF(K30="",0,(K29+K30)/2)</f>
        <v>188032500</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486" t="str">
        <f>"Prepayments Account 165 - Balance @ 12/31/"&amp;D36&amp;""</f>
        <v>Prepayments Account 165 - Balance @ 12/31/2021</v>
      </c>
      <c r="C34" s="1490"/>
      <c r="D34" s="1490"/>
      <c r="E34" s="1490"/>
      <c r="F34" s="1490"/>
      <c r="G34" s="1490"/>
      <c r="H34" s="1490"/>
      <c r="I34" s="1490"/>
      <c r="J34" s="1490"/>
      <c r="K34" s="84"/>
      <c r="L34" s="85"/>
      <c r="M34" s="75"/>
      <c r="N34" s="75"/>
    </row>
    <row r="35" spans="1:14">
      <c r="A35" s="78"/>
      <c r="B35" s="148"/>
      <c r="C35" s="150"/>
      <c r="D35" s="26"/>
      <c r="E35" s="10"/>
      <c r="F35" s="72"/>
      <c r="G35" s="10" t="s">
        <v>88</v>
      </c>
      <c r="I35" s="8" t="s">
        <v>116</v>
      </c>
      <c r="J35" s="8" t="s">
        <v>116</v>
      </c>
      <c r="K35" s="8" t="s">
        <v>180</v>
      </c>
      <c r="L35"/>
      <c r="M35" s="75"/>
      <c r="N35" s="75"/>
    </row>
    <row r="36" spans="1:14">
      <c r="A36" s="78"/>
      <c r="B36" s="148"/>
      <c r="C36" s="151"/>
      <c r="D36" s="152" t="str">
        <f>""&amp;TCOS!L4</f>
        <v>2021</v>
      </c>
      <c r="E36" s="8" t="s">
        <v>532</v>
      </c>
      <c r="F36" s="72"/>
      <c r="G36" s="8" t="s">
        <v>116</v>
      </c>
      <c r="I36" s="8" t="s">
        <v>524</v>
      </c>
      <c r="J36" s="8" t="s">
        <v>162</v>
      </c>
      <c r="K36" s="8" t="s">
        <v>181</v>
      </c>
      <c r="L36"/>
      <c r="M36" s="75"/>
      <c r="N36" s="75"/>
    </row>
    <row r="37" spans="1:14">
      <c r="A37" s="78">
        <f>+A31+1</f>
        <v>9</v>
      </c>
      <c r="B37" s="13" t="s">
        <v>91</v>
      </c>
      <c r="C37" s="13" t="s">
        <v>168</v>
      </c>
      <c r="D37" s="13" t="s">
        <v>89</v>
      </c>
      <c r="E37" s="13" t="s">
        <v>503</v>
      </c>
      <c r="F37" s="72"/>
      <c r="G37" s="13" t="s">
        <v>525</v>
      </c>
      <c r="I37" s="13" t="s">
        <v>525</v>
      </c>
      <c r="J37" s="13" t="s">
        <v>525</v>
      </c>
      <c r="K37" s="13" t="s">
        <v>526</v>
      </c>
      <c r="L37" s="13" t="s">
        <v>40</v>
      </c>
      <c r="M37" s="75"/>
      <c r="N37" s="75"/>
    </row>
    <row r="38" spans="1:14">
      <c r="A38" s="78"/>
      <c r="B38" s="148"/>
      <c r="C38" s="150"/>
      <c r="D38" s="150"/>
      <c r="E38" s="150"/>
      <c r="F38" s="72"/>
      <c r="G38" s="150"/>
      <c r="I38" s="150"/>
      <c r="J38" s="150"/>
      <c r="K38" s="234"/>
      <c r="L38"/>
      <c r="M38" s="75"/>
      <c r="N38" s="75"/>
    </row>
    <row r="39" spans="1:14" ht="14.25">
      <c r="A39" s="78">
        <f>+A37+1</f>
        <v>10</v>
      </c>
      <c r="B39" s="875" t="s">
        <v>876</v>
      </c>
      <c r="C39" s="876" t="s">
        <v>877</v>
      </c>
      <c r="D39" s="1424">
        <v>5770000</v>
      </c>
      <c r="E39" s="1425">
        <f>+D39-K39</f>
        <v>0</v>
      </c>
      <c r="F39" s="72"/>
      <c r="G39" s="1426"/>
      <c r="I39" s="1426">
        <f>D39</f>
        <v>5770000</v>
      </c>
      <c r="J39" s="1426"/>
      <c r="K39" s="1426">
        <f t="shared" ref="K39:K54" si="0">+G39+I39+J39</f>
        <v>5770000</v>
      </c>
      <c r="L39" t="s">
        <v>533</v>
      </c>
      <c r="M39" s="75"/>
      <c r="N39" s="75"/>
    </row>
    <row r="40" spans="1:14" ht="14.25">
      <c r="A40" s="78">
        <f t="shared" ref="A40:A52" si="1">+A39+1</f>
        <v>11</v>
      </c>
      <c r="B40" s="1272">
        <v>165000218</v>
      </c>
      <c r="C40" s="876" t="s">
        <v>878</v>
      </c>
      <c r="D40" s="1424">
        <v>0</v>
      </c>
      <c r="E40" s="1425">
        <f t="shared" ref="E40:E56" si="2">+D40-K40</f>
        <v>0</v>
      </c>
      <c r="F40" s="72"/>
      <c r="G40" s="1426"/>
      <c r="I40" s="1426"/>
      <c r="J40" s="1426"/>
      <c r="K40" s="1426">
        <f t="shared" si="0"/>
        <v>0</v>
      </c>
      <c r="L40" t="s">
        <v>115</v>
      </c>
      <c r="M40" s="75"/>
      <c r="N40" s="75"/>
    </row>
    <row r="41" spans="1:14" ht="14.25">
      <c r="A41" s="78">
        <f t="shared" si="1"/>
        <v>12</v>
      </c>
      <c r="B41" s="1272">
        <v>165000219</v>
      </c>
      <c r="C41" s="876" t="s">
        <v>878</v>
      </c>
      <c r="D41" s="1424">
        <v>956000</v>
      </c>
      <c r="E41" s="1425">
        <f t="shared" si="2"/>
        <v>956000</v>
      </c>
      <c r="F41" s="72"/>
      <c r="G41" s="1426"/>
      <c r="I41" s="1426"/>
      <c r="J41" s="1426"/>
      <c r="K41" s="1426">
        <f t="shared" si="0"/>
        <v>0</v>
      </c>
      <c r="L41" t="s">
        <v>899</v>
      </c>
      <c r="M41" s="75"/>
      <c r="N41" s="75"/>
    </row>
    <row r="42" spans="1:14" ht="14.25">
      <c r="A42" s="78">
        <f t="shared" si="1"/>
        <v>13</v>
      </c>
      <c r="B42" s="875" t="s">
        <v>879</v>
      </c>
      <c r="C42" s="876" t="s">
        <v>880</v>
      </c>
      <c r="D42" s="1424">
        <v>8000</v>
      </c>
      <c r="E42" s="1425">
        <f t="shared" si="2"/>
        <v>8000</v>
      </c>
      <c r="F42" s="72"/>
      <c r="G42" s="1426"/>
      <c r="I42" s="1426"/>
      <c r="J42" s="1426"/>
      <c r="K42" s="1426">
        <f t="shared" si="0"/>
        <v>0</v>
      </c>
      <c r="L42" t="s">
        <v>900</v>
      </c>
      <c r="M42" s="75"/>
      <c r="N42" s="75"/>
    </row>
    <row r="43" spans="1:14" ht="14.25">
      <c r="A43" s="78">
        <f t="shared" si="1"/>
        <v>14</v>
      </c>
      <c r="B43" s="875" t="s">
        <v>881</v>
      </c>
      <c r="C43" s="876" t="s">
        <v>882</v>
      </c>
      <c r="D43" s="1424">
        <v>0</v>
      </c>
      <c r="E43" s="1425">
        <f t="shared" si="2"/>
        <v>0</v>
      </c>
      <c r="F43" s="72"/>
      <c r="G43" s="1427"/>
      <c r="I43" s="1427"/>
      <c r="J43" s="1427"/>
      <c r="K43" s="1427">
        <f t="shared" si="0"/>
        <v>0</v>
      </c>
      <c r="L43" s="21" t="s">
        <v>115</v>
      </c>
      <c r="M43" s="75"/>
      <c r="N43" s="75"/>
    </row>
    <row r="44" spans="1:14" ht="14.25">
      <c r="A44" s="78">
        <f t="shared" si="1"/>
        <v>15</v>
      </c>
      <c r="B44" s="875" t="s">
        <v>883</v>
      </c>
      <c r="C44" s="876" t="s">
        <v>884</v>
      </c>
      <c r="D44" s="1424">
        <v>1288000</v>
      </c>
      <c r="E44" s="1425">
        <f t="shared" si="2"/>
        <v>1288000</v>
      </c>
      <c r="F44" s="72"/>
      <c r="G44" s="1426"/>
      <c r="I44" s="1426"/>
      <c r="J44" s="1426"/>
      <c r="K44" s="1427">
        <f t="shared" si="0"/>
        <v>0</v>
      </c>
      <c r="L44" s="21" t="s">
        <v>901</v>
      </c>
      <c r="M44" s="75"/>
      <c r="N44" s="75"/>
    </row>
    <row r="45" spans="1:14" ht="14.25">
      <c r="A45" s="78">
        <f t="shared" si="1"/>
        <v>16</v>
      </c>
      <c r="B45" s="875" t="s">
        <v>885</v>
      </c>
      <c r="C45" s="876" t="s">
        <v>886</v>
      </c>
      <c r="D45" s="1424">
        <v>212000</v>
      </c>
      <c r="E45" s="1425">
        <f t="shared" si="2"/>
        <v>212000</v>
      </c>
      <c r="F45" s="72"/>
      <c r="G45" s="1426"/>
      <c r="I45" s="1426"/>
      <c r="J45" s="1426"/>
      <c r="K45" s="1427">
        <v>0</v>
      </c>
      <c r="L45" s="21" t="s">
        <v>902</v>
      </c>
      <c r="M45" s="75"/>
      <c r="N45" s="75"/>
    </row>
    <row r="46" spans="1:14" ht="14.25">
      <c r="A46" s="78">
        <f t="shared" si="1"/>
        <v>17</v>
      </c>
      <c r="B46" s="875" t="s">
        <v>887</v>
      </c>
      <c r="C46" s="876" t="s">
        <v>888</v>
      </c>
      <c r="D46" s="1424">
        <v>95923000</v>
      </c>
      <c r="E46" s="1425">
        <f t="shared" si="2"/>
        <v>0</v>
      </c>
      <c r="F46" s="72"/>
      <c r="G46" s="1426"/>
      <c r="I46" s="1426"/>
      <c r="J46" s="1426">
        <f>D46</f>
        <v>95923000</v>
      </c>
      <c r="K46" s="1427">
        <f t="shared" si="0"/>
        <v>95923000</v>
      </c>
      <c r="L46" s="5" t="s">
        <v>527</v>
      </c>
      <c r="M46" s="75"/>
      <c r="N46" s="75"/>
    </row>
    <row r="47" spans="1:14" ht="14.25">
      <c r="A47" s="78">
        <f t="shared" si="1"/>
        <v>18</v>
      </c>
      <c r="B47" s="875" t="s">
        <v>889</v>
      </c>
      <c r="C47" s="876" t="s">
        <v>890</v>
      </c>
      <c r="D47" s="1424">
        <v>-95923000</v>
      </c>
      <c r="E47" s="1425">
        <f t="shared" si="2"/>
        <v>-95923000</v>
      </c>
      <c r="F47" s="72"/>
      <c r="G47" s="1427"/>
      <c r="I47" s="1427"/>
      <c r="J47" s="1427"/>
      <c r="K47" s="1427">
        <f t="shared" si="0"/>
        <v>0</v>
      </c>
      <c r="L47" s="21" t="s">
        <v>31</v>
      </c>
      <c r="M47" s="75"/>
      <c r="N47" s="75"/>
    </row>
    <row r="48" spans="1:14" ht="14.25">
      <c r="A48" s="78">
        <f t="shared" si="1"/>
        <v>19</v>
      </c>
      <c r="B48" s="878">
        <v>165001119</v>
      </c>
      <c r="C48" s="876" t="s">
        <v>891</v>
      </c>
      <c r="D48" s="1424">
        <v>752000</v>
      </c>
      <c r="E48" s="1425">
        <f t="shared" si="2"/>
        <v>752000</v>
      </c>
      <c r="F48" s="72"/>
      <c r="G48" s="1427"/>
      <c r="I48" s="1427"/>
      <c r="J48" s="1427"/>
      <c r="K48" s="1427">
        <f t="shared" si="0"/>
        <v>0</v>
      </c>
      <c r="L48" s="1273" t="s">
        <v>903</v>
      </c>
      <c r="M48" s="75"/>
      <c r="N48" s="75"/>
    </row>
    <row r="49" spans="1:15" ht="14.25">
      <c r="A49" s="78">
        <f t="shared" si="1"/>
        <v>20</v>
      </c>
      <c r="B49" s="878">
        <v>165001219</v>
      </c>
      <c r="C49" s="876" t="s">
        <v>892</v>
      </c>
      <c r="D49" s="1424">
        <v>100000</v>
      </c>
      <c r="E49" s="1425">
        <f t="shared" si="2"/>
        <v>100000</v>
      </c>
      <c r="F49" s="72"/>
      <c r="G49" s="1427"/>
      <c r="I49" s="1427"/>
      <c r="J49" s="1427"/>
      <c r="K49" s="1427">
        <f t="shared" si="0"/>
        <v>0</v>
      </c>
      <c r="L49" s="1273" t="s">
        <v>904</v>
      </c>
      <c r="M49" s="75"/>
      <c r="N49" s="75"/>
    </row>
    <row r="50" spans="1:15" ht="14.25">
      <c r="A50" s="78">
        <f t="shared" si="1"/>
        <v>21</v>
      </c>
      <c r="B50" s="878">
        <v>1650021</v>
      </c>
      <c r="C50" s="876" t="s">
        <v>893</v>
      </c>
      <c r="D50" s="1424">
        <v>2526000</v>
      </c>
      <c r="E50" s="1425">
        <f t="shared" si="2"/>
        <v>0</v>
      </c>
      <c r="F50" s="72"/>
      <c r="G50" s="1427"/>
      <c r="I50" s="1427">
        <f>D50</f>
        <v>2526000</v>
      </c>
      <c r="J50" s="1427"/>
      <c r="K50" s="1427">
        <f t="shared" si="0"/>
        <v>2526000</v>
      </c>
      <c r="L50" s="1273" t="s">
        <v>905</v>
      </c>
      <c r="M50" s="75"/>
      <c r="N50" s="75"/>
    </row>
    <row r="51" spans="1:15" ht="14.25">
      <c r="A51" s="78">
        <f t="shared" si="1"/>
        <v>22</v>
      </c>
      <c r="B51" s="878">
        <v>1650022</v>
      </c>
      <c r="C51" s="876" t="s">
        <v>894</v>
      </c>
      <c r="D51" s="1424">
        <v>0</v>
      </c>
      <c r="E51" s="1425">
        <f t="shared" si="2"/>
        <v>0</v>
      </c>
      <c r="F51" s="72"/>
      <c r="G51" s="1427"/>
      <c r="I51" s="1427"/>
      <c r="J51" s="1427"/>
      <c r="K51" s="1427">
        <f t="shared" si="0"/>
        <v>0</v>
      </c>
      <c r="M51" s="75"/>
      <c r="N51" s="75"/>
    </row>
    <row r="52" spans="1:15" ht="14.25">
      <c r="A52" s="78">
        <f t="shared" si="1"/>
        <v>23</v>
      </c>
      <c r="B52" s="878">
        <v>1650023</v>
      </c>
      <c r="C52" s="876" t="s">
        <v>895</v>
      </c>
      <c r="D52" s="1424">
        <v>488000</v>
      </c>
      <c r="E52" s="1425">
        <f t="shared" si="2"/>
        <v>0</v>
      </c>
      <c r="F52" s="72"/>
      <c r="G52" s="1427"/>
      <c r="I52" s="1427">
        <f>D52</f>
        <v>488000</v>
      </c>
      <c r="J52" s="1427"/>
      <c r="K52" s="1427">
        <f t="shared" si="0"/>
        <v>488000</v>
      </c>
      <c r="L52" s="1273" t="s">
        <v>991</v>
      </c>
      <c r="M52" s="75"/>
      <c r="N52" s="75"/>
    </row>
    <row r="53" spans="1:15" ht="14.25">
      <c r="A53" s="78">
        <f t="shared" ref="A53:A60" si="3">A52+1</f>
        <v>24</v>
      </c>
      <c r="B53" s="878">
        <v>1650026</v>
      </c>
      <c r="C53" s="876" t="s">
        <v>896</v>
      </c>
      <c r="D53" s="1424">
        <v>0</v>
      </c>
      <c r="E53" s="1425">
        <f t="shared" si="2"/>
        <v>0</v>
      </c>
      <c r="F53" s="72"/>
      <c r="G53" s="1427"/>
      <c r="I53" s="1427"/>
      <c r="J53" s="1427"/>
      <c r="K53" s="1427">
        <f t="shared" si="0"/>
        <v>0</v>
      </c>
      <c r="L53" s="5"/>
      <c r="M53" s="75"/>
      <c r="N53" s="75"/>
    </row>
    <row r="54" spans="1:15" ht="14.25">
      <c r="A54" s="78">
        <f t="shared" si="3"/>
        <v>25</v>
      </c>
      <c r="B54" s="878">
        <v>1650030</v>
      </c>
      <c r="C54" s="876" t="s">
        <v>993</v>
      </c>
      <c r="D54" s="1424">
        <v>0</v>
      </c>
      <c r="E54" s="1425">
        <f t="shared" si="2"/>
        <v>0</v>
      </c>
      <c r="F54" s="72"/>
      <c r="G54" s="1426"/>
      <c r="I54" s="1426"/>
      <c r="J54" s="1426"/>
      <c r="K54" s="1427">
        <f t="shared" si="0"/>
        <v>0</v>
      </c>
      <c r="L54" s="5" t="s">
        <v>992</v>
      </c>
      <c r="M54" s="75"/>
      <c r="N54" s="75"/>
    </row>
    <row r="55" spans="1:15" ht="14.25">
      <c r="A55" s="78">
        <f t="shared" si="3"/>
        <v>26</v>
      </c>
      <c r="B55" s="878">
        <v>1650035</v>
      </c>
      <c r="C55" s="876" t="s">
        <v>897</v>
      </c>
      <c r="D55" s="1424">
        <v>88796000</v>
      </c>
      <c r="E55" s="1425">
        <f t="shared" si="2"/>
        <v>0</v>
      </c>
      <c r="F55" s="72"/>
      <c r="G55" s="1426"/>
      <c r="I55" s="1426"/>
      <c r="J55" s="1426">
        <f>D55</f>
        <v>88796000</v>
      </c>
      <c r="K55" s="1427">
        <f>J55</f>
        <v>88796000</v>
      </c>
      <c r="L55" s="5" t="s">
        <v>906</v>
      </c>
      <c r="M55" s="75"/>
      <c r="N55" s="75"/>
    </row>
    <row r="56" spans="1:15" ht="14.25">
      <c r="A56" s="78">
        <f t="shared" si="3"/>
        <v>27</v>
      </c>
      <c r="B56" s="878">
        <v>1650037</v>
      </c>
      <c r="C56" s="876" t="s">
        <v>898</v>
      </c>
      <c r="D56" s="1424">
        <v>-88796000</v>
      </c>
      <c r="E56" s="1425">
        <f t="shared" si="2"/>
        <v>-88796000</v>
      </c>
      <c r="F56" s="72"/>
      <c r="G56" s="1426"/>
      <c r="I56" s="1426"/>
      <c r="J56" s="1426"/>
      <c r="K56" s="1427">
        <f>J56</f>
        <v>0</v>
      </c>
      <c r="L56" s="21" t="s">
        <v>31</v>
      </c>
      <c r="M56" s="75"/>
      <c r="N56" s="75"/>
    </row>
    <row r="57" spans="1:15" ht="14.25">
      <c r="A57" s="78">
        <f t="shared" si="3"/>
        <v>28</v>
      </c>
      <c r="B57" s="878"/>
      <c r="C57" s="876"/>
      <c r="D57" s="1424"/>
      <c r="E57" s="1321"/>
      <c r="F57" s="72"/>
      <c r="G57" s="1320"/>
      <c r="I57" s="1320"/>
      <c r="J57" s="1320"/>
      <c r="K57" s="1321"/>
      <c r="L57" s="5"/>
      <c r="M57" s="75"/>
      <c r="N57" s="75"/>
    </row>
    <row r="58" spans="1:15" ht="14.25">
      <c r="A58" s="78">
        <f t="shared" si="3"/>
        <v>29</v>
      </c>
      <c r="B58" s="878"/>
      <c r="C58" s="876"/>
      <c r="D58" s="877"/>
      <c r="E58" s="1321"/>
      <c r="F58" s="72"/>
      <c r="G58" s="1320"/>
      <c r="I58" s="1320"/>
      <c r="J58" s="1320"/>
      <c r="K58" s="1321"/>
      <c r="L58" s="21"/>
      <c r="M58" s="75"/>
      <c r="N58" s="75"/>
    </row>
    <row r="59" spans="1:15" ht="14.25">
      <c r="A59" s="78">
        <f>A58+1</f>
        <v>30</v>
      </c>
      <c r="B59" s="878"/>
      <c r="C59" s="876"/>
      <c r="D59" s="877"/>
      <c r="E59" s="1321"/>
      <c r="F59" s="72"/>
      <c r="G59" s="1320"/>
      <c r="I59" s="1320"/>
      <c r="J59" s="1320"/>
      <c r="K59" s="1321"/>
      <c r="L59" s="1322"/>
      <c r="M59" s="75"/>
      <c r="N59" s="75"/>
    </row>
    <row r="60" spans="1:15" ht="15" thickBot="1">
      <c r="A60" s="78">
        <f t="shared" si="3"/>
        <v>31</v>
      </c>
      <c r="B60" s="878"/>
      <c r="C60" s="876"/>
      <c r="D60" s="877"/>
      <c r="E60" s="1321"/>
      <c r="F60" s="72"/>
      <c r="G60" s="1320"/>
      <c r="I60" s="1320"/>
      <c r="J60" s="1320"/>
      <c r="K60" s="1321"/>
      <c r="L60" s="1322"/>
      <c r="M60" s="75"/>
      <c r="N60" s="75"/>
    </row>
    <row r="61" spans="1:15" ht="14.25">
      <c r="A61" s="78"/>
      <c r="B61" s="148"/>
      <c r="C61" s="35" t="s">
        <v>504</v>
      </c>
      <c r="D61" s="879">
        <f>SUM(D39:D60)</f>
        <v>12100000</v>
      </c>
      <c r="E61" s="242">
        <f>SUM(E39:E60)</f>
        <v>-181403000</v>
      </c>
      <c r="F61" s="72"/>
      <c r="G61" s="153">
        <f>SUM(G39:G60)</f>
        <v>0</v>
      </c>
      <c r="I61" s="153">
        <f>SUM(I39:I60)</f>
        <v>8784000</v>
      </c>
      <c r="J61" s="153">
        <f>SUM(J39:J60)</f>
        <v>184719000</v>
      </c>
      <c r="K61" s="153">
        <f>SUM(K39:K60)</f>
        <v>193503000</v>
      </c>
      <c r="L61"/>
      <c r="M61" s="75"/>
      <c r="N61" s="75"/>
    </row>
    <row r="62" spans="1:15">
      <c r="A62" s="78"/>
      <c r="K62" s="154"/>
      <c r="L62"/>
      <c r="M62" s="75"/>
      <c r="N62" s="75"/>
    </row>
    <row r="63" spans="1:15">
      <c r="A63" s="78"/>
      <c r="B63"/>
      <c r="C63"/>
      <c r="D63"/>
      <c r="E63"/>
      <c r="F63"/>
      <c r="G63"/>
      <c r="H63"/>
      <c r="I63"/>
      <c r="J63"/>
      <c r="K63"/>
      <c r="L63"/>
      <c r="M63" s="21"/>
      <c r="N63" s="21"/>
      <c r="O63"/>
    </row>
    <row r="64" spans="1:15" ht="18">
      <c r="A64" s="78"/>
      <c r="B64" s="1486" t="str">
        <f>"Prepayments Account 165 - Balance @ 12/31/ "&amp;D66&amp;""</f>
        <v>Prepayments Account 165 - Balance @ 12/31/ 2020</v>
      </c>
      <c r="C64" s="1486"/>
      <c r="D64" s="1486"/>
      <c r="E64" s="1486"/>
      <c r="F64" s="1486"/>
      <c r="G64" s="1486"/>
      <c r="H64" s="1486"/>
      <c r="I64" s="1486"/>
      <c r="J64" s="1486"/>
      <c r="K64" s="84"/>
      <c r="L64" s="85"/>
      <c r="M64" s="75"/>
      <c r="N64" s="21"/>
      <c r="O64"/>
    </row>
    <row r="65" spans="1:15">
      <c r="A65" s="78"/>
      <c r="B65" s="255"/>
      <c r="C65" s="256"/>
      <c r="D65" s="257"/>
      <c r="E65" s="10"/>
      <c r="F65" s="72"/>
      <c r="G65" s="10" t="s">
        <v>88</v>
      </c>
      <c r="I65" s="8" t="s">
        <v>116</v>
      </c>
      <c r="J65" s="8" t="s">
        <v>116</v>
      </c>
      <c r="K65" s="8" t="s">
        <v>180</v>
      </c>
      <c r="L65"/>
      <c r="M65" s="75"/>
      <c r="N65" s="21"/>
      <c r="O65"/>
    </row>
    <row r="66" spans="1:15">
      <c r="A66" s="78"/>
      <c r="B66" s="255"/>
      <c r="C66" s="258"/>
      <c r="D66" s="8" t="str">
        <f>""&amp;TCOS!L4-1</f>
        <v>2020</v>
      </c>
      <c r="E66" s="8" t="s">
        <v>532</v>
      </c>
      <c r="F66" s="72"/>
      <c r="G66" s="8" t="s">
        <v>116</v>
      </c>
      <c r="I66" s="8" t="s">
        <v>524</v>
      </c>
      <c r="J66" s="8" t="s">
        <v>162</v>
      </c>
      <c r="K66" s="8" t="s">
        <v>181</v>
      </c>
      <c r="L66"/>
      <c r="M66" s="75"/>
      <c r="N66" s="21"/>
      <c r="O66"/>
    </row>
    <row r="67" spans="1:15">
      <c r="A67" s="78">
        <f>A60+1</f>
        <v>32</v>
      </c>
      <c r="B67" s="13" t="s">
        <v>91</v>
      </c>
      <c r="C67" s="13" t="s">
        <v>168</v>
      </c>
      <c r="D67" s="13" t="s">
        <v>89</v>
      </c>
      <c r="E67" s="13" t="s">
        <v>503</v>
      </c>
      <c r="F67" s="72"/>
      <c r="G67" s="13" t="s">
        <v>525</v>
      </c>
      <c r="I67" s="13" t="s">
        <v>525</v>
      </c>
      <c r="J67" s="13" t="s">
        <v>525</v>
      </c>
      <c r="K67" s="13" t="s">
        <v>526</v>
      </c>
      <c r="L67" s="13" t="s">
        <v>40</v>
      </c>
      <c r="M67" s="75"/>
      <c r="N67" s="21"/>
      <c r="O67"/>
    </row>
    <row r="68" spans="1:15">
      <c r="A68" s="78"/>
      <c r="B68" s="148"/>
      <c r="C68" s="150"/>
      <c r="D68" s="150"/>
      <c r="E68" s="150"/>
      <c r="F68" s="72"/>
      <c r="G68" s="150"/>
      <c r="I68" s="150"/>
      <c r="J68" s="150"/>
      <c r="K68" s="150"/>
      <c r="L68"/>
      <c r="M68" s="75"/>
      <c r="N68" s="21"/>
      <c r="O68"/>
    </row>
    <row r="69" spans="1:15" ht="14.25">
      <c r="A69" s="78">
        <f>+A67+1</f>
        <v>33</v>
      </c>
      <c r="B69" s="875" t="s">
        <v>876</v>
      </c>
      <c r="C69" s="876" t="s">
        <v>877</v>
      </c>
      <c r="D69" s="1424">
        <v>5770000</v>
      </c>
      <c r="E69" s="1425">
        <f>+D69-K69</f>
        <v>0</v>
      </c>
      <c r="F69" s="72"/>
      <c r="G69" s="1426"/>
      <c r="I69" s="1426">
        <f>D69</f>
        <v>5770000</v>
      </c>
      <c r="J69" s="1426"/>
      <c r="K69" s="1426">
        <f t="shared" ref="K69:K84" si="4">+G69+I69+J69</f>
        <v>5770000</v>
      </c>
      <c r="L69" t="s">
        <v>533</v>
      </c>
      <c r="M69" s="75"/>
      <c r="N69" s="21"/>
      <c r="O69"/>
    </row>
    <row r="70" spans="1:15" ht="14.25">
      <c r="A70" s="78">
        <f t="shared" ref="A70:A90" si="5">+A69+1</f>
        <v>34</v>
      </c>
      <c r="B70" s="1272">
        <v>165000218</v>
      </c>
      <c r="C70" s="876" t="s">
        <v>878</v>
      </c>
      <c r="D70" s="1424">
        <v>0</v>
      </c>
      <c r="E70" s="1425">
        <f t="shared" ref="E70:E86" si="6">+D70-K70</f>
        <v>0</v>
      </c>
      <c r="F70" s="72"/>
      <c r="G70" s="1426"/>
      <c r="I70" s="1426"/>
      <c r="J70" s="1426"/>
      <c r="K70" s="1426">
        <f t="shared" si="4"/>
        <v>0</v>
      </c>
      <c r="L70" t="s">
        <v>115</v>
      </c>
      <c r="M70" s="75"/>
      <c r="N70" s="21"/>
      <c r="O70"/>
    </row>
    <row r="71" spans="1:15" ht="14.25">
      <c r="A71" s="78">
        <f t="shared" si="5"/>
        <v>35</v>
      </c>
      <c r="B71" s="1272">
        <v>165000219</v>
      </c>
      <c r="C71" s="876" t="s">
        <v>878</v>
      </c>
      <c r="D71" s="1424">
        <v>956000</v>
      </c>
      <c r="E71" s="1425">
        <f t="shared" si="6"/>
        <v>956000</v>
      </c>
      <c r="F71" s="72"/>
      <c r="G71" s="1426"/>
      <c r="I71" s="1426"/>
      <c r="J71" s="1426"/>
      <c r="K71" s="1426">
        <f t="shared" si="4"/>
        <v>0</v>
      </c>
      <c r="L71" t="s">
        <v>899</v>
      </c>
      <c r="M71" s="75"/>
      <c r="N71" s="21"/>
      <c r="O71"/>
    </row>
    <row r="72" spans="1:15" ht="14.25">
      <c r="A72" s="78">
        <f t="shared" si="5"/>
        <v>36</v>
      </c>
      <c r="B72" s="875" t="s">
        <v>879</v>
      </c>
      <c r="C72" s="876" t="s">
        <v>880</v>
      </c>
      <c r="D72" s="1424">
        <v>8000</v>
      </c>
      <c r="E72" s="1425">
        <f t="shared" si="6"/>
        <v>8000</v>
      </c>
      <c r="F72" s="72"/>
      <c r="G72" s="1426"/>
      <c r="I72" s="1426"/>
      <c r="J72" s="1426"/>
      <c r="K72" s="1426">
        <f t="shared" si="4"/>
        <v>0</v>
      </c>
      <c r="L72" t="s">
        <v>900</v>
      </c>
      <c r="M72" s="75"/>
      <c r="N72" s="21"/>
      <c r="O72"/>
    </row>
    <row r="73" spans="1:15" ht="14.25">
      <c r="A73" s="78">
        <f t="shared" si="5"/>
        <v>37</v>
      </c>
      <c r="B73" s="875" t="s">
        <v>881</v>
      </c>
      <c r="C73" s="876" t="s">
        <v>882</v>
      </c>
      <c r="D73" s="1424">
        <v>0</v>
      </c>
      <c r="E73" s="1425">
        <f t="shared" si="6"/>
        <v>0</v>
      </c>
      <c r="F73" s="72"/>
      <c r="G73" s="1427"/>
      <c r="I73" s="1427"/>
      <c r="J73" s="1427"/>
      <c r="K73" s="1427">
        <f t="shared" si="4"/>
        <v>0</v>
      </c>
      <c r="L73" s="21" t="s">
        <v>115</v>
      </c>
      <c r="M73" s="75"/>
      <c r="N73" s="21"/>
      <c r="O73"/>
    </row>
    <row r="74" spans="1:15" ht="14.25">
      <c r="A74" s="78">
        <f t="shared" si="5"/>
        <v>38</v>
      </c>
      <c r="B74" s="875" t="s">
        <v>883</v>
      </c>
      <c r="C74" s="876" t="s">
        <v>884</v>
      </c>
      <c r="D74" s="1424">
        <v>1288000</v>
      </c>
      <c r="E74" s="1425">
        <f t="shared" si="6"/>
        <v>1288000</v>
      </c>
      <c r="F74" s="72"/>
      <c r="G74" s="1426"/>
      <c r="I74" s="1426"/>
      <c r="J74" s="1426"/>
      <c r="K74" s="1427">
        <f t="shared" si="4"/>
        <v>0</v>
      </c>
      <c r="L74" s="21" t="s">
        <v>901</v>
      </c>
      <c r="M74" s="75"/>
      <c r="N74" s="21"/>
      <c r="O74"/>
    </row>
    <row r="75" spans="1:15" ht="14.25">
      <c r="A75" s="78">
        <f t="shared" si="5"/>
        <v>39</v>
      </c>
      <c r="B75" s="875" t="s">
        <v>885</v>
      </c>
      <c r="C75" s="876" t="s">
        <v>886</v>
      </c>
      <c r="D75" s="1424">
        <v>212000</v>
      </c>
      <c r="E75" s="1425">
        <f t="shared" si="6"/>
        <v>212000</v>
      </c>
      <c r="F75" s="72"/>
      <c r="G75" s="1426"/>
      <c r="I75" s="1426"/>
      <c r="J75" s="1426"/>
      <c r="K75" s="1427">
        <v>0</v>
      </c>
      <c r="L75" s="21" t="s">
        <v>902</v>
      </c>
      <c r="M75" s="75"/>
      <c r="N75" s="21"/>
      <c r="O75"/>
    </row>
    <row r="76" spans="1:15" ht="14.25">
      <c r="A76" s="78">
        <f t="shared" si="5"/>
        <v>40</v>
      </c>
      <c r="B76" s="875" t="s">
        <v>887</v>
      </c>
      <c r="C76" s="876" t="s">
        <v>888</v>
      </c>
      <c r="D76" s="1424">
        <v>95923000</v>
      </c>
      <c r="E76" s="1425">
        <f t="shared" si="6"/>
        <v>0</v>
      </c>
      <c r="F76" s="72"/>
      <c r="G76" s="1426"/>
      <c r="I76" s="1426"/>
      <c r="J76" s="1426">
        <f>D76</f>
        <v>95923000</v>
      </c>
      <c r="K76" s="1427">
        <f t="shared" si="4"/>
        <v>95923000</v>
      </c>
      <c r="L76" s="5" t="s">
        <v>527</v>
      </c>
      <c r="M76" s="75"/>
      <c r="N76" s="21"/>
      <c r="O76"/>
    </row>
    <row r="77" spans="1:15" ht="14.25">
      <c r="A77" s="78">
        <f t="shared" si="5"/>
        <v>41</v>
      </c>
      <c r="B77" s="875" t="s">
        <v>889</v>
      </c>
      <c r="C77" s="876" t="s">
        <v>890</v>
      </c>
      <c r="D77" s="1424">
        <v>-95923000</v>
      </c>
      <c r="E77" s="1425">
        <f t="shared" si="6"/>
        <v>-95923000</v>
      </c>
      <c r="F77" s="72"/>
      <c r="G77" s="1427"/>
      <c r="I77" s="1427"/>
      <c r="J77" s="1427"/>
      <c r="K77" s="1427">
        <f t="shared" si="4"/>
        <v>0</v>
      </c>
      <c r="L77" s="21" t="s">
        <v>31</v>
      </c>
      <c r="M77" s="75"/>
      <c r="N77" s="21"/>
      <c r="O77"/>
    </row>
    <row r="78" spans="1:15" ht="14.25">
      <c r="A78" s="78">
        <f t="shared" si="5"/>
        <v>42</v>
      </c>
      <c r="B78" s="878">
        <v>165001119</v>
      </c>
      <c r="C78" s="876" t="s">
        <v>891</v>
      </c>
      <c r="D78" s="1424">
        <v>752000</v>
      </c>
      <c r="E78" s="1425">
        <f t="shared" si="6"/>
        <v>752000</v>
      </c>
      <c r="F78" s="72"/>
      <c r="G78" s="1427"/>
      <c r="I78" s="1427"/>
      <c r="J78" s="1427"/>
      <c r="K78" s="1427">
        <f t="shared" si="4"/>
        <v>0</v>
      </c>
      <c r="L78" s="1273" t="s">
        <v>903</v>
      </c>
      <c r="M78" s="75"/>
      <c r="N78" s="21"/>
      <c r="O78"/>
    </row>
    <row r="79" spans="1:15" ht="14.25">
      <c r="A79" s="78">
        <f t="shared" si="5"/>
        <v>43</v>
      </c>
      <c r="B79" s="878">
        <v>165001219</v>
      </c>
      <c r="C79" s="876" t="s">
        <v>892</v>
      </c>
      <c r="D79" s="1424">
        <v>100000</v>
      </c>
      <c r="E79" s="1425">
        <f t="shared" si="6"/>
        <v>100000</v>
      </c>
      <c r="F79" s="72"/>
      <c r="G79" s="1427"/>
      <c r="I79" s="1427"/>
      <c r="J79" s="1427"/>
      <c r="K79" s="1427">
        <f t="shared" si="4"/>
        <v>0</v>
      </c>
      <c r="L79" s="1273" t="s">
        <v>904</v>
      </c>
      <c r="M79" s="75"/>
      <c r="N79" s="21"/>
      <c r="O79"/>
    </row>
    <row r="80" spans="1:15" ht="14.25">
      <c r="A80" s="78">
        <f t="shared" si="5"/>
        <v>44</v>
      </c>
      <c r="B80" s="878">
        <v>1650021</v>
      </c>
      <c r="C80" s="876" t="s">
        <v>893</v>
      </c>
      <c r="D80" s="1424">
        <v>2526000</v>
      </c>
      <c r="E80" s="1425">
        <f t="shared" si="6"/>
        <v>0</v>
      </c>
      <c r="F80" s="72"/>
      <c r="G80" s="1427"/>
      <c r="I80" s="1427">
        <f>D80</f>
        <v>2526000</v>
      </c>
      <c r="J80" s="1427"/>
      <c r="K80" s="1427">
        <f t="shared" si="4"/>
        <v>2526000</v>
      </c>
      <c r="L80" s="1273" t="s">
        <v>905</v>
      </c>
      <c r="M80" s="75"/>
      <c r="N80" s="21"/>
      <c r="O80"/>
    </row>
    <row r="81" spans="1:15" ht="14.25">
      <c r="A81" s="78">
        <f t="shared" si="5"/>
        <v>45</v>
      </c>
      <c r="B81" s="878">
        <v>1650022</v>
      </c>
      <c r="C81" s="876" t="s">
        <v>894</v>
      </c>
      <c r="D81" s="1424">
        <v>0</v>
      </c>
      <c r="E81" s="1425">
        <f t="shared" si="6"/>
        <v>0</v>
      </c>
      <c r="F81" s="72"/>
      <c r="G81" s="1427"/>
      <c r="I81" s="1427"/>
      <c r="J81" s="1427"/>
      <c r="K81" s="1427">
        <f t="shared" si="4"/>
        <v>0</v>
      </c>
      <c r="M81" s="75"/>
      <c r="N81" s="21"/>
      <c r="O81"/>
    </row>
    <row r="82" spans="1:15" ht="14.25">
      <c r="A82" s="78">
        <f t="shared" si="5"/>
        <v>46</v>
      </c>
      <c r="B82" s="878">
        <v>1650023</v>
      </c>
      <c r="C82" s="876" t="s">
        <v>895</v>
      </c>
      <c r="D82" s="1424">
        <v>488000</v>
      </c>
      <c r="E82" s="1425">
        <f t="shared" si="6"/>
        <v>0</v>
      </c>
      <c r="F82" s="72"/>
      <c r="G82" s="1427"/>
      <c r="I82" s="1427">
        <f>D82</f>
        <v>488000</v>
      </c>
      <c r="J82" s="1427"/>
      <c r="K82" s="1427">
        <f t="shared" si="4"/>
        <v>488000</v>
      </c>
      <c r="L82" s="1273" t="s">
        <v>991</v>
      </c>
      <c r="M82" s="75"/>
      <c r="N82" s="21"/>
      <c r="O82"/>
    </row>
    <row r="83" spans="1:15" ht="14.25">
      <c r="A83" s="78">
        <f t="shared" si="5"/>
        <v>47</v>
      </c>
      <c r="B83" s="878">
        <v>1650026</v>
      </c>
      <c r="C83" s="876" t="s">
        <v>896</v>
      </c>
      <c r="D83" s="1424">
        <v>0</v>
      </c>
      <c r="E83" s="1425">
        <f t="shared" si="6"/>
        <v>0</v>
      </c>
      <c r="F83" s="72"/>
      <c r="G83" s="1427"/>
      <c r="I83" s="1427"/>
      <c r="J83" s="1427"/>
      <c r="K83" s="1427">
        <f t="shared" si="4"/>
        <v>0</v>
      </c>
      <c r="L83" s="5"/>
      <c r="M83" s="75"/>
      <c r="N83" s="21"/>
      <c r="O83"/>
    </row>
    <row r="84" spans="1:15" ht="14.25">
      <c r="A84" s="78">
        <f t="shared" si="5"/>
        <v>48</v>
      </c>
      <c r="B84" s="878">
        <v>1650030</v>
      </c>
      <c r="C84" s="876" t="s">
        <v>993</v>
      </c>
      <c r="D84" s="1424">
        <v>0</v>
      </c>
      <c r="E84" s="1425">
        <f t="shared" si="6"/>
        <v>0</v>
      </c>
      <c r="F84" s="72"/>
      <c r="G84" s="1426"/>
      <c r="I84" s="1426"/>
      <c r="J84" s="1426"/>
      <c r="K84" s="1427">
        <f t="shared" si="4"/>
        <v>0</v>
      </c>
      <c r="L84" s="5" t="s">
        <v>992</v>
      </c>
      <c r="M84" s="75"/>
      <c r="N84" s="21"/>
      <c r="O84"/>
    </row>
    <row r="85" spans="1:15" ht="14.25">
      <c r="A85" s="78">
        <f t="shared" si="5"/>
        <v>49</v>
      </c>
      <c r="B85" s="878">
        <v>1650035</v>
      </c>
      <c r="C85" s="876" t="s">
        <v>897</v>
      </c>
      <c r="D85" s="1424">
        <v>77855000</v>
      </c>
      <c r="E85" s="1425">
        <f t="shared" si="6"/>
        <v>0</v>
      </c>
      <c r="F85" s="72"/>
      <c r="G85" s="1426"/>
      <c r="I85" s="1426"/>
      <c r="J85" s="1426">
        <f>D85</f>
        <v>77855000</v>
      </c>
      <c r="K85" s="1427">
        <f>J85</f>
        <v>77855000</v>
      </c>
      <c r="L85" s="5" t="s">
        <v>906</v>
      </c>
      <c r="M85" s="75"/>
      <c r="N85" s="21"/>
      <c r="O85"/>
    </row>
    <row r="86" spans="1:15" ht="14.25">
      <c r="A86" s="78">
        <f t="shared" si="5"/>
        <v>50</v>
      </c>
      <c r="B86" s="878">
        <v>1650037</v>
      </c>
      <c r="C86" s="876" t="s">
        <v>898</v>
      </c>
      <c r="D86" s="1424">
        <v>-77855000</v>
      </c>
      <c r="E86" s="1425">
        <f t="shared" si="6"/>
        <v>-77855000</v>
      </c>
      <c r="F86" s="72"/>
      <c r="G86" s="1426"/>
      <c r="I86" s="1426"/>
      <c r="J86" s="1426"/>
      <c r="K86" s="1427">
        <f>J86</f>
        <v>0</v>
      </c>
      <c r="L86" s="21" t="s">
        <v>31</v>
      </c>
      <c r="M86" s="75"/>
      <c r="N86" s="21"/>
      <c r="O86"/>
    </row>
    <row r="87" spans="1:15" ht="14.25">
      <c r="A87" s="78">
        <f t="shared" si="5"/>
        <v>51</v>
      </c>
      <c r="B87" s="878"/>
      <c r="C87" s="876"/>
      <c r="D87" s="877"/>
      <c r="E87" s="1321"/>
      <c r="F87" s="72"/>
      <c r="G87" s="1320"/>
      <c r="I87" s="1320"/>
      <c r="J87" s="1320"/>
      <c r="K87" s="1321"/>
      <c r="L87" s="5"/>
      <c r="M87" s="75"/>
      <c r="N87" s="21"/>
      <c r="O87"/>
    </row>
    <row r="88" spans="1:15" ht="14.25">
      <c r="A88" s="78">
        <f t="shared" si="5"/>
        <v>52</v>
      </c>
      <c r="B88" s="878"/>
      <c r="C88" s="876"/>
      <c r="D88" s="877"/>
      <c r="E88" s="1321"/>
      <c r="F88" s="72"/>
      <c r="G88" s="1320"/>
      <c r="I88" s="1320"/>
      <c r="J88" s="1320"/>
      <c r="K88" s="1321"/>
      <c r="L88" s="21"/>
      <c r="M88" s="75"/>
      <c r="N88" s="21"/>
      <c r="O88"/>
    </row>
    <row r="89" spans="1:15" ht="14.25">
      <c r="A89" s="78">
        <f>+A88+1</f>
        <v>53</v>
      </c>
      <c r="B89" s="878"/>
      <c r="C89" s="876"/>
      <c r="D89" s="877"/>
      <c r="E89" s="1321"/>
      <c r="F89" s="72"/>
      <c r="G89" s="1320"/>
      <c r="I89" s="1320"/>
      <c r="J89" s="1320"/>
      <c r="K89" s="1321"/>
      <c r="L89" s="1322"/>
      <c r="M89" s="75"/>
      <c r="N89" s="21"/>
      <c r="O89"/>
    </row>
    <row r="90" spans="1:15" ht="14.25">
      <c r="A90" s="78">
        <f t="shared" si="5"/>
        <v>54</v>
      </c>
      <c r="B90" s="878"/>
      <c r="C90" s="876"/>
      <c r="D90" s="877"/>
      <c r="E90" s="1321"/>
      <c r="F90" s="72"/>
      <c r="G90" s="1320"/>
      <c r="I90" s="1320"/>
      <c r="J90" s="1320"/>
      <c r="K90" s="1321"/>
      <c r="L90" s="1322"/>
      <c r="M90" s="75"/>
      <c r="N90" s="21"/>
      <c r="O90"/>
    </row>
    <row r="91" spans="1:15" ht="13.5" thickBot="1">
      <c r="A91" s="78"/>
      <c r="B91" s="29"/>
      <c r="C91" s="29"/>
      <c r="D91" s="145"/>
      <c r="E91" s="103"/>
      <c r="F91" s="72"/>
      <c r="G91" s="109"/>
      <c r="I91" s="109"/>
      <c r="J91" s="109"/>
      <c r="K91" s="109"/>
      <c r="L91"/>
      <c r="M91" s="75"/>
      <c r="N91" s="21"/>
      <c r="O91"/>
    </row>
    <row r="92" spans="1:15" ht="14.25">
      <c r="A92" s="78"/>
      <c r="B92" s="148"/>
      <c r="C92" s="35" t="s">
        <v>384</v>
      </c>
      <c r="D92" s="879">
        <f>IF(SUM(D69:D91)=0,"",SUM(D69:D91))</f>
        <v>12100000</v>
      </c>
      <c r="E92" s="242">
        <f>IF(SUM(E69:E91)=0,"",SUM(E69:E91))</f>
        <v>-170462000</v>
      </c>
      <c r="F92" s="72"/>
      <c r="G92" s="153" t="str">
        <f>IF(SUM(G69:G91)=0,"",SUM(G69:G91))</f>
        <v/>
      </c>
      <c r="I92" s="153">
        <f>IF(SUM(I69:I91)=0,"",SUM(I69:I91))</f>
        <v>8784000</v>
      </c>
      <c r="J92" s="153">
        <f>IF(SUM(J69:J91)=0,"",SUM(J69:J91))</f>
        <v>173778000</v>
      </c>
      <c r="K92" s="153">
        <f>IF(SUM(K69:K91)=0,"",SUM(K69:K91))</f>
        <v>182562000</v>
      </c>
      <c r="L92"/>
      <c r="M92" s="75"/>
      <c r="N92" s="21"/>
      <c r="O92"/>
    </row>
    <row r="93" spans="1:15">
      <c r="A93" s="78"/>
      <c r="B93" s="78"/>
      <c r="C93"/>
      <c r="D93"/>
      <c r="E93"/>
      <c r="F93"/>
      <c r="G93"/>
      <c r="H93"/>
      <c r="I93"/>
      <c r="J93"/>
      <c r="K93"/>
      <c r="L93"/>
      <c r="M93" s="21"/>
      <c r="N93" s="21"/>
      <c r="O93"/>
    </row>
    <row r="94" spans="1:15" ht="18.75" customHeight="1">
      <c r="A94" s="78" t="s">
        <v>636</v>
      </c>
      <c r="B94" s="1491" t="s">
        <v>832</v>
      </c>
      <c r="C94" s="1491"/>
      <c r="D94" s="1491"/>
      <c r="E94" s="1491"/>
      <c r="F94" s="1491"/>
      <c r="G94" s="1491"/>
      <c r="H94" s="1491"/>
      <c r="I94" s="1491"/>
      <c r="J94" s="1491"/>
      <c r="K94" s="1491"/>
      <c r="L94" s="1491"/>
      <c r="M94" s="21"/>
      <c r="N94" s="21"/>
      <c r="O94"/>
    </row>
    <row r="95" spans="1:15" ht="18.75" customHeight="1">
      <c r="A95" s="5"/>
      <c r="B95" s="1491"/>
      <c r="C95" s="1491"/>
      <c r="D95" s="1491"/>
      <c r="E95" s="1491"/>
      <c r="F95" s="1491"/>
      <c r="G95" s="1491"/>
      <c r="H95" s="1491"/>
      <c r="I95" s="1491"/>
      <c r="J95" s="1491"/>
      <c r="K95" s="1491"/>
      <c r="L95" s="1491"/>
      <c r="M95" s="21"/>
      <c r="N95" s="21"/>
      <c r="O95"/>
    </row>
    <row r="96" spans="1:15" ht="18">
      <c r="E96" s="921"/>
      <c r="F96" s="921"/>
      <c r="G96" s="921"/>
      <c r="H96" s="921"/>
      <c r="I96" s="921"/>
      <c r="J96" s="921"/>
      <c r="K96" s="921"/>
      <c r="L96" s="85"/>
      <c r="M96" s="75"/>
      <c r="N96" s="75"/>
    </row>
    <row r="97" spans="1:15" ht="12.75" customHeight="1">
      <c r="E97" s="8"/>
      <c r="F97" s="72"/>
      <c r="G97" s="8"/>
      <c r="H97" s="75"/>
      <c r="I97" s="75"/>
    </row>
    <row r="98" spans="1:15">
      <c r="E98" s="8"/>
      <c r="G98" s="8"/>
      <c r="H98" s="21"/>
      <c r="I98" s="21"/>
      <c r="J98"/>
    </row>
    <row r="99" spans="1:15">
      <c r="E99" s="13"/>
      <c r="G99" s="13"/>
      <c r="H99" s="21"/>
      <c r="I99" s="21"/>
      <c r="J99"/>
    </row>
    <row r="100" spans="1:15">
      <c r="E100"/>
      <c r="F100"/>
      <c r="G100"/>
      <c r="H100"/>
      <c r="I100"/>
      <c r="J100"/>
      <c r="K100"/>
      <c r="L100"/>
      <c r="M100" s="21"/>
      <c r="N100" s="21"/>
      <c r="O100"/>
    </row>
    <row r="101" spans="1:15">
      <c r="E101"/>
      <c r="F101"/>
      <c r="G101"/>
      <c r="H101"/>
      <c r="I101"/>
      <c r="J101"/>
      <c r="K101"/>
      <c r="L101"/>
      <c r="M101" s="21"/>
      <c r="N101" s="21"/>
      <c r="O101"/>
    </row>
    <row r="102" spans="1:15">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sheetData>
  <mergeCells count="12">
    <mergeCell ref="B94:L95"/>
    <mergeCell ref="B10:K10"/>
    <mergeCell ref="A3:L3"/>
    <mergeCell ref="A4:L4"/>
    <mergeCell ref="A5:L5"/>
    <mergeCell ref="A6:L6"/>
    <mergeCell ref="B64:J64"/>
    <mergeCell ref="B24:K24"/>
    <mergeCell ref="E12:E13"/>
    <mergeCell ref="I12:I13"/>
    <mergeCell ref="B34:J34"/>
    <mergeCell ref="G12:G13"/>
  </mergeCells>
  <phoneticPr fontId="2" type="noConversion"/>
  <pageMargins left="1.08" right="0.75" top="1" bottom="0.41" header="0.86" footer="0.27"/>
  <pageSetup scale="18"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zoomScaleNormal="100" zoomScaleSheetLayoutView="100" workbookViewId="0">
      <selection activeCell="C18" sqref="C18"/>
    </sheetView>
  </sheetViews>
  <sheetFormatPr defaultColWidth="8.85546875" defaultRowHeight="12.75"/>
  <cols>
    <col min="1" max="1" width="9.28515625" style="451" bestFit="1" customWidth="1"/>
    <col min="2" max="2" width="65.140625" style="357" bestFit="1" customWidth="1"/>
    <col min="3" max="3" width="12.7109375" style="357" bestFit="1" customWidth="1"/>
    <col min="4" max="4" width="1.5703125" style="357" customWidth="1"/>
    <col min="5" max="5" width="15" style="357" bestFit="1" customWidth="1"/>
    <col min="6" max="16384" width="8.85546875" style="357"/>
  </cols>
  <sheetData>
    <row r="1" spans="1:15" ht="15.75">
      <c r="A1" s="920" t="s">
        <v>115</v>
      </c>
    </row>
    <row r="2" spans="1:15" ht="15.75">
      <c r="A2" s="920" t="s">
        <v>115</v>
      </c>
    </row>
    <row r="3" spans="1:15" ht="15">
      <c r="A3" s="1492" t="str">
        <f>+'WS C  - Working Capital'!A3:L3</f>
        <v>AEP East Companies</v>
      </c>
      <c r="B3" s="1492"/>
      <c r="C3" s="1492"/>
      <c r="D3" s="1492"/>
      <c r="E3" s="1492"/>
      <c r="F3" s="558"/>
      <c r="G3" s="558"/>
      <c r="H3" s="558"/>
      <c r="I3" s="558"/>
      <c r="J3" s="558"/>
      <c r="K3" s="558"/>
      <c r="L3" s="558"/>
      <c r="M3" s="558"/>
      <c r="N3" s="558"/>
      <c r="O3" s="558"/>
    </row>
    <row r="4" spans="1:15" ht="15">
      <c r="A4" s="1493" t="str">
        <f>"Cost of Service Formula Rate Using Actual/Projected FF1 Balances"</f>
        <v>Cost of Service Formula Rate Using Actual/Projected FF1 Balances</v>
      </c>
      <c r="B4" s="1493"/>
      <c r="C4" s="1493"/>
      <c r="D4" s="1493"/>
      <c r="E4" s="1493"/>
      <c r="F4" s="559"/>
      <c r="G4" s="559"/>
      <c r="H4" s="559"/>
      <c r="I4" s="559"/>
      <c r="J4" s="559"/>
      <c r="K4" s="559"/>
      <c r="L4" s="559"/>
      <c r="M4" s="560"/>
      <c r="N4" s="560"/>
      <c r="O4" s="560"/>
    </row>
    <row r="5" spans="1:15" ht="15">
      <c r="A5" s="1493" t="s">
        <v>228</v>
      </c>
      <c r="B5" s="1493"/>
      <c r="C5" s="1493"/>
      <c r="D5" s="1493"/>
      <c r="E5" s="1493"/>
      <c r="F5" s="559"/>
      <c r="G5" s="559"/>
      <c r="H5" s="559"/>
      <c r="I5" s="559"/>
      <c r="J5" s="559"/>
      <c r="K5" s="559"/>
      <c r="L5" s="559"/>
      <c r="M5" s="559"/>
      <c r="N5" s="559"/>
      <c r="O5" s="559"/>
    </row>
    <row r="6" spans="1:15" ht="15">
      <c r="A6" s="1494" t="str">
        <f>TCOS!F9</f>
        <v xml:space="preserve">Indiana Michigan Power Company </v>
      </c>
      <c r="B6" s="1494"/>
      <c r="C6" s="1494"/>
      <c r="D6" s="1494"/>
      <c r="E6" s="1494"/>
      <c r="F6" s="353"/>
      <c r="G6" s="353"/>
      <c r="H6" s="353"/>
      <c r="I6" s="353"/>
      <c r="J6" s="353"/>
      <c r="K6" s="353"/>
      <c r="L6" s="353"/>
      <c r="M6" s="353"/>
      <c r="N6" s="353"/>
      <c r="O6" s="353"/>
    </row>
    <row r="8" spans="1:15">
      <c r="A8" s="561" t="s">
        <v>170</v>
      </c>
      <c r="B8" s="562" t="s">
        <v>163</v>
      </c>
      <c r="C8" s="562" t="s">
        <v>164</v>
      </c>
    </row>
    <row r="9" spans="1:15">
      <c r="A9" s="561" t="s">
        <v>107</v>
      </c>
      <c r="B9" s="561" t="s">
        <v>168</v>
      </c>
      <c r="C9" s="561">
        <f>+TCOS!L4</f>
        <v>2021</v>
      </c>
    </row>
    <row r="10" spans="1:15">
      <c r="A10" s="563"/>
      <c r="B10" s="564"/>
      <c r="C10" s="562"/>
      <c r="F10" s="439"/>
    </row>
    <row r="11" spans="1:15">
      <c r="A11" s="451">
        <v>1</v>
      </c>
      <c r="B11" s="1149" t="str">
        <f>"Net Funds from IPP Customers 12/31/"&amp;TCOS!L4-1&amp;" ("&amp;TCOS!L4&amp;" FORM 1, P269)"</f>
        <v>Net Funds from IPP Customers 12/31/2020 (2021 FORM 1, P269)</v>
      </c>
      <c r="C11" s="874">
        <v>-3485000</v>
      </c>
      <c r="D11" s="439"/>
      <c r="F11" s="439"/>
    </row>
    <row r="12" spans="1:15">
      <c r="B12" s="606"/>
      <c r="C12" s="880"/>
      <c r="D12" s="439"/>
      <c r="F12" s="439"/>
    </row>
    <row r="13" spans="1:15">
      <c r="A13" s="451">
        <v>2</v>
      </c>
      <c r="B13" s="1149" t="s">
        <v>72</v>
      </c>
      <c r="C13" s="874">
        <v>-192000</v>
      </c>
      <c r="D13" s="439"/>
      <c r="F13" s="439"/>
    </row>
    <row r="14" spans="1:15">
      <c r="B14" s="1149"/>
      <c r="C14" s="880"/>
      <c r="D14" s="439"/>
      <c r="F14" s="439"/>
    </row>
    <row r="15" spans="1:15">
      <c r="A15" s="451">
        <f>+A13+1</f>
        <v>3</v>
      </c>
      <c r="B15" s="1149" t="s">
        <v>73</v>
      </c>
      <c r="C15" s="874">
        <v>0</v>
      </c>
      <c r="D15" s="439"/>
      <c r="F15" s="439"/>
    </row>
    <row r="16" spans="1:15">
      <c r="B16" s="1149"/>
      <c r="C16" s="880"/>
      <c r="D16" s="439"/>
      <c r="F16" s="439"/>
    </row>
    <row r="17" spans="1:6">
      <c r="A17" s="451">
        <f>+A15+1</f>
        <v>4</v>
      </c>
      <c r="B17" s="1150" t="s">
        <v>229</v>
      </c>
      <c r="C17" s="880"/>
      <c r="D17" s="439"/>
      <c r="F17" s="439"/>
    </row>
    <row r="18" spans="1:6">
      <c r="A18" s="451">
        <f>+A17+1</f>
        <v>5</v>
      </c>
      <c r="B18" s="1149" t="s">
        <v>74</v>
      </c>
      <c r="C18" s="874">
        <v>0</v>
      </c>
      <c r="D18" s="439"/>
      <c r="F18" s="439"/>
    </row>
    <row r="19" spans="1:6">
      <c r="A19" s="451">
        <f>+A18+1</f>
        <v>6</v>
      </c>
      <c r="B19" s="1142" t="s">
        <v>115</v>
      </c>
      <c r="C19" s="881">
        <v>0</v>
      </c>
      <c r="D19" s="439"/>
      <c r="F19" s="439"/>
    </row>
    <row r="20" spans="1:6">
      <c r="B20" s="606"/>
      <c r="C20" s="882"/>
      <c r="D20" s="439"/>
      <c r="F20" s="439"/>
    </row>
    <row r="21" spans="1:6">
      <c r="A21" s="451">
        <f>+A19+1</f>
        <v>7</v>
      </c>
      <c r="B21" s="1149" t="str">
        <f>"Net Funds from IPP Customers 12/31/"&amp;TCOS!L4&amp;" ("&amp;TCOS!L4&amp;" FORM 1, P269)"</f>
        <v>Net Funds from IPP Customers 12/31/2021 (2021 FORM 1, P269)</v>
      </c>
      <c r="C21" s="566">
        <f>+C11+C13+C15+C18+C19</f>
        <v>-3677000</v>
      </c>
      <c r="D21" s="567"/>
      <c r="F21" s="439"/>
    </row>
    <row r="22" spans="1:6">
      <c r="B22" s="606"/>
      <c r="C22" s="566"/>
      <c r="D22" s="439"/>
      <c r="F22" s="439"/>
    </row>
    <row r="23" spans="1:6">
      <c r="A23" s="451">
        <f>+A21+1</f>
        <v>8</v>
      </c>
      <c r="B23" s="1149" t="str">
        <f>"Average Balance for Year as Indicated in Column B ((ln "&amp;A11&amp;" + ln "&amp;A21&amp;")/2)"</f>
        <v>Average Balance for Year as Indicated in Column B ((ln 1 + ln 7)/2)</v>
      </c>
      <c r="C23" s="568">
        <f>AVERAGE(C21,C11)</f>
        <v>-3581000</v>
      </c>
      <c r="D23" s="439"/>
      <c r="F23" s="439"/>
    </row>
    <row r="24" spans="1:6">
      <c r="B24" s="606"/>
      <c r="D24" s="439"/>
    </row>
    <row r="25" spans="1:6">
      <c r="B25" s="395"/>
      <c r="C25" s="569"/>
      <c r="D25" s="439"/>
    </row>
    <row r="26" spans="1:6" ht="15">
      <c r="A26" s="345" t="s">
        <v>500</v>
      </c>
      <c r="B26" s="1441" t="str">
        <f>"On this worksheet Company Records refers to  "&amp;A6&amp;"'s general ledger."</f>
        <v>On this worksheet Company Records refers to  Indiana Michigan Power Company 's general ledger.</v>
      </c>
      <c r="D26" s="439"/>
    </row>
    <row r="27" spans="1:6">
      <c r="B27" s="1434"/>
      <c r="D27" s="439"/>
    </row>
    <row r="28" spans="1:6">
      <c r="B28" s="570"/>
      <c r="D28" s="439"/>
    </row>
    <row r="29" spans="1:6">
      <c r="D29" s="439"/>
    </row>
    <row r="30" spans="1:6">
      <c r="D30" s="439"/>
    </row>
    <row r="31" spans="1:6">
      <c r="D31" s="439"/>
    </row>
    <row r="32" spans="1:6">
      <c r="D32" s="571"/>
    </row>
    <row r="33" spans="1:4">
      <c r="D33" s="439"/>
    </row>
    <row r="34" spans="1:4">
      <c r="D34" s="439"/>
    </row>
    <row r="35" spans="1:4">
      <c r="D35" s="439"/>
    </row>
    <row r="36" spans="1:4">
      <c r="A36" s="563"/>
      <c r="B36" s="439"/>
      <c r="C36" s="439"/>
      <c r="D36" s="439"/>
    </row>
    <row r="37" spans="1:4">
      <c r="A37" s="563"/>
      <c r="B37" s="439"/>
      <c r="C37" s="439"/>
    </row>
    <row r="38" spans="1:4">
      <c r="C38" s="57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topLeftCell="A7" zoomScaleNormal="100" zoomScaleSheetLayoutView="100" workbookViewId="0">
      <selection activeCell="L33" sqref="L33"/>
    </sheetView>
  </sheetViews>
  <sheetFormatPr defaultRowHeight="15"/>
  <cols>
    <col min="1" max="1" width="9.42578125" style="573" customWidth="1"/>
    <col min="2" max="2" width="6.7109375" style="573" customWidth="1"/>
    <col min="3" max="8" width="14.5703125" style="573" customWidth="1"/>
    <col min="9" max="9" width="14.85546875" style="573" bestFit="1" customWidth="1"/>
    <col min="10" max="11" width="16.5703125" style="573" bestFit="1" customWidth="1"/>
    <col min="12" max="13" width="22.140625" style="573" bestFit="1" customWidth="1"/>
    <col min="14" max="14" width="8.42578125" style="573" customWidth="1"/>
    <col min="15" max="38" width="12.7109375" style="573" customWidth="1"/>
    <col min="39" max="16384" width="9.140625" style="573"/>
  </cols>
  <sheetData>
    <row r="1" spans="1:22" ht="15.75">
      <c r="A1" s="920" t="s">
        <v>115</v>
      </c>
    </row>
    <row r="2" spans="1:22" ht="15.75">
      <c r="A2" s="920" t="s">
        <v>115</v>
      </c>
    </row>
    <row r="3" spans="1:22">
      <c r="A3" s="1492" t="str">
        <f>+'WS C  - Working Capital'!A3:L3</f>
        <v>AEP East Companies</v>
      </c>
      <c r="B3" s="1492"/>
      <c r="C3" s="1492"/>
      <c r="D3" s="1492"/>
      <c r="E3" s="1492"/>
      <c r="F3" s="1492"/>
      <c r="G3" s="1492"/>
      <c r="H3" s="1492"/>
      <c r="I3" s="1492"/>
      <c r="J3" s="1492"/>
      <c r="K3" s="1492"/>
      <c r="L3" s="558"/>
      <c r="M3" s="558"/>
      <c r="N3" s="558"/>
      <c r="O3" s="558"/>
    </row>
    <row r="4" spans="1:22">
      <c r="A4" s="1493" t="str">
        <f>"Cost of Service Formula Rate Using Actual/Projected FF1 Balances"</f>
        <v>Cost of Service Formula Rate Using Actual/Projected FF1 Balances</v>
      </c>
      <c r="B4" s="1493"/>
      <c r="C4" s="1493"/>
      <c r="D4" s="1493"/>
      <c r="E4" s="1493"/>
      <c r="F4" s="1493"/>
      <c r="G4" s="1493"/>
      <c r="H4" s="1493"/>
      <c r="I4" s="1493"/>
      <c r="J4" s="1493"/>
      <c r="K4" s="1493"/>
      <c r="L4" s="560"/>
      <c r="M4" s="560"/>
      <c r="N4" s="560"/>
      <c r="O4" s="560"/>
    </row>
    <row r="5" spans="1:22">
      <c r="A5" s="1493" t="s">
        <v>238</v>
      </c>
      <c r="B5" s="1493"/>
      <c r="C5" s="1493"/>
      <c r="D5" s="1493"/>
      <c r="E5" s="1493"/>
      <c r="F5" s="1493"/>
      <c r="G5" s="1493"/>
      <c r="H5" s="1493"/>
      <c r="I5" s="1493"/>
      <c r="J5" s="1493"/>
      <c r="K5" s="1493"/>
      <c r="L5" s="559"/>
      <c r="M5" s="559"/>
      <c r="N5" s="559"/>
      <c r="O5" s="559"/>
    </row>
    <row r="6" spans="1:22">
      <c r="A6" s="1494" t="str">
        <f>TCOS!F9</f>
        <v xml:space="preserve">Indiana Michigan Power Company </v>
      </c>
      <c r="B6" s="1494"/>
      <c r="C6" s="1494"/>
      <c r="D6" s="1494"/>
      <c r="E6" s="1494"/>
      <c r="F6" s="1494"/>
      <c r="G6" s="1494"/>
      <c r="H6" s="1494"/>
      <c r="I6" s="1494"/>
      <c r="J6" s="1494"/>
      <c r="K6" s="1494"/>
      <c r="L6" s="353"/>
      <c r="M6" s="353"/>
      <c r="N6" s="353"/>
      <c r="O6" s="353"/>
    </row>
    <row r="7" spans="1:22">
      <c r="A7" s="574"/>
      <c r="B7" s="574"/>
      <c r="C7" s="574"/>
      <c r="D7" s="574"/>
      <c r="E7" s="574"/>
      <c r="F7" s="574"/>
      <c r="G7" s="574"/>
      <c r="H7" s="574"/>
      <c r="I7" s="574"/>
      <c r="J7" s="574"/>
      <c r="K7" s="574"/>
      <c r="L7" s="574"/>
      <c r="M7" s="574"/>
      <c r="N7" s="574"/>
      <c r="O7" s="574"/>
    </row>
    <row r="8" spans="1:22" ht="18">
      <c r="A8" s="1497"/>
      <c r="B8" s="1497"/>
      <c r="C8" s="1497"/>
      <c r="D8" s="1497"/>
      <c r="E8" s="1497"/>
      <c r="F8" s="1497"/>
      <c r="G8" s="1497"/>
      <c r="H8" s="1497"/>
      <c r="I8" s="1497"/>
      <c r="J8" s="1497"/>
      <c r="K8" s="1497"/>
      <c r="L8" s="576"/>
      <c r="M8" s="577"/>
    </row>
    <row r="9" spans="1:22" ht="18">
      <c r="A9" s="575"/>
      <c r="B9" s="575"/>
      <c r="C9" s="575"/>
      <c r="D9" s="575"/>
      <c r="E9" s="575"/>
      <c r="F9" s="575"/>
      <c r="G9" s="575"/>
      <c r="H9" s="575"/>
      <c r="I9" s="575"/>
      <c r="J9" s="575"/>
      <c r="K9" s="575"/>
      <c r="L9" s="576"/>
      <c r="M9" s="577"/>
    </row>
    <row r="10" spans="1:22" ht="15.75">
      <c r="A10" s="578" t="s">
        <v>170</v>
      </c>
      <c r="B10" s="576"/>
      <c r="C10" s="579"/>
      <c r="D10" s="579"/>
      <c r="E10" s="579"/>
      <c r="F10" s="579"/>
      <c r="G10" s="580"/>
      <c r="H10" s="580"/>
      <c r="I10" s="578" t="s">
        <v>183</v>
      </c>
      <c r="J10" s="578" t="s">
        <v>28</v>
      </c>
      <c r="K10" s="581"/>
      <c r="N10" s="582"/>
      <c r="P10" s="582"/>
      <c r="R10" s="582"/>
      <c r="S10" s="582"/>
      <c r="T10" s="582"/>
      <c r="U10" s="546"/>
      <c r="V10" s="546"/>
    </row>
    <row r="11" spans="1:22" ht="15.75">
      <c r="A11" s="578" t="s">
        <v>107</v>
      </c>
      <c r="B11" s="1498" t="s">
        <v>168</v>
      </c>
      <c r="C11" s="1498"/>
      <c r="D11" s="1498"/>
      <c r="E11" s="1498"/>
      <c r="F11" s="1498"/>
      <c r="G11" s="1498"/>
      <c r="H11" s="1498"/>
      <c r="I11" s="583" t="s">
        <v>184</v>
      </c>
      <c r="J11" s="583" t="s">
        <v>116</v>
      </c>
      <c r="K11" s="583" t="s">
        <v>116</v>
      </c>
      <c r="L11" s="584"/>
      <c r="M11" s="584"/>
      <c r="N11" s="582"/>
      <c r="O11" s="582"/>
      <c r="P11" s="582"/>
      <c r="Q11" s="582"/>
      <c r="R11" s="582"/>
      <c r="S11" s="582"/>
      <c r="T11" s="585"/>
      <c r="U11" s="546"/>
      <c r="V11" s="546"/>
    </row>
    <row r="12" spans="1:22" ht="15.75">
      <c r="A12" s="580"/>
      <c r="B12" s="586"/>
      <c r="C12" s="576"/>
      <c r="D12" s="580"/>
      <c r="E12" s="580"/>
      <c r="F12" s="580"/>
      <c r="G12" s="580"/>
      <c r="H12" s="580"/>
      <c r="I12" s="580"/>
      <c r="J12" s="580"/>
      <c r="K12" s="587"/>
      <c r="L12" s="584"/>
      <c r="M12" s="584"/>
      <c r="N12" s="582"/>
      <c r="O12" s="582"/>
      <c r="P12" s="582"/>
      <c r="Q12" s="582"/>
      <c r="R12" s="582"/>
      <c r="S12" s="582"/>
      <c r="T12" s="585"/>
      <c r="U12" s="546"/>
      <c r="V12" s="546"/>
    </row>
    <row r="13" spans="1:22" s="594" customFormat="1" ht="12.75">
      <c r="A13" s="588">
        <v>1</v>
      </c>
      <c r="B13" s="589" t="s">
        <v>483</v>
      </c>
      <c r="C13" s="570"/>
      <c r="D13" s="590"/>
      <c r="E13" s="590"/>
      <c r="F13" s="590"/>
      <c r="G13" s="590"/>
      <c r="H13" s="590"/>
      <c r="I13" s="883">
        <v>5398000</v>
      </c>
      <c r="J13" s="591">
        <f>+I13-K12</f>
        <v>5398000</v>
      </c>
      <c r="K13" s="883">
        <v>0</v>
      </c>
      <c r="L13" s="592"/>
      <c r="M13" s="592"/>
      <c r="N13" s="570"/>
      <c r="O13" s="570"/>
      <c r="P13" s="570"/>
      <c r="Q13" s="570"/>
      <c r="R13" s="570"/>
      <c r="S13" s="570"/>
      <c r="T13" s="593"/>
      <c r="U13" s="570"/>
      <c r="V13" s="570"/>
    </row>
    <row r="14" spans="1:22" s="594" customFormat="1" ht="12.75">
      <c r="A14" s="595"/>
      <c r="B14" s="596"/>
      <c r="C14" s="597"/>
      <c r="D14" s="598"/>
      <c r="E14" s="598"/>
      <c r="F14" s="598"/>
      <c r="G14" s="598"/>
      <c r="H14" s="590"/>
      <c r="I14" s="599"/>
      <c r="J14" s="600"/>
      <c r="K14" s="599"/>
      <c r="L14" s="592"/>
      <c r="M14" s="592"/>
      <c r="N14" s="570"/>
      <c r="O14" s="570"/>
      <c r="P14" s="570"/>
      <c r="Q14" s="570"/>
      <c r="R14" s="570"/>
      <c r="S14" s="570"/>
      <c r="T14" s="593"/>
      <c r="U14" s="570"/>
      <c r="V14" s="570"/>
    </row>
    <row r="15" spans="1:22" s="594" customFormat="1" ht="12.75">
      <c r="A15" s="588">
        <f>+A13+1</f>
        <v>2</v>
      </c>
      <c r="B15" s="601" t="s">
        <v>484</v>
      </c>
      <c r="C15" s="570"/>
      <c r="D15" s="590"/>
      <c r="E15" s="590"/>
      <c r="F15" s="590"/>
      <c r="G15" s="590"/>
      <c r="H15" s="590"/>
      <c r="I15" s="883">
        <v>3808000</v>
      </c>
      <c r="J15" s="591">
        <f>+I15-K15</f>
        <v>3750000</v>
      </c>
      <c r="K15" s="883">
        <v>58000</v>
      </c>
      <c r="L15" s="592"/>
      <c r="M15" s="592"/>
      <c r="N15" s="570"/>
      <c r="O15" s="570"/>
      <c r="P15" s="570"/>
      <c r="Q15" s="570"/>
      <c r="R15" s="570"/>
      <c r="S15" s="570"/>
      <c r="T15" s="570"/>
      <c r="U15" s="570"/>
      <c r="V15" s="570"/>
    </row>
    <row r="16" spans="1:22" s="594" customFormat="1" ht="12.75">
      <c r="A16" s="595"/>
      <c r="B16" s="602"/>
      <c r="C16" s="597"/>
      <c r="D16" s="598"/>
      <c r="E16" s="598"/>
      <c r="F16" s="598"/>
      <c r="G16" s="598"/>
      <c r="H16" s="590"/>
      <c r="I16" s="600"/>
      <c r="J16" s="600"/>
      <c r="K16" s="600"/>
      <c r="L16" s="592"/>
      <c r="M16" s="592"/>
      <c r="N16" s="570"/>
      <c r="O16" s="570"/>
      <c r="P16" s="570"/>
      <c r="Q16" s="570"/>
      <c r="R16" s="570"/>
      <c r="S16" s="570"/>
      <c r="T16" s="570"/>
      <c r="U16" s="570"/>
      <c r="V16" s="570"/>
    </row>
    <row r="17" spans="1:22" s="594" customFormat="1" ht="12.75">
      <c r="A17" s="588">
        <f>+A15+1</f>
        <v>3</v>
      </c>
      <c r="B17" s="601" t="s">
        <v>485</v>
      </c>
      <c r="C17" s="570"/>
      <c r="D17" s="590"/>
      <c r="E17" s="590"/>
      <c r="F17" s="590"/>
      <c r="G17" s="590"/>
      <c r="H17" s="590"/>
      <c r="I17" s="883">
        <v>9838000</v>
      </c>
      <c r="J17" s="591">
        <f>+I17-K17</f>
        <v>7664000</v>
      </c>
      <c r="K17" s="883">
        <v>2174000</v>
      </c>
      <c r="L17" s="592"/>
      <c r="M17" s="592"/>
      <c r="N17" s="570"/>
      <c r="O17" s="570"/>
      <c r="P17" s="570"/>
      <c r="Q17" s="570"/>
      <c r="R17" s="570"/>
      <c r="S17" s="570"/>
      <c r="T17" s="570"/>
      <c r="U17" s="570"/>
      <c r="V17" s="570"/>
    </row>
    <row r="18" spans="1:22" s="594" customFormat="1" ht="12.75">
      <c r="A18" s="595"/>
      <c r="B18" s="600"/>
      <c r="C18" s="606"/>
      <c r="D18" s="600"/>
      <c r="E18" s="600"/>
      <c r="F18" s="600"/>
      <c r="G18" s="603"/>
      <c r="H18" s="600"/>
      <c r="I18" s="600"/>
      <c r="J18" s="600"/>
      <c r="K18" s="600"/>
      <c r="L18" s="592"/>
      <c r="M18" s="592"/>
      <c r="N18" s="570"/>
      <c r="O18" s="570"/>
      <c r="P18" s="570"/>
      <c r="Q18" s="570"/>
      <c r="R18" s="570"/>
      <c r="S18" s="570"/>
      <c r="T18" s="570"/>
      <c r="U18" s="570"/>
      <c r="V18" s="570"/>
    </row>
    <row r="19" spans="1:22" s="594" customFormat="1" ht="12.75">
      <c r="A19" s="588">
        <f>+A17+1</f>
        <v>4</v>
      </c>
      <c r="B19" s="589" t="s">
        <v>766</v>
      </c>
      <c r="C19" s="606"/>
      <c r="D19" s="600"/>
      <c r="E19" s="600"/>
      <c r="F19" s="600"/>
      <c r="G19" s="603"/>
      <c r="H19" s="600"/>
      <c r="I19" s="883">
        <v>2855000</v>
      </c>
      <c r="J19" s="591">
        <f>+I19-K19</f>
        <v>1941000</v>
      </c>
      <c r="K19" s="883">
        <v>914000</v>
      </c>
      <c r="L19" s="592"/>
      <c r="M19" s="592"/>
      <c r="N19" s="605"/>
      <c r="O19" s="570"/>
      <c r="P19" s="570"/>
      <c r="Q19" s="570"/>
      <c r="R19" s="570"/>
      <c r="S19" s="570"/>
      <c r="T19" s="570"/>
      <c r="U19" s="570"/>
      <c r="V19" s="570"/>
    </row>
    <row r="20" spans="1:22" s="594" customFormat="1" ht="12.75">
      <c r="A20" s="595"/>
      <c r="B20" s="589"/>
      <c r="C20" s="606"/>
      <c r="D20" s="600"/>
      <c r="E20" s="600"/>
      <c r="F20" s="600"/>
      <c r="G20" s="603"/>
      <c r="H20" s="600"/>
      <c r="I20" s="570"/>
      <c r="J20" s="570"/>
      <c r="K20" s="570"/>
      <c r="L20" s="606"/>
      <c r="M20" s="592"/>
      <c r="N20" s="605"/>
      <c r="O20" s="570"/>
      <c r="P20" s="570"/>
      <c r="Q20" s="570"/>
      <c r="R20" s="570"/>
      <c r="S20" s="570"/>
      <c r="T20" s="570"/>
      <c r="U20" s="570"/>
      <c r="V20" s="570"/>
    </row>
    <row r="21" spans="1:22" s="594" customFormat="1" ht="12.75">
      <c r="A21" s="588">
        <f>+A19+1</f>
        <v>5</v>
      </c>
      <c r="B21" s="589" t="s">
        <v>767</v>
      </c>
      <c r="C21" s="606"/>
      <c r="D21" s="600"/>
      <c r="E21" s="600"/>
      <c r="F21" s="600"/>
      <c r="G21" s="603"/>
      <c r="H21" s="600"/>
      <c r="I21" s="883">
        <v>39464000</v>
      </c>
      <c r="J21" s="591">
        <f>+I21-K21</f>
        <v>39464000</v>
      </c>
      <c r="K21" s="883">
        <v>0</v>
      </c>
      <c r="L21" s="592"/>
      <c r="M21" s="592"/>
      <c r="N21" s="605"/>
      <c r="O21" s="570"/>
      <c r="P21" s="570"/>
      <c r="Q21" s="570"/>
      <c r="R21" s="570"/>
      <c r="S21" s="570"/>
      <c r="T21" s="570"/>
      <c r="U21" s="570"/>
      <c r="V21" s="570"/>
    </row>
    <row r="22" spans="1:22" s="594" customFormat="1" ht="12.75">
      <c r="A22" s="588"/>
      <c r="B22" s="589"/>
      <c r="C22" s="606"/>
      <c r="D22" s="600"/>
      <c r="E22" s="600"/>
      <c r="F22" s="600"/>
      <c r="G22" s="603"/>
      <c r="H22" s="600"/>
      <c r="I22" s="919"/>
      <c r="J22" s="591"/>
      <c r="K22" s="919"/>
      <c r="L22" s="592"/>
      <c r="M22" s="592"/>
      <c r="N22" s="605"/>
      <c r="O22" s="570"/>
      <c r="P22" s="570"/>
      <c r="Q22" s="570"/>
      <c r="R22" s="570"/>
      <c r="S22" s="570"/>
      <c r="T22" s="570"/>
      <c r="U22" s="570"/>
      <c r="V22" s="570"/>
    </row>
    <row r="23" spans="1:22" s="594" customFormat="1" ht="12.75">
      <c r="A23" s="588" t="s">
        <v>625</v>
      </c>
      <c r="B23" s="589" t="s">
        <v>628</v>
      </c>
      <c r="C23" s="606"/>
      <c r="D23" s="600"/>
      <c r="E23" s="600"/>
      <c r="F23" s="600"/>
      <c r="G23" s="603"/>
      <c r="H23" s="600"/>
      <c r="I23" s="883"/>
      <c r="J23" s="591">
        <v>0</v>
      </c>
      <c r="K23" s="883"/>
      <c r="L23" s="592"/>
      <c r="M23" s="592"/>
      <c r="N23" s="605"/>
      <c r="O23" s="570"/>
      <c r="P23" s="570"/>
      <c r="Q23" s="570"/>
      <c r="R23" s="570"/>
      <c r="S23" s="570"/>
      <c r="T23" s="570"/>
      <c r="U23" s="570"/>
      <c r="V23" s="570"/>
    </row>
    <row r="24" spans="1:22" s="594" customFormat="1" ht="12.75">
      <c r="A24" s="588"/>
      <c r="B24" s="589"/>
      <c r="C24" s="606"/>
      <c r="D24" s="600"/>
      <c r="E24" s="600"/>
      <c r="F24" s="600"/>
      <c r="G24" s="603"/>
      <c r="H24" s="600"/>
      <c r="I24" s="919"/>
      <c r="J24" s="591"/>
      <c r="K24" s="919"/>
      <c r="L24" s="592"/>
      <c r="M24" s="592"/>
      <c r="N24" s="605"/>
      <c r="O24" s="570"/>
      <c r="P24" s="570"/>
      <c r="Q24" s="570"/>
      <c r="R24" s="570"/>
      <c r="S24" s="570"/>
      <c r="T24" s="570"/>
      <c r="U24" s="570"/>
      <c r="V24" s="570"/>
    </row>
    <row r="25" spans="1:22" s="594" customFormat="1" ht="12.75">
      <c r="A25" s="588" t="s">
        <v>626</v>
      </c>
      <c r="B25" s="589" t="s">
        <v>627</v>
      </c>
      <c r="C25" s="606"/>
      <c r="D25" s="600"/>
      <c r="E25" s="600"/>
      <c r="F25" s="600"/>
      <c r="G25" s="603"/>
      <c r="H25" s="600"/>
      <c r="I25" s="883"/>
      <c r="J25" s="591">
        <v>0</v>
      </c>
      <c r="K25" s="883"/>
      <c r="L25" s="592"/>
      <c r="M25" s="592"/>
      <c r="N25" s="605"/>
      <c r="O25" s="570"/>
      <c r="P25" s="570"/>
      <c r="Q25" s="570"/>
      <c r="R25" s="570"/>
      <c r="S25" s="570"/>
      <c r="T25" s="570"/>
      <c r="U25" s="570"/>
      <c r="V25" s="570"/>
    </row>
    <row r="26" spans="1:22" s="594" customFormat="1" ht="12.75">
      <c r="A26" s="588"/>
      <c r="B26" s="589"/>
      <c r="C26" s="606"/>
      <c r="D26" s="600"/>
      <c r="E26" s="600"/>
      <c r="F26" s="600"/>
      <c r="G26" s="603"/>
      <c r="H26" s="600"/>
      <c r="I26" s="570"/>
      <c r="J26" s="570"/>
      <c r="L26" s="592"/>
      <c r="M26" s="592"/>
      <c r="N26" s="570"/>
      <c r="O26" s="570"/>
      <c r="P26" s="570"/>
      <c r="Q26" s="570"/>
      <c r="R26" s="570"/>
      <c r="S26" s="570"/>
      <c r="T26" s="570"/>
      <c r="U26" s="570"/>
      <c r="V26" s="570"/>
    </row>
    <row r="27" spans="1:22" s="594" customFormat="1" ht="12.75">
      <c r="A27" s="588">
        <f>+A21+1</f>
        <v>6</v>
      </c>
      <c r="B27" s="589" t="s">
        <v>75</v>
      </c>
      <c r="C27" s="606"/>
      <c r="D27" s="600"/>
      <c r="E27" s="600"/>
      <c r="F27" s="600"/>
      <c r="G27" s="603"/>
      <c r="H27" s="600"/>
      <c r="I27" s="607">
        <f>+I21+I19+I17+I15+I13+I23+I25</f>
        <v>61363000</v>
      </c>
      <c r="J27" s="607">
        <f>+J21+J19+J17+J15+J13+J23+J25</f>
        <v>58217000</v>
      </c>
      <c r="K27" s="607">
        <f>+K21+K19+K17+K15+K13+K23+K25</f>
        <v>3146000</v>
      </c>
      <c r="L27" s="592"/>
      <c r="M27" s="592"/>
      <c r="N27" s="570"/>
      <c r="O27" s="570"/>
      <c r="P27" s="570"/>
      <c r="Q27" s="570"/>
      <c r="R27" s="570"/>
      <c r="S27" s="570"/>
      <c r="T27" s="570"/>
      <c r="U27" s="570"/>
      <c r="V27" s="570"/>
    </row>
    <row r="28" spans="1:22" s="594" customFormat="1" ht="12.75">
      <c r="A28" s="588"/>
      <c r="B28" s="589"/>
      <c r="C28" s="606"/>
      <c r="D28" s="600"/>
      <c r="E28" s="600"/>
      <c r="F28" s="600"/>
      <c r="G28" s="603"/>
      <c r="H28" s="600"/>
      <c r="I28" s="570"/>
      <c r="J28" s="570"/>
      <c r="K28" s="570"/>
      <c r="L28" s="592"/>
      <c r="M28" s="592"/>
      <c r="N28" s="570"/>
      <c r="O28" s="570"/>
      <c r="P28" s="570"/>
      <c r="Q28" s="570"/>
      <c r="R28" s="570"/>
      <c r="S28" s="570"/>
      <c r="T28" s="570"/>
      <c r="U28" s="570"/>
      <c r="V28" s="570"/>
    </row>
    <row r="29" spans="1:22" s="594" customFormat="1" ht="12.75">
      <c r="A29" s="588">
        <f>+A27+1</f>
        <v>7</v>
      </c>
      <c r="B29" s="1496" t="s">
        <v>486</v>
      </c>
      <c r="C29" s="1434"/>
      <c r="D29" s="1434"/>
      <c r="E29" s="1434"/>
      <c r="F29" s="1434"/>
      <c r="G29" s="1434"/>
      <c r="H29" s="600"/>
      <c r="I29" s="883"/>
      <c r="J29" s="591">
        <f>+I29-K29</f>
        <v>0</v>
      </c>
      <c r="K29" s="883"/>
      <c r="L29" s="592"/>
      <c r="M29" s="592"/>
      <c r="N29" s="570"/>
      <c r="O29" s="570"/>
      <c r="P29" s="570"/>
      <c r="Q29" s="570"/>
      <c r="R29" s="570"/>
      <c r="S29" s="570"/>
      <c r="T29" s="570"/>
      <c r="U29" s="570"/>
      <c r="V29" s="570"/>
    </row>
    <row r="30" spans="1:22" s="594" customFormat="1" ht="12.75">
      <c r="A30" s="1142"/>
      <c r="B30" s="1434"/>
      <c r="C30" s="1434"/>
      <c r="D30" s="1434"/>
      <c r="E30" s="1434"/>
      <c r="F30" s="1434"/>
      <c r="G30" s="1434"/>
      <c r="H30" s="590"/>
      <c r="I30" s="608"/>
      <c r="J30" s="590"/>
      <c r="K30" s="609"/>
      <c r="L30" s="592"/>
      <c r="M30" s="592"/>
      <c r="N30" s="570"/>
      <c r="O30" s="570"/>
      <c r="P30" s="570"/>
      <c r="Q30" s="570"/>
      <c r="R30" s="570"/>
      <c r="S30" s="570"/>
      <c r="T30" s="570"/>
      <c r="U30" s="570"/>
      <c r="V30" s="570"/>
    </row>
    <row r="31" spans="1:22" s="594" customFormat="1" ht="12.75">
      <c r="A31" s="588">
        <f>+A29+1</f>
        <v>8</v>
      </c>
      <c r="B31" s="596" t="s">
        <v>216</v>
      </c>
      <c r="C31" s="597"/>
      <c r="D31" s="598"/>
      <c r="E31" s="598"/>
      <c r="F31" s="598"/>
      <c r="G31" s="604"/>
      <c r="H31" s="590"/>
      <c r="I31" s="610">
        <f>SUM(I27:I29)</f>
        <v>61363000</v>
      </c>
      <c r="J31" s="610">
        <f>SUM(J27:J29)</f>
        <v>58217000</v>
      </c>
      <c r="K31" s="610">
        <f>SUM(K27:K29)</f>
        <v>3146000</v>
      </c>
      <c r="L31" s="592"/>
      <c r="M31" s="592"/>
      <c r="N31" s="570"/>
      <c r="O31" s="570"/>
      <c r="P31" s="570"/>
      <c r="Q31" s="570"/>
      <c r="R31" s="570"/>
      <c r="S31" s="570"/>
      <c r="T31" s="570"/>
      <c r="U31" s="570"/>
      <c r="V31" s="570"/>
    </row>
    <row r="32" spans="1:22" s="594" customFormat="1" ht="12.75">
      <c r="A32" s="588"/>
      <c r="B32" s="596"/>
      <c r="C32" s="597"/>
      <c r="D32" s="598"/>
      <c r="E32" s="598"/>
      <c r="F32" s="598"/>
      <c r="G32" s="604"/>
      <c r="H32" s="590"/>
      <c r="I32" s="609"/>
      <c r="J32" s="609"/>
      <c r="K32" s="609"/>
      <c r="L32" s="592"/>
      <c r="M32" s="592"/>
      <c r="N32" s="570"/>
      <c r="O32" s="570"/>
      <c r="P32" s="570"/>
      <c r="Q32" s="570"/>
      <c r="R32" s="570"/>
      <c r="S32" s="570"/>
      <c r="T32" s="570"/>
      <c r="U32" s="570"/>
      <c r="V32" s="570"/>
    </row>
    <row r="33" spans="1:41" s="594" customFormat="1" ht="12.75">
      <c r="A33" s="588"/>
      <c r="B33" s="596"/>
      <c r="C33" s="597"/>
      <c r="D33" s="598"/>
      <c r="E33" s="598"/>
      <c r="F33" s="598"/>
      <c r="G33" s="604"/>
      <c r="H33" s="590"/>
      <c r="I33" s="609"/>
      <c r="J33" s="609"/>
      <c r="K33" s="609"/>
      <c r="L33" s="592"/>
      <c r="M33" s="592"/>
      <c r="N33" s="570"/>
      <c r="O33" s="570"/>
      <c r="P33" s="570"/>
      <c r="Q33" s="570"/>
      <c r="R33" s="570"/>
      <c r="S33" s="570"/>
      <c r="T33" s="570"/>
      <c r="U33" s="570"/>
      <c r="V33" s="570"/>
    </row>
    <row r="34" spans="1:41" s="594" customFormat="1" ht="12.75">
      <c r="A34" s="1153"/>
      <c r="L34" s="592"/>
      <c r="M34" s="592"/>
      <c r="N34" s="570"/>
      <c r="O34" s="570"/>
      <c r="P34" s="570"/>
      <c r="Q34" s="570"/>
      <c r="R34" s="570"/>
      <c r="S34" s="570"/>
      <c r="T34" s="570"/>
      <c r="U34" s="570"/>
      <c r="V34" s="570"/>
    </row>
    <row r="35" spans="1:41">
      <c r="A35" s="1154"/>
      <c r="B35" s="570"/>
      <c r="C35" s="589"/>
      <c r="D35" s="590"/>
      <c r="E35" s="590"/>
      <c r="F35" s="590"/>
      <c r="G35" s="603"/>
      <c r="H35" s="590"/>
      <c r="I35" s="590"/>
      <c r="J35" s="590"/>
      <c r="K35" s="590"/>
      <c r="L35" s="611"/>
      <c r="M35" s="612"/>
      <c r="N35" s="546"/>
      <c r="O35" s="579"/>
      <c r="P35" s="579"/>
      <c r="Q35" s="579"/>
      <c r="R35" s="579"/>
      <c r="S35" s="546"/>
      <c r="T35" s="546"/>
      <c r="U35" s="546"/>
      <c r="V35" s="546"/>
    </row>
    <row r="36" spans="1:41" ht="15" customHeight="1">
      <c r="A36" s="1142" t="s">
        <v>500</v>
      </c>
      <c r="B36" s="1495"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495"/>
      <c r="D36" s="1495"/>
      <c r="E36" s="1495"/>
      <c r="F36" s="1495"/>
      <c r="G36" s="1495"/>
      <c r="H36" s="1495"/>
      <c r="I36" s="1495"/>
      <c r="J36" s="1495"/>
      <c r="K36" s="570"/>
      <c r="L36" s="614"/>
      <c r="M36" s="614"/>
      <c r="N36" s="546"/>
      <c r="O36" s="579"/>
      <c r="P36" s="579"/>
      <c r="Q36" s="579"/>
      <c r="R36" s="579"/>
      <c r="S36" s="546"/>
      <c r="T36" s="582"/>
      <c r="U36" s="546"/>
      <c r="V36" s="546"/>
    </row>
    <row r="37" spans="1:41" ht="15.75">
      <c r="A37" s="1142"/>
      <c r="B37" s="1495"/>
      <c r="C37" s="1495"/>
      <c r="D37" s="1495"/>
      <c r="E37" s="1495"/>
      <c r="F37" s="1495"/>
      <c r="G37" s="1495"/>
      <c r="H37" s="1495"/>
      <c r="I37" s="1495"/>
      <c r="J37" s="1495"/>
      <c r="K37" s="570"/>
      <c r="L37" s="545"/>
      <c r="M37" s="615"/>
      <c r="N37" s="615"/>
      <c r="O37" s="615"/>
      <c r="P37" s="615"/>
      <c r="Q37" s="615"/>
      <c r="R37" s="545"/>
      <c r="S37" s="545"/>
      <c r="T37" s="545"/>
      <c r="U37" s="545"/>
      <c r="V37" s="545"/>
      <c r="W37" s="584"/>
      <c r="X37" s="584"/>
      <c r="Y37" s="584"/>
      <c r="Z37" s="584"/>
      <c r="AA37" s="584"/>
      <c r="AB37" s="584"/>
      <c r="AC37" s="584"/>
      <c r="AD37" s="584"/>
      <c r="AE37" s="584"/>
      <c r="AF37" s="584"/>
      <c r="AG37" s="584"/>
      <c r="AH37" s="584"/>
      <c r="AI37" s="584"/>
      <c r="AJ37" s="584"/>
      <c r="AK37" s="584"/>
      <c r="AL37" s="584"/>
      <c r="AM37" s="584"/>
      <c r="AN37" s="584"/>
      <c r="AO37" s="584"/>
    </row>
    <row r="38" spans="1:41" ht="15.75">
      <c r="A38" s="1142" t="s">
        <v>623</v>
      </c>
      <c r="B38" s="1151" t="s">
        <v>624</v>
      </c>
      <c r="C38" s="1152"/>
      <c r="D38" s="1152"/>
      <c r="E38" s="1152"/>
      <c r="F38" s="1152"/>
      <c r="G38" s="1152"/>
      <c r="H38" s="1152"/>
      <c r="I38" s="613"/>
      <c r="J38" s="613"/>
      <c r="K38" s="616"/>
      <c r="L38" s="545"/>
      <c r="M38" s="615"/>
      <c r="N38" s="615"/>
      <c r="O38" s="615"/>
      <c r="P38" s="615"/>
      <c r="Q38" s="615"/>
      <c r="R38" s="545"/>
      <c r="S38" s="545"/>
      <c r="T38" s="545"/>
      <c r="U38" s="545"/>
      <c r="V38" s="545"/>
      <c r="W38" s="584"/>
      <c r="X38" s="584"/>
      <c r="Y38" s="584"/>
      <c r="Z38" s="584"/>
      <c r="AA38" s="584"/>
      <c r="AB38" s="584"/>
      <c r="AC38" s="584"/>
      <c r="AD38" s="584"/>
      <c r="AE38" s="584"/>
      <c r="AF38" s="584"/>
      <c r="AG38" s="584"/>
      <c r="AH38" s="584"/>
      <c r="AI38" s="584"/>
      <c r="AJ38" s="584"/>
      <c r="AK38" s="584"/>
      <c r="AL38" s="584"/>
      <c r="AM38" s="584"/>
      <c r="AN38" s="584"/>
      <c r="AO38" s="584"/>
    </row>
    <row r="39" spans="1:41" ht="15.75">
      <c r="A39" s="588">
        <f>+A31+1</f>
        <v>9</v>
      </c>
      <c r="B39" s="601" t="s">
        <v>536</v>
      </c>
      <c r="C39" s="570"/>
      <c r="D39" s="590"/>
      <c r="E39" s="590"/>
      <c r="F39" s="590"/>
      <c r="G39" s="603"/>
      <c r="H39" s="590"/>
      <c r="I39" s="609"/>
      <c r="J39" s="609"/>
      <c r="K39" s="883">
        <v>0</v>
      </c>
      <c r="L39" s="545"/>
      <c r="M39" s="615"/>
      <c r="N39" s="615"/>
      <c r="O39" s="615"/>
      <c r="P39" s="615"/>
      <c r="Q39" s="615"/>
      <c r="R39" s="545"/>
      <c r="S39" s="545"/>
      <c r="T39" s="545"/>
      <c r="U39" s="545"/>
      <c r="V39" s="545"/>
      <c r="W39" s="584"/>
      <c r="X39" s="584"/>
      <c r="Y39" s="584"/>
      <c r="Z39" s="584"/>
      <c r="AA39" s="584"/>
      <c r="AB39" s="584"/>
      <c r="AC39" s="584"/>
      <c r="AD39" s="584"/>
      <c r="AE39" s="584"/>
      <c r="AF39" s="584"/>
      <c r="AG39" s="584"/>
      <c r="AH39" s="584"/>
      <c r="AI39" s="584"/>
      <c r="AJ39" s="584"/>
      <c r="AK39" s="584"/>
      <c r="AL39" s="584"/>
      <c r="AM39" s="584"/>
      <c r="AN39" s="584"/>
      <c r="AO39" s="584"/>
    </row>
    <row r="40" spans="1:41" ht="15.75">
      <c r="A40" s="546"/>
      <c r="B40" s="545"/>
      <c r="E40" s="615"/>
      <c r="F40" s="615"/>
      <c r="G40" s="615"/>
      <c r="H40" s="615"/>
      <c r="I40" s="617"/>
      <c r="J40" s="615"/>
      <c r="K40" s="615"/>
      <c r="L40" s="545"/>
      <c r="M40" s="615"/>
      <c r="N40" s="615"/>
      <c r="O40" s="615"/>
      <c r="P40" s="615"/>
      <c r="Q40" s="615"/>
      <c r="R40" s="545"/>
      <c r="S40" s="545"/>
      <c r="T40" s="545"/>
      <c r="U40" s="545"/>
      <c r="V40" s="545"/>
      <c r="W40" s="584"/>
      <c r="X40" s="584"/>
      <c r="Y40" s="584"/>
      <c r="Z40" s="584"/>
      <c r="AA40" s="584"/>
      <c r="AB40" s="584"/>
      <c r="AC40" s="584"/>
      <c r="AD40" s="584"/>
      <c r="AE40" s="584"/>
      <c r="AF40" s="584"/>
      <c r="AG40" s="584"/>
      <c r="AH40" s="584"/>
      <c r="AI40" s="584"/>
      <c r="AJ40" s="584"/>
      <c r="AK40" s="584"/>
      <c r="AL40" s="584"/>
      <c r="AM40" s="584"/>
      <c r="AN40" s="584"/>
      <c r="AO40" s="584"/>
    </row>
    <row r="41" spans="1:41" ht="15.75">
      <c r="A41" s="546"/>
      <c r="B41" s="545"/>
      <c r="E41" s="615"/>
      <c r="F41" s="615"/>
      <c r="G41" s="615"/>
      <c r="H41" s="615"/>
      <c r="I41" s="615" t="s">
        <v>115</v>
      </c>
      <c r="J41" s="615"/>
      <c r="K41" s="615"/>
      <c r="L41" s="545"/>
      <c r="M41" s="615"/>
      <c r="N41" s="615"/>
      <c r="O41" s="615"/>
      <c r="P41" s="615"/>
      <c r="Q41" s="615"/>
      <c r="R41" s="545"/>
      <c r="S41" s="545"/>
      <c r="T41" s="545"/>
      <c r="U41" s="545"/>
      <c r="V41" s="545"/>
      <c r="W41" s="584"/>
      <c r="X41" s="584"/>
      <c r="Y41" s="584"/>
      <c r="Z41" s="584"/>
      <c r="AA41" s="584"/>
      <c r="AB41" s="584"/>
      <c r="AC41" s="584"/>
      <c r="AD41" s="584"/>
      <c r="AE41" s="584"/>
      <c r="AF41" s="584"/>
      <c r="AG41" s="584"/>
      <c r="AH41" s="584"/>
      <c r="AI41" s="584"/>
      <c r="AJ41" s="584"/>
      <c r="AK41" s="584"/>
      <c r="AL41" s="584"/>
      <c r="AM41" s="584"/>
      <c r="AN41" s="584"/>
      <c r="AO41" s="584"/>
    </row>
    <row r="42" spans="1:41" ht="15.75">
      <c r="A42" s="546"/>
      <c r="B42" s="545"/>
      <c r="E42" s="615"/>
      <c r="F42" s="615"/>
      <c r="G42" s="615"/>
      <c r="H42" s="615"/>
      <c r="I42" s="615" t="s">
        <v>115</v>
      </c>
      <c r="J42" s="615"/>
      <c r="K42" s="615"/>
      <c r="L42" s="545"/>
      <c r="M42" s="615"/>
      <c r="N42" s="615"/>
      <c r="O42" s="615"/>
      <c r="P42" s="615"/>
      <c r="Q42" s="615"/>
      <c r="R42" s="545"/>
      <c r="S42" s="545"/>
      <c r="T42" s="545"/>
      <c r="U42" s="545"/>
      <c r="V42" s="545"/>
      <c r="W42" s="584"/>
      <c r="X42" s="584"/>
      <c r="Y42" s="584"/>
      <c r="Z42" s="584"/>
      <c r="AA42" s="584"/>
      <c r="AB42" s="584"/>
      <c r="AC42" s="584"/>
      <c r="AD42" s="584"/>
      <c r="AE42" s="584"/>
      <c r="AF42" s="584"/>
      <c r="AG42" s="584"/>
      <c r="AH42" s="584"/>
      <c r="AI42" s="584"/>
      <c r="AJ42" s="584"/>
      <c r="AK42" s="584"/>
      <c r="AL42" s="584"/>
      <c r="AM42" s="584"/>
      <c r="AN42" s="584"/>
      <c r="AO42" s="584"/>
    </row>
    <row r="43" spans="1:41" ht="15.75">
      <c r="A43" s="546"/>
      <c r="B43" s="545"/>
      <c r="E43" s="615"/>
      <c r="F43" s="615"/>
      <c r="G43" s="615"/>
      <c r="H43" s="615"/>
      <c r="I43" s="615"/>
      <c r="J43" s="615"/>
      <c r="K43" s="615"/>
      <c r="L43" s="545"/>
      <c r="M43" s="615"/>
      <c r="N43" s="615"/>
      <c r="O43" s="615"/>
      <c r="P43" s="615"/>
      <c r="Q43" s="615"/>
      <c r="R43" s="545"/>
      <c r="S43" s="545"/>
      <c r="T43" s="545"/>
      <c r="U43" s="545"/>
      <c r="V43" s="545"/>
      <c r="W43" s="584"/>
      <c r="X43" s="584"/>
      <c r="Y43" s="584"/>
      <c r="Z43" s="584"/>
      <c r="AA43" s="584"/>
      <c r="AB43" s="584"/>
      <c r="AC43" s="584"/>
      <c r="AD43" s="584"/>
      <c r="AE43" s="584"/>
      <c r="AF43" s="584"/>
      <c r="AG43" s="584"/>
      <c r="AH43" s="584"/>
      <c r="AI43" s="584"/>
      <c r="AJ43" s="584"/>
      <c r="AK43" s="584"/>
      <c r="AL43" s="584"/>
      <c r="AM43" s="584"/>
      <c r="AN43" s="584"/>
      <c r="AO43" s="584"/>
    </row>
    <row r="44" spans="1:41" ht="15.75">
      <c r="A44" s="546"/>
      <c r="B44" s="545"/>
      <c r="E44" s="615"/>
      <c r="F44" s="615"/>
      <c r="G44" s="615"/>
      <c r="H44" s="615"/>
      <c r="I44" s="615"/>
      <c r="J44" s="615"/>
      <c r="K44" s="615"/>
      <c r="L44" s="545"/>
      <c r="M44" s="615"/>
      <c r="N44" s="615"/>
      <c r="O44" s="615"/>
      <c r="P44" s="615"/>
      <c r="Q44" s="615"/>
      <c r="R44" s="545"/>
      <c r="S44" s="545"/>
      <c r="T44" s="545"/>
      <c r="U44" s="545"/>
      <c r="V44" s="545"/>
      <c r="W44" s="584"/>
      <c r="X44" s="584"/>
      <c r="Y44" s="584"/>
      <c r="Z44" s="584"/>
      <c r="AA44" s="584"/>
      <c r="AB44" s="584"/>
      <c r="AC44" s="584"/>
      <c r="AD44" s="584"/>
      <c r="AE44" s="584"/>
      <c r="AF44" s="584"/>
      <c r="AG44" s="584"/>
      <c r="AH44" s="584"/>
      <c r="AI44" s="584"/>
      <c r="AJ44" s="584"/>
      <c r="AK44" s="584"/>
      <c r="AL44" s="584"/>
      <c r="AM44" s="584"/>
      <c r="AN44" s="584"/>
      <c r="AO44" s="584"/>
    </row>
    <row r="45" spans="1:41" ht="15.75">
      <c r="A45" s="546"/>
      <c r="B45" s="545"/>
      <c r="E45" s="615"/>
      <c r="F45" s="615"/>
      <c r="G45" s="615"/>
      <c r="H45" s="615"/>
      <c r="I45" s="615"/>
      <c r="J45" s="615"/>
      <c r="K45" s="615"/>
      <c r="L45" s="545"/>
      <c r="M45" s="615"/>
      <c r="N45" s="615"/>
      <c r="O45" s="615"/>
      <c r="P45" s="615"/>
      <c r="Q45" s="615"/>
      <c r="R45" s="545"/>
      <c r="S45" s="545"/>
      <c r="T45" s="545"/>
      <c r="U45" s="545"/>
      <c r="V45" s="545"/>
      <c r="W45" s="584"/>
      <c r="X45" s="584"/>
      <c r="Y45" s="584"/>
      <c r="Z45" s="584"/>
      <c r="AA45" s="584"/>
      <c r="AB45" s="584"/>
      <c r="AC45" s="584"/>
      <c r="AD45" s="584"/>
      <c r="AE45" s="584"/>
      <c r="AF45" s="584"/>
      <c r="AG45" s="584"/>
      <c r="AH45" s="584"/>
      <c r="AI45" s="584"/>
      <c r="AJ45" s="584"/>
      <c r="AK45" s="584"/>
      <c r="AL45" s="584"/>
      <c r="AM45" s="584"/>
      <c r="AN45" s="584"/>
      <c r="AO45" s="584"/>
    </row>
    <row r="46" spans="1:41" ht="15.75">
      <c r="A46" s="546"/>
      <c r="B46" s="545"/>
      <c r="E46" s="615"/>
      <c r="F46" s="615"/>
      <c r="G46" s="615"/>
      <c r="H46" s="615"/>
      <c r="I46" s="615"/>
      <c r="J46" s="615"/>
      <c r="K46" s="615"/>
      <c r="L46" s="545"/>
      <c r="M46" s="615"/>
      <c r="N46" s="615"/>
      <c r="O46" s="615"/>
      <c r="P46" s="615"/>
      <c r="Q46" s="615"/>
      <c r="R46" s="545"/>
      <c r="S46" s="545"/>
      <c r="T46" s="545"/>
      <c r="U46" s="545"/>
      <c r="V46" s="545"/>
      <c r="W46" s="584"/>
      <c r="X46" s="584"/>
      <c r="Y46" s="584"/>
      <c r="Z46" s="584"/>
      <c r="AA46" s="584"/>
      <c r="AB46" s="584"/>
      <c r="AC46" s="584"/>
      <c r="AD46" s="584"/>
      <c r="AE46" s="584"/>
      <c r="AF46" s="584"/>
      <c r="AG46" s="584"/>
      <c r="AH46" s="584"/>
      <c r="AI46" s="584"/>
      <c r="AJ46" s="584"/>
      <c r="AK46" s="584"/>
      <c r="AL46" s="584"/>
      <c r="AM46" s="584"/>
      <c r="AN46" s="584"/>
      <c r="AO46" s="584"/>
    </row>
    <row r="47" spans="1:41" ht="15.75">
      <c r="A47" s="546"/>
      <c r="B47" s="545"/>
      <c r="E47" s="615"/>
      <c r="F47" s="615"/>
      <c r="G47" s="615"/>
      <c r="H47" s="615"/>
      <c r="I47" s="615"/>
      <c r="J47" s="615"/>
      <c r="K47" s="615"/>
      <c r="L47" s="545"/>
      <c r="M47" s="615"/>
      <c r="N47" s="615"/>
      <c r="O47" s="615"/>
      <c r="P47" s="615"/>
      <c r="Q47" s="615"/>
      <c r="R47" s="545"/>
      <c r="S47" s="545"/>
      <c r="T47" s="545"/>
      <c r="U47" s="545"/>
      <c r="V47" s="545"/>
      <c r="W47" s="584"/>
      <c r="X47" s="584"/>
      <c r="Y47" s="584"/>
      <c r="Z47" s="584"/>
      <c r="AA47" s="584"/>
      <c r="AB47" s="584"/>
      <c r="AC47" s="584"/>
      <c r="AD47" s="584"/>
      <c r="AE47" s="584"/>
      <c r="AF47" s="584"/>
      <c r="AG47" s="584"/>
      <c r="AH47" s="584"/>
      <c r="AI47" s="584"/>
      <c r="AJ47" s="584"/>
      <c r="AK47" s="584"/>
      <c r="AL47" s="584"/>
      <c r="AM47" s="584"/>
      <c r="AN47" s="584"/>
      <c r="AO47" s="584"/>
    </row>
    <row r="48" spans="1:41" ht="15.75">
      <c r="A48" s="546"/>
      <c r="B48" s="545"/>
      <c r="E48" s="615"/>
      <c r="F48" s="615"/>
      <c r="G48" s="615"/>
      <c r="H48" s="615"/>
      <c r="I48" s="615"/>
      <c r="J48" s="615"/>
      <c r="K48" s="615"/>
      <c r="L48" s="545"/>
      <c r="M48" s="615"/>
      <c r="N48" s="615"/>
      <c r="O48" s="615"/>
      <c r="P48" s="615"/>
      <c r="Q48" s="615"/>
      <c r="R48" s="545"/>
      <c r="S48" s="545"/>
      <c r="T48" s="545"/>
      <c r="U48" s="545"/>
      <c r="V48" s="545"/>
      <c r="W48" s="584"/>
      <c r="X48" s="584"/>
      <c r="Y48" s="584"/>
      <c r="Z48" s="584"/>
      <c r="AA48" s="584"/>
      <c r="AB48" s="584"/>
      <c r="AC48" s="584"/>
      <c r="AD48" s="584"/>
      <c r="AE48" s="584"/>
      <c r="AF48" s="584"/>
      <c r="AG48" s="584"/>
      <c r="AH48" s="584"/>
      <c r="AI48" s="584"/>
      <c r="AJ48" s="584"/>
      <c r="AK48" s="584"/>
      <c r="AL48" s="584"/>
      <c r="AM48" s="584"/>
      <c r="AN48" s="584"/>
      <c r="AO48" s="584"/>
    </row>
    <row r="49" spans="1:41" ht="15.75">
      <c r="I49" s="615"/>
      <c r="J49" s="615"/>
      <c r="K49" s="615"/>
      <c r="L49" s="545"/>
      <c r="M49" s="615"/>
      <c r="N49" s="615"/>
      <c r="O49" s="615"/>
      <c r="P49" s="615"/>
      <c r="Q49" s="615"/>
      <c r="R49" s="545"/>
      <c r="S49" s="545"/>
      <c r="T49" s="545"/>
      <c r="U49" s="545"/>
      <c r="V49" s="545"/>
      <c r="W49" s="584"/>
      <c r="X49" s="584"/>
      <c r="Y49" s="584"/>
      <c r="Z49" s="584"/>
      <c r="AA49" s="584"/>
      <c r="AB49" s="584"/>
      <c r="AC49" s="584"/>
      <c r="AD49" s="584"/>
      <c r="AE49" s="584"/>
      <c r="AF49" s="584"/>
      <c r="AG49" s="584"/>
      <c r="AH49" s="584"/>
      <c r="AI49" s="584"/>
      <c r="AJ49" s="584"/>
      <c r="AK49" s="584"/>
      <c r="AL49" s="584"/>
      <c r="AM49" s="584"/>
      <c r="AN49" s="584"/>
      <c r="AO49" s="584"/>
    </row>
    <row r="50" spans="1:41" ht="15.75">
      <c r="A50" s="546"/>
      <c r="B50" s="545"/>
      <c r="E50" s="615"/>
      <c r="F50" s="615"/>
      <c r="G50" s="615"/>
      <c r="H50" s="615"/>
      <c r="I50" s="615"/>
      <c r="J50" s="615"/>
      <c r="K50" s="615"/>
      <c r="L50" s="545"/>
      <c r="M50" s="615"/>
      <c r="N50" s="615"/>
      <c r="O50" s="615"/>
      <c r="P50" s="615"/>
      <c r="Q50" s="615"/>
      <c r="R50" s="545"/>
      <c r="S50" s="545"/>
      <c r="T50" s="545"/>
      <c r="U50" s="545"/>
      <c r="V50" s="545"/>
      <c r="W50" s="584"/>
      <c r="X50" s="584"/>
      <c r="Y50" s="584"/>
      <c r="Z50" s="584"/>
      <c r="AA50" s="584"/>
      <c r="AB50" s="584"/>
      <c r="AC50" s="584"/>
      <c r="AD50" s="584"/>
      <c r="AE50" s="584"/>
      <c r="AF50" s="584"/>
      <c r="AG50" s="584"/>
      <c r="AH50" s="584"/>
      <c r="AI50" s="584"/>
      <c r="AJ50" s="584"/>
      <c r="AK50" s="584"/>
      <c r="AL50" s="584"/>
      <c r="AM50" s="584"/>
      <c r="AN50" s="584"/>
      <c r="AO50" s="584"/>
    </row>
    <row r="51" spans="1:41" ht="15.75">
      <c r="A51" s="546"/>
      <c r="B51" s="545"/>
      <c r="E51" s="615"/>
      <c r="F51" s="615"/>
      <c r="G51" s="615"/>
      <c r="H51" s="615"/>
      <c r="I51" s="615"/>
      <c r="J51" s="615"/>
      <c r="K51" s="615"/>
      <c r="L51" s="545"/>
      <c r="M51" s="615"/>
      <c r="N51" s="615"/>
      <c r="O51" s="615"/>
      <c r="P51" s="615"/>
      <c r="Q51" s="615"/>
      <c r="R51" s="545"/>
      <c r="S51" s="545"/>
      <c r="T51" s="545"/>
      <c r="U51" s="545"/>
      <c r="V51" s="545"/>
      <c r="W51" s="584"/>
      <c r="X51" s="584"/>
      <c r="Y51" s="584"/>
      <c r="Z51" s="584"/>
      <c r="AA51" s="584"/>
      <c r="AB51" s="584"/>
      <c r="AC51" s="584"/>
      <c r="AD51" s="584"/>
      <c r="AE51" s="584"/>
      <c r="AF51" s="584"/>
      <c r="AG51" s="584"/>
      <c r="AH51" s="584"/>
      <c r="AI51" s="584"/>
      <c r="AJ51" s="584"/>
      <c r="AK51" s="584"/>
      <c r="AL51" s="584"/>
      <c r="AM51" s="584"/>
      <c r="AN51" s="584"/>
      <c r="AO51" s="584"/>
    </row>
    <row r="52" spans="1:41" ht="15.75">
      <c r="A52" s="546"/>
      <c r="B52" s="545"/>
      <c r="E52" s="615"/>
      <c r="F52" s="615"/>
      <c r="G52" s="615"/>
      <c r="H52" s="615"/>
      <c r="I52" s="615"/>
      <c r="J52" s="615"/>
      <c r="K52" s="615"/>
      <c r="L52" s="545"/>
      <c r="M52" s="615"/>
      <c r="N52" s="615"/>
      <c r="O52" s="615"/>
      <c r="P52" s="615"/>
      <c r="Q52" s="615"/>
      <c r="R52" s="545"/>
      <c r="S52" s="545"/>
      <c r="T52" s="545"/>
      <c r="U52" s="545"/>
      <c r="V52" s="545"/>
      <c r="W52" s="584"/>
      <c r="X52" s="584"/>
      <c r="Y52" s="584"/>
      <c r="Z52" s="584"/>
      <c r="AA52" s="584"/>
      <c r="AB52" s="584"/>
      <c r="AC52" s="584"/>
      <c r="AD52" s="584"/>
      <c r="AE52" s="584"/>
      <c r="AF52" s="584"/>
      <c r="AG52" s="584"/>
      <c r="AH52" s="584"/>
      <c r="AI52" s="584"/>
      <c r="AJ52" s="584"/>
      <c r="AK52" s="584"/>
      <c r="AL52" s="584"/>
      <c r="AM52" s="584"/>
      <c r="AN52" s="584"/>
      <c r="AO52" s="584"/>
    </row>
    <row r="53" spans="1:41" ht="15.75">
      <c r="A53" s="546"/>
      <c r="B53" s="545"/>
      <c r="E53" s="615"/>
      <c r="F53" s="615"/>
      <c r="G53" s="615"/>
      <c r="H53" s="615"/>
      <c r="I53" s="615"/>
      <c r="J53" s="615"/>
      <c r="K53" s="615"/>
      <c r="L53" s="545"/>
      <c r="M53" s="615"/>
      <c r="N53" s="615"/>
      <c r="O53" s="615"/>
      <c r="P53" s="615"/>
      <c r="Q53" s="615"/>
      <c r="R53" s="545"/>
      <c r="S53" s="545"/>
      <c r="T53" s="545"/>
      <c r="U53" s="545"/>
      <c r="V53" s="545"/>
      <c r="W53" s="584"/>
      <c r="X53" s="584"/>
      <c r="Y53" s="584"/>
      <c r="Z53" s="584"/>
      <c r="AA53" s="584"/>
      <c r="AB53" s="584"/>
      <c r="AC53" s="584"/>
      <c r="AD53" s="584"/>
      <c r="AE53" s="584"/>
      <c r="AF53" s="584"/>
      <c r="AG53" s="584"/>
      <c r="AH53" s="584"/>
      <c r="AI53" s="584"/>
      <c r="AJ53" s="584"/>
      <c r="AK53" s="584"/>
      <c r="AL53" s="584"/>
      <c r="AM53" s="584"/>
      <c r="AN53" s="584"/>
      <c r="AO53" s="584"/>
    </row>
    <row r="54" spans="1:41" ht="15.75">
      <c r="A54" s="546"/>
      <c r="B54" s="545"/>
      <c r="E54" s="615"/>
      <c r="F54" s="615"/>
      <c r="G54" s="615"/>
      <c r="H54" s="615"/>
      <c r="I54" s="615"/>
      <c r="J54" s="615"/>
      <c r="K54" s="615"/>
      <c r="L54" s="545"/>
      <c r="M54" s="615"/>
      <c r="N54" s="615"/>
      <c r="O54" s="615"/>
      <c r="P54" s="615"/>
      <c r="Q54" s="615"/>
      <c r="R54" s="545"/>
      <c r="S54" s="545"/>
      <c r="T54" s="545"/>
      <c r="U54" s="545"/>
      <c r="V54" s="545"/>
      <c r="W54" s="584"/>
      <c r="X54" s="584"/>
      <c r="Y54" s="584"/>
      <c r="Z54" s="584"/>
      <c r="AA54" s="584"/>
      <c r="AB54" s="584"/>
      <c r="AC54" s="584"/>
      <c r="AD54" s="584"/>
      <c r="AE54" s="584"/>
      <c r="AF54" s="584"/>
      <c r="AG54" s="584"/>
      <c r="AH54" s="584"/>
      <c r="AI54" s="584"/>
      <c r="AJ54" s="584"/>
      <c r="AK54" s="584"/>
      <c r="AL54" s="584"/>
      <c r="AM54" s="584"/>
      <c r="AN54" s="584"/>
      <c r="AO54" s="584"/>
    </row>
    <row r="55" spans="1:41" ht="15.75">
      <c r="A55" s="546"/>
      <c r="B55" s="545"/>
      <c r="E55" s="615"/>
      <c r="F55" s="615"/>
      <c r="G55" s="615"/>
      <c r="H55" s="615"/>
      <c r="I55" s="615"/>
      <c r="J55" s="615"/>
      <c r="K55" s="615"/>
      <c r="L55" s="545"/>
      <c r="M55" s="615"/>
      <c r="N55" s="615"/>
      <c r="O55" s="615"/>
      <c r="P55" s="615"/>
      <c r="Q55" s="615"/>
      <c r="R55" s="545"/>
      <c r="S55" s="545"/>
      <c r="T55" s="545"/>
      <c r="U55" s="545"/>
      <c r="V55" s="545"/>
      <c r="W55" s="584"/>
      <c r="X55" s="584"/>
      <c r="Y55" s="584"/>
      <c r="Z55" s="584"/>
      <c r="AA55" s="584"/>
      <c r="AB55" s="584"/>
      <c r="AC55" s="584"/>
      <c r="AD55" s="584"/>
      <c r="AE55" s="584"/>
      <c r="AF55" s="584"/>
      <c r="AG55" s="584"/>
      <c r="AH55" s="584"/>
      <c r="AI55" s="584"/>
      <c r="AJ55" s="584"/>
      <c r="AK55" s="584"/>
      <c r="AL55" s="584"/>
      <c r="AM55" s="584"/>
      <c r="AN55" s="584"/>
      <c r="AO55" s="584"/>
    </row>
    <row r="56" spans="1:41" ht="15.75">
      <c r="A56" s="546"/>
      <c r="B56" s="545"/>
      <c r="E56" s="615"/>
      <c r="F56" s="615"/>
      <c r="G56" s="615"/>
      <c r="H56" s="615"/>
      <c r="I56" s="615"/>
      <c r="J56" s="615"/>
      <c r="K56" s="615"/>
      <c r="L56" s="545"/>
      <c r="M56" s="615"/>
      <c r="N56" s="615"/>
      <c r="O56" s="615"/>
      <c r="P56" s="615"/>
      <c r="Q56" s="615"/>
      <c r="R56" s="545"/>
      <c r="S56" s="545"/>
      <c r="T56" s="545"/>
      <c r="U56" s="545"/>
      <c r="V56" s="545"/>
      <c r="W56" s="584"/>
      <c r="X56" s="584"/>
      <c r="Y56" s="584"/>
      <c r="Z56" s="584"/>
      <c r="AA56" s="584"/>
      <c r="AB56" s="584"/>
      <c r="AC56" s="584"/>
      <c r="AD56" s="584"/>
      <c r="AE56" s="584"/>
      <c r="AF56" s="584"/>
      <c r="AG56" s="584"/>
      <c r="AH56" s="584"/>
      <c r="AI56" s="584"/>
      <c r="AJ56" s="584"/>
      <c r="AK56" s="584"/>
      <c r="AL56" s="584"/>
      <c r="AM56" s="584"/>
      <c r="AN56" s="584"/>
      <c r="AO56" s="584"/>
    </row>
    <row r="57" spans="1:41" ht="15.75">
      <c r="A57" s="546"/>
      <c r="B57" s="545"/>
      <c r="E57" s="615"/>
      <c r="F57" s="615"/>
      <c r="G57" s="615"/>
      <c r="H57" s="615"/>
      <c r="I57" s="615"/>
      <c r="J57" s="615"/>
      <c r="K57" s="615"/>
      <c r="L57" s="545"/>
      <c r="M57" s="615"/>
      <c r="N57" s="615"/>
      <c r="O57" s="615"/>
      <c r="P57" s="615"/>
      <c r="Q57" s="615"/>
      <c r="R57" s="545"/>
      <c r="S57" s="545"/>
      <c r="T57" s="545"/>
      <c r="U57" s="545"/>
      <c r="V57" s="545"/>
      <c r="W57" s="584"/>
      <c r="X57" s="584"/>
      <c r="Y57" s="584"/>
      <c r="Z57" s="584"/>
      <c r="AA57" s="584"/>
      <c r="AB57" s="584"/>
      <c r="AC57" s="584"/>
      <c r="AD57" s="584"/>
      <c r="AE57" s="584"/>
      <c r="AF57" s="584"/>
      <c r="AG57" s="584"/>
      <c r="AH57" s="584"/>
      <c r="AI57" s="584"/>
      <c r="AJ57" s="584"/>
      <c r="AK57" s="584"/>
      <c r="AL57" s="584"/>
      <c r="AM57" s="584"/>
      <c r="AN57" s="584"/>
      <c r="AO57" s="584"/>
    </row>
    <row r="58" spans="1:41" ht="15.75">
      <c r="A58" s="546"/>
      <c r="B58" s="545"/>
      <c r="E58" s="615"/>
      <c r="F58" s="615"/>
      <c r="G58" s="615"/>
      <c r="H58" s="615"/>
      <c r="I58" s="615"/>
      <c r="J58" s="615"/>
      <c r="K58" s="615"/>
      <c r="L58" s="545"/>
      <c r="M58" s="615"/>
      <c r="N58" s="615"/>
      <c r="O58" s="615"/>
      <c r="P58" s="615"/>
      <c r="Q58" s="615"/>
      <c r="R58" s="545"/>
      <c r="S58" s="545"/>
      <c r="T58" s="545"/>
      <c r="U58" s="545"/>
      <c r="V58" s="545"/>
      <c r="W58" s="584"/>
      <c r="X58" s="584"/>
      <c r="Y58" s="584"/>
      <c r="Z58" s="584"/>
      <c r="AA58" s="584"/>
      <c r="AB58" s="584"/>
      <c r="AC58" s="584"/>
      <c r="AD58" s="584"/>
      <c r="AE58" s="584"/>
      <c r="AF58" s="584"/>
      <c r="AG58" s="584"/>
      <c r="AH58" s="584"/>
      <c r="AI58" s="584"/>
      <c r="AJ58" s="584"/>
      <c r="AK58" s="584"/>
      <c r="AL58" s="584"/>
      <c r="AM58" s="584"/>
      <c r="AN58" s="584"/>
      <c r="AO58" s="584"/>
    </row>
    <row r="59" spans="1:41" ht="15.75">
      <c r="A59" s="546"/>
      <c r="B59" s="545"/>
      <c r="E59" s="615"/>
      <c r="F59" s="615"/>
      <c r="G59" s="615"/>
      <c r="H59" s="615"/>
      <c r="I59" s="615"/>
      <c r="J59" s="615"/>
      <c r="K59" s="615"/>
      <c r="L59" s="545"/>
      <c r="M59" s="615"/>
      <c r="N59" s="615"/>
      <c r="O59" s="615"/>
      <c r="P59" s="615"/>
      <c r="Q59" s="615"/>
      <c r="R59" s="545"/>
      <c r="S59" s="545"/>
      <c r="T59" s="545"/>
      <c r="U59" s="545"/>
      <c r="V59" s="545"/>
      <c r="W59" s="584"/>
      <c r="X59" s="584"/>
      <c r="Y59" s="584"/>
      <c r="Z59" s="584"/>
      <c r="AA59" s="584"/>
      <c r="AB59" s="584"/>
      <c r="AC59" s="584"/>
      <c r="AD59" s="584"/>
      <c r="AE59" s="584"/>
      <c r="AF59" s="584"/>
      <c r="AG59" s="584"/>
      <c r="AH59" s="584"/>
      <c r="AI59" s="584"/>
      <c r="AJ59" s="584"/>
      <c r="AK59" s="584"/>
      <c r="AL59" s="584"/>
      <c r="AM59" s="584"/>
      <c r="AN59" s="584"/>
      <c r="AO59" s="584"/>
    </row>
    <row r="60" spans="1:41" ht="15.75">
      <c r="A60" s="546"/>
      <c r="B60" s="545"/>
      <c r="E60" s="615"/>
      <c r="F60" s="615"/>
      <c r="G60" s="615"/>
      <c r="H60" s="615"/>
      <c r="I60" s="615"/>
      <c r="J60" s="615"/>
      <c r="K60" s="615"/>
      <c r="L60" s="545"/>
      <c r="M60" s="615"/>
      <c r="N60" s="615"/>
      <c r="O60" s="615"/>
      <c r="P60" s="615"/>
      <c r="Q60" s="615"/>
      <c r="R60" s="545"/>
      <c r="S60" s="545"/>
      <c r="T60" s="545"/>
      <c r="U60" s="545"/>
      <c r="V60" s="545"/>
      <c r="W60" s="584"/>
      <c r="X60" s="584"/>
      <c r="Y60" s="584"/>
      <c r="Z60" s="584"/>
      <c r="AA60" s="584"/>
      <c r="AB60" s="584"/>
      <c r="AC60" s="584"/>
      <c r="AD60" s="584"/>
      <c r="AE60" s="584"/>
      <c r="AF60" s="584"/>
      <c r="AG60" s="584"/>
      <c r="AH60" s="584"/>
      <c r="AI60" s="584"/>
      <c r="AJ60" s="584"/>
      <c r="AK60" s="584"/>
      <c r="AL60" s="584"/>
      <c r="AM60" s="584"/>
      <c r="AN60" s="584"/>
      <c r="AO60" s="584"/>
    </row>
    <row r="61" spans="1:41" ht="15.75">
      <c r="A61" s="546"/>
      <c r="B61" s="545"/>
      <c r="E61" s="615"/>
      <c r="F61" s="615"/>
      <c r="G61" s="615"/>
      <c r="H61" s="615"/>
      <c r="I61" s="615"/>
      <c r="J61" s="615"/>
      <c r="K61" s="615"/>
      <c r="L61" s="545"/>
      <c r="M61" s="615"/>
      <c r="N61" s="615"/>
      <c r="O61" s="615"/>
      <c r="P61" s="615"/>
      <c r="Q61" s="615"/>
      <c r="R61" s="545"/>
      <c r="S61" s="545"/>
      <c r="T61" s="545"/>
      <c r="U61" s="545"/>
      <c r="V61" s="545"/>
      <c r="W61" s="584"/>
      <c r="X61" s="584"/>
      <c r="Y61" s="584"/>
      <c r="Z61" s="584"/>
      <c r="AA61" s="584"/>
      <c r="AB61" s="584"/>
      <c r="AC61" s="584"/>
      <c r="AD61" s="584"/>
      <c r="AE61" s="584"/>
      <c r="AF61" s="584"/>
      <c r="AG61" s="584"/>
      <c r="AH61" s="584"/>
      <c r="AI61" s="584"/>
      <c r="AJ61" s="584"/>
      <c r="AK61" s="584"/>
      <c r="AL61" s="584"/>
      <c r="AM61" s="584"/>
      <c r="AN61" s="584"/>
      <c r="AO61" s="584"/>
    </row>
    <row r="62" spans="1:41" ht="15.75">
      <c r="A62" s="546"/>
      <c r="B62" s="545"/>
      <c r="E62" s="615"/>
      <c r="F62" s="615"/>
      <c r="G62" s="615"/>
      <c r="H62" s="615"/>
      <c r="I62" s="615"/>
      <c r="J62" s="615"/>
      <c r="K62" s="615"/>
      <c r="L62" s="545"/>
      <c r="M62" s="615"/>
      <c r="N62" s="615"/>
      <c r="O62" s="615"/>
      <c r="P62" s="615"/>
      <c r="Q62" s="615"/>
      <c r="R62" s="545"/>
      <c r="S62" s="545"/>
      <c r="T62" s="545"/>
      <c r="U62" s="545"/>
      <c r="V62" s="545"/>
      <c r="W62" s="584"/>
      <c r="X62" s="584"/>
      <c r="Y62" s="584"/>
      <c r="Z62" s="584"/>
      <c r="AA62" s="584"/>
      <c r="AB62" s="584"/>
      <c r="AC62" s="584"/>
      <c r="AD62" s="584"/>
      <c r="AE62" s="584"/>
      <c r="AF62" s="584"/>
      <c r="AG62" s="584"/>
      <c r="AH62" s="584"/>
      <c r="AI62" s="584"/>
      <c r="AJ62" s="584"/>
      <c r="AK62" s="584"/>
      <c r="AL62" s="584"/>
      <c r="AM62" s="584"/>
      <c r="AN62" s="584"/>
      <c r="AO62" s="584"/>
    </row>
    <row r="63" spans="1:41" ht="15.75">
      <c r="A63" s="546"/>
      <c r="B63" s="545"/>
      <c r="E63" s="615"/>
      <c r="F63" s="615"/>
      <c r="G63" s="615"/>
      <c r="H63" s="615"/>
      <c r="I63" s="615"/>
      <c r="J63" s="615"/>
      <c r="K63" s="615"/>
      <c r="L63" s="545"/>
      <c r="M63" s="615"/>
      <c r="N63" s="615"/>
      <c r="O63" s="615"/>
      <c r="P63" s="615"/>
      <c r="Q63" s="615"/>
      <c r="R63" s="545"/>
      <c r="S63" s="545"/>
      <c r="T63" s="545"/>
      <c r="U63" s="545"/>
      <c r="V63" s="545"/>
      <c r="W63" s="584"/>
      <c r="X63" s="584"/>
      <c r="Y63" s="584"/>
      <c r="Z63" s="584"/>
      <c r="AA63" s="584"/>
      <c r="AB63" s="584"/>
      <c r="AC63" s="584"/>
      <c r="AD63" s="584"/>
      <c r="AE63" s="584"/>
      <c r="AF63" s="584"/>
      <c r="AG63" s="584"/>
      <c r="AH63" s="584"/>
      <c r="AI63" s="584"/>
      <c r="AJ63" s="584"/>
      <c r="AK63" s="584"/>
      <c r="AL63" s="584"/>
      <c r="AM63" s="584"/>
      <c r="AN63" s="584"/>
      <c r="AO63" s="584"/>
    </row>
    <row r="64" spans="1:41" ht="15.75">
      <c r="A64" s="546"/>
      <c r="B64" s="545"/>
      <c r="E64" s="615"/>
      <c r="F64" s="615"/>
      <c r="G64" s="615"/>
      <c r="H64" s="615"/>
      <c r="I64" s="615"/>
      <c r="J64" s="615"/>
      <c r="K64" s="615"/>
      <c r="L64" s="545"/>
      <c r="M64" s="615"/>
      <c r="N64" s="615"/>
      <c r="O64" s="615"/>
      <c r="P64" s="615"/>
      <c r="Q64" s="615"/>
      <c r="R64" s="545"/>
      <c r="S64" s="545"/>
      <c r="T64" s="545"/>
      <c r="U64" s="545"/>
      <c r="V64" s="545"/>
      <c r="W64" s="584"/>
      <c r="X64" s="584"/>
      <c r="Y64" s="584"/>
      <c r="Z64" s="584"/>
      <c r="AA64" s="584"/>
      <c r="AB64" s="584"/>
      <c r="AC64" s="584"/>
      <c r="AD64" s="584"/>
      <c r="AE64" s="584"/>
      <c r="AF64" s="584"/>
      <c r="AG64" s="584"/>
      <c r="AH64" s="584"/>
      <c r="AI64" s="584"/>
      <c r="AJ64" s="584"/>
      <c r="AK64" s="584"/>
      <c r="AL64" s="584"/>
      <c r="AM64" s="584"/>
      <c r="AN64" s="584"/>
      <c r="AO64" s="584"/>
    </row>
    <row r="65" spans="1:41" ht="15.75">
      <c r="A65" s="546"/>
      <c r="B65" s="545"/>
      <c r="E65" s="615"/>
      <c r="F65" s="615"/>
      <c r="G65" s="615"/>
      <c r="H65" s="615"/>
      <c r="I65" s="615"/>
      <c r="J65" s="615"/>
      <c r="K65" s="615"/>
      <c r="L65" s="545"/>
      <c r="M65" s="615"/>
      <c r="N65" s="615"/>
      <c r="O65" s="615"/>
      <c r="P65" s="615"/>
      <c r="Q65" s="615"/>
      <c r="R65" s="545"/>
      <c r="S65" s="545"/>
      <c r="T65" s="545"/>
      <c r="U65" s="545"/>
      <c r="V65" s="545"/>
      <c r="W65" s="584"/>
      <c r="X65" s="584"/>
      <c r="Y65" s="584"/>
      <c r="Z65" s="584"/>
      <c r="AA65" s="584"/>
      <c r="AB65" s="584"/>
      <c r="AC65" s="584"/>
      <c r="AD65" s="584"/>
      <c r="AE65" s="584"/>
      <c r="AF65" s="584"/>
      <c r="AG65" s="584"/>
      <c r="AH65" s="584"/>
      <c r="AI65" s="584"/>
      <c r="AJ65" s="584"/>
      <c r="AK65" s="584"/>
      <c r="AL65" s="584"/>
      <c r="AM65" s="584"/>
      <c r="AN65" s="584"/>
      <c r="AO65" s="584"/>
    </row>
    <row r="66" spans="1:41" ht="15.75">
      <c r="A66" s="546"/>
      <c r="B66" s="545"/>
      <c r="E66" s="615"/>
      <c r="F66" s="615"/>
      <c r="G66" s="615"/>
      <c r="H66" s="615"/>
      <c r="I66" s="615"/>
      <c r="J66" s="615"/>
      <c r="K66" s="615"/>
      <c r="L66" s="545"/>
      <c r="M66" s="615"/>
      <c r="N66" s="615"/>
      <c r="O66" s="615"/>
      <c r="P66" s="615"/>
      <c r="Q66" s="615"/>
      <c r="R66" s="545"/>
      <c r="S66" s="545"/>
      <c r="T66" s="545"/>
      <c r="U66" s="545"/>
      <c r="V66" s="545"/>
      <c r="W66" s="584"/>
      <c r="X66" s="584"/>
      <c r="Y66" s="584"/>
      <c r="Z66" s="584"/>
      <c r="AA66" s="584"/>
      <c r="AB66" s="584"/>
      <c r="AC66" s="584"/>
      <c r="AD66" s="584"/>
      <c r="AE66" s="584"/>
      <c r="AF66" s="584"/>
      <c r="AG66" s="584"/>
      <c r="AH66" s="584"/>
      <c r="AI66" s="584"/>
      <c r="AJ66" s="584"/>
      <c r="AK66" s="584"/>
      <c r="AL66" s="584"/>
      <c r="AM66" s="584"/>
      <c r="AN66" s="584"/>
      <c r="AO66" s="584"/>
    </row>
    <row r="67" spans="1:41" ht="15.75">
      <c r="A67" s="546"/>
      <c r="B67" s="545"/>
      <c r="E67" s="615"/>
      <c r="F67" s="615"/>
      <c r="G67" s="615"/>
      <c r="H67" s="615"/>
      <c r="I67" s="615"/>
      <c r="J67" s="615"/>
      <c r="K67" s="615"/>
      <c r="L67" s="545"/>
      <c r="M67" s="615"/>
      <c r="N67" s="615"/>
      <c r="O67" s="615"/>
      <c r="P67" s="615"/>
      <c r="Q67" s="615"/>
      <c r="R67" s="545"/>
      <c r="S67" s="545"/>
      <c r="T67" s="545"/>
      <c r="U67" s="545"/>
      <c r="V67" s="545"/>
      <c r="W67" s="584"/>
      <c r="X67" s="584"/>
      <c r="Y67" s="584"/>
      <c r="Z67" s="584"/>
      <c r="AA67" s="584"/>
      <c r="AB67" s="584"/>
      <c r="AC67" s="584"/>
      <c r="AD67" s="584"/>
      <c r="AE67" s="584"/>
      <c r="AF67" s="584"/>
      <c r="AG67" s="584"/>
      <c r="AH67" s="584"/>
      <c r="AI67" s="584"/>
      <c r="AJ67" s="584"/>
      <c r="AK67" s="584"/>
      <c r="AL67" s="584"/>
      <c r="AM67" s="584"/>
      <c r="AN67" s="584"/>
      <c r="AO67" s="584"/>
    </row>
    <row r="68" spans="1:41" ht="15.75">
      <c r="A68" s="546"/>
      <c r="B68" s="545"/>
      <c r="E68" s="615"/>
      <c r="F68" s="615"/>
      <c r="G68" s="615"/>
      <c r="H68" s="615"/>
      <c r="I68" s="615"/>
      <c r="J68" s="615"/>
      <c r="K68" s="615"/>
      <c r="L68" s="545"/>
      <c r="M68" s="615"/>
      <c r="N68" s="615"/>
      <c r="O68" s="615"/>
      <c r="P68" s="615"/>
      <c r="Q68" s="615"/>
      <c r="R68" s="545"/>
      <c r="S68" s="545"/>
      <c r="T68" s="545"/>
      <c r="U68" s="545"/>
      <c r="V68" s="545"/>
      <c r="W68" s="584"/>
      <c r="X68" s="584"/>
      <c r="Y68" s="584"/>
      <c r="Z68" s="584"/>
      <c r="AA68" s="584"/>
      <c r="AB68" s="584"/>
      <c r="AC68" s="584"/>
      <c r="AD68" s="584"/>
      <c r="AE68" s="584"/>
      <c r="AF68" s="584"/>
      <c r="AG68" s="584"/>
      <c r="AH68" s="584"/>
      <c r="AI68" s="584"/>
      <c r="AJ68" s="584"/>
      <c r="AK68" s="584"/>
      <c r="AL68" s="584"/>
      <c r="AM68" s="584"/>
      <c r="AN68" s="584"/>
      <c r="AO68" s="584"/>
    </row>
    <row r="69" spans="1:41" ht="15.75">
      <c r="A69" s="546"/>
      <c r="B69" s="545"/>
      <c r="E69" s="615"/>
      <c r="F69" s="615"/>
      <c r="G69" s="615"/>
      <c r="H69" s="615"/>
      <c r="I69" s="615"/>
      <c r="J69" s="615"/>
      <c r="K69" s="615"/>
      <c r="L69" s="545"/>
      <c r="M69" s="615"/>
      <c r="N69" s="615"/>
      <c r="O69" s="615"/>
      <c r="P69" s="615"/>
      <c r="Q69" s="615"/>
      <c r="R69" s="545"/>
      <c r="S69" s="545"/>
      <c r="T69" s="545"/>
      <c r="U69" s="545"/>
      <c r="V69" s="545"/>
      <c r="W69" s="584"/>
      <c r="X69" s="584"/>
      <c r="Y69" s="584"/>
      <c r="Z69" s="584"/>
      <c r="AA69" s="584"/>
      <c r="AB69" s="584"/>
      <c r="AC69" s="584"/>
      <c r="AD69" s="584"/>
      <c r="AE69" s="584"/>
      <c r="AF69" s="584"/>
      <c r="AG69" s="584"/>
      <c r="AH69" s="584"/>
      <c r="AI69" s="584"/>
      <c r="AJ69" s="584"/>
      <c r="AK69" s="584"/>
      <c r="AL69" s="584"/>
      <c r="AM69" s="584"/>
      <c r="AN69" s="584"/>
      <c r="AO69" s="584"/>
    </row>
    <row r="70" spans="1:41" ht="15.75">
      <c r="A70" s="546"/>
      <c r="B70" s="545"/>
      <c r="E70" s="615"/>
      <c r="F70" s="615"/>
      <c r="G70" s="615"/>
      <c r="H70" s="615"/>
      <c r="I70" s="615"/>
      <c r="J70" s="615"/>
      <c r="K70" s="615"/>
      <c r="L70" s="545"/>
      <c r="M70" s="615"/>
      <c r="N70" s="615"/>
      <c r="O70" s="615"/>
      <c r="P70" s="615"/>
      <c r="Q70" s="615"/>
      <c r="R70" s="545"/>
      <c r="S70" s="545"/>
      <c r="T70" s="545"/>
      <c r="U70" s="545"/>
      <c r="V70" s="545"/>
      <c r="W70" s="584"/>
      <c r="X70" s="584"/>
      <c r="Y70" s="584"/>
      <c r="Z70" s="584"/>
      <c r="AA70" s="584"/>
      <c r="AB70" s="584"/>
      <c r="AC70" s="584"/>
      <c r="AD70" s="584"/>
      <c r="AE70" s="584"/>
      <c r="AF70" s="584"/>
      <c r="AG70" s="584"/>
      <c r="AH70" s="584"/>
      <c r="AI70" s="584"/>
      <c r="AJ70" s="584"/>
      <c r="AK70" s="584"/>
      <c r="AL70" s="584"/>
      <c r="AM70" s="584"/>
      <c r="AN70" s="584"/>
      <c r="AO70" s="584"/>
    </row>
    <row r="71" spans="1:41" ht="15.75">
      <c r="A71" s="546"/>
      <c r="B71" s="545"/>
      <c r="E71" s="615"/>
      <c r="F71" s="615"/>
      <c r="G71" s="615"/>
      <c r="H71" s="615"/>
      <c r="I71" s="615"/>
      <c r="J71" s="615"/>
      <c r="K71" s="615"/>
      <c r="L71" s="545"/>
      <c r="M71" s="615"/>
      <c r="N71" s="615"/>
      <c r="O71" s="615"/>
      <c r="P71" s="615"/>
      <c r="Q71" s="615"/>
      <c r="R71" s="545"/>
      <c r="S71" s="545"/>
      <c r="T71" s="545"/>
      <c r="U71" s="545"/>
      <c r="V71" s="545"/>
      <c r="W71" s="584"/>
      <c r="X71" s="584"/>
      <c r="Y71" s="584"/>
      <c r="Z71" s="584"/>
      <c r="AA71" s="584"/>
      <c r="AB71" s="584"/>
      <c r="AC71" s="584"/>
      <c r="AD71" s="584"/>
      <c r="AE71" s="584"/>
      <c r="AF71" s="584"/>
      <c r="AG71" s="584"/>
      <c r="AH71" s="584"/>
      <c r="AI71" s="584"/>
      <c r="AJ71" s="584"/>
      <c r="AK71" s="584"/>
      <c r="AL71" s="584"/>
      <c r="AM71" s="584"/>
      <c r="AN71" s="584"/>
      <c r="AO71" s="584"/>
    </row>
    <row r="72" spans="1:41" ht="15.75">
      <c r="A72" s="546"/>
      <c r="B72" s="545"/>
      <c r="E72" s="615"/>
      <c r="F72" s="615"/>
      <c r="G72" s="615"/>
      <c r="H72" s="615"/>
      <c r="I72" s="615"/>
      <c r="J72" s="615"/>
      <c r="K72" s="615"/>
      <c r="L72" s="545"/>
      <c r="M72" s="615"/>
      <c r="N72" s="615"/>
      <c r="O72" s="615"/>
      <c r="P72" s="615"/>
      <c r="Q72" s="615"/>
      <c r="R72" s="545"/>
      <c r="S72" s="545"/>
      <c r="T72" s="545"/>
      <c r="U72" s="545"/>
      <c r="V72" s="545"/>
      <c r="W72" s="584"/>
      <c r="X72" s="584"/>
      <c r="Y72" s="584"/>
      <c r="Z72" s="584"/>
      <c r="AA72" s="584"/>
      <c r="AB72" s="584"/>
      <c r="AC72" s="584"/>
      <c r="AD72" s="584"/>
      <c r="AE72" s="584"/>
      <c r="AF72" s="584"/>
      <c r="AG72" s="584"/>
      <c r="AH72" s="584"/>
      <c r="AI72" s="584"/>
      <c r="AJ72" s="584"/>
      <c r="AK72" s="584"/>
      <c r="AL72" s="584"/>
      <c r="AM72" s="584"/>
      <c r="AN72" s="584"/>
      <c r="AO72" s="584"/>
    </row>
    <row r="73" spans="1:41" ht="15.75">
      <c r="A73" s="546"/>
      <c r="B73" s="545"/>
      <c r="E73" s="615"/>
      <c r="F73" s="615"/>
      <c r="G73" s="615"/>
      <c r="H73" s="615"/>
      <c r="I73" s="615"/>
      <c r="J73" s="615"/>
      <c r="K73" s="615"/>
      <c r="L73" s="545"/>
      <c r="M73" s="615"/>
      <c r="N73" s="615"/>
      <c r="O73" s="615"/>
      <c r="P73" s="615"/>
      <c r="Q73" s="615"/>
      <c r="R73" s="545"/>
      <c r="S73" s="545"/>
      <c r="T73" s="545"/>
      <c r="U73" s="545"/>
      <c r="V73" s="545"/>
      <c r="W73" s="584"/>
      <c r="X73" s="584"/>
      <c r="Y73" s="584"/>
      <c r="Z73" s="584"/>
      <c r="AA73" s="584"/>
      <c r="AB73" s="584"/>
      <c r="AC73" s="584"/>
      <c r="AD73" s="584"/>
      <c r="AE73" s="584"/>
      <c r="AF73" s="584"/>
      <c r="AG73" s="584"/>
      <c r="AH73" s="584"/>
      <c r="AI73" s="584"/>
      <c r="AJ73" s="584"/>
      <c r="AK73" s="584"/>
      <c r="AL73" s="584"/>
      <c r="AM73" s="584"/>
      <c r="AN73" s="584"/>
      <c r="AO73" s="584"/>
    </row>
    <row r="74" spans="1:41" ht="15.75">
      <c r="A74" s="546"/>
      <c r="B74" s="545"/>
      <c r="E74" s="615"/>
      <c r="F74" s="615"/>
      <c r="G74" s="615"/>
      <c r="H74" s="615"/>
      <c r="I74" s="615"/>
      <c r="J74" s="615"/>
      <c r="K74" s="615"/>
      <c r="L74" s="545"/>
      <c r="M74" s="615"/>
      <c r="N74" s="615"/>
      <c r="O74" s="615"/>
      <c r="P74" s="615"/>
      <c r="Q74" s="615"/>
      <c r="R74" s="545"/>
      <c r="S74" s="545"/>
      <c r="T74" s="545"/>
      <c r="U74" s="545"/>
      <c r="V74" s="545"/>
      <c r="W74" s="584"/>
      <c r="X74" s="584"/>
      <c r="Y74" s="584"/>
      <c r="Z74" s="584"/>
      <c r="AA74" s="584"/>
      <c r="AB74" s="584"/>
      <c r="AC74" s="584"/>
      <c r="AD74" s="584"/>
      <c r="AE74" s="584"/>
      <c r="AF74" s="584"/>
      <c r="AG74" s="584"/>
      <c r="AH74" s="584"/>
      <c r="AI74" s="584"/>
      <c r="AJ74" s="584"/>
      <c r="AK74" s="584"/>
      <c r="AL74" s="584"/>
      <c r="AM74" s="584"/>
      <c r="AN74" s="584"/>
      <c r="AO74" s="584"/>
    </row>
    <row r="75" spans="1:41" ht="15.75">
      <c r="A75" s="546"/>
      <c r="B75" s="545"/>
      <c r="E75" s="615"/>
      <c r="F75" s="615"/>
      <c r="G75" s="615"/>
      <c r="H75" s="615"/>
      <c r="I75" s="615"/>
      <c r="J75" s="615"/>
      <c r="K75" s="615"/>
      <c r="L75" s="545"/>
      <c r="M75" s="615"/>
      <c r="N75" s="615"/>
      <c r="O75" s="615"/>
      <c r="P75" s="615"/>
      <c r="Q75" s="615"/>
      <c r="R75" s="545"/>
      <c r="S75" s="545"/>
      <c r="T75" s="545"/>
      <c r="U75" s="545"/>
      <c r="V75" s="545"/>
      <c r="W75" s="584"/>
      <c r="X75" s="584"/>
      <c r="Y75" s="584"/>
      <c r="Z75" s="584"/>
      <c r="AA75" s="584"/>
      <c r="AB75" s="584"/>
      <c r="AC75" s="584"/>
      <c r="AD75" s="584"/>
      <c r="AE75" s="584"/>
      <c r="AF75" s="584"/>
      <c r="AG75" s="584"/>
      <c r="AH75" s="584"/>
      <c r="AI75" s="584"/>
      <c r="AJ75" s="584"/>
      <c r="AK75" s="584"/>
      <c r="AL75" s="584"/>
      <c r="AM75" s="584"/>
      <c r="AN75" s="584"/>
      <c r="AO75" s="584"/>
    </row>
    <row r="76" spans="1:41" ht="15.75">
      <c r="A76" s="546"/>
      <c r="B76" s="545"/>
      <c r="E76" s="615"/>
      <c r="F76" s="615"/>
      <c r="G76" s="615"/>
      <c r="H76" s="615"/>
      <c r="I76" s="615"/>
      <c r="J76" s="615"/>
      <c r="K76" s="615"/>
      <c r="L76" s="545"/>
      <c r="M76" s="615"/>
      <c r="N76" s="615"/>
      <c r="O76" s="615"/>
      <c r="P76" s="615"/>
      <c r="Q76" s="615"/>
      <c r="R76" s="545"/>
      <c r="S76" s="545"/>
      <c r="T76" s="545"/>
      <c r="U76" s="545"/>
      <c r="V76" s="545"/>
      <c r="W76" s="584"/>
      <c r="X76" s="584"/>
      <c r="Y76" s="584"/>
      <c r="Z76" s="584"/>
      <c r="AA76" s="584"/>
      <c r="AB76" s="584"/>
      <c r="AC76" s="584"/>
      <c r="AD76" s="584"/>
      <c r="AE76" s="584"/>
      <c r="AF76" s="584"/>
      <c r="AG76" s="584"/>
      <c r="AH76" s="584"/>
      <c r="AI76" s="584"/>
      <c r="AJ76" s="584"/>
      <c r="AK76" s="584"/>
      <c r="AL76" s="584"/>
      <c r="AM76" s="584"/>
      <c r="AN76" s="584"/>
      <c r="AO76" s="584"/>
    </row>
    <row r="77" spans="1:41" ht="15.75">
      <c r="A77" s="546"/>
      <c r="B77" s="545"/>
      <c r="E77" s="615"/>
      <c r="F77" s="615"/>
      <c r="G77" s="615"/>
      <c r="H77" s="615"/>
      <c r="I77" s="615"/>
      <c r="J77" s="615"/>
      <c r="K77" s="615"/>
      <c r="L77" s="545"/>
      <c r="M77" s="615"/>
      <c r="N77" s="615"/>
      <c r="O77" s="615"/>
      <c r="P77" s="615"/>
      <c r="Q77" s="615"/>
      <c r="R77" s="545"/>
      <c r="S77" s="545"/>
      <c r="T77" s="545"/>
      <c r="U77" s="545"/>
      <c r="V77" s="545"/>
      <c r="W77" s="584"/>
      <c r="X77" s="584"/>
      <c r="Y77" s="584"/>
      <c r="Z77" s="584"/>
      <c r="AA77" s="584"/>
      <c r="AB77" s="584"/>
      <c r="AC77" s="584"/>
      <c r="AD77" s="584"/>
      <c r="AE77" s="584"/>
      <c r="AF77" s="584"/>
      <c r="AG77" s="584"/>
      <c r="AH77" s="584"/>
      <c r="AI77" s="584"/>
      <c r="AJ77" s="584"/>
      <c r="AK77" s="584"/>
      <c r="AL77" s="584"/>
      <c r="AM77" s="584"/>
      <c r="AN77" s="584"/>
      <c r="AO77" s="584"/>
    </row>
    <row r="78" spans="1:41" ht="15.75">
      <c r="A78" s="546"/>
      <c r="B78" s="545"/>
      <c r="E78" s="615"/>
      <c r="F78" s="615"/>
      <c r="G78" s="615"/>
      <c r="H78" s="615"/>
      <c r="I78" s="615"/>
      <c r="J78" s="615"/>
      <c r="K78" s="615"/>
      <c r="L78" s="545"/>
      <c r="M78" s="615"/>
      <c r="N78" s="615"/>
      <c r="O78" s="615"/>
      <c r="P78" s="615"/>
      <c r="Q78" s="615"/>
      <c r="R78" s="545"/>
      <c r="S78" s="545"/>
      <c r="T78" s="545"/>
      <c r="U78" s="545"/>
      <c r="V78" s="545"/>
      <c r="W78" s="584"/>
      <c r="X78" s="584"/>
      <c r="Y78" s="584"/>
      <c r="Z78" s="584"/>
      <c r="AA78" s="584"/>
      <c r="AB78" s="584"/>
      <c r="AC78" s="584"/>
      <c r="AD78" s="584"/>
      <c r="AE78" s="584"/>
      <c r="AF78" s="584"/>
      <c r="AG78" s="584"/>
      <c r="AH78" s="584"/>
      <c r="AI78" s="584"/>
      <c r="AJ78" s="584"/>
      <c r="AK78" s="584"/>
      <c r="AL78" s="584"/>
      <c r="AM78" s="584"/>
      <c r="AN78" s="584"/>
      <c r="AO78" s="584"/>
    </row>
    <row r="79" spans="1:41" ht="15.75">
      <c r="A79" s="546"/>
      <c r="B79" s="545"/>
      <c r="E79" s="615"/>
      <c r="F79" s="615"/>
      <c r="G79" s="615"/>
      <c r="H79" s="615"/>
      <c r="I79" s="615"/>
      <c r="J79" s="615"/>
      <c r="K79" s="615"/>
      <c r="L79" s="545"/>
      <c r="M79" s="615"/>
      <c r="N79" s="615"/>
      <c r="O79" s="615"/>
      <c r="P79" s="615"/>
      <c r="Q79" s="615"/>
      <c r="R79" s="545"/>
      <c r="S79" s="545"/>
      <c r="T79" s="545"/>
      <c r="U79" s="545"/>
      <c r="V79" s="545"/>
      <c r="W79" s="584"/>
      <c r="X79" s="584"/>
      <c r="Y79" s="584"/>
      <c r="Z79" s="584"/>
      <c r="AA79" s="584"/>
      <c r="AB79" s="584"/>
      <c r="AC79" s="584"/>
      <c r="AD79" s="584"/>
      <c r="AE79" s="584"/>
      <c r="AF79" s="584"/>
      <c r="AG79" s="584"/>
      <c r="AH79" s="584"/>
      <c r="AI79" s="584"/>
      <c r="AJ79" s="584"/>
      <c r="AK79" s="584"/>
      <c r="AL79" s="584"/>
      <c r="AM79" s="584"/>
      <c r="AN79" s="584"/>
      <c r="AO79" s="584"/>
    </row>
    <row r="80" spans="1:41" ht="15.75">
      <c r="A80" s="546"/>
      <c r="B80" s="545"/>
      <c r="E80" s="615"/>
      <c r="F80" s="615"/>
      <c r="G80" s="615"/>
      <c r="H80" s="615"/>
      <c r="I80" s="615"/>
      <c r="J80" s="615"/>
      <c r="K80" s="615"/>
      <c r="L80" s="545"/>
      <c r="M80" s="615"/>
      <c r="N80" s="615"/>
      <c r="O80" s="615"/>
      <c r="P80" s="615"/>
      <c r="Q80" s="615"/>
      <c r="R80" s="545"/>
      <c r="S80" s="545"/>
      <c r="T80" s="545"/>
      <c r="U80" s="545"/>
      <c r="V80" s="545"/>
      <c r="W80" s="584"/>
      <c r="X80" s="584"/>
      <c r="Y80" s="584"/>
      <c r="Z80" s="584"/>
      <c r="AA80" s="584"/>
      <c r="AB80" s="584"/>
      <c r="AC80" s="584"/>
      <c r="AD80" s="584"/>
      <c r="AE80" s="584"/>
      <c r="AF80" s="584"/>
      <c r="AG80" s="584"/>
      <c r="AH80" s="584"/>
      <c r="AI80" s="584"/>
      <c r="AJ80" s="584"/>
      <c r="AK80" s="584"/>
      <c r="AL80" s="584"/>
      <c r="AM80" s="584"/>
      <c r="AN80" s="584"/>
      <c r="AO80" s="584"/>
    </row>
    <row r="81" spans="1:41" ht="15.75">
      <c r="A81" s="546"/>
      <c r="B81" s="545"/>
      <c r="E81" s="615"/>
      <c r="F81" s="615"/>
      <c r="G81" s="615"/>
      <c r="H81" s="615"/>
      <c r="I81" s="615"/>
      <c r="J81" s="615"/>
      <c r="K81" s="615"/>
      <c r="L81" s="545"/>
      <c r="M81" s="615"/>
      <c r="N81" s="615"/>
      <c r="O81" s="615"/>
      <c r="P81" s="615"/>
      <c r="Q81" s="615"/>
      <c r="R81" s="545"/>
      <c r="S81" s="545"/>
      <c r="T81" s="545"/>
      <c r="U81" s="545"/>
      <c r="V81" s="545"/>
      <c r="W81" s="584"/>
      <c r="X81" s="584"/>
      <c r="Y81" s="584"/>
      <c r="Z81" s="584"/>
      <c r="AA81" s="584"/>
      <c r="AB81" s="584"/>
      <c r="AC81" s="584"/>
      <c r="AD81" s="584"/>
      <c r="AE81" s="584"/>
      <c r="AF81" s="584"/>
      <c r="AG81" s="584"/>
      <c r="AH81" s="584"/>
      <c r="AI81" s="584"/>
      <c r="AJ81" s="584"/>
      <c r="AK81" s="584"/>
      <c r="AL81" s="584"/>
      <c r="AM81" s="584"/>
      <c r="AN81" s="584"/>
      <c r="AO81" s="584"/>
    </row>
    <row r="82" spans="1:41" ht="15.75">
      <c r="A82" s="546"/>
      <c r="B82" s="545"/>
      <c r="E82" s="615"/>
      <c r="F82" s="615"/>
      <c r="G82" s="615"/>
      <c r="H82" s="615"/>
      <c r="I82" s="615"/>
      <c r="J82" s="615"/>
      <c r="K82" s="615"/>
      <c r="L82" s="545"/>
      <c r="M82" s="615"/>
      <c r="N82" s="615"/>
      <c r="O82" s="615"/>
      <c r="P82" s="615"/>
      <c r="Q82" s="615"/>
      <c r="R82" s="545"/>
      <c r="S82" s="545"/>
      <c r="T82" s="545"/>
      <c r="U82" s="545"/>
      <c r="V82" s="545"/>
      <c r="W82" s="584"/>
      <c r="X82" s="584"/>
      <c r="Y82" s="584"/>
      <c r="Z82" s="584"/>
      <c r="AA82" s="584"/>
      <c r="AB82" s="584"/>
      <c r="AC82" s="584"/>
      <c r="AD82" s="584"/>
      <c r="AE82" s="584"/>
      <c r="AF82" s="584"/>
      <c r="AG82" s="584"/>
      <c r="AH82" s="584"/>
      <c r="AI82" s="584"/>
      <c r="AJ82" s="584"/>
      <c r="AK82" s="584"/>
      <c r="AL82" s="584"/>
      <c r="AM82" s="584"/>
      <c r="AN82" s="584"/>
      <c r="AO82" s="584"/>
    </row>
    <row r="83" spans="1:41" ht="15.75">
      <c r="A83" s="546"/>
      <c r="B83" s="545"/>
      <c r="E83" s="615"/>
      <c r="F83" s="615"/>
      <c r="G83" s="615"/>
      <c r="H83" s="615"/>
      <c r="I83" s="615"/>
      <c r="J83" s="615"/>
      <c r="K83" s="615"/>
      <c r="L83" s="545"/>
      <c r="M83" s="615"/>
      <c r="N83" s="615"/>
      <c r="O83" s="615"/>
      <c r="P83" s="615"/>
      <c r="Q83" s="615"/>
      <c r="R83" s="545"/>
      <c r="S83" s="545"/>
      <c r="T83" s="545"/>
      <c r="U83" s="545"/>
      <c r="V83" s="545"/>
      <c r="W83" s="584"/>
      <c r="X83" s="584"/>
      <c r="Y83" s="584"/>
      <c r="Z83" s="584"/>
      <c r="AA83" s="584"/>
      <c r="AB83" s="584"/>
      <c r="AC83" s="584"/>
      <c r="AD83" s="584"/>
      <c r="AE83" s="584"/>
      <c r="AF83" s="584"/>
      <c r="AG83" s="584"/>
      <c r="AH83" s="584"/>
      <c r="AI83" s="584"/>
      <c r="AJ83" s="584"/>
      <c r="AK83" s="584"/>
      <c r="AL83" s="584"/>
      <c r="AM83" s="584"/>
      <c r="AN83" s="584"/>
      <c r="AO83" s="584"/>
    </row>
    <row r="84" spans="1:41" ht="15.75">
      <c r="A84" s="546"/>
      <c r="B84" s="545"/>
      <c r="E84" s="615"/>
      <c r="F84" s="615"/>
      <c r="G84" s="615"/>
      <c r="H84" s="615"/>
      <c r="I84" s="615"/>
      <c r="J84" s="615"/>
      <c r="K84" s="615"/>
      <c r="L84" s="545"/>
      <c r="M84" s="615"/>
      <c r="N84" s="615"/>
      <c r="O84" s="615"/>
      <c r="P84" s="615"/>
      <c r="Q84" s="615"/>
      <c r="R84" s="545"/>
      <c r="S84" s="545"/>
      <c r="T84" s="545"/>
      <c r="U84" s="545"/>
      <c r="V84" s="545"/>
      <c r="W84" s="584"/>
      <c r="X84" s="584"/>
      <c r="Y84" s="584"/>
      <c r="Z84" s="584"/>
      <c r="AA84" s="584"/>
      <c r="AB84" s="584"/>
      <c r="AC84" s="584"/>
      <c r="AD84" s="584"/>
      <c r="AE84" s="584"/>
      <c r="AF84" s="584"/>
      <c r="AG84" s="584"/>
      <c r="AH84" s="584"/>
      <c r="AI84" s="584"/>
      <c r="AJ84" s="584"/>
      <c r="AK84" s="584"/>
      <c r="AL84" s="584"/>
      <c r="AM84" s="584"/>
      <c r="AN84" s="584"/>
      <c r="AO84" s="584"/>
    </row>
    <row r="85" spans="1:41" ht="15.75">
      <c r="A85" s="546"/>
      <c r="B85" s="545"/>
      <c r="E85" s="615"/>
      <c r="F85" s="615"/>
      <c r="G85" s="615"/>
      <c r="H85" s="615"/>
      <c r="I85" s="615"/>
      <c r="J85" s="615"/>
      <c r="K85" s="615"/>
      <c r="L85" s="545"/>
      <c r="M85" s="615"/>
      <c r="N85" s="615"/>
      <c r="O85" s="615"/>
      <c r="P85" s="615"/>
      <c r="Q85" s="615"/>
      <c r="R85" s="545"/>
      <c r="S85" s="545"/>
      <c r="T85" s="545"/>
      <c r="U85" s="545"/>
      <c r="V85" s="545"/>
      <c r="W85" s="584"/>
      <c r="X85" s="584"/>
      <c r="Y85" s="584"/>
      <c r="Z85" s="584"/>
      <c r="AA85" s="584"/>
      <c r="AB85" s="584"/>
      <c r="AC85" s="584"/>
      <c r="AD85" s="584"/>
      <c r="AE85" s="584"/>
      <c r="AF85" s="584"/>
      <c r="AG85" s="584"/>
      <c r="AH85" s="584"/>
      <c r="AI85" s="584"/>
      <c r="AJ85" s="584"/>
      <c r="AK85" s="584"/>
      <c r="AL85" s="584"/>
      <c r="AM85" s="584"/>
      <c r="AN85" s="584"/>
      <c r="AO85" s="584"/>
    </row>
    <row r="86" spans="1:41" ht="15.75">
      <c r="A86" s="546"/>
      <c r="B86" s="545"/>
      <c r="E86" s="615"/>
      <c r="F86" s="615"/>
      <c r="G86" s="615"/>
      <c r="H86" s="615"/>
      <c r="I86" s="615"/>
      <c r="J86" s="615"/>
      <c r="K86" s="615"/>
      <c r="L86" s="545"/>
      <c r="M86" s="615"/>
      <c r="N86" s="615"/>
      <c r="O86" s="615"/>
      <c r="P86" s="615"/>
      <c r="Q86" s="615"/>
      <c r="R86" s="545"/>
      <c r="S86" s="545"/>
      <c r="T86" s="545"/>
      <c r="U86" s="545"/>
      <c r="V86" s="545"/>
      <c r="W86" s="584"/>
      <c r="X86" s="584"/>
      <c r="Y86" s="584"/>
      <c r="Z86" s="584"/>
      <c r="AA86" s="584"/>
      <c r="AB86" s="584"/>
      <c r="AC86" s="584"/>
      <c r="AD86" s="584"/>
      <c r="AE86" s="584"/>
      <c r="AF86" s="584"/>
      <c r="AG86" s="584"/>
      <c r="AH86" s="584"/>
      <c r="AI86" s="584"/>
      <c r="AJ86" s="584"/>
      <c r="AK86" s="584"/>
      <c r="AL86" s="584"/>
      <c r="AM86" s="584"/>
      <c r="AN86" s="584"/>
      <c r="AO86" s="584"/>
    </row>
    <row r="87" spans="1:41" ht="15.75">
      <c r="A87" s="546"/>
      <c r="B87" s="545"/>
      <c r="E87" s="615"/>
      <c r="F87" s="615"/>
      <c r="G87" s="615"/>
      <c r="H87" s="615"/>
      <c r="I87" s="615"/>
      <c r="J87" s="615"/>
      <c r="K87" s="615"/>
      <c r="L87" s="545"/>
      <c r="M87" s="615"/>
      <c r="N87" s="615"/>
      <c r="O87" s="615"/>
      <c r="P87" s="615"/>
      <c r="Q87" s="615"/>
      <c r="R87" s="545"/>
      <c r="S87" s="545"/>
      <c r="T87" s="545"/>
      <c r="U87" s="545"/>
      <c r="V87" s="545"/>
      <c r="W87" s="584"/>
      <c r="X87" s="584"/>
      <c r="Y87" s="584"/>
      <c r="Z87" s="584"/>
      <c r="AA87" s="584"/>
      <c r="AB87" s="584"/>
      <c r="AC87" s="584"/>
      <c r="AD87" s="584"/>
      <c r="AE87" s="584"/>
      <c r="AF87" s="584"/>
      <c r="AG87" s="584"/>
      <c r="AH87" s="584"/>
      <c r="AI87" s="584"/>
      <c r="AJ87" s="584"/>
      <c r="AK87" s="584"/>
      <c r="AL87" s="584"/>
      <c r="AM87" s="584"/>
      <c r="AN87" s="584"/>
      <c r="AO87" s="584"/>
    </row>
    <row r="88" spans="1:41" ht="15.75">
      <c r="A88" s="546"/>
      <c r="B88" s="545"/>
      <c r="E88" s="615"/>
      <c r="F88" s="615"/>
      <c r="G88" s="615"/>
      <c r="H88" s="615"/>
      <c r="I88" s="615"/>
      <c r="J88" s="615"/>
      <c r="K88" s="615"/>
      <c r="L88" s="545"/>
      <c r="M88" s="615"/>
      <c r="N88" s="615"/>
      <c r="O88" s="615"/>
      <c r="P88" s="615"/>
      <c r="Q88" s="615"/>
      <c r="R88" s="545"/>
      <c r="S88" s="545"/>
      <c r="T88" s="545"/>
      <c r="U88" s="545"/>
      <c r="V88" s="545"/>
      <c r="W88" s="584"/>
      <c r="X88" s="584"/>
      <c r="Y88" s="584"/>
      <c r="Z88" s="584"/>
      <c r="AA88" s="584"/>
      <c r="AB88" s="584"/>
      <c r="AC88" s="584"/>
      <c r="AD88" s="584"/>
      <c r="AE88" s="584"/>
      <c r="AF88" s="584"/>
      <c r="AG88" s="584"/>
      <c r="AH88" s="584"/>
      <c r="AI88" s="584"/>
      <c r="AJ88" s="584"/>
      <c r="AK88" s="584"/>
      <c r="AL88" s="584"/>
      <c r="AM88" s="584"/>
      <c r="AN88" s="584"/>
      <c r="AO88" s="584"/>
    </row>
    <row r="89" spans="1:41" ht="15.75">
      <c r="A89" s="546"/>
      <c r="B89" s="545"/>
      <c r="E89" s="615"/>
      <c r="F89" s="615"/>
      <c r="G89" s="615"/>
      <c r="H89" s="615"/>
      <c r="I89" s="615"/>
      <c r="J89" s="615"/>
      <c r="K89" s="615"/>
      <c r="L89" s="545"/>
      <c r="M89" s="615"/>
      <c r="N89" s="615"/>
      <c r="O89" s="615"/>
      <c r="P89" s="615"/>
      <c r="Q89" s="615"/>
      <c r="R89" s="545"/>
      <c r="S89" s="545"/>
      <c r="T89" s="545"/>
      <c r="U89" s="545"/>
      <c r="V89" s="545"/>
      <c r="W89" s="584"/>
      <c r="X89" s="584"/>
      <c r="Y89" s="584"/>
      <c r="Z89" s="584"/>
      <c r="AA89" s="584"/>
      <c r="AB89" s="584"/>
      <c r="AC89" s="584"/>
      <c r="AD89" s="584"/>
      <c r="AE89" s="584"/>
      <c r="AF89" s="584"/>
      <c r="AG89" s="584"/>
      <c r="AH89" s="584"/>
      <c r="AI89" s="584"/>
      <c r="AJ89" s="584"/>
      <c r="AK89" s="584"/>
      <c r="AL89" s="584"/>
      <c r="AM89" s="584"/>
      <c r="AN89" s="584"/>
      <c r="AO89" s="584"/>
    </row>
    <row r="90" spans="1:41" ht="15.75">
      <c r="A90" s="546"/>
      <c r="B90" s="545"/>
      <c r="E90" s="615"/>
      <c r="F90" s="615"/>
      <c r="G90" s="615"/>
      <c r="H90" s="615"/>
      <c r="I90" s="615"/>
      <c r="J90" s="615"/>
      <c r="K90" s="615"/>
      <c r="L90" s="545"/>
      <c r="M90" s="615"/>
      <c r="N90" s="615"/>
      <c r="O90" s="615"/>
      <c r="P90" s="615"/>
      <c r="Q90" s="615"/>
      <c r="R90" s="545"/>
      <c r="S90" s="545"/>
      <c r="T90" s="545"/>
      <c r="U90" s="545"/>
      <c r="V90" s="545"/>
      <c r="W90" s="584"/>
      <c r="X90" s="584"/>
      <c r="Y90" s="584"/>
      <c r="Z90" s="584"/>
      <c r="AA90" s="584"/>
      <c r="AB90" s="584"/>
      <c r="AC90" s="584"/>
      <c r="AD90" s="584"/>
      <c r="AE90" s="584"/>
      <c r="AF90" s="584"/>
      <c r="AG90" s="584"/>
      <c r="AH90" s="584"/>
      <c r="AI90" s="584"/>
      <c r="AJ90" s="584"/>
      <c r="AK90" s="584"/>
      <c r="AL90" s="584"/>
      <c r="AM90" s="584"/>
      <c r="AN90" s="584"/>
      <c r="AO90" s="584"/>
    </row>
    <row r="91" spans="1:41" ht="15.75">
      <c r="A91" s="546"/>
      <c r="B91" s="545"/>
      <c r="E91" s="615"/>
      <c r="F91" s="615"/>
      <c r="G91" s="615"/>
      <c r="H91" s="615"/>
      <c r="I91" s="615"/>
      <c r="J91" s="615"/>
      <c r="K91" s="615"/>
      <c r="L91" s="545"/>
      <c r="M91" s="615"/>
      <c r="N91" s="615"/>
      <c r="O91" s="615"/>
      <c r="P91" s="615"/>
      <c r="Q91" s="615"/>
      <c r="R91" s="545"/>
      <c r="S91" s="545"/>
      <c r="T91" s="545"/>
      <c r="U91" s="545"/>
      <c r="V91" s="545"/>
      <c r="W91" s="584"/>
      <c r="X91" s="584"/>
      <c r="Y91" s="584"/>
      <c r="Z91" s="584"/>
      <c r="AA91" s="584"/>
      <c r="AB91" s="584"/>
      <c r="AC91" s="584"/>
      <c r="AD91" s="584"/>
      <c r="AE91" s="584"/>
      <c r="AF91" s="584"/>
      <c r="AG91" s="584"/>
      <c r="AH91" s="584"/>
      <c r="AI91" s="584"/>
      <c r="AJ91" s="584"/>
      <c r="AK91" s="584"/>
      <c r="AL91" s="584"/>
      <c r="AM91" s="584"/>
      <c r="AN91" s="584"/>
      <c r="AO91" s="584"/>
    </row>
    <row r="92" spans="1:41" ht="15.75">
      <c r="A92" s="546"/>
      <c r="B92" s="545"/>
      <c r="E92" s="615"/>
      <c r="F92" s="615"/>
      <c r="G92" s="615"/>
      <c r="H92" s="615"/>
      <c r="I92" s="615"/>
      <c r="J92" s="615"/>
      <c r="K92" s="615"/>
      <c r="L92" s="545"/>
      <c r="M92" s="615"/>
      <c r="N92" s="615"/>
      <c r="O92" s="615"/>
      <c r="P92" s="615"/>
      <c r="Q92" s="615"/>
      <c r="R92" s="545"/>
      <c r="S92" s="545"/>
      <c r="T92" s="545"/>
      <c r="U92" s="545"/>
      <c r="V92" s="545"/>
      <c r="W92" s="584"/>
      <c r="X92" s="584"/>
      <c r="Y92" s="584"/>
      <c r="Z92" s="584"/>
      <c r="AA92" s="584"/>
      <c r="AB92" s="584"/>
      <c r="AC92" s="584"/>
      <c r="AD92" s="584"/>
      <c r="AE92" s="584"/>
      <c r="AF92" s="584"/>
      <c r="AG92" s="584"/>
      <c r="AH92" s="584"/>
      <c r="AI92" s="584"/>
      <c r="AJ92" s="584"/>
      <c r="AK92" s="584"/>
      <c r="AL92" s="584"/>
      <c r="AM92" s="584"/>
      <c r="AN92" s="584"/>
      <c r="AO92" s="584"/>
    </row>
    <row r="93" spans="1:41" ht="15.75">
      <c r="A93" s="546"/>
      <c r="B93" s="545"/>
      <c r="E93" s="615"/>
      <c r="F93" s="615"/>
      <c r="G93" s="615"/>
      <c r="H93" s="615"/>
      <c r="I93" s="615"/>
      <c r="J93" s="615"/>
      <c r="K93" s="615"/>
      <c r="L93" s="545"/>
      <c r="M93" s="615"/>
      <c r="N93" s="615"/>
      <c r="O93" s="615"/>
      <c r="P93" s="615"/>
      <c r="Q93" s="615"/>
      <c r="R93" s="545"/>
      <c r="S93" s="545"/>
      <c r="T93" s="545"/>
      <c r="U93" s="545"/>
      <c r="V93" s="545"/>
      <c r="W93" s="584"/>
      <c r="X93" s="584"/>
      <c r="Y93" s="584"/>
      <c r="Z93" s="584"/>
      <c r="AA93" s="584"/>
      <c r="AB93" s="584"/>
      <c r="AC93" s="584"/>
      <c r="AD93" s="584"/>
      <c r="AE93" s="584"/>
      <c r="AF93" s="584"/>
      <c r="AG93" s="584"/>
      <c r="AH93" s="584"/>
      <c r="AI93" s="584"/>
      <c r="AJ93" s="584"/>
      <c r="AK93" s="584"/>
      <c r="AL93" s="584"/>
      <c r="AM93" s="584"/>
      <c r="AN93" s="584"/>
      <c r="AO93" s="584"/>
    </row>
    <row r="94" spans="1:41" ht="15.75">
      <c r="A94" s="546"/>
      <c r="B94" s="545"/>
      <c r="E94" s="615"/>
      <c r="F94" s="615"/>
      <c r="G94" s="615"/>
      <c r="H94" s="615"/>
      <c r="I94" s="615"/>
      <c r="J94" s="615"/>
      <c r="K94" s="615"/>
      <c r="L94" s="545"/>
      <c r="M94" s="615"/>
      <c r="N94" s="615"/>
      <c r="O94" s="615"/>
      <c r="P94" s="615"/>
      <c r="Q94" s="615"/>
      <c r="R94" s="545"/>
      <c r="S94" s="545"/>
      <c r="T94" s="545"/>
      <c r="U94" s="545"/>
      <c r="V94" s="545"/>
      <c r="W94" s="584"/>
      <c r="X94" s="584"/>
      <c r="Y94" s="584"/>
      <c r="Z94" s="584"/>
      <c r="AA94" s="584"/>
      <c r="AB94" s="584"/>
      <c r="AC94" s="584"/>
      <c r="AD94" s="584"/>
      <c r="AE94" s="584"/>
      <c r="AF94" s="584"/>
      <c r="AG94" s="584"/>
      <c r="AH94" s="584"/>
      <c r="AI94" s="584"/>
      <c r="AJ94" s="584"/>
      <c r="AK94" s="584"/>
      <c r="AL94" s="584"/>
      <c r="AM94" s="584"/>
      <c r="AN94" s="584"/>
      <c r="AO94" s="584"/>
    </row>
    <row r="95" spans="1:41" ht="15.75">
      <c r="A95" s="546"/>
      <c r="B95" s="545"/>
      <c r="E95" s="615"/>
      <c r="F95" s="615"/>
      <c r="G95" s="615"/>
      <c r="H95" s="615"/>
      <c r="I95" s="615"/>
      <c r="J95" s="615"/>
      <c r="K95" s="615"/>
      <c r="L95" s="545"/>
      <c r="M95" s="615"/>
      <c r="N95" s="615"/>
      <c r="O95" s="615"/>
      <c r="P95" s="615"/>
      <c r="Q95" s="615"/>
      <c r="R95" s="545"/>
      <c r="S95" s="545"/>
      <c r="T95" s="545"/>
      <c r="U95" s="545"/>
      <c r="V95" s="545"/>
      <c r="W95" s="584"/>
      <c r="X95" s="584"/>
      <c r="Y95" s="584"/>
      <c r="Z95" s="584"/>
      <c r="AA95" s="584"/>
      <c r="AB95" s="584"/>
      <c r="AC95" s="584"/>
      <c r="AD95" s="584"/>
      <c r="AE95" s="584"/>
      <c r="AF95" s="584"/>
      <c r="AG95" s="584"/>
      <c r="AH95" s="584"/>
      <c r="AI95" s="584"/>
      <c r="AJ95" s="584"/>
      <c r="AK95" s="584"/>
      <c r="AL95" s="584"/>
      <c r="AM95" s="584"/>
      <c r="AN95" s="584"/>
      <c r="AO95" s="584"/>
    </row>
    <row r="96" spans="1:41" ht="15.75">
      <c r="A96" s="546"/>
      <c r="B96" s="545"/>
      <c r="E96" s="615"/>
      <c r="F96" s="615"/>
      <c r="G96" s="615"/>
      <c r="H96" s="615"/>
      <c r="I96" s="615"/>
      <c r="J96" s="615"/>
      <c r="K96" s="615"/>
      <c r="L96" s="545"/>
      <c r="M96" s="615"/>
      <c r="N96" s="615"/>
      <c r="O96" s="615"/>
      <c r="P96" s="615"/>
      <c r="Q96" s="615"/>
      <c r="R96" s="545"/>
      <c r="S96" s="545"/>
      <c r="T96" s="545"/>
      <c r="U96" s="545"/>
      <c r="V96" s="545"/>
      <c r="W96" s="584"/>
      <c r="X96" s="584"/>
      <c r="Y96" s="584"/>
      <c r="Z96" s="584"/>
      <c r="AA96" s="584"/>
      <c r="AB96" s="584"/>
      <c r="AC96" s="584"/>
      <c r="AD96" s="584"/>
      <c r="AE96" s="584"/>
      <c r="AF96" s="584"/>
      <c r="AG96" s="584"/>
      <c r="AH96" s="584"/>
      <c r="AI96" s="584"/>
      <c r="AJ96" s="584"/>
      <c r="AK96" s="584"/>
      <c r="AL96" s="584"/>
      <c r="AM96" s="584"/>
      <c r="AN96" s="584"/>
      <c r="AO96" s="584"/>
    </row>
    <row r="97" spans="1:41" ht="15.75">
      <c r="A97" s="546"/>
      <c r="B97" s="545"/>
      <c r="E97" s="615"/>
      <c r="F97" s="615"/>
      <c r="G97" s="615"/>
      <c r="H97" s="615"/>
      <c r="I97" s="615"/>
      <c r="J97" s="615"/>
      <c r="K97" s="615"/>
      <c r="L97" s="545"/>
      <c r="M97" s="615"/>
      <c r="N97" s="615"/>
      <c r="O97" s="615"/>
      <c r="P97" s="615"/>
      <c r="Q97" s="615"/>
      <c r="R97" s="545"/>
      <c r="S97" s="545"/>
      <c r="T97" s="545"/>
      <c r="U97" s="545"/>
      <c r="V97" s="545"/>
      <c r="W97" s="584"/>
      <c r="X97" s="584"/>
      <c r="Y97" s="584"/>
      <c r="Z97" s="584"/>
      <c r="AA97" s="584"/>
      <c r="AB97" s="584"/>
      <c r="AC97" s="584"/>
      <c r="AD97" s="584"/>
      <c r="AE97" s="584"/>
      <c r="AF97" s="584"/>
      <c r="AG97" s="584"/>
      <c r="AH97" s="584"/>
      <c r="AI97" s="584"/>
      <c r="AJ97" s="584"/>
      <c r="AK97" s="584"/>
      <c r="AL97" s="584"/>
      <c r="AM97" s="584"/>
      <c r="AN97" s="584"/>
      <c r="AO97" s="584"/>
    </row>
    <row r="98" spans="1:41" ht="15.75">
      <c r="A98" s="546"/>
      <c r="B98" s="545"/>
      <c r="E98" s="615"/>
      <c r="F98" s="615"/>
      <c r="G98" s="615"/>
      <c r="H98" s="615"/>
      <c r="I98" s="615"/>
      <c r="J98" s="615"/>
      <c r="K98" s="615"/>
      <c r="L98" s="545"/>
      <c r="M98" s="615"/>
      <c r="N98" s="615"/>
      <c r="O98" s="615"/>
      <c r="P98" s="615"/>
      <c r="Q98" s="615"/>
      <c r="R98" s="545"/>
      <c r="S98" s="545"/>
      <c r="T98" s="545"/>
      <c r="U98" s="545"/>
      <c r="V98" s="545"/>
      <c r="W98" s="584"/>
      <c r="X98" s="584"/>
      <c r="Y98" s="584"/>
      <c r="Z98" s="584"/>
      <c r="AA98" s="584"/>
      <c r="AB98" s="584"/>
      <c r="AC98" s="584"/>
      <c r="AD98" s="584"/>
      <c r="AE98" s="584"/>
      <c r="AF98" s="584"/>
      <c r="AG98" s="584"/>
      <c r="AH98" s="584"/>
      <c r="AI98" s="584"/>
      <c r="AJ98" s="584"/>
      <c r="AK98" s="584"/>
      <c r="AL98" s="584"/>
      <c r="AM98" s="584"/>
      <c r="AN98" s="584"/>
      <c r="AO98" s="584"/>
    </row>
    <row r="99" spans="1:41" ht="15.75">
      <c r="A99" s="546"/>
      <c r="B99" s="545"/>
      <c r="E99" s="615"/>
      <c r="F99" s="615"/>
      <c r="G99" s="615"/>
      <c r="H99" s="615"/>
      <c r="I99" s="615"/>
      <c r="J99" s="615"/>
      <c r="K99" s="615"/>
      <c r="L99" s="545"/>
      <c r="M99" s="615"/>
      <c r="N99" s="615"/>
      <c r="O99" s="615"/>
      <c r="P99" s="615"/>
      <c r="Q99" s="615"/>
      <c r="R99" s="545"/>
      <c r="S99" s="545"/>
      <c r="T99" s="545"/>
      <c r="U99" s="545"/>
      <c r="V99" s="545"/>
      <c r="W99" s="584"/>
      <c r="X99" s="584"/>
      <c r="Y99" s="584"/>
      <c r="Z99" s="584"/>
      <c r="AA99" s="584"/>
      <c r="AB99" s="584"/>
      <c r="AC99" s="584"/>
      <c r="AD99" s="584"/>
      <c r="AE99" s="584"/>
      <c r="AF99" s="584"/>
      <c r="AG99" s="584"/>
      <c r="AH99" s="584"/>
      <c r="AI99" s="584"/>
      <c r="AJ99" s="584"/>
      <c r="AK99" s="584"/>
      <c r="AL99" s="584"/>
      <c r="AM99" s="584"/>
      <c r="AN99" s="584"/>
      <c r="AO99" s="584"/>
    </row>
    <row r="100" spans="1:41">
      <c r="A100" s="579"/>
      <c r="B100" s="579"/>
      <c r="C100" s="579"/>
      <c r="D100" s="579"/>
      <c r="E100" s="579"/>
      <c r="F100" s="579"/>
      <c r="G100" s="579"/>
      <c r="H100" s="579"/>
      <c r="I100" s="579"/>
      <c r="J100" s="579"/>
      <c r="K100" s="579"/>
      <c r="L100" s="579"/>
      <c r="M100" s="579"/>
      <c r="N100" s="579"/>
      <c r="O100" s="579"/>
      <c r="P100" s="579"/>
      <c r="Q100" s="579"/>
      <c r="R100" s="579"/>
      <c r="S100" s="579"/>
      <c r="T100" s="579"/>
      <c r="U100" s="579"/>
      <c r="V100" s="579"/>
      <c r="W100" s="584"/>
      <c r="X100" s="584"/>
      <c r="Y100" s="584"/>
      <c r="Z100" s="584"/>
      <c r="AA100" s="584"/>
      <c r="AB100" s="584"/>
      <c r="AC100" s="584"/>
      <c r="AD100" s="584"/>
      <c r="AE100" s="584"/>
      <c r="AF100" s="584"/>
      <c r="AG100" s="584"/>
      <c r="AH100" s="584"/>
      <c r="AI100" s="584"/>
      <c r="AJ100" s="584"/>
      <c r="AK100" s="584"/>
      <c r="AL100" s="584"/>
      <c r="AM100" s="584"/>
      <c r="AN100" s="584"/>
      <c r="AO100" s="584"/>
    </row>
    <row r="101" spans="1:41">
      <c r="A101" s="579"/>
      <c r="B101" s="579"/>
      <c r="C101" s="579"/>
      <c r="D101" s="579"/>
      <c r="E101" s="579"/>
      <c r="F101" s="579"/>
      <c r="G101" s="579"/>
      <c r="H101" s="579"/>
      <c r="I101" s="579"/>
      <c r="J101" s="579"/>
      <c r="K101" s="579"/>
      <c r="L101" s="579"/>
      <c r="M101" s="579"/>
      <c r="N101" s="579"/>
      <c r="O101" s="579"/>
      <c r="P101" s="579"/>
      <c r="Q101" s="579"/>
      <c r="R101" s="579"/>
      <c r="S101" s="579"/>
      <c r="T101" s="579"/>
      <c r="U101" s="579"/>
      <c r="V101" s="579"/>
      <c r="W101" s="584"/>
      <c r="X101" s="584"/>
      <c r="Y101" s="584"/>
      <c r="Z101" s="584"/>
      <c r="AA101" s="584"/>
      <c r="AB101" s="584"/>
      <c r="AC101" s="584"/>
      <c r="AD101" s="584"/>
      <c r="AE101" s="584"/>
      <c r="AF101" s="584"/>
      <c r="AG101" s="584"/>
      <c r="AH101" s="584"/>
      <c r="AI101" s="584"/>
      <c r="AJ101" s="584"/>
      <c r="AK101" s="584"/>
      <c r="AL101" s="584"/>
      <c r="AM101" s="584"/>
      <c r="AN101" s="584"/>
      <c r="AO101" s="584"/>
    </row>
    <row r="102" spans="1:41">
      <c r="A102" s="579"/>
      <c r="B102" s="579"/>
      <c r="C102" s="579"/>
      <c r="D102" s="579"/>
      <c r="E102" s="579"/>
      <c r="F102" s="579"/>
      <c r="G102" s="579"/>
      <c r="H102" s="579"/>
      <c r="I102" s="579"/>
      <c r="J102" s="579"/>
      <c r="K102" s="579"/>
      <c r="L102" s="579"/>
      <c r="M102" s="579"/>
      <c r="N102" s="579"/>
      <c r="O102" s="579"/>
      <c r="P102" s="579"/>
      <c r="Q102" s="579"/>
      <c r="R102" s="579"/>
      <c r="S102" s="579"/>
      <c r="T102" s="579"/>
      <c r="U102" s="579"/>
      <c r="V102" s="579"/>
      <c r="W102" s="584"/>
      <c r="X102" s="584"/>
      <c r="Y102" s="584"/>
      <c r="Z102" s="584"/>
      <c r="AA102" s="584"/>
      <c r="AB102" s="584"/>
      <c r="AC102" s="584"/>
      <c r="AD102" s="584"/>
      <c r="AE102" s="584"/>
      <c r="AF102" s="584"/>
      <c r="AG102" s="584"/>
      <c r="AH102" s="584"/>
      <c r="AI102" s="584"/>
      <c r="AJ102" s="584"/>
      <c r="AK102" s="584"/>
      <c r="AL102" s="584"/>
      <c r="AM102" s="584"/>
      <c r="AN102" s="584"/>
      <c r="AO102" s="584"/>
    </row>
    <row r="103" spans="1:41">
      <c r="A103" s="579"/>
      <c r="B103" s="579"/>
      <c r="C103" s="579"/>
      <c r="D103" s="579"/>
      <c r="E103" s="579"/>
      <c r="F103" s="579"/>
      <c r="G103" s="579"/>
      <c r="H103" s="579"/>
      <c r="I103" s="579"/>
      <c r="J103" s="579"/>
      <c r="K103" s="579"/>
      <c r="L103" s="579"/>
      <c r="M103" s="579"/>
      <c r="N103" s="579"/>
      <c r="O103" s="579"/>
      <c r="P103" s="579"/>
      <c r="Q103" s="579"/>
      <c r="R103" s="579"/>
      <c r="S103" s="579"/>
      <c r="T103" s="579"/>
      <c r="U103" s="579"/>
      <c r="V103" s="579"/>
    </row>
    <row r="104" spans="1:41">
      <c r="A104" s="579"/>
      <c r="B104" s="579"/>
      <c r="C104" s="579"/>
      <c r="D104" s="579"/>
      <c r="E104" s="579"/>
      <c r="F104" s="579"/>
      <c r="G104" s="579"/>
      <c r="H104" s="579"/>
      <c r="I104" s="579"/>
      <c r="J104" s="579"/>
      <c r="K104" s="579"/>
      <c r="L104" s="579"/>
      <c r="M104" s="579"/>
      <c r="N104" s="579"/>
      <c r="O104" s="579"/>
      <c r="P104" s="579"/>
      <c r="Q104" s="579"/>
      <c r="R104" s="579"/>
      <c r="S104" s="579"/>
      <c r="T104" s="579"/>
      <c r="U104" s="579"/>
      <c r="V104" s="579"/>
    </row>
    <row r="105" spans="1:41">
      <c r="A105" s="579"/>
      <c r="B105" s="579"/>
      <c r="C105" s="579"/>
      <c r="D105" s="579"/>
      <c r="E105" s="579"/>
      <c r="F105" s="579"/>
      <c r="G105" s="579"/>
      <c r="H105" s="579"/>
      <c r="I105" s="579"/>
      <c r="J105" s="579"/>
      <c r="K105" s="579"/>
      <c r="L105" s="579"/>
      <c r="M105" s="579"/>
      <c r="N105" s="579"/>
      <c r="O105" s="579"/>
      <c r="P105" s="579"/>
      <c r="Q105" s="579"/>
      <c r="R105" s="579"/>
      <c r="S105" s="579"/>
      <c r="T105" s="579"/>
      <c r="U105" s="579"/>
      <c r="V105" s="579"/>
    </row>
    <row r="106" spans="1:41">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row>
    <row r="107" spans="1:41" ht="12.75" customHeight="1">
      <c r="A107" s="579"/>
      <c r="B107" s="579"/>
      <c r="C107" s="579"/>
      <c r="D107" s="579"/>
      <c r="E107" s="579"/>
      <c r="F107" s="579"/>
      <c r="G107" s="579"/>
      <c r="H107" s="579"/>
      <c r="I107" s="579"/>
      <c r="J107" s="579"/>
      <c r="K107" s="579"/>
      <c r="L107" s="579"/>
      <c r="M107" s="579"/>
      <c r="N107" s="579"/>
      <c r="O107" s="579"/>
      <c r="P107" s="579"/>
      <c r="Q107" s="579"/>
      <c r="R107" s="579"/>
      <c r="S107" s="579"/>
      <c r="T107" s="579"/>
      <c r="U107" s="579"/>
      <c r="V107" s="579"/>
    </row>
    <row r="108" spans="1:41" ht="12.75" customHeight="1">
      <c r="A108" s="579"/>
      <c r="B108" s="579"/>
      <c r="C108" s="579"/>
      <c r="D108" s="579"/>
      <c r="E108" s="579"/>
      <c r="F108" s="579"/>
      <c r="G108" s="579"/>
      <c r="H108" s="579"/>
      <c r="I108" s="579"/>
      <c r="J108" s="579"/>
      <c r="K108" s="579"/>
      <c r="L108" s="579"/>
      <c r="M108" s="579"/>
      <c r="N108" s="579"/>
      <c r="O108" s="579"/>
      <c r="P108" s="579"/>
      <c r="Q108" s="579"/>
      <c r="R108" s="579"/>
      <c r="S108" s="579"/>
      <c r="T108" s="579"/>
      <c r="U108" s="579"/>
      <c r="V108" s="579"/>
    </row>
    <row r="109" spans="1:41" ht="12.75" customHeight="1">
      <c r="A109" s="579"/>
      <c r="B109" s="579"/>
      <c r="C109" s="579"/>
      <c r="D109" s="579"/>
      <c r="E109" s="579"/>
      <c r="F109" s="579"/>
      <c r="G109" s="579"/>
      <c r="H109" s="579"/>
      <c r="I109" s="579"/>
      <c r="J109" s="579"/>
      <c r="K109" s="579"/>
      <c r="L109" s="579"/>
      <c r="M109" s="579"/>
      <c r="N109" s="579"/>
      <c r="O109" s="579"/>
      <c r="P109" s="579"/>
      <c r="Q109" s="579"/>
      <c r="R109" s="579"/>
      <c r="S109" s="579"/>
      <c r="T109" s="579"/>
      <c r="U109" s="579"/>
      <c r="V109" s="579"/>
    </row>
    <row r="110" spans="1:41" ht="12.75" customHeight="1">
      <c r="A110" s="579"/>
      <c r="B110" s="579"/>
      <c r="C110" s="579"/>
      <c r="D110" s="579"/>
      <c r="E110" s="579"/>
      <c r="F110" s="579"/>
      <c r="G110" s="579"/>
      <c r="H110" s="579"/>
      <c r="I110" s="579"/>
      <c r="J110" s="579"/>
      <c r="K110" s="579"/>
      <c r="L110" s="579"/>
      <c r="M110" s="579"/>
      <c r="N110" s="579"/>
      <c r="O110" s="579"/>
      <c r="P110" s="579"/>
      <c r="Q110" s="579"/>
      <c r="R110" s="579"/>
      <c r="S110" s="579"/>
      <c r="T110" s="579"/>
      <c r="U110" s="579"/>
      <c r="V110" s="579"/>
    </row>
    <row r="111" spans="1:41" ht="12.75" customHeight="1">
      <c r="A111" s="579"/>
      <c r="B111" s="579"/>
      <c r="C111" s="579"/>
      <c r="D111" s="579"/>
      <c r="E111" s="579"/>
      <c r="F111" s="579"/>
      <c r="G111" s="579"/>
      <c r="H111" s="579"/>
      <c r="I111" s="579"/>
      <c r="J111" s="579"/>
      <c r="K111" s="579"/>
      <c r="L111" s="579"/>
      <c r="M111" s="579"/>
      <c r="N111" s="579"/>
      <c r="O111" s="579"/>
      <c r="P111" s="579"/>
      <c r="Q111" s="579"/>
      <c r="R111" s="579"/>
      <c r="S111" s="579"/>
      <c r="T111" s="579"/>
      <c r="U111" s="579"/>
      <c r="V111" s="579"/>
    </row>
    <row r="112" spans="1:41" ht="12.75" customHeight="1">
      <c r="A112" s="579"/>
      <c r="B112" s="579"/>
      <c r="C112" s="579"/>
      <c r="D112" s="579"/>
      <c r="E112" s="579"/>
      <c r="F112" s="579"/>
      <c r="G112" s="579"/>
      <c r="H112" s="579"/>
      <c r="I112" s="579"/>
      <c r="J112" s="579"/>
      <c r="K112" s="579"/>
      <c r="L112" s="579"/>
      <c r="M112" s="579"/>
      <c r="N112" s="579"/>
      <c r="O112" s="579"/>
      <c r="P112" s="579"/>
      <c r="Q112" s="579"/>
      <c r="R112" s="579"/>
      <c r="S112" s="579"/>
      <c r="T112" s="579"/>
      <c r="U112" s="579"/>
      <c r="V112" s="579"/>
    </row>
    <row r="113" spans="1:22" ht="12.75" customHeight="1">
      <c r="A113" s="579"/>
      <c r="B113" s="579"/>
      <c r="C113" s="579"/>
      <c r="D113" s="579"/>
      <c r="E113" s="579"/>
      <c r="F113" s="579"/>
      <c r="G113" s="579"/>
      <c r="H113" s="579"/>
      <c r="I113" s="579"/>
      <c r="J113" s="579"/>
      <c r="K113" s="579"/>
      <c r="L113" s="579"/>
      <c r="M113" s="579"/>
      <c r="N113" s="579"/>
      <c r="O113" s="579"/>
      <c r="P113" s="579"/>
      <c r="Q113" s="579"/>
      <c r="R113" s="579"/>
      <c r="S113" s="579"/>
      <c r="T113" s="579"/>
      <c r="U113" s="579"/>
      <c r="V113" s="579"/>
    </row>
    <row r="114" spans="1:22" ht="12.75" customHeight="1">
      <c r="A114" s="579"/>
      <c r="B114" s="579"/>
      <c r="C114" s="579"/>
      <c r="D114" s="579"/>
      <c r="E114" s="579"/>
      <c r="F114" s="579"/>
      <c r="G114" s="579"/>
      <c r="H114" s="579"/>
      <c r="I114" s="579"/>
      <c r="J114" s="579"/>
      <c r="K114" s="579"/>
      <c r="L114" s="579"/>
      <c r="M114" s="579"/>
      <c r="N114" s="579"/>
      <c r="O114" s="579"/>
      <c r="P114" s="579"/>
      <c r="Q114" s="579"/>
      <c r="R114" s="579"/>
      <c r="S114" s="579"/>
      <c r="T114" s="579"/>
      <c r="U114" s="579"/>
      <c r="V114" s="579"/>
    </row>
    <row r="115" spans="1:22" ht="12.75" customHeight="1">
      <c r="A115" s="579"/>
      <c r="B115" s="579"/>
      <c r="C115" s="579"/>
      <c r="D115" s="579"/>
      <c r="E115" s="579"/>
      <c r="F115" s="579"/>
      <c r="G115" s="579"/>
      <c r="H115" s="579"/>
      <c r="I115" s="579"/>
      <c r="J115" s="579"/>
      <c r="K115" s="579"/>
      <c r="L115" s="579"/>
      <c r="M115" s="579"/>
      <c r="N115" s="579"/>
      <c r="O115" s="579"/>
      <c r="P115" s="579"/>
      <c r="Q115" s="579"/>
      <c r="R115" s="579"/>
      <c r="S115" s="579"/>
      <c r="T115" s="579"/>
      <c r="U115" s="579"/>
      <c r="V115" s="579"/>
    </row>
    <row r="116" spans="1:22" ht="12.75" customHeight="1">
      <c r="A116" s="579"/>
      <c r="B116" s="579"/>
      <c r="C116" s="579"/>
      <c r="D116" s="579"/>
      <c r="E116" s="579"/>
      <c r="F116" s="579"/>
      <c r="G116" s="579"/>
      <c r="H116" s="579"/>
      <c r="I116" s="579"/>
      <c r="J116" s="579"/>
      <c r="K116" s="579"/>
      <c r="L116" s="579"/>
      <c r="M116" s="579"/>
      <c r="N116" s="579"/>
      <c r="O116" s="579"/>
      <c r="P116" s="579"/>
      <c r="Q116" s="579"/>
      <c r="R116" s="579"/>
      <c r="S116" s="579"/>
      <c r="T116" s="579"/>
      <c r="U116" s="579"/>
      <c r="V116" s="579"/>
    </row>
    <row r="117" spans="1:22" ht="12.75" customHeight="1">
      <c r="A117" s="579"/>
      <c r="B117" s="579"/>
      <c r="C117" s="579"/>
      <c r="D117" s="579"/>
      <c r="E117" s="579"/>
      <c r="F117" s="579"/>
      <c r="G117" s="579"/>
      <c r="H117" s="579"/>
      <c r="I117" s="579"/>
      <c r="J117" s="579"/>
      <c r="K117" s="579"/>
      <c r="L117" s="579"/>
      <c r="M117" s="579"/>
      <c r="N117" s="579"/>
      <c r="O117" s="579"/>
      <c r="P117" s="579"/>
      <c r="Q117" s="579"/>
      <c r="R117" s="579"/>
      <c r="S117" s="579"/>
      <c r="T117" s="579"/>
      <c r="U117" s="579"/>
      <c r="V117" s="579"/>
    </row>
    <row r="118" spans="1:22">
      <c r="A118" s="579"/>
      <c r="B118" s="579"/>
      <c r="C118" s="579"/>
      <c r="D118" s="579"/>
      <c r="E118" s="579"/>
      <c r="F118" s="579"/>
      <c r="G118" s="579"/>
      <c r="H118" s="579"/>
      <c r="I118" s="579"/>
      <c r="J118" s="579"/>
      <c r="K118" s="579"/>
      <c r="L118" s="579"/>
      <c r="M118" s="579"/>
      <c r="N118" s="579"/>
      <c r="O118" s="579"/>
      <c r="P118" s="579"/>
      <c r="Q118" s="579"/>
      <c r="R118" s="579"/>
      <c r="S118" s="579"/>
      <c r="T118" s="579"/>
      <c r="U118" s="579"/>
      <c r="V118" s="579"/>
    </row>
    <row r="119" spans="1:22">
      <c r="A119" s="579"/>
      <c r="B119" s="579"/>
      <c r="C119" s="579"/>
      <c r="D119" s="579"/>
      <c r="E119" s="579"/>
      <c r="F119" s="579"/>
      <c r="G119" s="579"/>
      <c r="H119" s="579"/>
      <c r="I119" s="579"/>
      <c r="J119" s="579"/>
      <c r="K119" s="579"/>
      <c r="L119" s="579"/>
      <c r="M119" s="579"/>
      <c r="N119" s="579"/>
      <c r="O119" s="579"/>
      <c r="P119" s="579"/>
      <c r="Q119" s="579"/>
      <c r="R119" s="579"/>
      <c r="S119" s="579"/>
      <c r="T119" s="579"/>
      <c r="U119" s="579"/>
      <c r="V119" s="579"/>
    </row>
    <row r="120" spans="1:22">
      <c r="A120" s="579"/>
      <c r="B120" s="579"/>
      <c r="C120" s="579"/>
      <c r="D120" s="579"/>
      <c r="E120" s="579"/>
      <c r="F120" s="579"/>
      <c r="G120" s="579"/>
      <c r="H120" s="579"/>
      <c r="I120" s="579"/>
      <c r="J120" s="579"/>
      <c r="K120" s="579"/>
      <c r="L120" s="579"/>
      <c r="M120" s="579"/>
      <c r="N120" s="579"/>
      <c r="O120" s="579"/>
      <c r="P120" s="579"/>
      <c r="Q120" s="579"/>
      <c r="R120" s="579"/>
      <c r="S120" s="579"/>
      <c r="T120" s="579"/>
      <c r="U120" s="579"/>
      <c r="V120" s="579"/>
    </row>
    <row r="121" spans="1:22">
      <c r="A121" s="579"/>
      <c r="B121" s="579"/>
      <c r="C121" s="579"/>
      <c r="D121" s="579"/>
      <c r="E121" s="579"/>
      <c r="F121" s="579"/>
      <c r="G121" s="579"/>
      <c r="H121" s="579"/>
      <c r="I121" s="579"/>
      <c r="J121" s="579"/>
      <c r="K121" s="579"/>
      <c r="L121" s="579"/>
      <c r="M121" s="579"/>
      <c r="N121" s="579"/>
      <c r="O121" s="579"/>
      <c r="P121" s="579"/>
      <c r="Q121" s="579"/>
      <c r="R121" s="579"/>
      <c r="S121" s="579"/>
      <c r="T121" s="579"/>
      <c r="U121" s="579"/>
      <c r="V121" s="579"/>
    </row>
    <row r="122" spans="1:22">
      <c r="A122" s="579"/>
      <c r="B122" s="579"/>
      <c r="C122" s="579"/>
      <c r="D122" s="579"/>
      <c r="E122" s="579"/>
      <c r="F122" s="579"/>
      <c r="G122" s="579"/>
      <c r="H122" s="579"/>
      <c r="I122" s="579"/>
      <c r="J122" s="579"/>
      <c r="K122" s="579"/>
      <c r="L122" s="579"/>
      <c r="M122" s="579"/>
      <c r="N122" s="579"/>
      <c r="O122" s="579"/>
      <c r="P122" s="579"/>
      <c r="Q122" s="579"/>
      <c r="R122" s="579"/>
      <c r="S122" s="579"/>
      <c r="T122" s="579"/>
      <c r="U122" s="579"/>
      <c r="V122" s="579"/>
    </row>
    <row r="123" spans="1:22">
      <c r="A123" s="579"/>
      <c r="B123" s="579"/>
      <c r="C123" s="579"/>
      <c r="D123" s="579"/>
      <c r="E123" s="579"/>
      <c r="F123" s="579"/>
      <c r="G123" s="579"/>
      <c r="H123" s="579"/>
      <c r="I123" s="579"/>
      <c r="J123" s="579"/>
      <c r="K123" s="579"/>
      <c r="L123" s="579"/>
      <c r="M123" s="579"/>
      <c r="N123" s="579"/>
      <c r="O123" s="579"/>
      <c r="P123" s="579"/>
      <c r="Q123" s="579"/>
      <c r="R123" s="579"/>
      <c r="S123" s="579"/>
      <c r="T123" s="579"/>
      <c r="U123" s="579"/>
      <c r="V123" s="579"/>
    </row>
    <row r="124" spans="1:22">
      <c r="A124" s="579"/>
      <c r="B124" s="579"/>
      <c r="C124" s="579"/>
      <c r="D124" s="579"/>
      <c r="E124" s="579"/>
      <c r="F124" s="579"/>
      <c r="G124" s="579"/>
      <c r="H124" s="579"/>
      <c r="I124" s="579"/>
      <c r="J124" s="579"/>
      <c r="K124" s="579"/>
      <c r="L124" s="579"/>
      <c r="M124" s="579"/>
      <c r="N124" s="579"/>
      <c r="O124" s="579"/>
      <c r="P124" s="579"/>
      <c r="Q124" s="579"/>
      <c r="R124" s="579"/>
      <c r="S124" s="579"/>
      <c r="T124" s="579"/>
      <c r="U124" s="579"/>
      <c r="V124" s="579"/>
    </row>
    <row r="125" spans="1:22">
      <c r="A125" s="579"/>
      <c r="B125" s="579"/>
      <c r="C125" s="579"/>
      <c r="D125" s="579"/>
      <c r="E125" s="579"/>
      <c r="F125" s="579"/>
      <c r="G125" s="579"/>
      <c r="H125" s="579"/>
      <c r="I125" s="579"/>
      <c r="J125" s="579"/>
      <c r="K125" s="579"/>
      <c r="L125" s="579"/>
      <c r="M125" s="579"/>
      <c r="N125" s="579"/>
      <c r="O125" s="579"/>
      <c r="P125" s="579"/>
      <c r="Q125" s="579"/>
      <c r="R125" s="579"/>
      <c r="S125" s="579"/>
      <c r="T125" s="579"/>
      <c r="U125" s="579"/>
      <c r="V125" s="579"/>
    </row>
    <row r="126" spans="1:22">
      <c r="A126" s="579"/>
      <c r="B126" s="579"/>
      <c r="C126" s="579"/>
      <c r="D126" s="579"/>
      <c r="E126" s="579"/>
      <c r="F126" s="579"/>
      <c r="G126" s="579"/>
      <c r="H126" s="579"/>
      <c r="I126" s="579"/>
      <c r="J126" s="579"/>
      <c r="K126" s="579"/>
      <c r="L126" s="579"/>
      <c r="M126" s="579"/>
      <c r="N126" s="579"/>
      <c r="O126" s="579"/>
      <c r="P126" s="579"/>
      <c r="Q126" s="579"/>
      <c r="R126" s="579"/>
      <c r="S126" s="579"/>
      <c r="T126" s="579"/>
      <c r="U126" s="579"/>
      <c r="V126" s="579"/>
    </row>
    <row r="127" spans="1:22">
      <c r="A127" s="579"/>
      <c r="B127" s="579"/>
      <c r="C127" s="579"/>
      <c r="D127" s="579"/>
      <c r="E127" s="579"/>
      <c r="F127" s="579"/>
      <c r="G127" s="579"/>
      <c r="H127" s="579"/>
      <c r="I127" s="579"/>
      <c r="J127" s="579"/>
      <c r="K127" s="579"/>
      <c r="L127" s="579"/>
      <c r="M127" s="579"/>
      <c r="N127" s="579"/>
      <c r="O127" s="579"/>
      <c r="P127" s="579"/>
      <c r="Q127" s="579"/>
      <c r="R127" s="579"/>
      <c r="S127" s="579"/>
      <c r="T127" s="579"/>
      <c r="U127" s="579"/>
      <c r="V127" s="579"/>
    </row>
    <row r="128" spans="1:22">
      <c r="A128" s="579"/>
      <c r="B128" s="579"/>
      <c r="C128" s="579"/>
      <c r="D128" s="579"/>
      <c r="E128" s="579"/>
      <c r="F128" s="579"/>
      <c r="G128" s="579"/>
      <c r="H128" s="579"/>
      <c r="I128" s="579"/>
      <c r="J128" s="579"/>
      <c r="K128" s="579"/>
      <c r="L128" s="579"/>
      <c r="M128" s="579"/>
      <c r="N128" s="579"/>
      <c r="O128" s="579"/>
      <c r="P128" s="579"/>
      <c r="Q128" s="579"/>
      <c r="R128" s="579"/>
      <c r="S128" s="579"/>
      <c r="T128" s="579"/>
      <c r="U128" s="579"/>
      <c r="V128" s="579"/>
    </row>
    <row r="129" spans="1:22">
      <c r="A129" s="579"/>
      <c r="B129" s="579"/>
      <c r="C129" s="579"/>
      <c r="D129" s="579"/>
      <c r="E129" s="579"/>
      <c r="F129" s="579"/>
      <c r="G129" s="579"/>
      <c r="H129" s="579"/>
      <c r="I129" s="579"/>
      <c r="J129" s="579"/>
      <c r="K129" s="579"/>
      <c r="L129" s="579"/>
      <c r="M129" s="579"/>
      <c r="N129" s="579"/>
      <c r="O129" s="579"/>
      <c r="P129" s="579"/>
      <c r="Q129" s="579"/>
      <c r="R129" s="579"/>
      <c r="S129" s="579"/>
      <c r="T129" s="579"/>
      <c r="U129" s="579"/>
      <c r="V129" s="579"/>
    </row>
    <row r="130" spans="1:22">
      <c r="A130" s="579"/>
      <c r="B130" s="579"/>
      <c r="C130" s="579"/>
      <c r="D130" s="579"/>
      <c r="E130" s="579"/>
      <c r="F130" s="579"/>
      <c r="G130" s="579"/>
      <c r="H130" s="579"/>
      <c r="I130" s="579"/>
      <c r="J130" s="579"/>
      <c r="K130" s="579"/>
      <c r="L130" s="579"/>
      <c r="M130" s="579"/>
      <c r="N130" s="579"/>
      <c r="O130" s="579"/>
      <c r="P130" s="579"/>
      <c r="Q130" s="579"/>
      <c r="R130" s="579"/>
      <c r="S130" s="579"/>
      <c r="T130" s="579"/>
      <c r="U130" s="579"/>
      <c r="V130" s="579"/>
    </row>
    <row r="131" spans="1:22">
      <c r="A131" s="579"/>
      <c r="B131" s="579"/>
      <c r="C131" s="579"/>
      <c r="D131" s="579"/>
      <c r="E131" s="579"/>
      <c r="F131" s="579"/>
      <c r="G131" s="579"/>
      <c r="H131" s="579"/>
      <c r="I131" s="579"/>
      <c r="J131" s="579"/>
      <c r="K131" s="579"/>
      <c r="L131" s="579"/>
      <c r="M131" s="579"/>
      <c r="N131" s="579"/>
      <c r="O131" s="579"/>
      <c r="P131" s="579"/>
      <c r="Q131" s="579"/>
      <c r="R131" s="579"/>
      <c r="S131" s="579"/>
      <c r="T131" s="579"/>
      <c r="U131" s="579"/>
      <c r="V131" s="579"/>
    </row>
    <row r="132" spans="1:22">
      <c r="A132" s="579"/>
      <c r="B132" s="579"/>
      <c r="C132" s="579"/>
      <c r="D132" s="579"/>
      <c r="E132" s="579"/>
      <c r="F132" s="579"/>
      <c r="G132" s="579"/>
      <c r="H132" s="579"/>
      <c r="I132" s="579"/>
      <c r="J132" s="579"/>
      <c r="K132" s="579"/>
      <c r="L132" s="579"/>
      <c r="M132" s="579"/>
      <c r="N132" s="579"/>
      <c r="O132" s="579"/>
      <c r="P132" s="579"/>
      <c r="Q132" s="579"/>
      <c r="R132" s="579"/>
      <c r="S132" s="579"/>
      <c r="T132" s="579"/>
      <c r="U132" s="579"/>
      <c r="V132" s="579"/>
    </row>
    <row r="133" spans="1:22">
      <c r="A133" s="579"/>
      <c r="B133" s="579"/>
      <c r="C133" s="579"/>
      <c r="D133" s="579"/>
      <c r="E133" s="579"/>
      <c r="F133" s="579"/>
      <c r="G133" s="579"/>
      <c r="H133" s="579"/>
      <c r="I133" s="579"/>
      <c r="J133" s="579"/>
      <c r="K133" s="579"/>
      <c r="L133" s="579"/>
      <c r="M133" s="579"/>
      <c r="N133" s="579"/>
      <c r="O133" s="579"/>
      <c r="P133" s="579"/>
      <c r="Q133" s="579"/>
      <c r="R133" s="579"/>
      <c r="S133" s="579"/>
      <c r="T133" s="579"/>
      <c r="U133" s="579"/>
      <c r="V133" s="579"/>
    </row>
    <row r="134" spans="1:22">
      <c r="A134" s="579"/>
      <c r="B134" s="579"/>
      <c r="C134" s="579"/>
      <c r="D134" s="579"/>
      <c r="E134" s="579"/>
      <c r="F134" s="579"/>
      <c r="G134" s="579"/>
      <c r="H134" s="579"/>
      <c r="I134" s="579"/>
      <c r="J134" s="579"/>
      <c r="K134" s="579"/>
      <c r="L134" s="579"/>
      <c r="M134" s="579"/>
      <c r="N134" s="579"/>
      <c r="O134" s="579"/>
      <c r="P134" s="579"/>
      <c r="Q134" s="579"/>
      <c r="R134" s="579"/>
      <c r="S134" s="579"/>
      <c r="T134" s="579"/>
      <c r="U134" s="579"/>
      <c r="V134" s="579"/>
    </row>
    <row r="135" spans="1:22">
      <c r="A135" s="579"/>
      <c r="B135" s="579"/>
      <c r="C135" s="579"/>
      <c r="D135" s="579"/>
      <c r="E135" s="579"/>
      <c r="F135" s="579"/>
      <c r="G135" s="579"/>
      <c r="H135" s="579"/>
      <c r="I135" s="579"/>
      <c r="J135" s="579"/>
      <c r="K135" s="579"/>
      <c r="L135" s="579"/>
      <c r="M135" s="579"/>
      <c r="N135" s="579"/>
      <c r="O135" s="579"/>
      <c r="P135" s="579"/>
      <c r="Q135" s="579"/>
      <c r="R135" s="579"/>
      <c r="S135" s="579"/>
      <c r="T135" s="579"/>
      <c r="U135" s="579"/>
      <c r="V135" s="579"/>
    </row>
    <row r="136" spans="1:22">
      <c r="A136" s="579"/>
      <c r="B136" s="579"/>
      <c r="C136" s="579"/>
      <c r="D136" s="579"/>
      <c r="E136" s="579"/>
      <c r="F136" s="579"/>
      <c r="G136" s="579"/>
      <c r="H136" s="579"/>
      <c r="I136" s="579"/>
      <c r="J136" s="579"/>
      <c r="K136" s="579"/>
      <c r="L136" s="579"/>
      <c r="M136" s="579"/>
      <c r="N136" s="579"/>
      <c r="O136" s="579"/>
      <c r="P136" s="579"/>
      <c r="Q136" s="579"/>
      <c r="R136" s="579"/>
      <c r="S136" s="579"/>
      <c r="T136" s="579"/>
      <c r="U136" s="579"/>
      <c r="V136" s="579"/>
    </row>
    <row r="137" spans="1:22">
      <c r="A137" s="579"/>
      <c r="B137" s="579"/>
      <c r="C137" s="579"/>
      <c r="D137" s="579"/>
      <c r="E137" s="579"/>
      <c r="F137" s="579"/>
      <c r="G137" s="579"/>
      <c r="H137" s="579"/>
      <c r="I137" s="579"/>
      <c r="J137" s="579"/>
      <c r="K137" s="579"/>
      <c r="L137" s="579"/>
      <c r="M137" s="579"/>
      <c r="N137" s="579"/>
      <c r="O137" s="579"/>
      <c r="P137" s="579"/>
      <c r="Q137" s="579"/>
      <c r="R137" s="579"/>
      <c r="S137" s="579"/>
      <c r="T137" s="579"/>
      <c r="U137" s="579"/>
      <c r="V137" s="579"/>
    </row>
    <row r="138" spans="1:22" ht="12.75" customHeight="1">
      <c r="A138" s="579"/>
      <c r="B138" s="579"/>
      <c r="C138" s="579"/>
      <c r="D138" s="579"/>
      <c r="E138" s="579"/>
      <c r="F138" s="579"/>
      <c r="G138" s="579"/>
      <c r="H138" s="579"/>
      <c r="I138" s="579"/>
      <c r="J138" s="579"/>
      <c r="K138" s="579"/>
      <c r="L138" s="579"/>
      <c r="M138" s="579"/>
      <c r="N138" s="579"/>
      <c r="O138" s="579"/>
      <c r="P138" s="579"/>
      <c r="Q138" s="579"/>
      <c r="R138" s="579"/>
      <c r="S138" s="579"/>
      <c r="T138" s="579"/>
      <c r="U138" s="579"/>
      <c r="V138" s="579"/>
    </row>
    <row r="139" spans="1:22" ht="12.75" customHeight="1">
      <c r="A139" s="579"/>
      <c r="B139" s="579"/>
      <c r="C139" s="579"/>
      <c r="D139" s="579"/>
      <c r="E139" s="579"/>
      <c r="F139" s="579"/>
      <c r="G139" s="579"/>
      <c r="H139" s="579"/>
      <c r="I139" s="579"/>
      <c r="J139" s="579"/>
      <c r="K139" s="579"/>
      <c r="L139" s="579"/>
      <c r="M139" s="579"/>
      <c r="N139" s="579"/>
      <c r="O139" s="579"/>
      <c r="P139" s="579"/>
      <c r="Q139" s="579"/>
      <c r="R139" s="579"/>
      <c r="S139" s="579"/>
      <c r="T139" s="579"/>
      <c r="U139" s="579"/>
      <c r="V139" s="579"/>
    </row>
    <row r="140" spans="1:22" ht="12.75" customHeight="1">
      <c r="A140" s="579"/>
      <c r="B140" s="579"/>
      <c r="C140" s="579"/>
      <c r="D140" s="579"/>
      <c r="E140" s="579"/>
      <c r="F140" s="579"/>
      <c r="G140" s="579"/>
      <c r="H140" s="579"/>
      <c r="I140" s="579"/>
      <c r="J140" s="579"/>
      <c r="K140" s="579"/>
      <c r="L140" s="579"/>
      <c r="M140" s="579"/>
      <c r="N140" s="579"/>
      <c r="O140" s="579"/>
      <c r="P140" s="579"/>
      <c r="Q140" s="579"/>
      <c r="R140" s="579"/>
      <c r="S140" s="579"/>
      <c r="T140" s="579"/>
      <c r="U140" s="579"/>
      <c r="V140" s="579"/>
    </row>
    <row r="141" spans="1:22">
      <c r="A141" s="579"/>
      <c r="B141" s="579"/>
      <c r="C141" s="579"/>
      <c r="D141" s="579"/>
      <c r="E141" s="579"/>
      <c r="F141" s="579"/>
      <c r="G141" s="579"/>
      <c r="H141" s="579"/>
      <c r="I141" s="579"/>
      <c r="J141" s="579"/>
      <c r="K141" s="579"/>
      <c r="L141" s="579"/>
      <c r="M141" s="579"/>
      <c r="N141" s="579"/>
      <c r="O141" s="579"/>
      <c r="P141" s="579"/>
      <c r="Q141" s="579"/>
      <c r="R141" s="579"/>
      <c r="S141" s="579"/>
      <c r="T141" s="579"/>
      <c r="U141" s="579"/>
      <c r="V141" s="579"/>
    </row>
    <row r="142" spans="1:22">
      <c r="A142" s="579"/>
      <c r="B142" s="579"/>
      <c r="C142" s="579"/>
      <c r="D142" s="579"/>
      <c r="E142" s="579"/>
      <c r="F142" s="579"/>
      <c r="G142" s="579"/>
      <c r="H142" s="579"/>
      <c r="I142" s="579"/>
      <c r="J142" s="579"/>
      <c r="K142" s="579"/>
      <c r="L142" s="579"/>
      <c r="M142" s="579"/>
      <c r="N142" s="579"/>
      <c r="O142" s="579"/>
      <c r="P142" s="579"/>
      <c r="Q142" s="579"/>
      <c r="R142" s="579"/>
      <c r="S142" s="579"/>
      <c r="T142" s="579"/>
      <c r="U142" s="579"/>
      <c r="V142" s="579"/>
    </row>
    <row r="143" spans="1:22">
      <c r="A143" s="579"/>
      <c r="B143" s="579"/>
      <c r="C143" s="579"/>
      <c r="D143" s="579"/>
      <c r="E143" s="579"/>
      <c r="F143" s="579"/>
      <c r="G143" s="579"/>
      <c r="H143" s="579"/>
      <c r="I143" s="579"/>
      <c r="J143" s="579"/>
      <c r="K143" s="579"/>
      <c r="L143" s="579"/>
      <c r="M143" s="579"/>
      <c r="N143" s="579"/>
      <c r="O143" s="579"/>
      <c r="P143" s="579"/>
      <c r="Q143" s="579"/>
      <c r="R143" s="579"/>
      <c r="S143" s="579"/>
      <c r="T143" s="579"/>
      <c r="U143" s="579"/>
      <c r="V143" s="579"/>
    </row>
    <row r="144" spans="1:22">
      <c r="A144" s="579"/>
      <c r="B144" s="579"/>
      <c r="C144" s="579"/>
      <c r="D144" s="579"/>
      <c r="E144" s="579"/>
      <c r="F144" s="579"/>
      <c r="G144" s="579"/>
      <c r="H144" s="579"/>
      <c r="I144" s="579"/>
      <c r="J144" s="579"/>
      <c r="K144" s="579"/>
      <c r="L144" s="579"/>
      <c r="M144" s="579"/>
      <c r="N144" s="579"/>
      <c r="O144" s="579"/>
      <c r="P144" s="579"/>
      <c r="Q144" s="579"/>
      <c r="R144" s="579"/>
      <c r="S144" s="579"/>
      <c r="T144" s="579"/>
      <c r="U144" s="579"/>
      <c r="V144" s="579"/>
    </row>
    <row r="145" spans="1:22">
      <c r="A145" s="579"/>
      <c r="B145" s="579"/>
      <c r="C145" s="579"/>
      <c r="D145" s="579"/>
      <c r="E145" s="579"/>
      <c r="F145" s="579"/>
      <c r="G145" s="579"/>
      <c r="H145" s="579"/>
      <c r="I145" s="579"/>
      <c r="J145" s="579"/>
      <c r="K145" s="579"/>
      <c r="L145" s="579"/>
      <c r="M145" s="579"/>
      <c r="N145" s="579"/>
      <c r="O145" s="579"/>
      <c r="P145" s="579"/>
      <c r="Q145" s="579"/>
      <c r="R145" s="579"/>
      <c r="S145" s="579"/>
      <c r="T145" s="579"/>
      <c r="U145" s="579"/>
      <c r="V145" s="579"/>
    </row>
    <row r="146" spans="1:22">
      <c r="A146" s="579"/>
      <c r="B146" s="579"/>
      <c r="C146" s="579"/>
      <c r="D146" s="579"/>
      <c r="E146" s="579"/>
      <c r="F146" s="579"/>
      <c r="G146" s="579"/>
      <c r="H146" s="579"/>
      <c r="I146" s="579"/>
      <c r="J146" s="579"/>
      <c r="K146" s="579"/>
      <c r="L146" s="579"/>
      <c r="M146" s="579"/>
      <c r="N146" s="579"/>
      <c r="O146" s="579"/>
      <c r="P146" s="579"/>
      <c r="Q146" s="579"/>
      <c r="R146" s="579"/>
      <c r="S146" s="579"/>
      <c r="T146" s="579"/>
      <c r="U146" s="579"/>
      <c r="V146" s="579"/>
    </row>
    <row r="147" spans="1:22">
      <c r="A147" s="579"/>
      <c r="B147" s="579"/>
      <c r="C147" s="579"/>
      <c r="D147" s="579"/>
      <c r="E147" s="579"/>
      <c r="F147" s="579"/>
      <c r="G147" s="579"/>
      <c r="H147" s="579"/>
      <c r="I147" s="579"/>
      <c r="J147" s="579"/>
      <c r="K147" s="579"/>
      <c r="L147" s="579"/>
      <c r="M147" s="579"/>
      <c r="N147" s="579"/>
      <c r="O147" s="579"/>
      <c r="P147" s="579"/>
      <c r="Q147" s="579"/>
      <c r="R147" s="579"/>
      <c r="S147" s="579"/>
      <c r="T147" s="579"/>
      <c r="U147" s="579"/>
      <c r="V147" s="579"/>
    </row>
    <row r="148" spans="1:22">
      <c r="A148" s="579"/>
      <c r="B148" s="579"/>
      <c r="C148" s="579"/>
      <c r="D148" s="579"/>
      <c r="E148" s="579"/>
      <c r="F148" s="579"/>
      <c r="G148" s="579"/>
      <c r="H148" s="579"/>
      <c r="I148" s="579"/>
      <c r="J148" s="579"/>
      <c r="K148" s="579"/>
      <c r="L148" s="579"/>
      <c r="M148" s="579"/>
      <c r="N148" s="579"/>
      <c r="O148" s="579"/>
      <c r="P148" s="579"/>
      <c r="Q148" s="579"/>
      <c r="R148" s="579"/>
      <c r="S148" s="579"/>
      <c r="T148" s="579"/>
      <c r="U148" s="579"/>
      <c r="V148" s="579"/>
    </row>
    <row r="149" spans="1:22">
      <c r="A149" s="579"/>
      <c r="B149" s="579"/>
      <c r="C149" s="579"/>
      <c r="D149" s="579"/>
      <c r="E149" s="579"/>
      <c r="F149" s="579"/>
      <c r="G149" s="579"/>
      <c r="H149" s="579"/>
      <c r="I149" s="579"/>
      <c r="J149" s="579"/>
      <c r="K149" s="579"/>
      <c r="L149" s="579"/>
      <c r="M149" s="579"/>
      <c r="N149" s="579"/>
      <c r="O149" s="579"/>
      <c r="P149" s="579"/>
      <c r="Q149" s="579"/>
      <c r="R149" s="579"/>
      <c r="S149" s="579"/>
      <c r="T149" s="579"/>
      <c r="U149" s="579"/>
      <c r="V149" s="579"/>
    </row>
    <row r="150" spans="1:22">
      <c r="A150" s="579"/>
      <c r="B150" s="579"/>
      <c r="C150" s="579"/>
      <c r="D150" s="579"/>
      <c r="E150" s="579"/>
      <c r="F150" s="579"/>
      <c r="G150" s="579"/>
      <c r="H150" s="579"/>
      <c r="I150" s="579"/>
      <c r="J150" s="579"/>
      <c r="K150" s="579"/>
      <c r="L150" s="579"/>
      <c r="M150" s="579"/>
      <c r="N150" s="579"/>
      <c r="O150" s="579"/>
      <c r="P150" s="579"/>
      <c r="Q150" s="579"/>
      <c r="R150" s="579"/>
      <c r="S150" s="579"/>
      <c r="T150" s="579"/>
      <c r="U150" s="579"/>
      <c r="V150" s="579"/>
    </row>
    <row r="151" spans="1:22">
      <c r="A151" s="579"/>
      <c r="B151" s="579"/>
      <c r="C151" s="579"/>
      <c r="D151" s="579"/>
      <c r="E151" s="579"/>
      <c r="F151" s="579"/>
      <c r="G151" s="579"/>
      <c r="H151" s="579"/>
      <c r="I151" s="579"/>
      <c r="J151" s="579"/>
      <c r="K151" s="579"/>
      <c r="L151" s="579"/>
      <c r="M151" s="579"/>
      <c r="N151" s="579"/>
      <c r="O151" s="579"/>
      <c r="P151" s="579"/>
      <c r="Q151" s="579"/>
      <c r="R151" s="579"/>
      <c r="S151" s="579"/>
      <c r="T151" s="579"/>
      <c r="U151" s="579"/>
      <c r="V151" s="57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4B16C053-9DA5-498E-9F79-7E8B8164F0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TCOS!Print_Area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b3438de8-2a24-4be7-a035-509439e8964a</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