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userName="s273689" algorithmName="SHA-512" hashValue="NpzzPRGeVcgdrB2HPrXbR1KeVvJauqdEC8aQxxH4s2Ptfm6NokBLl1zVwMGoID28C+7VZ/ix7Y0/qMNJBl0p2g==" saltValue="6dFLJRKsQt2zmbyanw5RwA==" spinCount="100000"/>
  <workbookPr filterPrivacy="1" showInkAnnotation="0" codeName="ThisWorkbook" defaultThemeVersion="124226"/>
  <xr:revisionPtr revIDLastSave="0" documentId="8_{65112ACD-39A0-4426-9F71-0CE33919D0DB}"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52" r:id="rId21"/>
    <sheet name="IMC - WS P Dep. Rates" sheetId="53" r:id="rId22"/>
    <sheet name="KGP - WS P Dep. Rates" sheetId="54" r:id="rId23"/>
    <sheet name="KPC - WS P Dep. Rates" sheetId="55" r:id="rId24"/>
    <sheet name="OPC - WS P Dep. Rates" sheetId="56" r:id="rId25"/>
    <sheet name="WPC-WS P Dep. Rates" sheetId="57" r:id="rId26"/>
    <sheet name="WSQ NSPR" sheetId="47" r:id="rId27"/>
    <sheet name="WSQ Schedule 12" sheetId="49" r:id="rId28"/>
    <sheet name="WSQ Schedule 1A" sheetId="50" r:id="rId29"/>
  </sheets>
  <externalReferences>
    <externalReference r:id="rId30"/>
    <externalReference r:id="rId31"/>
    <externalReference r:id="rId32"/>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[2]TCOS!$J$105</definedName>
    <definedName name="NP_h">[3]TCOS!$J$105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TCOS!$A$1:$L$374</definedName>
    <definedName name="_xlnm.Print_Area" localSheetId="25">'WPC-WS P Dep. Rates'!#REF!</definedName>
    <definedName name="_xlnm.Print_Area" localSheetId="4">'WS B-2 - Actual Stmt. AG'!$A$1:$S$111</definedName>
    <definedName name="_xlnm.Print_Area" localSheetId="8">'WS E Rev Credits'!$A$1:$L$41</definedName>
    <definedName name="_xlnm.Print_Area" localSheetId="14">'WS J PROJECTED RTEP RR'!$A$1:$O$170</definedName>
    <definedName name="_xlnm.Print_Area" localSheetId="16">'WS L Reserved'!$A$1:$F$42</definedName>
    <definedName name="_xlnm.Print_Area" localSheetId="17">'WS M - Cost of Capital'!$A$1:$L$106</definedName>
    <definedName name="_xlnm.Print_Area" localSheetId="19">'WS O - PBOP'!$A$1:$K$59</definedName>
    <definedName name="_xlnm.Print_Area" localSheetId="26">'WSQ NSPR'!$A$1:$K$57</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Capital'!$A$10:$N$73</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Capital'!$A$10:$N$73</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Capital'!$A$10:$N$73</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Capital'!$A$10:$N$73</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3" i="6" l="1"/>
  <c r="K63" i="6" s="1"/>
  <c r="E63" i="6" s="1"/>
  <c r="J67" i="6"/>
  <c r="K67" i="6" s="1"/>
  <c r="E67" i="6" s="1"/>
  <c r="I59" i="6"/>
  <c r="K59" i="6" s="1"/>
  <c r="E59" i="6" s="1"/>
  <c r="E40" i="6"/>
  <c r="J43" i="6"/>
  <c r="K43" i="6" s="1"/>
  <c r="E43" i="6" s="1"/>
  <c r="E45" i="6"/>
  <c r="J47" i="6"/>
  <c r="K47" i="6" s="1"/>
  <c r="E47" i="6" s="1"/>
  <c r="I39" i="6"/>
  <c r="K39" i="6" s="1"/>
  <c r="E39" i="6" s="1"/>
  <c r="A49" i="6"/>
  <c r="K68" i="6"/>
  <c r="E68" i="6" s="1"/>
  <c r="I66" i="6"/>
  <c r="K66" i="6" s="1"/>
  <c r="E66" i="6" s="1"/>
  <c r="K65" i="6"/>
  <c r="K64" i="6"/>
  <c r="E64" i="6"/>
  <c r="K62" i="6"/>
  <c r="E62" i="6" s="1"/>
  <c r="K61" i="6"/>
  <c r="K60" i="6"/>
  <c r="E60" i="6"/>
  <c r="K48" i="6"/>
  <c r="E48" i="6"/>
  <c r="I46" i="6"/>
  <c r="K46" i="6" s="1"/>
  <c r="E46" i="6" s="1"/>
  <c r="K45" i="6"/>
  <c r="K44" i="6"/>
  <c r="E44" i="6"/>
  <c r="K42" i="6"/>
  <c r="E42" i="6"/>
  <c r="K41" i="6"/>
  <c r="K40" i="6"/>
  <c r="E65" i="6" l="1"/>
  <c r="A8" i="50" l="1"/>
  <c r="D8" i="49"/>
  <c r="A8" i="49"/>
  <c r="A8" i="47"/>
  <c r="A17" i="50"/>
  <c r="A17" i="49"/>
  <c r="B39" i="50"/>
  <c r="B40" i="50" s="1"/>
  <c r="B41" i="50" s="1"/>
  <c r="B42" i="50" s="1"/>
  <c r="B43" i="50" s="1"/>
  <c r="B44" i="50" s="1"/>
  <c r="B45" i="50" s="1"/>
  <c r="B46" i="50" s="1"/>
  <c r="B47" i="50" s="1"/>
  <c r="B48" i="50" s="1"/>
  <c r="B49" i="50" s="1"/>
  <c r="B50" i="50" s="1"/>
  <c r="B36" i="50"/>
  <c r="B21" i="50"/>
  <c r="B22" i="50" s="1"/>
  <c r="B23" i="50" s="1"/>
  <c r="B24" i="50" s="1"/>
  <c r="B25" i="50" s="1"/>
  <c r="B26" i="50" s="1"/>
  <c r="B27" i="50" s="1"/>
  <c r="B28" i="50" s="1"/>
  <c r="B29" i="50" s="1"/>
  <c r="B30" i="50" s="1"/>
  <c r="B31" i="50" s="1"/>
  <c r="B32" i="50" s="1"/>
  <c r="B39" i="49"/>
  <c r="B40" i="49" s="1"/>
  <c r="B41" i="49" s="1"/>
  <c r="B42" i="49" s="1"/>
  <c r="B43" i="49" s="1"/>
  <c r="B44" i="49" s="1"/>
  <c r="B45" i="49" s="1"/>
  <c r="B46" i="49" s="1"/>
  <c r="B47" i="49" s="1"/>
  <c r="B48" i="49" s="1"/>
  <c r="B49" i="49" s="1"/>
  <c r="B50" i="49" s="1"/>
  <c r="B36" i="49"/>
  <c r="B21" i="49"/>
  <c r="B22" i="49" s="1"/>
  <c r="B23" i="49" s="1"/>
  <c r="B24" i="49" s="1"/>
  <c r="B25" i="49" s="1"/>
  <c r="B26" i="49" s="1"/>
  <c r="B27" i="49" s="1"/>
  <c r="B28" i="49" s="1"/>
  <c r="B29" i="49" s="1"/>
  <c r="B30" i="49" s="1"/>
  <c r="B31" i="49" s="1"/>
  <c r="B32" i="49" s="1"/>
  <c r="B39" i="47"/>
  <c r="B36" i="47"/>
  <c r="B21" i="47"/>
  <c r="F86" i="35" l="1"/>
  <c r="B72" i="51" l="1"/>
  <c r="O48" i="51"/>
  <c r="N48" i="51"/>
  <c r="L48" i="51"/>
  <c r="K48" i="51"/>
  <c r="F48" i="51"/>
  <c r="B48" i="51"/>
  <c r="M48" i="51"/>
  <c r="P44" i="51"/>
  <c r="P40" i="51"/>
  <c r="Q39" i="51"/>
  <c r="P38" i="51"/>
  <c r="P37" i="51"/>
  <c r="Q36" i="51"/>
  <c r="Q35" i="51"/>
  <c r="P34" i="51"/>
  <c r="O29" i="51"/>
  <c r="N29" i="51"/>
  <c r="L29" i="51"/>
  <c r="K29" i="51"/>
  <c r="J29" i="51"/>
  <c r="I29" i="51"/>
  <c r="F29" i="51"/>
  <c r="B29" i="51"/>
  <c r="M29" i="51"/>
  <c r="P25" i="51"/>
  <c r="P21" i="51"/>
  <c r="Q20" i="51"/>
  <c r="P19" i="51"/>
  <c r="P18" i="51"/>
  <c r="Q17" i="51"/>
  <c r="Q16" i="51"/>
  <c r="Q29" i="51" s="1"/>
  <c r="P15" i="51"/>
  <c r="Q14" i="51"/>
  <c r="P13" i="51"/>
  <c r="Q48" i="51" l="1"/>
  <c r="P26" i="51"/>
  <c r="P29" i="51" s="1"/>
  <c r="P45" i="51"/>
  <c r="P48" i="51" s="1"/>
  <c r="B40" i="47" l="1"/>
  <c r="B41" i="47" s="1"/>
  <c r="B42" i="47" s="1"/>
  <c r="B43" i="47" s="1"/>
  <c r="B44" i="47" s="1"/>
  <c r="B45" i="47" s="1"/>
  <c r="B46" i="47" s="1"/>
  <c r="B47" i="47" s="1"/>
  <c r="B48" i="47" s="1"/>
  <c r="B49" i="47" s="1"/>
  <c r="B50" i="47" s="1"/>
  <c r="B22" i="47"/>
  <c r="B23" i="47" s="1"/>
  <c r="B24" i="47" s="1"/>
  <c r="B25" i="47" s="1"/>
  <c r="B26" i="47" s="1"/>
  <c r="B27" i="47" s="1"/>
  <c r="B28" i="47" s="1"/>
  <c r="B29" i="47" s="1"/>
  <c r="B30" i="47" s="1"/>
  <c r="B31" i="47" s="1"/>
  <c r="B32" i="47" s="1"/>
  <c r="I39" i="53"/>
  <c r="E39" i="53"/>
  <c r="K39" i="53" s="1"/>
  <c r="K38" i="53"/>
  <c r="I38" i="53"/>
  <c r="E38" i="53"/>
  <c r="I37" i="53"/>
  <c r="K37" i="53" s="1"/>
  <c r="E37" i="53"/>
  <c r="I36" i="53"/>
  <c r="E36" i="53"/>
  <c r="K36" i="53" s="1"/>
  <c r="I35" i="53"/>
  <c r="E35" i="53"/>
  <c r="K35" i="53" s="1"/>
  <c r="K34" i="53"/>
  <c r="I34" i="53"/>
  <c r="E34" i="53"/>
  <c r="I33" i="53"/>
  <c r="K33" i="53" s="1"/>
  <c r="E33" i="53"/>
  <c r="I32" i="53"/>
  <c r="E32" i="53"/>
  <c r="K32" i="53" s="1"/>
  <c r="I31" i="53"/>
  <c r="E31" i="53"/>
  <c r="K31" i="53" s="1"/>
  <c r="K27" i="53"/>
  <c r="I27" i="53"/>
  <c r="E27" i="53"/>
  <c r="I26" i="53"/>
  <c r="K26" i="53" s="1"/>
  <c r="E26" i="53"/>
  <c r="I25" i="53"/>
  <c r="E25" i="53"/>
  <c r="K25" i="53" s="1"/>
  <c r="I24" i="53"/>
  <c r="E24" i="53"/>
  <c r="K24" i="53" s="1"/>
  <c r="K23" i="53"/>
  <c r="I23" i="53"/>
  <c r="E23" i="53"/>
  <c r="I22" i="53"/>
  <c r="K22" i="53" s="1"/>
  <c r="E22" i="53"/>
  <c r="I21" i="53"/>
  <c r="E21" i="53"/>
  <c r="K21" i="53" s="1"/>
  <c r="I20" i="53"/>
  <c r="E20" i="53"/>
  <c r="K20" i="53" s="1"/>
  <c r="K19" i="53"/>
  <c r="I19" i="53"/>
  <c r="E19" i="53"/>
  <c r="Q39" i="52"/>
  <c r="M39" i="52"/>
  <c r="I39" i="52"/>
  <c r="E39" i="52"/>
  <c r="S39" i="52" s="1"/>
  <c r="Q38" i="52"/>
  <c r="M38" i="52"/>
  <c r="I38" i="52"/>
  <c r="E38" i="52"/>
  <c r="S38" i="52" s="1"/>
  <c r="Q37" i="52"/>
  <c r="M37" i="52"/>
  <c r="I37" i="52"/>
  <c r="E37" i="52"/>
  <c r="S37" i="52" s="1"/>
  <c r="Q36" i="52"/>
  <c r="M36" i="52"/>
  <c r="I36" i="52"/>
  <c r="E36" i="52"/>
  <c r="S36" i="52" s="1"/>
  <c r="Q35" i="52"/>
  <c r="M35" i="52"/>
  <c r="I35" i="52"/>
  <c r="E35" i="52"/>
  <c r="S35" i="52" s="1"/>
  <c r="Q34" i="52"/>
  <c r="M34" i="52"/>
  <c r="I34" i="52"/>
  <c r="E34" i="52"/>
  <c r="S34" i="52" s="1"/>
  <c r="Q33" i="52"/>
  <c r="M33" i="52"/>
  <c r="I33" i="52"/>
  <c r="E33" i="52"/>
  <c r="S33" i="52" s="1"/>
  <c r="Q32" i="52"/>
  <c r="M32" i="52"/>
  <c r="I32" i="52"/>
  <c r="E32" i="52"/>
  <c r="S32" i="52" s="1"/>
  <c r="Q31" i="52"/>
  <c r="M31" i="52"/>
  <c r="I31" i="52"/>
  <c r="E31" i="52"/>
  <c r="S31" i="52" s="1"/>
  <c r="Q28" i="52"/>
  <c r="M28" i="52"/>
  <c r="I28" i="52"/>
  <c r="E28" i="52"/>
  <c r="S28" i="52" s="1"/>
  <c r="Q27" i="52"/>
  <c r="M27" i="52"/>
  <c r="I27" i="52"/>
  <c r="E27" i="52"/>
  <c r="S27" i="52" s="1"/>
  <c r="Q26" i="52"/>
  <c r="M26" i="52"/>
  <c r="I26" i="52"/>
  <c r="E26" i="52"/>
  <c r="S26" i="52" s="1"/>
  <c r="Q25" i="52"/>
  <c r="M25" i="52"/>
  <c r="I25" i="52"/>
  <c r="E25" i="52"/>
  <c r="S25" i="52" s="1"/>
  <c r="Q24" i="52"/>
  <c r="M24" i="52"/>
  <c r="I24" i="52"/>
  <c r="E24" i="52"/>
  <c r="S24" i="52" s="1"/>
  <c r="Q23" i="52"/>
  <c r="M23" i="52"/>
  <c r="I23" i="52"/>
  <c r="E23" i="52"/>
  <c r="S23" i="52" s="1"/>
  <c r="Q22" i="52"/>
  <c r="M22" i="52"/>
  <c r="I22" i="52"/>
  <c r="E22" i="52"/>
  <c r="S22" i="52" s="1"/>
  <c r="I21" i="52"/>
  <c r="S21" i="52" s="1"/>
  <c r="E20" i="52"/>
  <c r="S20" i="52" s="1"/>
  <c r="G155" i="2" l="1"/>
  <c r="G154" i="2"/>
  <c r="E28" i="48"/>
  <c r="G207" i="2"/>
  <c r="L207" i="2" s="1"/>
  <c r="E88" i="35"/>
  <c r="D88" i="35"/>
  <c r="H237" i="2"/>
  <c r="J17" i="8"/>
  <c r="J21" i="8"/>
  <c r="J15" i="8"/>
  <c r="L18" i="2"/>
  <c r="H10" i="50"/>
  <c r="F21" i="47"/>
  <c r="F22" i="47" s="1"/>
  <c r="F23" i="47" s="1"/>
  <c r="F24" i="47" s="1"/>
  <c r="F25" i="47" s="1"/>
  <c r="F26" i="47" s="1"/>
  <c r="F27" i="47" s="1"/>
  <c r="F28" i="47" s="1"/>
  <c r="F29" i="47" s="1"/>
  <c r="F30" i="47" s="1"/>
  <c r="F31" i="47" s="1"/>
  <c r="F32" i="47" s="1"/>
  <c r="H41" i="41"/>
  <c r="H40" i="41"/>
  <c r="H39" i="41"/>
  <c r="H38" i="41"/>
  <c r="H37" i="41"/>
  <c r="H36" i="41"/>
  <c r="H35" i="41"/>
  <c r="H34" i="41"/>
  <c r="H33" i="41"/>
  <c r="H32" i="41"/>
  <c r="H31" i="41"/>
  <c r="H30" i="41"/>
  <c r="H29" i="41"/>
  <c r="G13" i="41"/>
  <c r="J13" i="8"/>
  <c r="L173" i="2"/>
  <c r="G160" i="2"/>
  <c r="E45" i="9"/>
  <c r="E46" i="9"/>
  <c r="E47" i="9"/>
  <c r="E48" i="9"/>
  <c r="E44" i="9"/>
  <c r="E37" i="9"/>
  <c r="E38" i="9"/>
  <c r="E39" i="9"/>
  <c r="F40" i="9"/>
  <c r="L45" i="2"/>
  <c r="L46" i="2"/>
  <c r="G44" i="48"/>
  <c r="F61" i="9"/>
  <c r="E23" i="41"/>
  <c r="L250" i="2" s="1"/>
  <c r="D23" i="41"/>
  <c r="D94" i="41"/>
  <c r="D95" i="41"/>
  <c r="C94" i="41"/>
  <c r="C95" i="41" s="1"/>
  <c r="D88" i="41"/>
  <c r="D89" i="41"/>
  <c r="C88" i="41"/>
  <c r="F62" i="35"/>
  <c r="E62" i="35"/>
  <c r="L227" i="2"/>
  <c r="J42" i="35"/>
  <c r="G85" i="2" s="1"/>
  <c r="F42" i="35"/>
  <c r="G81" i="2" s="1"/>
  <c r="J23" i="35"/>
  <c r="G73" i="2" s="1"/>
  <c r="F23" i="35"/>
  <c r="G69" i="2" s="1"/>
  <c r="F31" i="10"/>
  <c r="F26" i="10"/>
  <c r="F22" i="10"/>
  <c r="F18" i="10"/>
  <c r="F14" i="10"/>
  <c r="F10" i="10"/>
  <c r="D100" i="20"/>
  <c r="C100" i="20"/>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K95" i="20"/>
  <c r="I94" i="20"/>
  <c r="O81" i="20"/>
  <c r="N81" i="20"/>
  <c r="G22" i="50"/>
  <c r="G23" i="50"/>
  <c r="G24" i="50"/>
  <c r="G25" i="50" s="1"/>
  <c r="G26" i="50" s="1"/>
  <c r="G27" i="50" s="1"/>
  <c r="G28" i="50" s="1"/>
  <c r="G29" i="50" s="1"/>
  <c r="G30" i="50" s="1"/>
  <c r="G31" i="50" s="1"/>
  <c r="G32" i="50" s="1"/>
  <c r="F10" i="50"/>
  <c r="B10" i="50"/>
  <c r="G22" i="49"/>
  <c r="G23" i="49"/>
  <c r="G24" i="49" s="1"/>
  <c r="G25" i="49" s="1"/>
  <c r="G26" i="49" s="1"/>
  <c r="G27" i="49" s="1"/>
  <c r="G28" i="49" s="1"/>
  <c r="G29" i="49" s="1"/>
  <c r="G30" i="49" s="1"/>
  <c r="G31" i="49" s="1"/>
  <c r="G32" i="49" s="1"/>
  <c r="F10" i="49"/>
  <c r="B10" i="49"/>
  <c r="G22" i="47"/>
  <c r="G23" i="47" s="1"/>
  <c r="G24" i="47" s="1"/>
  <c r="G25" i="47"/>
  <c r="G26" i="47" s="1"/>
  <c r="G27" i="47" s="1"/>
  <c r="G28" i="47" s="1"/>
  <c r="G29" i="47" s="1"/>
  <c r="G30" i="47" s="1"/>
  <c r="G31" i="47" s="1"/>
  <c r="G32" i="47" s="1"/>
  <c r="F10" i="47"/>
  <c r="B10" i="47"/>
  <c r="C48" i="11"/>
  <c r="G42" i="41"/>
  <c r="E42" i="41"/>
  <c r="D42" i="41"/>
  <c r="C42" i="41"/>
  <c r="L249" i="2"/>
  <c r="G256" i="2" s="1"/>
  <c r="J256" i="2" s="1"/>
  <c r="F17" i="48"/>
  <c r="B14" i="48"/>
  <c r="A6" i="48"/>
  <c r="A23" i="48"/>
  <c r="A24" i="48" s="1"/>
  <c r="A25" i="48" s="1"/>
  <c r="A26" i="48" s="1"/>
  <c r="A27" i="48" s="1"/>
  <c r="A4" i="48"/>
  <c r="C63" i="41"/>
  <c r="B48" i="41"/>
  <c r="I29" i="30"/>
  <c r="I30" i="30"/>
  <c r="I31" i="30"/>
  <c r="I32" i="30"/>
  <c r="A6" i="11"/>
  <c r="A4" i="41"/>
  <c r="A6" i="13"/>
  <c r="A6" i="20"/>
  <c r="A6" i="10"/>
  <c r="A6" i="9"/>
  <c r="A6" i="8"/>
  <c r="B36" i="8"/>
  <c r="A6" i="7"/>
  <c r="B26" i="7" s="1"/>
  <c r="A6" i="6"/>
  <c r="B1" i="39"/>
  <c r="B1" i="38"/>
  <c r="A6" i="5"/>
  <c r="A4" i="35"/>
  <c r="B3" i="39"/>
  <c r="Q10" i="39"/>
  <c r="Q10" i="38"/>
  <c r="M10" i="39"/>
  <c r="M10" i="38"/>
  <c r="F13" i="39"/>
  <c r="E13" i="39"/>
  <c r="E13" i="38"/>
  <c r="D13" i="39"/>
  <c r="D13" i="38"/>
  <c r="C13" i="39"/>
  <c r="C13" i="38"/>
  <c r="M109" i="39"/>
  <c r="S72" i="38"/>
  <c r="R72" i="38"/>
  <c r="Q72" i="38"/>
  <c r="O72" i="38"/>
  <c r="N72" i="38"/>
  <c r="M72" i="38"/>
  <c r="D43" i="5"/>
  <c r="D42" i="5"/>
  <c r="D27" i="5"/>
  <c r="D19" i="5"/>
  <c r="F87" i="35"/>
  <c r="S177" i="38"/>
  <c r="S183" i="38" s="1"/>
  <c r="R177" i="38"/>
  <c r="R183" i="38" s="1"/>
  <c r="Q177" i="38"/>
  <c r="Q183" i="38" s="1"/>
  <c r="O177" i="38"/>
  <c r="O183" i="38"/>
  <c r="N177" i="38"/>
  <c r="N183" i="38" s="1"/>
  <c r="M177" i="38"/>
  <c r="M183" i="38" s="1"/>
  <c r="S71" i="38"/>
  <c r="R71" i="38"/>
  <c r="Q71" i="38"/>
  <c r="O71" i="38"/>
  <c r="N71" i="38"/>
  <c r="M71" i="38"/>
  <c r="F13" i="38"/>
  <c r="B3" i="38"/>
  <c r="A72" i="38"/>
  <c r="D26" i="5" s="1"/>
  <c r="E72" i="38"/>
  <c r="F72" i="38"/>
  <c r="A180" i="38"/>
  <c r="A183" i="38"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R110" i="39"/>
  <c r="Q110" i="39"/>
  <c r="O110" i="39"/>
  <c r="N110" i="39"/>
  <c r="M110" i="39"/>
  <c r="F110" i="39"/>
  <c r="E110" i="39"/>
  <c r="S184" i="38"/>
  <c r="R184" i="38"/>
  <c r="Q184" i="38"/>
  <c r="O184" i="38"/>
  <c r="N184" i="38"/>
  <c r="M184" i="38"/>
  <c r="F184" i="38"/>
  <c r="E184" i="38"/>
  <c r="K107" i="39"/>
  <c r="J107" i="39"/>
  <c r="I107" i="39"/>
  <c r="D107" i="39"/>
  <c r="C107" i="39"/>
  <c r="K106" i="39"/>
  <c r="J106" i="39"/>
  <c r="I106" i="39"/>
  <c r="F106" i="39"/>
  <c r="E106" i="39"/>
  <c r="G106" i="39"/>
  <c r="F105" i="39"/>
  <c r="G105" i="39" s="1"/>
  <c r="E105" i="39"/>
  <c r="F104" i="39"/>
  <c r="F103" i="39"/>
  <c r="E103" i="39"/>
  <c r="G103" i="39" s="1"/>
  <c r="E102" i="39"/>
  <c r="F102" i="39"/>
  <c r="G102" i="39"/>
  <c r="F101" i="39"/>
  <c r="E101" i="39"/>
  <c r="F100" i="39"/>
  <c r="E100" i="39"/>
  <c r="F99" i="39"/>
  <c r="E99" i="39"/>
  <c r="G99" i="39"/>
  <c r="F98" i="39"/>
  <c r="G98" i="39" s="1"/>
  <c r="E98" i="39"/>
  <c r="F97" i="39"/>
  <c r="E97" i="39"/>
  <c r="F96" i="39"/>
  <c r="E96" i="39"/>
  <c r="G96" i="39" s="1"/>
  <c r="K95" i="39"/>
  <c r="D95" i="39"/>
  <c r="G95" i="39" s="1"/>
  <c r="C95" i="39"/>
  <c r="I95" i="39"/>
  <c r="D94" i="39"/>
  <c r="J94" i="39"/>
  <c r="I94" i="39"/>
  <c r="C94" i="39"/>
  <c r="C93" i="39"/>
  <c r="G93" i="39" s="1"/>
  <c r="K93" i="39"/>
  <c r="J93" i="39"/>
  <c r="D92" i="39"/>
  <c r="K92" i="39"/>
  <c r="J91" i="39"/>
  <c r="I91" i="39"/>
  <c r="D90" i="39"/>
  <c r="J90" i="39"/>
  <c r="I90" i="39"/>
  <c r="I89" i="39"/>
  <c r="K89" i="39"/>
  <c r="J89" i="39"/>
  <c r="D89" i="39"/>
  <c r="C89" i="39"/>
  <c r="J88" i="39"/>
  <c r="D88" i="39"/>
  <c r="K88" i="39"/>
  <c r="K87" i="39"/>
  <c r="D87" i="39"/>
  <c r="C87" i="39"/>
  <c r="G87" i="39" s="1"/>
  <c r="I87" i="39"/>
  <c r="D86" i="39"/>
  <c r="J86" i="39"/>
  <c r="I86" i="39"/>
  <c r="C85" i="39"/>
  <c r="J85" i="39"/>
  <c r="J84" i="39"/>
  <c r="K84" i="39"/>
  <c r="D84" i="39"/>
  <c r="K83" i="39"/>
  <c r="J83" i="39"/>
  <c r="I83" i="39"/>
  <c r="D82" i="39"/>
  <c r="J82" i="39"/>
  <c r="I82" i="39"/>
  <c r="I81" i="39"/>
  <c r="K81" i="39"/>
  <c r="J81" i="39"/>
  <c r="D81" i="39"/>
  <c r="C81" i="39"/>
  <c r="G81" i="39" s="1"/>
  <c r="J80" i="39"/>
  <c r="D80" i="39"/>
  <c r="K80" i="39"/>
  <c r="K79" i="39"/>
  <c r="D79" i="39"/>
  <c r="C79" i="39"/>
  <c r="I79" i="39"/>
  <c r="D78" i="39"/>
  <c r="D110" i="39" s="1"/>
  <c r="J78" i="39"/>
  <c r="I78" i="39"/>
  <c r="C78" i="39"/>
  <c r="C77" i="39"/>
  <c r="K77" i="39"/>
  <c r="J77" i="39"/>
  <c r="J110" i="39" s="1"/>
  <c r="J76" i="39"/>
  <c r="K76" i="39"/>
  <c r="K75" i="39"/>
  <c r="J75" i="39"/>
  <c r="I75" i="39"/>
  <c r="D74" i="39"/>
  <c r="J74" i="39"/>
  <c r="I74" i="39"/>
  <c r="I73" i="39"/>
  <c r="K73" i="39"/>
  <c r="J73" i="39"/>
  <c r="D73" i="39"/>
  <c r="C73" i="39"/>
  <c r="J72" i="39"/>
  <c r="D72" i="39"/>
  <c r="K72" i="39"/>
  <c r="K71" i="39"/>
  <c r="D71" i="39"/>
  <c r="C71" i="39"/>
  <c r="I71" i="39"/>
  <c r="D70" i="39"/>
  <c r="J70" i="39"/>
  <c r="I70" i="39"/>
  <c r="D69" i="39"/>
  <c r="C69" i="39"/>
  <c r="G69" i="39" s="1"/>
  <c r="J69" i="39"/>
  <c r="J68" i="39"/>
  <c r="K68" i="39"/>
  <c r="D68" i="39"/>
  <c r="J67" i="39"/>
  <c r="I67" i="39"/>
  <c r="D66" i="39"/>
  <c r="J66" i="39"/>
  <c r="I66" i="39"/>
  <c r="I65" i="39"/>
  <c r="K65" i="39"/>
  <c r="J65" i="39"/>
  <c r="D65" i="39"/>
  <c r="C65" i="39"/>
  <c r="D64" i="39"/>
  <c r="J64" i="39"/>
  <c r="K64" i="39"/>
  <c r="D63" i="39"/>
  <c r="K63" i="39"/>
  <c r="C63" i="39"/>
  <c r="I63" i="39"/>
  <c r="D62" i="39"/>
  <c r="J62" i="39"/>
  <c r="I62" i="39"/>
  <c r="C62" i="39"/>
  <c r="G62" i="39" s="1"/>
  <c r="D61" i="39"/>
  <c r="C61" i="39"/>
  <c r="G61" i="39" s="1"/>
  <c r="K61" i="39"/>
  <c r="J61" i="39"/>
  <c r="D60" i="39"/>
  <c r="K60" i="39"/>
  <c r="J59" i="39"/>
  <c r="I59" i="39"/>
  <c r="D58" i="39"/>
  <c r="J58" i="39"/>
  <c r="I58" i="39"/>
  <c r="I57" i="39"/>
  <c r="K57" i="39"/>
  <c r="J57" i="39"/>
  <c r="D57" i="39"/>
  <c r="G57" i="39" s="1"/>
  <c r="C57" i="39"/>
  <c r="D56" i="39"/>
  <c r="J56" i="39"/>
  <c r="K56" i="39"/>
  <c r="D55" i="39"/>
  <c r="K55" i="39"/>
  <c r="C55" i="39"/>
  <c r="G55" i="39" s="1"/>
  <c r="I55" i="39"/>
  <c r="D54" i="39"/>
  <c r="C54" i="39"/>
  <c r="G54" i="39"/>
  <c r="I54" i="39"/>
  <c r="K53" i="39"/>
  <c r="I53" i="39"/>
  <c r="J53" i="39"/>
  <c r="D53" i="39"/>
  <c r="G53" i="39" s="1"/>
  <c r="K52" i="39"/>
  <c r="D52" i="39"/>
  <c r="C52" i="39"/>
  <c r="I52" i="39"/>
  <c r="D51" i="39"/>
  <c r="J51" i="39"/>
  <c r="I51" i="39"/>
  <c r="C51" i="39"/>
  <c r="G51" i="39" s="1"/>
  <c r="I50" i="39"/>
  <c r="C50" i="39"/>
  <c r="J50" i="39"/>
  <c r="J49" i="39"/>
  <c r="K49" i="39"/>
  <c r="K48" i="39"/>
  <c r="J48" i="39"/>
  <c r="I48" i="39"/>
  <c r="D47" i="39"/>
  <c r="K47" i="39"/>
  <c r="J47" i="39"/>
  <c r="I47" i="39"/>
  <c r="I46" i="39"/>
  <c r="K46" i="39"/>
  <c r="J46" i="39"/>
  <c r="D46" i="39"/>
  <c r="C46" i="39"/>
  <c r="G46" i="39" s="1"/>
  <c r="J45" i="39"/>
  <c r="D45" i="39"/>
  <c r="K45" i="39"/>
  <c r="K44" i="39"/>
  <c r="D44" i="39"/>
  <c r="C44" i="39"/>
  <c r="I44" i="39"/>
  <c r="D43" i="39"/>
  <c r="J43" i="39"/>
  <c r="I43" i="39"/>
  <c r="C43" i="39"/>
  <c r="G43" i="39"/>
  <c r="I42" i="39"/>
  <c r="C42" i="39"/>
  <c r="G42" i="39" s="1"/>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G35" i="39"/>
  <c r="I34" i="39"/>
  <c r="C34" i="39"/>
  <c r="J34" i="39"/>
  <c r="J33" i="39"/>
  <c r="K33" i="39"/>
  <c r="K32" i="39"/>
  <c r="J32" i="39"/>
  <c r="I32" i="39"/>
  <c r="D31" i="39"/>
  <c r="K31" i="39"/>
  <c r="J31" i="39"/>
  <c r="I31" i="39"/>
  <c r="I30" i="39"/>
  <c r="K30" i="39"/>
  <c r="J30" i="39"/>
  <c r="D30" i="39"/>
  <c r="C30" i="39"/>
  <c r="G30" i="39" s="1"/>
  <c r="J29" i="39"/>
  <c r="D29" i="39"/>
  <c r="K29" i="39"/>
  <c r="K28" i="39"/>
  <c r="D28" i="39"/>
  <c r="C28" i="39"/>
  <c r="G28" i="39" s="1"/>
  <c r="I28" i="39"/>
  <c r="D27" i="39"/>
  <c r="J27" i="39"/>
  <c r="I27" i="39"/>
  <c r="I26" i="39"/>
  <c r="J26" i="39"/>
  <c r="K26" i="39"/>
  <c r="C26" i="39"/>
  <c r="J25" i="39"/>
  <c r="D25" i="39"/>
  <c r="K25" i="39"/>
  <c r="C25" i="39"/>
  <c r="D24" i="39"/>
  <c r="C24" i="39"/>
  <c r="G24" i="39" s="1"/>
  <c r="K24" i="39"/>
  <c r="I24" i="39"/>
  <c r="C23" i="39"/>
  <c r="G23" i="39" s="1"/>
  <c r="I23" i="39"/>
  <c r="K22" i="39"/>
  <c r="C22" i="39"/>
  <c r="G22" i="39" s="1"/>
  <c r="I22" i="39"/>
  <c r="D22" i="39"/>
  <c r="J21" i="39"/>
  <c r="K21" i="39"/>
  <c r="I21" i="39"/>
  <c r="D21" i="39"/>
  <c r="D20" i="39"/>
  <c r="C20" i="39"/>
  <c r="G20" i="39" s="1"/>
  <c r="K20" i="39"/>
  <c r="D19" i="39"/>
  <c r="K19" i="39"/>
  <c r="J19" i="39"/>
  <c r="I19" i="39"/>
  <c r="D18" i="39"/>
  <c r="K18" i="39"/>
  <c r="C18" i="39"/>
  <c r="G18" i="39" s="1"/>
  <c r="I18" i="39"/>
  <c r="J17" i="39"/>
  <c r="S197" i="38"/>
  <c r="R197" i="38"/>
  <c r="Q197" i="38"/>
  <c r="O197" i="38"/>
  <c r="N197" i="38"/>
  <c r="M197" i="38"/>
  <c r="F197" i="38"/>
  <c r="E197" i="38"/>
  <c r="K195" i="38"/>
  <c r="J195" i="38"/>
  <c r="J197" i="38" s="1"/>
  <c r="I195" i="38"/>
  <c r="D195" i="38"/>
  <c r="C195" i="38"/>
  <c r="K194" i="38"/>
  <c r="K197" i="38" s="1"/>
  <c r="J194" i="38"/>
  <c r="I194" i="38"/>
  <c r="D194" i="38"/>
  <c r="C194" i="38"/>
  <c r="F181" i="38"/>
  <c r="E181" i="38"/>
  <c r="K180" i="38"/>
  <c r="J180" i="38"/>
  <c r="I180" i="38"/>
  <c r="D180" i="38"/>
  <c r="C180" i="38"/>
  <c r="G180" i="38" s="1"/>
  <c r="F174" i="38"/>
  <c r="E174" i="38"/>
  <c r="G174" i="38"/>
  <c r="F173" i="38"/>
  <c r="E173" i="38"/>
  <c r="F172" i="38"/>
  <c r="F171" i="38"/>
  <c r="E171" i="38"/>
  <c r="G171" i="38" s="1"/>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D184" i="38" s="1"/>
  <c r="C139" i="38"/>
  <c r="K139" i="38"/>
  <c r="I138" i="38"/>
  <c r="K137" i="38"/>
  <c r="J137" i="38"/>
  <c r="I137" i="38"/>
  <c r="D137" i="38"/>
  <c r="J136" i="38"/>
  <c r="K136" i="38"/>
  <c r="D136" i="38"/>
  <c r="D135" i="38"/>
  <c r="J135" i="38"/>
  <c r="K135" i="38"/>
  <c r="D134" i="38"/>
  <c r="K134" i="38"/>
  <c r="K133" i="38"/>
  <c r="I133" i="38"/>
  <c r="D132" i="38"/>
  <c r="J132" i="38"/>
  <c r="K131" i="38"/>
  <c r="D131" i="38"/>
  <c r="C131" i="38"/>
  <c r="G131" i="38"/>
  <c r="I131" i="38"/>
  <c r="J130" i="38"/>
  <c r="I130" i="38"/>
  <c r="C130" i="38"/>
  <c r="K129" i="38"/>
  <c r="I129" i="38"/>
  <c r="J128" i="38"/>
  <c r="I128" i="38"/>
  <c r="K128" i="38"/>
  <c r="C128" i="38"/>
  <c r="C127" i="38"/>
  <c r="G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G117" i="38" s="1"/>
  <c r="C116" i="38"/>
  <c r="K116" i="38"/>
  <c r="J116" i="38"/>
  <c r="D115" i="38"/>
  <c r="K115" i="38"/>
  <c r="J115" i="38"/>
  <c r="C115" i="38"/>
  <c r="G115" i="38"/>
  <c r="K114" i="38"/>
  <c r="D114" i="38"/>
  <c r="J114" i="38"/>
  <c r="I114" i="38"/>
  <c r="J113" i="38"/>
  <c r="I113" i="38"/>
  <c r="C113" i="38"/>
  <c r="I112" i="38"/>
  <c r="J112" i="38"/>
  <c r="K112" i="38"/>
  <c r="D112" i="38"/>
  <c r="C112" i="38"/>
  <c r="G112" i="38" s="1"/>
  <c r="J111" i="38"/>
  <c r="D111" i="38"/>
  <c r="C111" i="38"/>
  <c r="G111" i="38"/>
  <c r="K111" i="38"/>
  <c r="D110" i="38"/>
  <c r="C110" i="38"/>
  <c r="G110" i="38"/>
  <c r="K110" i="38"/>
  <c r="I109" i="38"/>
  <c r="D108" i="38"/>
  <c r="I108" i="38"/>
  <c r="J107" i="38"/>
  <c r="K107" i="38"/>
  <c r="D107" i="38"/>
  <c r="K106" i="38"/>
  <c r="K184" i="38" s="1"/>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G85" i="38" s="1"/>
  <c r="C84" i="38"/>
  <c r="K84" i="38"/>
  <c r="J84" i="38"/>
  <c r="D83" i="38"/>
  <c r="K83" i="38"/>
  <c r="J83" i="38"/>
  <c r="C83" i="38"/>
  <c r="K82" i="38"/>
  <c r="D82" i="38"/>
  <c r="J82" i="38"/>
  <c r="I82" i="38"/>
  <c r="J81" i="38"/>
  <c r="I81" i="38"/>
  <c r="C81" i="38"/>
  <c r="G81" i="38" s="1"/>
  <c r="I80" i="38"/>
  <c r="J80" i="38"/>
  <c r="K80" i="38"/>
  <c r="D80" i="38"/>
  <c r="C80" i="38"/>
  <c r="J79" i="38"/>
  <c r="D79" i="38"/>
  <c r="K79" i="38"/>
  <c r="D78" i="38"/>
  <c r="C78" i="38"/>
  <c r="K78" i="38"/>
  <c r="I77" i="38"/>
  <c r="I76" i="38"/>
  <c r="F68" i="38"/>
  <c r="E68" i="38"/>
  <c r="F67" i="38"/>
  <c r="E67" i="38"/>
  <c r="F66" i="38"/>
  <c r="E66" i="38"/>
  <c r="J65" i="38"/>
  <c r="K65" i="38"/>
  <c r="D65" i="38"/>
  <c r="K64" i="38"/>
  <c r="D64" i="38"/>
  <c r="G64" i="38" s="1"/>
  <c r="D63" i="38"/>
  <c r="J63" i="38"/>
  <c r="I63" i="38"/>
  <c r="D62" i="38"/>
  <c r="G62" i="38" s="1"/>
  <c r="K62" i="38"/>
  <c r="J62" i="38"/>
  <c r="I62" i="38"/>
  <c r="D61" i="38"/>
  <c r="J61" i="38"/>
  <c r="K60" i="38"/>
  <c r="D60" i="38"/>
  <c r="D59" i="38"/>
  <c r="G59" i="38" s="1"/>
  <c r="I59" i="38"/>
  <c r="K58" i="38"/>
  <c r="J58" i="38"/>
  <c r="C58" i="38"/>
  <c r="D57" i="38"/>
  <c r="K57" i="38"/>
  <c r="J57" i="38"/>
  <c r="C57" i="38"/>
  <c r="G57" i="38" s="1"/>
  <c r="J56" i="38"/>
  <c r="K56" i="38"/>
  <c r="D56" i="38"/>
  <c r="G56" i="38" s="1"/>
  <c r="K55" i="38"/>
  <c r="J55" i="38"/>
  <c r="I55" i="38"/>
  <c r="D54" i="38"/>
  <c r="K54" i="38"/>
  <c r="J54" i="38"/>
  <c r="I54" i="38"/>
  <c r="C53" i="38"/>
  <c r="I53" i="38"/>
  <c r="J53" i="38"/>
  <c r="D53" i="38"/>
  <c r="D52" i="38"/>
  <c r="K52" i="38"/>
  <c r="D51" i="38"/>
  <c r="C51" i="38"/>
  <c r="G51" i="38" s="1"/>
  <c r="D50" i="38"/>
  <c r="C50" i="38"/>
  <c r="G50" i="38" s="1"/>
  <c r="I50" i="38"/>
  <c r="D49" i="38"/>
  <c r="K49" i="38"/>
  <c r="J49" i="38"/>
  <c r="C49" i="38"/>
  <c r="G49" i="38" s="1"/>
  <c r="J48" i="38"/>
  <c r="K48" i="38"/>
  <c r="D48" i="38"/>
  <c r="K47" i="38"/>
  <c r="J47" i="38"/>
  <c r="I47" i="38"/>
  <c r="D46" i="38"/>
  <c r="K46" i="38"/>
  <c r="J46" i="38"/>
  <c r="I46" i="38"/>
  <c r="C45" i="38"/>
  <c r="I45" i="38"/>
  <c r="J45" i="38"/>
  <c r="D45" i="38"/>
  <c r="D44" i="38"/>
  <c r="K44" i="38"/>
  <c r="D43" i="38"/>
  <c r="C43" i="38"/>
  <c r="D42" i="38"/>
  <c r="C42" i="38"/>
  <c r="G42" i="38" s="1"/>
  <c r="I42" i="38"/>
  <c r="D41" i="38"/>
  <c r="K41" i="38"/>
  <c r="J41" i="38"/>
  <c r="C41" i="38"/>
  <c r="G41" i="38"/>
  <c r="J40" i="38"/>
  <c r="K40" i="38"/>
  <c r="D40" i="38"/>
  <c r="K39" i="38"/>
  <c r="J39" i="38"/>
  <c r="I39" i="38"/>
  <c r="D38" i="38"/>
  <c r="K38" i="38"/>
  <c r="J38" i="38"/>
  <c r="I38" i="38"/>
  <c r="C37" i="38"/>
  <c r="I37" i="38"/>
  <c r="J37" i="38"/>
  <c r="D37" i="38"/>
  <c r="G37" i="38" s="1"/>
  <c r="D36" i="38"/>
  <c r="K36" i="38"/>
  <c r="D35" i="38"/>
  <c r="G35" i="38" s="1"/>
  <c r="I35" i="38"/>
  <c r="I34" i="38"/>
  <c r="K34" i="38"/>
  <c r="J34" i="38"/>
  <c r="J72" i="38" s="1"/>
  <c r="D33" i="38"/>
  <c r="K33" i="38"/>
  <c r="J33" i="38"/>
  <c r="D32" i="38"/>
  <c r="J32" i="38"/>
  <c r="I32" i="38"/>
  <c r="D31" i="38"/>
  <c r="J31" i="38"/>
  <c r="I31" i="38"/>
  <c r="D30" i="38"/>
  <c r="G30" i="38" s="1"/>
  <c r="C30" i="38"/>
  <c r="K30" i="38"/>
  <c r="J30" i="38"/>
  <c r="K29" i="38"/>
  <c r="D29" i="38"/>
  <c r="J29" i="38"/>
  <c r="I29" i="38"/>
  <c r="D28" i="38"/>
  <c r="K28" i="38"/>
  <c r="I28" i="38"/>
  <c r="S23" i="38"/>
  <c r="R23" i="38"/>
  <c r="Q23" i="38"/>
  <c r="O23" i="38"/>
  <c r="N23" i="38"/>
  <c r="M23" i="38"/>
  <c r="F21" i="38"/>
  <c r="E21" i="38"/>
  <c r="F20" i="38"/>
  <c r="E20" i="38"/>
  <c r="F19" i="38"/>
  <c r="E19" i="38"/>
  <c r="E23" i="38" s="1"/>
  <c r="K17" i="38"/>
  <c r="K23" i="38"/>
  <c r="J17" i="38"/>
  <c r="J23" i="38"/>
  <c r="I17" i="38"/>
  <c r="I23" i="38"/>
  <c r="D17" i="38"/>
  <c r="D23" i="38"/>
  <c r="C17" i="38"/>
  <c r="C23" i="38"/>
  <c r="A24" i="38"/>
  <c r="D18" i="5"/>
  <c r="Q27" i="21"/>
  <c r="Q22" i="21"/>
  <c r="Q17" i="21"/>
  <c r="A2" i="41"/>
  <c r="A11" i="41"/>
  <c r="A12" i="41"/>
  <c r="A13" i="41" s="1"/>
  <c r="A14" i="41" s="1"/>
  <c r="A15" i="41" s="1"/>
  <c r="A16" i="41" s="1"/>
  <c r="A17" i="41" s="1"/>
  <c r="A18" i="41" s="1"/>
  <c r="A19" i="41" s="1"/>
  <c r="A20" i="41" s="1"/>
  <c r="A21" i="41" s="1"/>
  <c r="A22" i="41" s="1"/>
  <c r="A23" i="41" s="1"/>
  <c r="E66" i="41"/>
  <c r="E67" i="41"/>
  <c r="E68" i="41"/>
  <c r="E69" i="41"/>
  <c r="E70" i="41"/>
  <c r="E71" i="41"/>
  <c r="E72" i="41"/>
  <c r="F73" i="41"/>
  <c r="B85" i="41"/>
  <c r="B86" i="41"/>
  <c r="B87" i="41"/>
  <c r="B91" i="41"/>
  <c r="B92" i="41"/>
  <c r="B93" i="41"/>
  <c r="B97" i="41"/>
  <c r="B98" i="41"/>
  <c r="B99" i="41"/>
  <c r="C100" i="41"/>
  <c r="C101" i="41" s="1"/>
  <c r="D100" i="41"/>
  <c r="E110" i="2"/>
  <c r="E67" i="35"/>
  <c r="F67" i="35"/>
  <c r="D67" i="35"/>
  <c r="A69" i="35"/>
  <c r="A71"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E73" i="2"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M90" i="13" s="1"/>
  <c r="N21" i="13" s="1"/>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D21" i="9"/>
  <c r="G148" i="2" s="1"/>
  <c r="D351" i="2"/>
  <c r="D295" i="2"/>
  <c r="L26" i="20"/>
  <c r="I93" i="20" s="1"/>
  <c r="A4" i="21"/>
  <c r="A4" i="30"/>
  <c r="A4" i="11"/>
  <c r="A4" i="10"/>
  <c r="A4" i="9"/>
  <c r="A4" i="8"/>
  <c r="A4" i="7"/>
  <c r="A4" i="6"/>
  <c r="A4" i="5"/>
  <c r="F7" i="2"/>
  <c r="F56" i="2"/>
  <c r="F130" i="2" s="1"/>
  <c r="F218" i="2" s="1"/>
  <c r="F264" i="2" s="1"/>
  <c r="F16" i="13"/>
  <c r="F18" i="13" s="1"/>
  <c r="E23" i="13" s="1"/>
  <c r="F16" i="20"/>
  <c r="F18" i="20" s="1"/>
  <c r="E23" i="20" s="1"/>
  <c r="B13" i="2"/>
  <c r="O8" i="20"/>
  <c r="G162" i="2"/>
  <c r="O17" i="21"/>
  <c r="O22" i="21"/>
  <c r="O27" i="21"/>
  <c r="I21" i="6"/>
  <c r="G116" i="2" s="1"/>
  <c r="A24" i="9"/>
  <c r="A25" i="9" s="1"/>
  <c r="A26" i="9" s="1"/>
  <c r="A27" i="9" s="1"/>
  <c r="A28" i="9" s="1"/>
  <c r="A29" i="9" s="1"/>
  <c r="A30" i="9" s="1"/>
  <c r="A31" i="9" s="1"/>
  <c r="A32" i="9" s="1"/>
  <c r="A33" i="9" s="1"/>
  <c r="A15" i="7"/>
  <c r="A17" i="7" s="1"/>
  <c r="A18" i="7" s="1"/>
  <c r="A19" i="7" s="1"/>
  <c r="A21" i="7" s="1"/>
  <c r="A23" i="7" s="1"/>
  <c r="A17" i="6"/>
  <c r="A19" i="6" s="1"/>
  <c r="A21" i="6" s="1"/>
  <c r="A27" i="6" s="1"/>
  <c r="A29" i="6" s="1"/>
  <c r="A30" i="6" s="1"/>
  <c r="A31" i="6" s="1"/>
  <c r="A37" i="6" s="1"/>
  <c r="A39" i="6" s="1"/>
  <c r="A40" i="6" s="1"/>
  <c r="A41" i="6" s="1"/>
  <c r="A42" i="6" s="1"/>
  <c r="A43" i="6" s="1"/>
  <c r="A44" i="6" s="1"/>
  <c r="A45" i="6" s="1"/>
  <c r="A46" i="6" s="1"/>
  <c r="A47" i="6" s="1"/>
  <c r="A48" i="6" s="1"/>
  <c r="A57" i="6" s="1"/>
  <c r="A59" i="6" s="1"/>
  <c r="A60" i="6" s="1"/>
  <c r="A61" i="6" s="1"/>
  <c r="A62" i="6" s="1"/>
  <c r="A63" i="6" s="1"/>
  <c r="A64" i="6" s="1"/>
  <c r="A65" i="6" s="1"/>
  <c r="A66" i="6" s="1"/>
  <c r="A67" i="6" s="1"/>
  <c r="A68" i="6" s="1"/>
  <c r="A69" i="6" s="1"/>
  <c r="A15" i="30"/>
  <c r="A25" i="30" s="1"/>
  <c r="A27" i="30" s="1"/>
  <c r="A33" i="30" s="1"/>
  <c r="A44" i="30" s="1"/>
  <c r="A51" i="30" s="1"/>
  <c r="A17" i="11"/>
  <c r="A19" i="11"/>
  <c r="A20" i="11" s="1"/>
  <c r="A21" i="11" s="1"/>
  <c r="A23" i="11" s="1"/>
  <c r="A24" i="11" s="1"/>
  <c r="A25" i="11" s="1"/>
  <c r="A26" i="11" s="1"/>
  <c r="A28" i="11" s="1"/>
  <c r="A29" i="11" s="1"/>
  <c r="A31" i="11" s="1"/>
  <c r="A32" i="11" s="1"/>
  <c r="A33" i="11" s="1"/>
  <c r="A34" i="11" s="1"/>
  <c r="A35" i="11" s="1"/>
  <c r="A36" i="11" s="1"/>
  <c r="A37" i="11" s="1"/>
  <c r="A38" i="11" s="1"/>
  <c r="A39" i="11" s="1"/>
  <c r="A40" i="11" s="1"/>
  <c r="A41" i="11" s="1"/>
  <c r="E183" i="2" s="1"/>
  <c r="J29" i="8"/>
  <c r="A4" i="13"/>
  <c r="A4" i="20"/>
  <c r="C60" i="13"/>
  <c r="K33" i="21"/>
  <c r="A22" i="21"/>
  <c r="A27" i="2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56" i="6"/>
  <c r="B54" i="6" s="1"/>
  <c r="G12" i="6"/>
  <c r="G10" i="5"/>
  <c r="B4" i="14"/>
  <c r="O8" i="13"/>
  <c r="P8" i="13"/>
  <c r="C11" i="13"/>
  <c r="C14" i="13"/>
  <c r="C18" i="13"/>
  <c r="C26" i="13"/>
  <c r="C32" i="13"/>
  <c r="C42" i="13"/>
  <c r="C43" i="13"/>
  <c r="C53" i="13"/>
  <c r="C55" i="13"/>
  <c r="C58" i="13"/>
  <c r="C62" i="13"/>
  <c r="C65" i="13"/>
  <c r="C66" i="13"/>
  <c r="C68" i="13"/>
  <c r="C69" i="13"/>
  <c r="C71" i="13"/>
  <c r="A4" i="12"/>
  <c r="A6" i="12"/>
  <c r="A3" i="6"/>
  <c r="A15" i="8"/>
  <c r="A17" i="8" s="1"/>
  <c r="A19" i="8" s="1"/>
  <c r="A21" i="8" s="1"/>
  <c r="A27" i="8" s="1"/>
  <c r="A29" i="8" s="1"/>
  <c r="A31" i="8" s="1"/>
  <c r="A39" i="8" s="1"/>
  <c r="E12" i="6"/>
  <c r="C29" i="6"/>
  <c r="D36" i="6"/>
  <c r="B34" i="6" s="1"/>
  <c r="E10" i="5"/>
  <c r="A17" i="5"/>
  <c r="F54" i="2"/>
  <c r="F128" i="2"/>
  <c r="F216" i="2" s="1"/>
  <c r="F262" i="2" s="1"/>
  <c r="F55" i="2"/>
  <c r="F129" i="2" s="1"/>
  <c r="F217" i="2" s="1"/>
  <c r="F263" i="2" s="1"/>
  <c r="F58" i="2"/>
  <c r="F132" i="2"/>
  <c r="F220" i="2" s="1"/>
  <c r="F266" i="2" s="1"/>
  <c r="B64" i="2"/>
  <c r="B138" i="2"/>
  <c r="B65" i="2"/>
  <c r="B139" i="2" s="1"/>
  <c r="D78" i="2"/>
  <c r="D90" i="2"/>
  <c r="D80" i="2"/>
  <c r="D91" i="2" s="1"/>
  <c r="D82" i="2"/>
  <c r="D92" i="2"/>
  <c r="D84" i="2"/>
  <c r="D93" i="2" s="1"/>
  <c r="D86" i="2"/>
  <c r="D94" i="2"/>
  <c r="E136" i="2"/>
  <c r="L136" i="2"/>
  <c r="E137" i="2"/>
  <c r="G137" i="2"/>
  <c r="I137" i="2"/>
  <c r="L137" i="2"/>
  <c r="D174" i="2"/>
  <c r="C33" i="39"/>
  <c r="I33" i="39"/>
  <c r="C41" i="39"/>
  <c r="I41" i="39"/>
  <c r="K42" i="39"/>
  <c r="C27" i="39"/>
  <c r="G27" i="39" s="1"/>
  <c r="C49" i="39"/>
  <c r="I49" i="39"/>
  <c r="I77" i="39"/>
  <c r="I110" i="39" s="1"/>
  <c r="D77" i="39"/>
  <c r="I93" i="39"/>
  <c r="D93" i="39"/>
  <c r="O109" i="39"/>
  <c r="J18" i="39"/>
  <c r="K23" i="39"/>
  <c r="I25" i="39"/>
  <c r="D26" i="39"/>
  <c r="D33" i="39"/>
  <c r="K34" i="39"/>
  <c r="D41" i="39"/>
  <c r="D49" i="39"/>
  <c r="K50" i="39"/>
  <c r="K54" i="39"/>
  <c r="C60" i="39"/>
  <c r="G60" i="39" s="1"/>
  <c r="I60" i="39"/>
  <c r="K66" i="39"/>
  <c r="C66" i="39"/>
  <c r="G66" i="39" s="1"/>
  <c r="K67" i="39"/>
  <c r="C76" i="39"/>
  <c r="I76" i="39"/>
  <c r="K82" i="39"/>
  <c r="C82" i="39"/>
  <c r="C92" i="39"/>
  <c r="G92" i="39"/>
  <c r="I92" i="39"/>
  <c r="C17" i="39"/>
  <c r="K17" i="39"/>
  <c r="Q109" i="39"/>
  <c r="C19" i="39"/>
  <c r="G19" i="39" s="1"/>
  <c r="J20" i="39"/>
  <c r="J22" i="39"/>
  <c r="J23" i="39"/>
  <c r="K27" i="39"/>
  <c r="J28" i="39"/>
  <c r="C29" i="39"/>
  <c r="G29" i="39" s="1"/>
  <c r="I29" i="39"/>
  <c r="K35" i="39"/>
  <c r="J36" i="39"/>
  <c r="C37" i="39"/>
  <c r="G37" i="39"/>
  <c r="I37" i="39"/>
  <c r="K43" i="39"/>
  <c r="J44" i="39"/>
  <c r="C45" i="39"/>
  <c r="G45" i="39" s="1"/>
  <c r="I45" i="39"/>
  <c r="K51" i="39"/>
  <c r="J52" i="39"/>
  <c r="J54" i="39"/>
  <c r="J60" i="39"/>
  <c r="K69" i="39"/>
  <c r="C70" i="39"/>
  <c r="G70" i="39" s="1"/>
  <c r="K85" i="39"/>
  <c r="I85" i="39"/>
  <c r="D85" i="39"/>
  <c r="G85" i="39" s="1"/>
  <c r="C86" i="39"/>
  <c r="G86" i="39"/>
  <c r="J92" i="39"/>
  <c r="E104" i="39"/>
  <c r="G104" i="39" s="1"/>
  <c r="D17" i="39"/>
  <c r="I17" i="39"/>
  <c r="R109" i="39"/>
  <c r="I20" i="39"/>
  <c r="C21" i="39"/>
  <c r="G21" i="39"/>
  <c r="D23" i="39"/>
  <c r="J24" i="39"/>
  <c r="C31" i="39"/>
  <c r="G31" i="39" s="1"/>
  <c r="C32" i="39"/>
  <c r="D32" i="39"/>
  <c r="D34" i="39"/>
  <c r="G34" i="39"/>
  <c r="C39" i="39"/>
  <c r="G39" i="39"/>
  <c r="C40" i="39"/>
  <c r="D40" i="39"/>
  <c r="G40" i="39" s="1"/>
  <c r="D42" i="39"/>
  <c r="C47" i="39"/>
  <c r="G47" i="39"/>
  <c r="C48" i="39"/>
  <c r="G48" i="39"/>
  <c r="D48" i="39"/>
  <c r="D50" i="39"/>
  <c r="G50" i="39" s="1"/>
  <c r="K58" i="39"/>
  <c r="C58" i="39"/>
  <c r="G58" i="39" s="1"/>
  <c r="K59" i="39"/>
  <c r="C68" i="39"/>
  <c r="G68" i="39" s="1"/>
  <c r="I68" i="39"/>
  <c r="K74" i="39"/>
  <c r="C74" i="39"/>
  <c r="D76" i="39"/>
  <c r="C84" i="39"/>
  <c r="I84" i="39"/>
  <c r="K90" i="39"/>
  <c r="C90" i="39"/>
  <c r="G90" i="39" s="1"/>
  <c r="K91" i="39"/>
  <c r="N109" i="39"/>
  <c r="S109" i="39"/>
  <c r="C53" i="39"/>
  <c r="J55" i="39"/>
  <c r="C56" i="39"/>
  <c r="G56" i="39" s="1"/>
  <c r="I56" i="39"/>
  <c r="I61" i="39"/>
  <c r="K62" i="39"/>
  <c r="J63" i="39"/>
  <c r="C64" i="39"/>
  <c r="G64" i="39"/>
  <c r="I64" i="39"/>
  <c r="I69" i="39"/>
  <c r="K70" i="39"/>
  <c r="J71" i="39"/>
  <c r="C72" i="39"/>
  <c r="G72" i="39"/>
  <c r="I72" i="39"/>
  <c r="K78" i="39"/>
  <c r="K110" i="39" s="1"/>
  <c r="J79" i="39"/>
  <c r="C80" i="39"/>
  <c r="G80" i="39" s="1"/>
  <c r="I80" i="39"/>
  <c r="K86" i="39"/>
  <c r="J87" i="39"/>
  <c r="C88" i="39"/>
  <c r="I88" i="39"/>
  <c r="K94" i="39"/>
  <c r="J95" i="39"/>
  <c r="C59" i="39"/>
  <c r="D59" i="39"/>
  <c r="C67" i="39"/>
  <c r="D67" i="39"/>
  <c r="C75" i="39"/>
  <c r="G75" i="39"/>
  <c r="D75" i="39"/>
  <c r="C83" i="39"/>
  <c r="D83" i="39"/>
  <c r="C91" i="39"/>
  <c r="D91" i="39"/>
  <c r="C31" i="38"/>
  <c r="G31" i="38" s="1"/>
  <c r="C60" i="38"/>
  <c r="G60" i="38" s="1"/>
  <c r="I60" i="38"/>
  <c r="K63" i="38"/>
  <c r="C63" i="38"/>
  <c r="G63" i="38" s="1"/>
  <c r="C76" i="38"/>
  <c r="G76" i="38" s="1"/>
  <c r="J76" i="38"/>
  <c r="I84" i="38"/>
  <c r="D84" i="38"/>
  <c r="K87" i="38"/>
  <c r="C87" i="38"/>
  <c r="G87" i="38" s="1"/>
  <c r="C102" i="38"/>
  <c r="I102" i="38"/>
  <c r="K105" i="38"/>
  <c r="C105" i="38"/>
  <c r="G105" i="38" s="1"/>
  <c r="C108" i="38"/>
  <c r="G108" i="38" s="1"/>
  <c r="J108" i="38"/>
  <c r="C109" i="38"/>
  <c r="J109" i="38"/>
  <c r="I116" i="38"/>
  <c r="D116" i="38"/>
  <c r="G116" i="38"/>
  <c r="K157" i="38"/>
  <c r="D157" i="38"/>
  <c r="G157" i="38" s="1"/>
  <c r="E172" i="38"/>
  <c r="G172" i="38"/>
  <c r="C28" i="38"/>
  <c r="J28" i="38"/>
  <c r="C33" i="38"/>
  <c r="G33" i="38"/>
  <c r="C35" i="38"/>
  <c r="K42" i="38"/>
  <c r="I49" i="38"/>
  <c r="J51" i="38"/>
  <c r="C52" i="38"/>
  <c r="G52" i="38"/>
  <c r="I52" i="38"/>
  <c r="I57" i="38"/>
  <c r="K77" i="38"/>
  <c r="K88" i="38"/>
  <c r="C90" i="38"/>
  <c r="G90" i="38"/>
  <c r="I90" i="38"/>
  <c r="J97" i="38"/>
  <c r="J102" i="38"/>
  <c r="K108" i="38"/>
  <c r="K109" i="38"/>
  <c r="K120" i="38"/>
  <c r="I123" i="38"/>
  <c r="C123" i="38"/>
  <c r="G123" i="38" s="1"/>
  <c r="D141" i="38"/>
  <c r="G141" i="38" s="1"/>
  <c r="I141" i="38"/>
  <c r="K145" i="38"/>
  <c r="D149" i="38"/>
  <c r="G149" i="38" s="1"/>
  <c r="I149" i="38"/>
  <c r="C150" i="38"/>
  <c r="G150" i="38" s="1"/>
  <c r="I161" i="38"/>
  <c r="D161" i="38"/>
  <c r="G161" i="38" s="1"/>
  <c r="C164" i="38"/>
  <c r="G164" i="38" s="1"/>
  <c r="C29" i="38"/>
  <c r="I30" i="38"/>
  <c r="K31" i="38"/>
  <c r="K32" i="38"/>
  <c r="I33" i="38"/>
  <c r="D34" i="38"/>
  <c r="K35" i="38"/>
  <c r="K72" i="38" s="1"/>
  <c r="J36" i="38"/>
  <c r="K37" i="38"/>
  <c r="C38" i="38"/>
  <c r="G38" i="38"/>
  <c r="C39" i="38"/>
  <c r="G39" i="38"/>
  <c r="D39" i="38"/>
  <c r="J42" i="38"/>
  <c r="K43" i="38"/>
  <c r="J44" i="38"/>
  <c r="K45" i="38"/>
  <c r="C46" i="38"/>
  <c r="G46" i="38" s="1"/>
  <c r="C47" i="38"/>
  <c r="D47" i="38"/>
  <c r="J50" i="38"/>
  <c r="K51" i="38"/>
  <c r="J52" i="38"/>
  <c r="K53" i="38"/>
  <c r="C54" i="38"/>
  <c r="C55" i="38"/>
  <c r="G55" i="38" s="1"/>
  <c r="D55" i="38"/>
  <c r="I58" i="38"/>
  <c r="D58" i="38"/>
  <c r="G58" i="38" s="1"/>
  <c r="C59" i="38"/>
  <c r="K61" i="38"/>
  <c r="C61" i="38"/>
  <c r="C72" i="38" s="1"/>
  <c r="C62" i="38"/>
  <c r="I78" i="38"/>
  <c r="C79" i="38"/>
  <c r="G79" i="38"/>
  <c r="D81" i="38"/>
  <c r="C86" i="38"/>
  <c r="G86" i="38" s="1"/>
  <c r="I86" i="38"/>
  <c r="J88" i="38"/>
  <c r="D88" i="38"/>
  <c r="K89" i="38"/>
  <c r="C89" i="38"/>
  <c r="G89" i="38" s="1"/>
  <c r="C92" i="38"/>
  <c r="G92" i="38" s="1"/>
  <c r="J92" i="38"/>
  <c r="C93" i="38"/>
  <c r="J93" i="38"/>
  <c r="D96" i="38"/>
  <c r="G96" i="38" s="1"/>
  <c r="C97" i="38"/>
  <c r="G97" i="38" s="1"/>
  <c r="I100" i="38"/>
  <c r="D100" i="38"/>
  <c r="G100" i="38" s="1"/>
  <c r="C101" i="38"/>
  <c r="G101" i="38" s="1"/>
  <c r="K103" i="38"/>
  <c r="C103" i="38"/>
  <c r="G103" i="38" s="1"/>
  <c r="C104" i="38"/>
  <c r="G104" i="38" s="1"/>
  <c r="I110" i="38"/>
  <c r="D113" i="38"/>
  <c r="C118" i="38"/>
  <c r="G118" i="38" s="1"/>
  <c r="I118" i="38"/>
  <c r="J120" i="38"/>
  <c r="D120" i="38"/>
  <c r="K121" i="38"/>
  <c r="C121" i="38"/>
  <c r="G121" i="38" s="1"/>
  <c r="C124" i="38"/>
  <c r="G124" i="38" s="1"/>
  <c r="J124" i="38"/>
  <c r="C125" i="38"/>
  <c r="J125" i="38"/>
  <c r="D128" i="38"/>
  <c r="D130" i="38"/>
  <c r="G130" i="38" s="1"/>
  <c r="C133" i="38"/>
  <c r="J133" i="38"/>
  <c r="C155" i="38"/>
  <c r="I155" i="38"/>
  <c r="C157" i="38"/>
  <c r="K166" i="38"/>
  <c r="C166" i="38"/>
  <c r="C77" i="38"/>
  <c r="J77" i="38"/>
  <c r="K119" i="38"/>
  <c r="C119" i="38"/>
  <c r="G119" i="38" s="1"/>
  <c r="J129" i="38"/>
  <c r="C129" i="38"/>
  <c r="I134" i="38"/>
  <c r="C134" i="38"/>
  <c r="G134" i="38" s="1"/>
  <c r="K142" i="38"/>
  <c r="C142" i="38"/>
  <c r="G142" i="38" s="1"/>
  <c r="C153" i="38"/>
  <c r="G153" i="38" s="1"/>
  <c r="J153" i="38"/>
  <c r="C154" i="38"/>
  <c r="J154" i="38"/>
  <c r="C34" i="38"/>
  <c r="J35" i="38"/>
  <c r="C36" i="38"/>
  <c r="I36" i="38"/>
  <c r="I41" i="38"/>
  <c r="J43" i="38"/>
  <c r="C44" i="38"/>
  <c r="G44" i="38" s="1"/>
  <c r="I44" i="38"/>
  <c r="K50" i="38"/>
  <c r="J60" i="38"/>
  <c r="D76" i="38"/>
  <c r="I79" i="38"/>
  <c r="I91" i="38"/>
  <c r="C91" i="38"/>
  <c r="I111" i="38"/>
  <c r="C122" i="38"/>
  <c r="G122" i="38" s="1"/>
  <c r="I122" i="38"/>
  <c r="D129" i="38"/>
  <c r="I145" i="38"/>
  <c r="D145" i="38"/>
  <c r="G145" i="38" s="1"/>
  <c r="K149" i="38"/>
  <c r="C158" i="38"/>
  <c r="I158" i="38"/>
  <c r="C32" i="38"/>
  <c r="C40" i="38"/>
  <c r="G40" i="38" s="1"/>
  <c r="I40" i="38"/>
  <c r="I43" i="38"/>
  <c r="C48" i="38"/>
  <c r="G48" i="38"/>
  <c r="I48" i="38"/>
  <c r="I51" i="38"/>
  <c r="C56" i="38"/>
  <c r="I56" i="38"/>
  <c r="J59" i="38"/>
  <c r="C64" i="38"/>
  <c r="I64" i="38"/>
  <c r="I65" i="38"/>
  <c r="C65" i="38"/>
  <c r="G65" i="38" s="1"/>
  <c r="D91" i="38"/>
  <c r="D98" i="38"/>
  <c r="J101" i="38"/>
  <c r="C106" i="38"/>
  <c r="G106" i="38" s="1"/>
  <c r="I106" i="38"/>
  <c r="I107" i="38"/>
  <c r="C107" i="38"/>
  <c r="G107" i="38" s="1"/>
  <c r="D123" i="38"/>
  <c r="K132" i="38"/>
  <c r="C132" i="38"/>
  <c r="J134" i="38"/>
  <c r="I139" i="38"/>
  <c r="C151" i="38"/>
  <c r="G151" i="38" s="1"/>
  <c r="I151" i="38"/>
  <c r="D165" i="38"/>
  <c r="G165" i="38" s="1"/>
  <c r="I165" i="38"/>
  <c r="D167" i="38"/>
  <c r="J64" i="38"/>
  <c r="K81" i="38"/>
  <c r="I83" i="38"/>
  <c r="J90" i="38"/>
  <c r="K97" i="38"/>
  <c r="I99" i="38"/>
  <c r="J106" i="38"/>
  <c r="K113" i="38"/>
  <c r="I115" i="38"/>
  <c r="J122" i="38"/>
  <c r="K130" i="38"/>
  <c r="I136" i="38"/>
  <c r="C136" i="38"/>
  <c r="G136" i="38" s="1"/>
  <c r="C138" i="38"/>
  <c r="G138" i="38" s="1"/>
  <c r="J138" i="38"/>
  <c r="D143" i="38"/>
  <c r="I143" i="38"/>
  <c r="K154" i="38"/>
  <c r="I160" i="38"/>
  <c r="C163" i="38"/>
  <c r="G163" i="38" s="1"/>
  <c r="I163" i="38"/>
  <c r="J168" i="38"/>
  <c r="K59" i="38"/>
  <c r="I61" i="38"/>
  <c r="I72" i="38" s="1"/>
  <c r="K76" i="38"/>
  <c r="D77" i="38"/>
  <c r="J78" i="38"/>
  <c r="C82" i="38"/>
  <c r="G82" i="38" s="1"/>
  <c r="K85" i="38"/>
  <c r="I87" i="38"/>
  <c r="D93" i="38"/>
  <c r="G93" i="38" s="1"/>
  <c r="J94" i="38"/>
  <c r="C98" i="38"/>
  <c r="G98" i="38" s="1"/>
  <c r="K101" i="38"/>
  <c r="I103" i="38"/>
  <c r="D109" i="38"/>
  <c r="G109" i="38" s="1"/>
  <c r="J110" i="38"/>
  <c r="C114" i="38"/>
  <c r="G114" i="38" s="1"/>
  <c r="K117" i="38"/>
  <c r="I119" i="38"/>
  <c r="D125" i="38"/>
  <c r="K126" i="38"/>
  <c r="D133" i="38"/>
  <c r="G133" i="38"/>
  <c r="K138" i="38"/>
  <c r="K144" i="38"/>
  <c r="D146" i="38"/>
  <c r="G146" i="38"/>
  <c r="C147" i="38"/>
  <c r="K148" i="38"/>
  <c r="D150" i="38"/>
  <c r="J150" i="38"/>
  <c r="D151" i="38"/>
  <c r="C160" i="38"/>
  <c r="G160" i="38" s="1"/>
  <c r="J163" i="38"/>
  <c r="C167" i="38"/>
  <c r="G167" i="38" s="1"/>
  <c r="I167" i="38"/>
  <c r="I168" i="38"/>
  <c r="C168" i="38"/>
  <c r="D126" i="38"/>
  <c r="G126" i="38" s="1"/>
  <c r="J127" i="38"/>
  <c r="J131" i="38"/>
  <c r="C135" i="38"/>
  <c r="G135" i="38" s="1"/>
  <c r="I135" i="38"/>
  <c r="C137" i="38"/>
  <c r="G137" i="38" s="1"/>
  <c r="D142" i="38"/>
  <c r="I144" i="38"/>
  <c r="J151" i="38"/>
  <c r="I152" i="38"/>
  <c r="C152" i="38"/>
  <c r="G152" i="38"/>
  <c r="K153" i="38"/>
  <c r="I156" i="38"/>
  <c r="J158" i="38"/>
  <c r="D159" i="38"/>
  <c r="D162" i="38"/>
  <c r="G162" i="38" s="1"/>
  <c r="I132" i="38"/>
  <c r="D138" i="38"/>
  <c r="J139" i="38"/>
  <c r="C143" i="38"/>
  <c r="K146" i="38"/>
  <c r="I148" i="38"/>
  <c r="D154" i="38"/>
  <c r="G154" i="38" s="1"/>
  <c r="J155" i="38"/>
  <c r="C159" i="38"/>
  <c r="K162" i="38"/>
  <c r="I164" i="38"/>
  <c r="C47" i="13"/>
  <c r="C47" i="20"/>
  <c r="G83"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51" i="6"/>
  <c r="G29" i="6" s="1"/>
  <c r="J99" i="13"/>
  <c r="E102" i="13" s="1"/>
  <c r="F102" i="13" s="1"/>
  <c r="G102" i="13" s="1"/>
  <c r="M107" i="13"/>
  <c r="M103" i="13"/>
  <c r="M105" i="13"/>
  <c r="M106" i="13"/>
  <c r="M104" i="13"/>
  <c r="O105" i="13"/>
  <c r="O103" i="13"/>
  <c r="O104" i="13"/>
  <c r="O107" i="13"/>
  <c r="P107" i="13" s="1"/>
  <c r="O106" i="13"/>
  <c r="O108" i="13"/>
  <c r="M109" i="13"/>
  <c r="M108" i="13"/>
  <c r="O109" i="13"/>
  <c r="G17" i="38"/>
  <c r="G45" i="38"/>
  <c r="G78" i="38"/>
  <c r="G43" i="38"/>
  <c r="G68" i="38"/>
  <c r="G19" i="38"/>
  <c r="A181" i="38"/>
  <c r="G34" i="38"/>
  <c r="G72" i="38" s="1"/>
  <c r="G195" i="38"/>
  <c r="C197" i="38"/>
  <c r="G66" i="38"/>
  <c r="E71" i="38"/>
  <c r="B15" i="2"/>
  <c r="B18" i="2" s="1"/>
  <c r="B20" i="2" s="1"/>
  <c r="B27" i="2" s="1"/>
  <c r="B29" i="2" s="1"/>
  <c r="B30" i="2" s="1"/>
  <c r="G72" i="6"/>
  <c r="G30" i="6" s="1"/>
  <c r="G31" i="6" s="1"/>
  <c r="G119" i="2" s="1"/>
  <c r="L119" i="2" s="1"/>
  <c r="B28" i="48"/>
  <c r="A28" i="48"/>
  <c r="A37" i="48" s="1"/>
  <c r="J184" i="38"/>
  <c r="D35" i="5"/>
  <c r="A184" i="38"/>
  <c r="A186" i="38" s="1"/>
  <c r="A188" i="38" s="1"/>
  <c r="A190" i="38" s="1"/>
  <c r="A192" i="38" s="1"/>
  <c r="A193" i="38" s="1"/>
  <c r="A194" i="38" s="1"/>
  <c r="A195" i="38" s="1"/>
  <c r="A196" i="38" s="1"/>
  <c r="A197" i="38" s="1"/>
  <c r="D52" i="5" s="1"/>
  <c r="G128" i="38"/>
  <c r="B23" i="7"/>
  <c r="G21" i="38"/>
  <c r="F23" i="38"/>
  <c r="G82" i="39"/>
  <c r="G168" i="38"/>
  <c r="G166" i="38"/>
  <c r="A75" i="35"/>
  <c r="A76" i="35" s="1"/>
  <c r="A77" i="35" s="1"/>
  <c r="A78" i="35" s="1"/>
  <c r="A79" i="35" s="1"/>
  <c r="A80" i="35" s="1"/>
  <c r="E106" i="2"/>
  <c r="G61" i="38"/>
  <c r="G49" i="39"/>
  <c r="G41" i="39"/>
  <c r="G132" i="38"/>
  <c r="G36" i="38"/>
  <c r="G144" i="38"/>
  <c r="F80" i="35"/>
  <c r="G108" i="2" s="1"/>
  <c r="L108" i="2" s="1"/>
  <c r="C137" i="20"/>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G97" i="39"/>
  <c r="G17" i="39"/>
  <c r="F48" i="13"/>
  <c r="G48" i="20"/>
  <c r="E184" i="2"/>
  <c r="A60" i="30"/>
  <c r="A61" i="30" s="1"/>
  <c r="A63" i="30" s="1"/>
  <c r="A65" i="30" s="1"/>
  <c r="A71" i="30" s="1"/>
  <c r="A72" i="30" s="1"/>
  <c r="A74" i="30" s="1"/>
  <c r="A75" i="30" s="1"/>
  <c r="A79" i="30" s="1"/>
  <c r="A83" i="30" s="1"/>
  <c r="A93" i="30" s="1"/>
  <c r="A100" i="30" s="1"/>
  <c r="A103" i="30" s="1"/>
  <c r="A107" i="30" s="1"/>
  <c r="A110" i="30" s="1"/>
  <c r="A113" i="30" s="1"/>
  <c r="G28" i="38"/>
  <c r="G91" i="39"/>
  <c r="O33" i="21"/>
  <c r="G209" i="2" s="1"/>
  <c r="G33" i="39"/>
  <c r="G170" i="38"/>
  <c r="G77" i="38"/>
  <c r="G99" i="38"/>
  <c r="G140" i="38"/>
  <c r="G29" i="38"/>
  <c r="G113" i="38"/>
  <c r="G120" i="38"/>
  <c r="G88" i="38"/>
  <c r="G52" i="39"/>
  <c r="G79" i="39"/>
  <c r="E146" i="2"/>
  <c r="A36" i="9"/>
  <c r="A37" i="9" s="1"/>
  <c r="A38" i="9" s="1"/>
  <c r="A39" i="9" s="1"/>
  <c r="A40" i="9" s="1"/>
  <c r="A41" i="9" s="1"/>
  <c r="A46" i="11"/>
  <c r="E181" i="2"/>
  <c r="E185" i="2"/>
  <c r="G32" i="38"/>
  <c r="D34" i="5"/>
  <c r="E249" i="2"/>
  <c r="E248" i="2"/>
  <c r="G139" i="38"/>
  <c r="G184" i="38" s="1"/>
  <c r="C184" i="38"/>
  <c r="G125" i="38"/>
  <c r="G47" i="38"/>
  <c r="G129" i="38"/>
  <c r="G44" i="39"/>
  <c r="G101" i="39"/>
  <c r="D103" i="41"/>
  <c r="D105" i="41" s="1"/>
  <c r="E27" i="30"/>
  <c r="E20" i="11" s="1"/>
  <c r="G20" i="11" s="1"/>
  <c r="E65" i="30"/>
  <c r="E26" i="11" s="1"/>
  <c r="I26" i="11" s="1"/>
  <c r="I45" i="30"/>
  <c r="E79" i="30"/>
  <c r="E33" i="11" s="1"/>
  <c r="K33" i="11" s="1"/>
  <c r="E83" i="30"/>
  <c r="E34" i="11" s="1"/>
  <c r="K34" i="11" s="1"/>
  <c r="E71" i="30"/>
  <c r="E29" i="11" s="1"/>
  <c r="M29" i="11" s="1"/>
  <c r="E107" i="30"/>
  <c r="E38" i="11" s="1"/>
  <c r="M38" i="11" s="1"/>
  <c r="E15" i="30"/>
  <c r="E17" i="11" s="1"/>
  <c r="M17" i="11" s="1"/>
  <c r="E61" i="30"/>
  <c r="E24" i="11" s="1"/>
  <c r="I24" i="11" s="1"/>
  <c r="E110" i="30"/>
  <c r="E39" i="11" s="1"/>
  <c r="M39" i="11" s="1"/>
  <c r="E93" i="30"/>
  <c r="E35" i="11" s="1"/>
  <c r="K35" i="11" s="1"/>
  <c r="E63" i="30"/>
  <c r="E25" i="11" s="1"/>
  <c r="I25" i="11" s="1"/>
  <c r="E100" i="30"/>
  <c r="E36" i="11" s="1"/>
  <c r="K36" i="11" s="1"/>
  <c r="E103" i="30"/>
  <c r="E37" i="11" s="1"/>
  <c r="M37" i="11" s="1"/>
  <c r="E75" i="30"/>
  <c r="E32" i="11" s="1"/>
  <c r="M32" i="11" s="1"/>
  <c r="I51" i="30"/>
  <c r="I50" i="30" s="1"/>
  <c r="E50" i="30"/>
  <c r="E21" i="11" s="1"/>
  <c r="G21" i="11" s="1"/>
  <c r="A18" i="5" l="1"/>
  <c r="A19" i="5" s="1"/>
  <c r="A20" i="5" s="1"/>
  <c r="A23" i="5" s="1"/>
  <c r="A25" i="5" s="1"/>
  <c r="D20" i="5"/>
  <c r="D71" i="38"/>
  <c r="G67" i="38"/>
  <c r="F71" i="38"/>
  <c r="G169" i="38"/>
  <c r="E177" i="38"/>
  <c r="E183" i="38" s="1"/>
  <c r="G173" i="38"/>
  <c r="F177" i="38"/>
  <c r="F183" i="38" s="1"/>
  <c r="D197" i="38"/>
  <c r="G194" i="38"/>
  <c r="G197" i="38" s="1"/>
  <c r="E95" i="41"/>
  <c r="C104" i="41"/>
  <c r="E74" i="2"/>
  <c r="G53" i="38"/>
  <c r="G71" i="38" s="1"/>
  <c r="I197" i="38"/>
  <c r="F109" i="39"/>
  <c r="E109" i="39"/>
  <c r="G100" i="39"/>
  <c r="C89" i="41"/>
  <c r="E89" i="41" s="1"/>
  <c r="E88" i="41"/>
  <c r="C103" i="41"/>
  <c r="C105" i="41" s="1"/>
  <c r="A29" i="35"/>
  <c r="A30" i="35" s="1"/>
  <c r="A31" i="35" s="1"/>
  <c r="A32" i="35" s="1"/>
  <c r="A33" i="35" s="1"/>
  <c r="A34" i="35" s="1"/>
  <c r="A35" i="35" s="1"/>
  <c r="A36" i="35" s="1"/>
  <c r="A37" i="35" s="1"/>
  <c r="A38" i="35" s="1"/>
  <c r="A39" i="35" s="1"/>
  <c r="A40" i="35" s="1"/>
  <c r="A41" i="35" s="1"/>
  <c r="A42" i="35" s="1"/>
  <c r="E85" i="2" s="1"/>
  <c r="E70" i="2"/>
  <c r="E66" i="2"/>
  <c r="E71" i="2"/>
  <c r="E72" i="2"/>
  <c r="E67" i="2"/>
  <c r="E69" i="2"/>
  <c r="C110" i="39"/>
  <c r="G77" i="39"/>
  <c r="E22" i="13"/>
  <c r="E22" i="20"/>
  <c r="E20" i="2"/>
  <c r="G74" i="39"/>
  <c r="D101" i="41"/>
  <c r="E101" i="41" s="1"/>
  <c r="E104" i="41" s="1"/>
  <c r="E100" i="41"/>
  <c r="E250" i="2"/>
  <c r="A29" i="41"/>
  <c r="A30" i="41" s="1"/>
  <c r="A31" i="41" s="1"/>
  <c r="A32" i="41" s="1"/>
  <c r="A33" i="41" s="1"/>
  <c r="A34" i="41" s="1"/>
  <c r="A35" i="41" s="1"/>
  <c r="A36" i="41" s="1"/>
  <c r="A37" i="41" s="1"/>
  <c r="A38" i="41" s="1"/>
  <c r="A39" i="41" s="1"/>
  <c r="A40" i="41" s="1"/>
  <c r="A41" i="41" s="1"/>
  <c r="A42" i="41" s="1"/>
  <c r="A48" i="41" s="1"/>
  <c r="A49" i="41" s="1"/>
  <c r="E251" i="2"/>
  <c r="I44" i="30"/>
  <c r="G158" i="38"/>
  <c r="G155" i="38"/>
  <c r="G54" i="38"/>
  <c r="D72" i="38"/>
  <c r="G102" i="38"/>
  <c r="G94" i="39"/>
  <c r="J177" i="38"/>
  <c r="J183" i="38" s="1"/>
  <c r="J71" i="38"/>
  <c r="K71" i="38"/>
  <c r="I109" i="39"/>
  <c r="G156" i="38"/>
  <c r="G181" i="38"/>
  <c r="G25" i="39"/>
  <c r="G38" i="39"/>
  <c r="G73" i="39"/>
  <c r="E94" i="41"/>
  <c r="I184" i="38"/>
  <c r="G88" i="39"/>
  <c r="G76" i="39"/>
  <c r="G20" i="38"/>
  <c r="G23" i="38" s="1"/>
  <c r="G80" i="38"/>
  <c r="G94" i="38"/>
  <c r="G148" i="38"/>
  <c r="G63" i="39"/>
  <c r="G65" i="39"/>
  <c r="G107" i="39"/>
  <c r="F33" i="10"/>
  <c r="F340" i="2" s="1"/>
  <c r="G189" i="2" s="1"/>
  <c r="G193" i="2" s="1"/>
  <c r="G199" i="2" s="1"/>
  <c r="P104" i="13"/>
  <c r="P135" i="13"/>
  <c r="P133" i="13"/>
  <c r="P131" i="13"/>
  <c r="P129" i="13"/>
  <c r="P127" i="13"/>
  <c r="P121" i="13"/>
  <c r="I27" i="8"/>
  <c r="I31" i="8" s="1"/>
  <c r="P111" i="13"/>
  <c r="J43" i="48"/>
  <c r="H234" i="2"/>
  <c r="L236" i="2"/>
  <c r="P128" i="13"/>
  <c r="P118" i="13"/>
  <c r="P116" i="13"/>
  <c r="P114" i="13"/>
  <c r="G11" i="41"/>
  <c r="G15" i="41"/>
  <c r="G19" i="41"/>
  <c r="P153" i="13"/>
  <c r="P106" i="13"/>
  <c r="L237" i="2"/>
  <c r="P103" i="13"/>
  <c r="H10" i="47"/>
  <c r="D21" i="47" s="1"/>
  <c r="D22" i="47" s="1"/>
  <c r="H22" i="47" s="1"/>
  <c r="K22" i="47" s="1"/>
  <c r="I17" i="6"/>
  <c r="G114" i="2" s="1"/>
  <c r="F23" i="41"/>
  <c r="L251" i="2" s="1"/>
  <c r="G16" i="41"/>
  <c r="G24" i="48"/>
  <c r="D103" i="13"/>
  <c r="E103" i="13" s="1"/>
  <c r="F15" i="49"/>
  <c r="F21" i="49" s="1"/>
  <c r="F22" i="49" s="1"/>
  <c r="F23" i="49" s="1"/>
  <c r="F24" i="49" s="1"/>
  <c r="F85" i="35"/>
  <c r="F88" i="35" s="1"/>
  <c r="G110" i="2" s="1"/>
  <c r="F15" i="50"/>
  <c r="F21" i="50" s="1"/>
  <c r="F22" i="50" s="1"/>
  <c r="F23" i="50" s="1"/>
  <c r="G10" i="41"/>
  <c r="G14" i="41"/>
  <c r="G18" i="41"/>
  <c r="G22" i="41"/>
  <c r="G153" i="2"/>
  <c r="I51" i="6"/>
  <c r="I29" i="6" s="1"/>
  <c r="P119" i="13"/>
  <c r="I50" i="5"/>
  <c r="P108" i="13"/>
  <c r="P105" i="13"/>
  <c r="P148" i="13"/>
  <c r="P138" i="13"/>
  <c r="P136" i="13"/>
  <c r="P112" i="13"/>
  <c r="G23" i="48"/>
  <c r="G145" i="2"/>
  <c r="G51" i="5"/>
  <c r="C74" i="41"/>
  <c r="E50" i="41" s="1"/>
  <c r="G25" i="48"/>
  <c r="H43" i="48"/>
  <c r="P113" i="13"/>
  <c r="E51" i="5"/>
  <c r="S22" i="21"/>
  <c r="P161" i="13"/>
  <c r="P155" i="13"/>
  <c r="P151" i="13"/>
  <c r="P147" i="13"/>
  <c r="P145" i="13"/>
  <c r="P143" i="13"/>
  <c r="P137" i="13"/>
  <c r="E40" i="9"/>
  <c r="F41" i="9"/>
  <c r="G161" i="2" s="1"/>
  <c r="D61" i="9"/>
  <c r="G157" i="2" s="1"/>
  <c r="P158" i="13"/>
  <c r="P156" i="13"/>
  <c r="P154" i="13"/>
  <c r="P152" i="13"/>
  <c r="P150" i="13"/>
  <c r="P144" i="13"/>
  <c r="P140" i="13"/>
  <c r="H235" i="2"/>
  <c r="I19" i="6"/>
  <c r="G115" i="2" s="1"/>
  <c r="C21" i="7"/>
  <c r="C23" i="7" s="1"/>
  <c r="G123" i="2" s="1"/>
  <c r="L123" i="2" s="1"/>
  <c r="K45" i="48"/>
  <c r="P149" i="13"/>
  <c r="P132" i="13"/>
  <c r="P130" i="13"/>
  <c r="P126" i="13"/>
  <c r="P124" i="13"/>
  <c r="P122" i="13"/>
  <c r="P120" i="13"/>
  <c r="P125" i="13"/>
  <c r="E61" i="9"/>
  <c r="F36" i="47"/>
  <c r="F39" i="47"/>
  <c r="F40" i="47" s="1"/>
  <c r="F41" i="47" s="1"/>
  <c r="F42" i="47" s="1"/>
  <c r="E44" i="30"/>
  <c r="J72" i="6"/>
  <c r="J30" i="6" s="1"/>
  <c r="F42" i="41"/>
  <c r="C23" i="41"/>
  <c r="L248" i="2" s="1"/>
  <c r="D51" i="6"/>
  <c r="D29" i="6" s="1"/>
  <c r="P159" i="13"/>
  <c r="P141" i="13"/>
  <c r="G22" i="48"/>
  <c r="F47" i="48"/>
  <c r="D47" i="48"/>
  <c r="C28" i="48"/>
  <c r="D22" i="48" s="1"/>
  <c r="E22" i="48" s="1"/>
  <c r="H22" i="48" s="1"/>
  <c r="I49" i="5"/>
  <c r="P109" i="13"/>
  <c r="P117" i="13"/>
  <c r="P115" i="13"/>
  <c r="G12" i="41"/>
  <c r="E65" i="41"/>
  <c r="M52" i="11"/>
  <c r="J47" i="48"/>
  <c r="P160" i="13"/>
  <c r="G20" i="41"/>
  <c r="E20" i="48"/>
  <c r="E23" i="35"/>
  <c r="G68" i="2" s="1"/>
  <c r="L226" i="2" s="1"/>
  <c r="E42" i="35"/>
  <c r="G80" i="2" s="1"/>
  <c r="A26" i="5"/>
  <c r="A27" i="5" s="1"/>
  <c r="A28" i="5" s="1"/>
  <c r="A31" i="5" s="1"/>
  <c r="A33" i="5" s="1"/>
  <c r="D28" i="5"/>
  <c r="E108" i="2"/>
  <c r="A84" i="35"/>
  <c r="G42" i="35"/>
  <c r="G82" i="2" s="1"/>
  <c r="L82" i="2" s="1"/>
  <c r="I42" i="35"/>
  <c r="G84" i="2" s="1"/>
  <c r="E31" i="2"/>
  <c r="D33" i="2"/>
  <c r="B31" i="2"/>
  <c r="B33" i="2" s="1"/>
  <c r="B34" i="2" s="1"/>
  <c r="G23" i="35"/>
  <c r="G70" i="2" s="1"/>
  <c r="L70" i="2" s="1"/>
  <c r="A44" i="9"/>
  <c r="A45" i="9" s="1"/>
  <c r="A46" i="9" s="1"/>
  <c r="A47" i="9" s="1"/>
  <c r="A48" i="9" s="1"/>
  <c r="A49" i="9" s="1"/>
  <c r="A50" i="9" s="1"/>
  <c r="A51" i="9" s="1"/>
  <c r="A52" i="9" s="1"/>
  <c r="A53" i="9" s="1"/>
  <c r="A54" i="9" s="1"/>
  <c r="A55" i="9" s="1"/>
  <c r="A56" i="9" s="1"/>
  <c r="A57" i="9" s="1"/>
  <c r="A58" i="9" s="1"/>
  <c r="A59" i="9" s="1"/>
  <c r="A61" i="9" s="1"/>
  <c r="E161" i="2"/>
  <c r="I41" i="11"/>
  <c r="G181" i="2" s="1"/>
  <c r="E33" i="30"/>
  <c r="I34" i="30"/>
  <c r="I33" i="30" s="1"/>
  <c r="M41" i="11"/>
  <c r="G184" i="2" s="1"/>
  <c r="L184" i="2" s="1"/>
  <c r="I23" i="35"/>
  <c r="G72" i="2" s="1"/>
  <c r="K23" i="35"/>
  <c r="G74" i="2" s="1"/>
  <c r="K42" i="35"/>
  <c r="G86" i="2" s="1"/>
  <c r="C62" i="35"/>
  <c r="L228" i="2" s="1"/>
  <c r="E84" i="2"/>
  <c r="E79" i="2"/>
  <c r="E81" i="2"/>
  <c r="N91" i="13"/>
  <c r="D177" i="38"/>
  <c r="D183" i="38" s="1"/>
  <c r="M91" i="13"/>
  <c r="C177" i="38"/>
  <c r="C183" i="38" s="1"/>
  <c r="N90" i="13"/>
  <c r="G84" i="39"/>
  <c r="C109" i="39"/>
  <c r="K109" i="39"/>
  <c r="K41" i="11"/>
  <c r="G185" i="2" s="1"/>
  <c r="A39" i="48"/>
  <c r="A41" i="48" s="1"/>
  <c r="G159" i="38"/>
  <c r="K177" i="38"/>
  <c r="K183" i="38" s="1"/>
  <c r="G91" i="38"/>
  <c r="G177" i="38" s="1"/>
  <c r="G183" i="38" s="1"/>
  <c r="I177" i="38"/>
  <c r="I183" i="38" s="1"/>
  <c r="G26" i="39"/>
  <c r="D109" i="39"/>
  <c r="C71" i="38"/>
  <c r="A48" i="11"/>
  <c r="A49" i="11" s="1"/>
  <c r="A3" i="7"/>
  <c r="A3" i="8"/>
  <c r="G59" i="39"/>
  <c r="G32" i="39"/>
  <c r="G143" i="38"/>
  <c r="G83" i="39"/>
  <c r="I71" i="38"/>
  <c r="G67" i="39"/>
  <c r="J109" i="39"/>
  <c r="P157" i="13"/>
  <c r="D104" i="41"/>
  <c r="G84" i="38"/>
  <c r="G36" i="39"/>
  <c r="G78" i="39"/>
  <c r="G110" i="39" s="1"/>
  <c r="P142" i="13"/>
  <c r="P102" i="13"/>
  <c r="S17" i="21"/>
  <c r="P123" i="13"/>
  <c r="P110" i="13"/>
  <c r="G95" i="38"/>
  <c r="G71" i="39"/>
  <c r="G89" i="39"/>
  <c r="D33" i="9"/>
  <c r="G146" i="2" s="1"/>
  <c r="P146" i="13"/>
  <c r="P134" i="13"/>
  <c r="G27" i="48"/>
  <c r="S27" i="21"/>
  <c r="G21" i="41"/>
  <c r="H42" i="41"/>
  <c r="G255" i="2" s="1"/>
  <c r="G17" i="41"/>
  <c r="E64" i="41"/>
  <c r="I47" i="48"/>
  <c r="E41" i="11"/>
  <c r="G41" i="11"/>
  <c r="G183" i="2" s="1"/>
  <c r="F113" i="30"/>
  <c r="H42" i="35"/>
  <c r="G83" i="2" s="1"/>
  <c r="L83" i="2" s="1"/>
  <c r="E36" i="9"/>
  <c r="D41" i="9"/>
  <c r="G156" i="2" s="1"/>
  <c r="L234" i="2"/>
  <c r="F239" i="2"/>
  <c r="D74" i="41"/>
  <c r="H47" i="48"/>
  <c r="I54" i="50"/>
  <c r="D21" i="50"/>
  <c r="D22" i="50" s="1"/>
  <c r="D23" i="50" s="1"/>
  <c r="D24" i="50" s="1"/>
  <c r="D25" i="50" s="1"/>
  <c r="D26" i="50" s="1"/>
  <c r="D27" i="50" s="1"/>
  <c r="D28" i="50" s="1"/>
  <c r="D29" i="50" s="1"/>
  <c r="D30" i="50" s="1"/>
  <c r="D31" i="50" s="1"/>
  <c r="D32" i="50" s="1"/>
  <c r="C23" i="35"/>
  <c r="G66" i="2" s="1"/>
  <c r="D23" i="35"/>
  <c r="G67" i="2" s="1"/>
  <c r="L67" i="2" s="1"/>
  <c r="P139" i="13"/>
  <c r="D43" i="48"/>
  <c r="K37" i="48"/>
  <c r="I43" i="48"/>
  <c r="G43" i="48"/>
  <c r="K41" i="48"/>
  <c r="G47" i="48"/>
  <c r="H23" i="35"/>
  <c r="G71" i="2" s="1"/>
  <c r="L71" i="2" s="1"/>
  <c r="L172" i="2"/>
  <c r="G177" i="2"/>
  <c r="J19" i="8"/>
  <c r="J27" i="8" s="1"/>
  <c r="J31" i="8" s="1"/>
  <c r="K27" i="8"/>
  <c r="K31" i="8" s="1"/>
  <c r="G15" i="2" s="1"/>
  <c r="L15" i="2" s="1"/>
  <c r="L238" i="2"/>
  <c r="H238" i="2"/>
  <c r="G239" i="2"/>
  <c r="F43" i="48"/>
  <c r="C42" i="35"/>
  <c r="G78" i="2" s="1"/>
  <c r="D42" i="35"/>
  <c r="G79" i="2" s="1"/>
  <c r="L79" i="2" s="1"/>
  <c r="D62" i="35"/>
  <c r="G26" i="48"/>
  <c r="D72" i="6"/>
  <c r="D30" i="6" s="1"/>
  <c r="I22" i="48" l="1"/>
  <c r="G201" i="2"/>
  <c r="G200" i="2"/>
  <c r="L201" i="2"/>
  <c r="F39" i="20" s="1"/>
  <c r="L200" i="2"/>
  <c r="E38" i="13" s="1"/>
  <c r="G109" i="39"/>
  <c r="E80" i="2"/>
  <c r="E86" i="2"/>
  <c r="E83" i="2"/>
  <c r="E78" i="2"/>
  <c r="A49" i="35"/>
  <c r="A50" i="35" s="1"/>
  <c r="A51" i="35" s="1"/>
  <c r="A52" i="35" s="1"/>
  <c r="A53" i="35" s="1"/>
  <c r="A54" i="35" s="1"/>
  <c r="A55" i="35" s="1"/>
  <c r="A56" i="35" s="1"/>
  <c r="A57" i="35" s="1"/>
  <c r="A58" i="35" s="1"/>
  <c r="A59" i="35" s="1"/>
  <c r="A60" i="35" s="1"/>
  <c r="A61" i="35" s="1"/>
  <c r="A62" i="35" s="1"/>
  <c r="E103" i="41"/>
  <c r="E82" i="2"/>
  <c r="L252" i="2"/>
  <c r="G257" i="2" s="1"/>
  <c r="G258" i="2" s="1"/>
  <c r="H255" i="2" s="1"/>
  <c r="I54" i="47"/>
  <c r="E41" i="9"/>
  <c r="F103" i="13"/>
  <c r="D104" i="13" s="1"/>
  <c r="E104" i="13" s="1"/>
  <c r="D64" i="35"/>
  <c r="L80" i="2" s="1"/>
  <c r="J80" i="2" s="1"/>
  <c r="J81" i="2" s="1"/>
  <c r="L81" i="2" s="1"/>
  <c r="H21" i="50"/>
  <c r="K21" i="50" s="1"/>
  <c r="D23" i="48"/>
  <c r="E23" i="48" s="1"/>
  <c r="H23" i="48" s="1"/>
  <c r="I23" i="48" s="1"/>
  <c r="I51" i="5"/>
  <c r="G103" i="2" s="1"/>
  <c r="E76" i="41"/>
  <c r="G93" i="2"/>
  <c r="K46" i="11" s="1"/>
  <c r="K49" i="11" s="1"/>
  <c r="K51" i="11" s="1"/>
  <c r="K53" i="11" s="1"/>
  <c r="K55" i="11" s="1"/>
  <c r="K56" i="11" s="1"/>
  <c r="H239" i="2"/>
  <c r="G91" i="2"/>
  <c r="G46" i="11" s="1"/>
  <c r="G49" i="11" s="1"/>
  <c r="G51" i="11" s="1"/>
  <c r="G53" i="11" s="1"/>
  <c r="D31" i="6"/>
  <c r="D27" i="48"/>
  <c r="E27" i="48" s="1"/>
  <c r="G164" i="2" s="1"/>
  <c r="E25" i="30"/>
  <c r="E113" i="30" s="1"/>
  <c r="D25" i="48"/>
  <c r="E25" i="48" s="1"/>
  <c r="H25" i="48" s="1"/>
  <c r="I25" i="48" s="1"/>
  <c r="D26" i="48"/>
  <c r="E26" i="48" s="1"/>
  <c r="H26" i="48" s="1"/>
  <c r="I26" i="48" s="1"/>
  <c r="D24" i="48"/>
  <c r="E24" i="48" s="1"/>
  <c r="H24" i="48" s="1"/>
  <c r="I24" i="48" s="1"/>
  <c r="S33" i="21"/>
  <c r="L209" i="2" s="1"/>
  <c r="K47" i="48"/>
  <c r="E154" i="2"/>
  <c r="A43" i="48"/>
  <c r="G186" i="2"/>
  <c r="B43" i="48"/>
  <c r="A34" i="5"/>
  <c r="A35" i="5" s="1"/>
  <c r="A36" i="5" s="1"/>
  <c r="A39" i="5" s="1"/>
  <c r="A41" i="5" s="1"/>
  <c r="H21" i="47"/>
  <c r="K21" i="47" s="1"/>
  <c r="E39" i="13"/>
  <c r="D23" i="47"/>
  <c r="D24" i="47" s="1"/>
  <c r="C49" i="11"/>
  <c r="E153" i="2"/>
  <c r="D228" i="2"/>
  <c r="D227" i="2"/>
  <c r="G94" i="2"/>
  <c r="O90" i="13"/>
  <c r="O21" i="13"/>
  <c r="P21" i="13" s="1"/>
  <c r="G23" i="41"/>
  <c r="M92" i="13"/>
  <c r="N22" i="13"/>
  <c r="N23" i="13" s="1"/>
  <c r="L44" i="2"/>
  <c r="G149" i="2"/>
  <c r="G113" i="2" s="1"/>
  <c r="A50" i="11"/>
  <c r="A51" i="11" s="1"/>
  <c r="N92" i="13"/>
  <c r="O91" i="13"/>
  <c r="O22" i="13"/>
  <c r="A50" i="41"/>
  <c r="A51" i="41" s="1"/>
  <c r="A52" i="41" s="1"/>
  <c r="A53" i="41" s="1"/>
  <c r="A54" i="41" s="1"/>
  <c r="A55" i="41" s="1"/>
  <c r="A56" i="41" s="1"/>
  <c r="E162" i="2"/>
  <c r="A64" i="9"/>
  <c r="A65" i="9" s="1"/>
  <c r="A66" i="9" s="1"/>
  <c r="A67" i="9" s="1"/>
  <c r="A68" i="9" s="1"/>
  <c r="A70" i="9" s="1"/>
  <c r="E163" i="2" s="1"/>
  <c r="D36" i="2"/>
  <c r="B36" i="2"/>
  <c r="B37" i="2" s="1"/>
  <c r="C70" i="20"/>
  <c r="C70" i="13"/>
  <c r="L229" i="2"/>
  <c r="L68" i="2" s="1"/>
  <c r="J76" i="2" s="1"/>
  <c r="F25" i="49"/>
  <c r="L92" i="2"/>
  <c r="G28" i="48"/>
  <c r="L78" i="2"/>
  <c r="G87" i="2"/>
  <c r="H23" i="50"/>
  <c r="K23" i="50" s="1"/>
  <c r="F24" i="50"/>
  <c r="I72" i="6"/>
  <c r="I30" i="6" s="1"/>
  <c r="I31" i="6" s="1"/>
  <c r="G118" i="2" s="1"/>
  <c r="H22" i="50"/>
  <c r="K22" i="50" s="1"/>
  <c r="K43" i="48"/>
  <c r="G92" i="2"/>
  <c r="I46" i="11" s="1"/>
  <c r="I49" i="11" s="1"/>
  <c r="I51" i="11" s="1"/>
  <c r="I53" i="11" s="1"/>
  <c r="J51" i="6"/>
  <c r="J29" i="6" s="1"/>
  <c r="J31" i="6" s="1"/>
  <c r="G117" i="2" s="1"/>
  <c r="L66" i="2"/>
  <c r="G75" i="2"/>
  <c r="G90" i="2"/>
  <c r="F43" i="47"/>
  <c r="L48" i="2" l="1"/>
  <c r="F38" i="20"/>
  <c r="D36" i="5"/>
  <c r="L246" i="2"/>
  <c r="E105" i="41"/>
  <c r="B56" i="41"/>
  <c r="C51" i="11"/>
  <c r="H257" i="2"/>
  <c r="L257" i="2" s="1"/>
  <c r="E77" i="41"/>
  <c r="E79" i="41" s="1"/>
  <c r="E80" i="41" s="1"/>
  <c r="H256" i="2"/>
  <c r="L256" i="2" s="1"/>
  <c r="G103" i="13"/>
  <c r="J174" i="2"/>
  <c r="L174" i="2" s="1"/>
  <c r="F59" i="13" s="1"/>
  <c r="H27" i="48"/>
  <c r="I27" i="48" s="1"/>
  <c r="I28" i="48" s="1"/>
  <c r="H23" i="47"/>
  <c r="K23" i="47" s="1"/>
  <c r="L231" i="2"/>
  <c r="J161" i="2" s="1"/>
  <c r="L161" i="2" s="1"/>
  <c r="O23" i="13"/>
  <c r="P22" i="13"/>
  <c r="P23" i="13" s="1"/>
  <c r="A52" i="11"/>
  <c r="A53" i="11" s="1"/>
  <c r="A45" i="48"/>
  <c r="B47" i="48"/>
  <c r="H75" i="13"/>
  <c r="G75" i="20"/>
  <c r="B39" i="2"/>
  <c r="B42" i="2" s="1"/>
  <c r="B44" i="2" s="1"/>
  <c r="B24" i="2"/>
  <c r="A58" i="41"/>
  <c r="E245" i="2"/>
  <c r="B58" i="41"/>
  <c r="O92" i="13"/>
  <c r="A42" i="5"/>
  <c r="A43" i="5" s="1"/>
  <c r="A44" i="5" s="1"/>
  <c r="A47" i="5" s="1"/>
  <c r="A49" i="5" s="1"/>
  <c r="F26" i="49"/>
  <c r="G95" i="2"/>
  <c r="E46" i="11"/>
  <c r="F44" i="47"/>
  <c r="D21" i="20"/>
  <c r="D21" i="13"/>
  <c r="K51" i="6"/>
  <c r="K29" i="6" s="1"/>
  <c r="E51" i="6"/>
  <c r="E29" i="6" s="1"/>
  <c r="D25" i="47"/>
  <c r="H24" i="47"/>
  <c r="L90" i="2"/>
  <c r="F104" i="13"/>
  <c r="E72" i="6"/>
  <c r="E30" i="6" s="1"/>
  <c r="K72" i="6"/>
  <c r="K30" i="6" s="1"/>
  <c r="F25" i="50"/>
  <c r="H24" i="50"/>
  <c r="K24" i="50" s="1"/>
  <c r="E51" i="41" l="1"/>
  <c r="E56" i="41" s="1"/>
  <c r="C53" i="11"/>
  <c r="D23" i="13"/>
  <c r="F23" i="13" s="1"/>
  <c r="I257" i="2"/>
  <c r="G76" i="20"/>
  <c r="G77" i="20" s="1"/>
  <c r="G78" i="20" s="1"/>
  <c r="G79" i="20" s="1"/>
  <c r="D96" i="20" s="1"/>
  <c r="I97" i="20" s="1"/>
  <c r="E100" i="20" s="1"/>
  <c r="F100" i="20" s="1"/>
  <c r="D101" i="20" s="1"/>
  <c r="D22" i="13"/>
  <c r="F22" i="13" s="1"/>
  <c r="D23" i="20"/>
  <c r="F23" i="20" s="1"/>
  <c r="D22" i="20"/>
  <c r="F22" i="20" s="1"/>
  <c r="I256" i="2"/>
  <c r="I255" i="2" s="1"/>
  <c r="H76" i="13"/>
  <c r="H77" i="13" s="1"/>
  <c r="H78" i="13" s="1"/>
  <c r="H79" i="13" s="1"/>
  <c r="D98" i="13" s="1"/>
  <c r="H28" i="48"/>
  <c r="G59" i="20"/>
  <c r="J235" i="2"/>
  <c r="L235" i="2" s="1"/>
  <c r="J149" i="2"/>
  <c r="L149" i="2" s="1"/>
  <c r="L113" i="2" s="1"/>
  <c r="J69" i="2"/>
  <c r="L69" i="2" s="1"/>
  <c r="L91" i="2" s="1"/>
  <c r="F64" i="13" s="1"/>
  <c r="J114" i="2"/>
  <c r="L114" i="2" s="1"/>
  <c r="J162" i="2"/>
  <c r="L162" i="2" s="1"/>
  <c r="K31" i="6"/>
  <c r="B45" i="2"/>
  <c r="E31" i="6"/>
  <c r="G120" i="2" s="1"/>
  <c r="L120" i="2" s="1"/>
  <c r="D44" i="5"/>
  <c r="A61" i="41"/>
  <c r="D255" i="2"/>
  <c r="E155" i="2"/>
  <c r="A47" i="48"/>
  <c r="C21" i="48" s="1"/>
  <c r="A50" i="5"/>
  <c r="A51" i="5" s="1"/>
  <c r="A52" i="5" s="1"/>
  <c r="C54" i="11"/>
  <c r="A54" i="11"/>
  <c r="H25" i="50"/>
  <c r="K25" i="50" s="1"/>
  <c r="F26" i="50"/>
  <c r="F45" i="47"/>
  <c r="D26" i="47"/>
  <c r="H25" i="47"/>
  <c r="K25" i="47" s="1"/>
  <c r="D105" i="13"/>
  <c r="G104" i="13"/>
  <c r="F27" i="49"/>
  <c r="K24" i="47"/>
  <c r="E49" i="11"/>
  <c r="M46" i="11"/>
  <c r="L239" i="2" l="1"/>
  <c r="L241" i="2" s="1"/>
  <c r="J73" i="2" s="1"/>
  <c r="L73" i="2" s="1"/>
  <c r="L245" i="2"/>
  <c r="E58" i="41"/>
  <c r="J255" i="2" s="1"/>
  <c r="E21" i="20" s="1"/>
  <c r="F21" i="20" s="1"/>
  <c r="F24" i="20" s="1"/>
  <c r="F29" i="20" s="1"/>
  <c r="J115" i="2"/>
  <c r="L115" i="2" s="1"/>
  <c r="J85" i="2"/>
  <c r="L85" i="2" s="1"/>
  <c r="J117" i="2"/>
  <c r="L117" i="2" s="1"/>
  <c r="J159" i="2"/>
  <c r="J176" i="2"/>
  <c r="L176" i="2" s="1"/>
  <c r="J86" i="2"/>
  <c r="L86" i="2" s="1"/>
  <c r="J181" i="2"/>
  <c r="L181" i="2" s="1"/>
  <c r="J164" i="2"/>
  <c r="L164" i="2" s="1"/>
  <c r="J110" i="2"/>
  <c r="L110" i="2" s="1"/>
  <c r="J74" i="2"/>
  <c r="L74" i="2" s="1"/>
  <c r="J84" i="2"/>
  <c r="L84" i="2" s="1"/>
  <c r="G64" i="20"/>
  <c r="E101" i="20"/>
  <c r="F101" i="20" s="1"/>
  <c r="D102" i="20" s="1"/>
  <c r="E102" i="20" s="1"/>
  <c r="F102" i="20" s="1"/>
  <c r="D103" i="20" s="1"/>
  <c r="C55" i="11"/>
  <c r="A55" i="11"/>
  <c r="A64" i="41"/>
  <c r="D63" i="41"/>
  <c r="B46" i="2"/>
  <c r="B48" i="2" s="1"/>
  <c r="B66" i="2" s="1"/>
  <c r="G121" i="2"/>
  <c r="D51" i="5"/>
  <c r="F46" i="47"/>
  <c r="F28" i="49"/>
  <c r="E105" i="13"/>
  <c r="H26" i="50"/>
  <c r="F27" i="50"/>
  <c r="M49" i="11"/>
  <c r="E51" i="11"/>
  <c r="H26" i="47"/>
  <c r="D27" i="47"/>
  <c r="J72" i="2" l="1"/>
  <c r="L72" i="2" s="1"/>
  <c r="J175" i="2"/>
  <c r="L175" i="2" s="1"/>
  <c r="E21" i="13"/>
  <c r="F21" i="13" s="1"/>
  <c r="F24" i="13" s="1"/>
  <c r="E29" i="13" s="1"/>
  <c r="L255" i="2"/>
  <c r="L94" i="2"/>
  <c r="L87" i="2"/>
  <c r="L75" i="2"/>
  <c r="J75" i="2" s="1"/>
  <c r="L93" i="2"/>
  <c r="B67" i="2"/>
  <c r="B68" i="2" s="1"/>
  <c r="D303" i="2"/>
  <c r="A65" i="41"/>
  <c r="A66" i="41" s="1"/>
  <c r="A67" i="41" s="1"/>
  <c r="A68" i="41" s="1"/>
  <c r="A69" i="41" s="1"/>
  <c r="A70" i="41" s="1"/>
  <c r="A71" i="41" s="1"/>
  <c r="A72" i="41" s="1"/>
  <c r="A73" i="41" s="1"/>
  <c r="A74" i="41" s="1"/>
  <c r="B76" i="41"/>
  <c r="A56" i="11"/>
  <c r="C56" i="11"/>
  <c r="E48" i="2"/>
  <c r="K26" i="50"/>
  <c r="M51" i="11"/>
  <c r="E53" i="11"/>
  <c r="K26" i="47"/>
  <c r="E103" i="20"/>
  <c r="F103" i="20" s="1"/>
  <c r="D104" i="20" s="1"/>
  <c r="F105" i="13"/>
  <c r="F29" i="49"/>
  <c r="D28" i="47"/>
  <c r="H27" i="47"/>
  <c r="K27" i="47" s="1"/>
  <c r="H27" i="50"/>
  <c r="K27" i="50" s="1"/>
  <c r="F28" i="50"/>
  <c r="F47" i="47"/>
  <c r="L258" i="2" l="1"/>
  <c r="G190" i="2" s="1"/>
  <c r="L177" i="2"/>
  <c r="L95" i="2"/>
  <c r="J95" i="2" s="1"/>
  <c r="J199" i="2"/>
  <c r="L199" i="2" s="1"/>
  <c r="J185" i="2"/>
  <c r="L185" i="2" s="1"/>
  <c r="J160" i="2"/>
  <c r="L160" i="2" s="1"/>
  <c r="J118" i="2"/>
  <c r="L118" i="2" s="1"/>
  <c r="J116" i="2"/>
  <c r="L116" i="2" s="1"/>
  <c r="C57" i="11"/>
  <c r="A57" i="11"/>
  <c r="A76" i="41"/>
  <c r="B50" i="41"/>
  <c r="C75" i="20"/>
  <c r="B69" i="2"/>
  <c r="B70" i="2" s="1"/>
  <c r="E226" i="2"/>
  <c r="C75" i="13"/>
  <c r="E104" i="20"/>
  <c r="F104" i="20" s="1"/>
  <c r="D105" i="20" s="1"/>
  <c r="F48" i="47"/>
  <c r="D29" i="47"/>
  <c r="H28" i="47"/>
  <c r="F29" i="50"/>
  <c r="H28" i="50"/>
  <c r="K28" i="50" s="1"/>
  <c r="E54" i="11"/>
  <c r="E55" i="11" s="1"/>
  <c r="E56" i="11" s="1"/>
  <c r="G54" i="11"/>
  <c r="G55" i="11" s="1"/>
  <c r="G56" i="11" s="1"/>
  <c r="I54" i="11"/>
  <c r="I55" i="11" s="1"/>
  <c r="I56" i="11" s="1"/>
  <c r="D106" i="13"/>
  <c r="G105" i="13"/>
  <c r="F30" i="49"/>
  <c r="F35" i="20" l="1"/>
  <c r="E35" i="13"/>
  <c r="L211" i="2"/>
  <c r="G211" i="2"/>
  <c r="L121" i="2"/>
  <c r="E37" i="13"/>
  <c r="F37" i="20"/>
  <c r="B71" i="2"/>
  <c r="B72" i="2" s="1"/>
  <c r="A77" i="41"/>
  <c r="A78" i="41" s="1"/>
  <c r="A79" i="41" s="1"/>
  <c r="A80" i="41" s="1"/>
  <c r="M56" i="11"/>
  <c r="E57" i="11" s="1"/>
  <c r="E105" i="20"/>
  <c r="F105" i="20" s="1"/>
  <c r="D106" i="20" s="1"/>
  <c r="F49" i="47"/>
  <c r="E106" i="13"/>
  <c r="K28" i="47"/>
  <c r="F31" i="49"/>
  <c r="M55" i="11"/>
  <c r="F30" i="50"/>
  <c r="H29" i="50"/>
  <c r="K29" i="50" s="1"/>
  <c r="H29" i="47"/>
  <c r="K29" i="47" s="1"/>
  <c r="D30" i="47"/>
  <c r="I57" i="11" l="1"/>
  <c r="G57" i="11"/>
  <c r="B73" i="2"/>
  <c r="B74" i="2" s="1"/>
  <c r="A85" i="41"/>
  <c r="B51" i="41"/>
  <c r="B80" i="41"/>
  <c r="F31" i="50"/>
  <c r="H30" i="50"/>
  <c r="K30" i="50" s="1"/>
  <c r="E106" i="20"/>
  <c r="F106" i="20" s="1"/>
  <c r="D107" i="20" s="1"/>
  <c r="H30" i="47"/>
  <c r="K30" i="47" s="1"/>
  <c r="D31" i="47"/>
  <c r="F32" i="49"/>
  <c r="F106" i="13"/>
  <c r="F50" i="47"/>
  <c r="H28" i="30" l="1"/>
  <c r="I28" i="30" s="1"/>
  <c r="I27" i="30" s="1"/>
  <c r="I25" i="30" s="1"/>
  <c r="L183" i="2" s="1"/>
  <c r="L186" i="2" s="1"/>
  <c r="B75" i="2"/>
  <c r="B77" i="2" s="1"/>
  <c r="B78" i="2" s="1"/>
  <c r="E75" i="2"/>
  <c r="A86" i="41"/>
  <c r="E107" i="20"/>
  <c r="F107" i="20" s="1"/>
  <c r="D108" i="20" s="1"/>
  <c r="D107" i="13"/>
  <c r="G106" i="13"/>
  <c r="F36" i="49"/>
  <c r="F39" i="49"/>
  <c r="D32" i="47"/>
  <c r="H32" i="47" s="1"/>
  <c r="H31" i="47"/>
  <c r="K31" i="47" s="1"/>
  <c r="F32" i="50"/>
  <c r="H31" i="50"/>
  <c r="K31" i="50" s="1"/>
  <c r="A87" i="41" l="1"/>
  <c r="A88" i="41" s="1"/>
  <c r="B79" i="2"/>
  <c r="B80" i="2" s="1"/>
  <c r="E108" i="20"/>
  <c r="F108" i="20" s="1"/>
  <c r="F40" i="49"/>
  <c r="F36" i="50"/>
  <c r="F39" i="50"/>
  <c r="H32" i="50"/>
  <c r="K32" i="47"/>
  <c r="K33" i="47" s="1"/>
  <c r="D36" i="47" s="1"/>
  <c r="H33" i="47"/>
  <c r="E107" i="13"/>
  <c r="F107" i="13" s="1"/>
  <c r="B81" i="2" l="1"/>
  <c r="B82" i="2" s="1"/>
  <c r="E91" i="2"/>
  <c r="E90" i="2"/>
  <c r="A89" i="41"/>
  <c r="B89" i="41"/>
  <c r="B88" i="41"/>
  <c r="D108" i="13"/>
  <c r="G107" i="13"/>
  <c r="D109" i="20"/>
  <c r="H36" i="47"/>
  <c r="K36" i="47" s="1"/>
  <c r="F40" i="50"/>
  <c r="F41" i="49"/>
  <c r="K32" i="50"/>
  <c r="K33" i="50" s="1"/>
  <c r="D36" i="50" s="1"/>
  <c r="H33" i="50"/>
  <c r="A91" i="41" l="1"/>
  <c r="B83" i="2"/>
  <c r="B84" i="2" s="1"/>
  <c r="E92" i="2"/>
  <c r="F42" i="49"/>
  <c r="H36" i="50"/>
  <c r="K36" i="50" s="1"/>
  <c r="E109" i="20"/>
  <c r="F109" i="20" s="1"/>
  <c r="F41" i="50"/>
  <c r="D39" i="47"/>
  <c r="I39" i="47"/>
  <c r="E108" i="13"/>
  <c r="F108" i="13" s="1"/>
  <c r="B85" i="2" l="1"/>
  <c r="B86" i="2" s="1"/>
  <c r="A92" i="41"/>
  <c r="D39" i="50"/>
  <c r="I39" i="50"/>
  <c r="D110" i="20"/>
  <c r="D109" i="13"/>
  <c r="G108" i="13"/>
  <c r="F42" i="50"/>
  <c r="I40" i="47"/>
  <c r="I41" i="47" s="1"/>
  <c r="I42" i="47" s="1"/>
  <c r="I43" i="47" s="1"/>
  <c r="I44" i="47" s="1"/>
  <c r="I45" i="47" s="1"/>
  <c r="I46" i="47" s="1"/>
  <c r="I47" i="47" s="1"/>
  <c r="I48" i="47" s="1"/>
  <c r="I49" i="47" s="1"/>
  <c r="I50" i="47" s="1"/>
  <c r="H39" i="47"/>
  <c r="K39" i="47"/>
  <c r="D40" i="47" s="1"/>
  <c r="F43" i="49"/>
  <c r="E93" i="2" l="1"/>
  <c r="I53" i="47"/>
  <c r="A93" i="41"/>
  <c r="A94" i="41" s="1"/>
  <c r="B94" i="41"/>
  <c r="B87" i="2"/>
  <c r="B89" i="2" s="1"/>
  <c r="B90" i="2" s="1"/>
  <c r="E94" i="2"/>
  <c r="E87" i="2"/>
  <c r="F44" i="49"/>
  <c r="K39" i="50"/>
  <c r="D40" i="50" s="1"/>
  <c r="H39" i="50"/>
  <c r="F43" i="50"/>
  <c r="E109" i="13"/>
  <c r="F109" i="13" s="1"/>
  <c r="D110" i="13" s="1"/>
  <c r="H40" i="47"/>
  <c r="K40" i="47"/>
  <c r="D41" i="47" s="1"/>
  <c r="E110" i="20"/>
  <c r="F110" i="20" s="1"/>
  <c r="D111" i="20" s="1"/>
  <c r="I40" i="50"/>
  <c r="I41" i="50" s="1"/>
  <c r="I42" i="50" s="1"/>
  <c r="I43" i="50" s="1"/>
  <c r="I44" i="50" s="1"/>
  <c r="I45" i="50" s="1"/>
  <c r="I46" i="50" s="1"/>
  <c r="I47" i="50" s="1"/>
  <c r="I48" i="50" s="1"/>
  <c r="I49" i="50" s="1"/>
  <c r="I50" i="50" s="1"/>
  <c r="I53" i="50" s="1"/>
  <c r="I55" i="47" l="1"/>
  <c r="I55" i="50"/>
  <c r="B91" i="2"/>
  <c r="A95" i="41"/>
  <c r="B95" i="41"/>
  <c r="K40" i="50"/>
  <c r="D41" i="50" s="1"/>
  <c r="H40" i="50"/>
  <c r="G109" i="13"/>
  <c r="F44" i="50"/>
  <c r="E111" i="20"/>
  <c r="F111" i="20" s="1"/>
  <c r="D112" i="20" s="1"/>
  <c r="K41" i="47"/>
  <c r="D42" i="47" s="1"/>
  <c r="H41" i="47"/>
  <c r="E110" i="13"/>
  <c r="F110" i="13" s="1"/>
  <c r="D111" i="13" s="1"/>
  <c r="F45" i="49"/>
  <c r="G110" i="13" l="1"/>
  <c r="A97" i="41"/>
  <c r="B92" i="2"/>
  <c r="B93" i="2" s="1"/>
  <c r="B94" i="2" s="1"/>
  <c r="C64" i="20"/>
  <c r="C64" i="13"/>
  <c r="K41" i="50"/>
  <c r="D42" i="50" s="1"/>
  <c r="H41" i="50"/>
  <c r="E111" i="13"/>
  <c r="F111" i="13" s="1"/>
  <c r="F45" i="50"/>
  <c r="E112" i="20"/>
  <c r="F112" i="20" s="1"/>
  <c r="D113" i="20" s="1"/>
  <c r="F46" i="49"/>
  <c r="K42" i="47"/>
  <c r="D43" i="47" s="1"/>
  <c r="H42" i="47"/>
  <c r="B95" i="2" l="1"/>
  <c r="E95" i="2"/>
  <c r="A98" i="41"/>
  <c r="D112" i="13"/>
  <c r="G111" i="13"/>
  <c r="K43" i="47"/>
  <c r="D44" i="47" s="1"/>
  <c r="H43" i="47"/>
  <c r="K42" i="50"/>
  <c r="D43" i="50" s="1"/>
  <c r="H42" i="50"/>
  <c r="F46" i="50"/>
  <c r="E113" i="20"/>
  <c r="F113" i="20" s="1"/>
  <c r="D114" i="20" s="1"/>
  <c r="F47" i="49"/>
  <c r="A99" i="41" l="1"/>
  <c r="A100" i="41" s="1"/>
  <c r="B98" i="2"/>
  <c r="B99" i="2" s="1"/>
  <c r="C46" i="11"/>
  <c r="K43" i="50"/>
  <c r="D44" i="50" s="1"/>
  <c r="H43" i="50"/>
  <c r="K44" i="47"/>
  <c r="D45" i="47" s="1"/>
  <c r="H44" i="47"/>
  <c r="E114" i="20"/>
  <c r="F114" i="20" s="1"/>
  <c r="F48" i="49"/>
  <c r="F47" i="50"/>
  <c r="E112" i="13"/>
  <c r="F112" i="13" s="1"/>
  <c r="A101" i="41" l="1"/>
  <c r="B103" i="41"/>
  <c r="B101" i="41"/>
  <c r="E104" i="2"/>
  <c r="B100" i="2"/>
  <c r="B101" i="2" s="1"/>
  <c r="B102" i="2" s="1"/>
  <c r="B103" i="2" s="1"/>
  <c r="B104" i="2" s="1"/>
  <c r="B100" i="41"/>
  <c r="D113" i="13"/>
  <c r="G112" i="13"/>
  <c r="D115" i="20"/>
  <c r="K45" i="47"/>
  <c r="D46" i="47" s="1"/>
  <c r="H45" i="47"/>
  <c r="F48" i="50"/>
  <c r="F49" i="49"/>
  <c r="K44" i="50"/>
  <c r="D45" i="50" s="1"/>
  <c r="H44" i="50"/>
  <c r="B106" i="2" l="1"/>
  <c r="B108" i="2" s="1"/>
  <c r="B110" i="2" s="1"/>
  <c r="B112" i="2" s="1"/>
  <c r="B113" i="2" s="1"/>
  <c r="A103" i="41"/>
  <c r="B104" i="41"/>
  <c r="K46" i="47"/>
  <c r="D47" i="47" s="1"/>
  <c r="H46" i="47"/>
  <c r="E115" i="20"/>
  <c r="F115" i="20" s="1"/>
  <c r="D116" i="20" s="1"/>
  <c r="F50" i="49"/>
  <c r="K45" i="50"/>
  <c r="D46" i="50" s="1"/>
  <c r="H45" i="50"/>
  <c r="F49" i="50"/>
  <c r="E113" i="13"/>
  <c r="F113" i="13" s="1"/>
  <c r="E246" i="2" l="1"/>
  <c r="A104" i="41"/>
  <c r="B114" i="2"/>
  <c r="B115" i="2" s="1"/>
  <c r="B116" i="2" s="1"/>
  <c r="B117" i="2" s="1"/>
  <c r="B118" i="2" s="1"/>
  <c r="B119" i="2" s="1"/>
  <c r="B120" i="2" s="1"/>
  <c r="B121" i="2" s="1"/>
  <c r="D114" i="13"/>
  <c r="G113" i="13"/>
  <c r="E116" i="20"/>
  <c r="F116" i="20" s="1"/>
  <c r="D117" i="20" s="1"/>
  <c r="F50" i="50"/>
  <c r="K46" i="50"/>
  <c r="D47" i="50" s="1"/>
  <c r="H46" i="50"/>
  <c r="K47" i="47"/>
  <c r="D48" i="47" s="1"/>
  <c r="H47" i="47"/>
  <c r="E121" i="2" l="1"/>
  <c r="B105" i="41"/>
  <c r="A105" i="41"/>
  <c r="B123" i="2"/>
  <c r="K48" i="47"/>
  <c r="D49" i="47" s="1"/>
  <c r="H48" i="47"/>
  <c r="E117" i="20"/>
  <c r="F117" i="20" s="1"/>
  <c r="K47" i="50"/>
  <c r="D48" i="50" s="1"/>
  <c r="H47" i="50"/>
  <c r="E114" i="13"/>
  <c r="F114" i="13" s="1"/>
  <c r="B125" i="2" l="1"/>
  <c r="D299" i="2"/>
  <c r="D125" i="2"/>
  <c r="D118" i="20"/>
  <c r="D115" i="13"/>
  <c r="G114" i="13"/>
  <c r="K48" i="50"/>
  <c r="D49" i="50" s="1"/>
  <c r="H48" i="50"/>
  <c r="K49" i="47"/>
  <c r="D50" i="47" s="1"/>
  <c r="H49" i="47"/>
  <c r="C28" i="13" l="1"/>
  <c r="C28" i="20"/>
  <c r="B140" i="2"/>
  <c r="E115" i="13"/>
  <c r="F115" i="13" s="1"/>
  <c r="D116" i="13" s="1"/>
  <c r="K49" i="50"/>
  <c r="D50" i="50" s="1"/>
  <c r="H49" i="50"/>
  <c r="K50" i="47"/>
  <c r="H50" i="47"/>
  <c r="H51" i="47" s="1"/>
  <c r="E118" i="20"/>
  <c r="F118" i="20" s="1"/>
  <c r="B141" i="2" l="1"/>
  <c r="B142" i="2" s="1"/>
  <c r="B143" i="2" s="1"/>
  <c r="B144" i="2" s="1"/>
  <c r="D119" i="20"/>
  <c r="K50" i="50"/>
  <c r="H50" i="50"/>
  <c r="H51" i="50" s="1"/>
  <c r="E116" i="13"/>
  <c r="F116" i="13" s="1"/>
  <c r="G115" i="13"/>
  <c r="B145" i="2" l="1"/>
  <c r="B146" i="2" s="1"/>
  <c r="E145" i="2"/>
  <c r="D117" i="13"/>
  <c r="G116" i="13"/>
  <c r="E119" i="20"/>
  <c r="F119" i="20" s="1"/>
  <c r="E44" i="2" l="1"/>
  <c r="D294" i="2"/>
  <c r="B147" i="2"/>
  <c r="B148" i="2" s="1"/>
  <c r="E149" i="2"/>
  <c r="D120" i="20"/>
  <c r="E117" i="13"/>
  <c r="F117" i="13" s="1"/>
  <c r="D118" i="13" s="1"/>
  <c r="G117" i="13" l="1"/>
  <c r="D296" i="2"/>
  <c r="B149" i="2"/>
  <c r="E118" i="13"/>
  <c r="F118" i="13" s="1"/>
  <c r="E120" i="20"/>
  <c r="F120" i="20" s="1"/>
  <c r="D121" i="20" s="1"/>
  <c r="D293" i="2" l="1"/>
  <c r="B151" i="2"/>
  <c r="E113" i="2"/>
  <c r="D119" i="13"/>
  <c r="G118" i="13"/>
  <c r="E121" i="20"/>
  <c r="F121" i="20" s="1"/>
  <c r="B152" i="2" l="1"/>
  <c r="D122" i="20"/>
  <c r="E119" i="13"/>
  <c r="F119" i="13" s="1"/>
  <c r="B153" i="2" l="1"/>
  <c r="B154" i="2" s="1"/>
  <c r="B155" i="2" s="1"/>
  <c r="B156" i="2" s="1"/>
  <c r="B157" i="2" s="1"/>
  <c r="B158" i="2" s="1"/>
  <c r="B159" i="2" s="1"/>
  <c r="E160" i="2"/>
  <c r="E159" i="2"/>
  <c r="D120" i="13"/>
  <c r="G119" i="13"/>
  <c r="E122" i="20"/>
  <c r="F122" i="20" s="1"/>
  <c r="B160" i="2" l="1"/>
  <c r="B161" i="2" s="1"/>
  <c r="B162" i="2" s="1"/>
  <c r="B163" i="2" s="1"/>
  <c r="B164" i="2" s="1"/>
  <c r="B165" i="2" s="1"/>
  <c r="D123" i="20"/>
  <c r="E120" i="13"/>
  <c r="F120" i="13" s="1"/>
  <c r="E165" i="2" l="1"/>
  <c r="D297" i="2"/>
  <c r="B167" i="2"/>
  <c r="E167" i="2"/>
  <c r="D121" i="13"/>
  <c r="G120" i="13"/>
  <c r="E123" i="20"/>
  <c r="F123" i="20" s="1"/>
  <c r="D124" i="20" s="1"/>
  <c r="B168" i="2" l="1"/>
  <c r="E169" i="2" s="1"/>
  <c r="E124" i="20"/>
  <c r="F124" i="20" s="1"/>
  <c r="D125" i="20" s="1"/>
  <c r="E121" i="13"/>
  <c r="F121" i="13" s="1"/>
  <c r="D122" i="13" l="1"/>
  <c r="E122" i="13" s="1"/>
  <c r="F122" i="13" s="1"/>
  <c r="D123" i="13" s="1"/>
  <c r="G121" i="13"/>
  <c r="D310" i="2"/>
  <c r="C48" i="20"/>
  <c r="C48" i="13"/>
  <c r="E30" i="2"/>
  <c r="D312" i="2"/>
  <c r="B169" i="2"/>
  <c r="D307" i="2"/>
  <c r="E125" i="20"/>
  <c r="F125" i="20" s="1"/>
  <c r="D126" i="20" l="1"/>
  <c r="E126" i="20" s="1"/>
  <c r="F126" i="20" s="1"/>
  <c r="D127" i="20" s="1"/>
  <c r="B171" i="2"/>
  <c r="B172" i="2" s="1"/>
  <c r="E123" i="13"/>
  <c r="F123" i="13" s="1"/>
  <c r="G122" i="13"/>
  <c r="B173" i="2" l="1"/>
  <c r="B174" i="2" s="1"/>
  <c r="D124" i="13"/>
  <c r="G123" i="13"/>
  <c r="E127" i="20"/>
  <c r="F127" i="20" s="1"/>
  <c r="D128" i="20" s="1"/>
  <c r="C59" i="13" l="1"/>
  <c r="C76" i="20"/>
  <c r="B175" i="2"/>
  <c r="B176" i="2" s="1"/>
  <c r="B177" i="2" s="1"/>
  <c r="C76" i="13"/>
  <c r="C59" i="20"/>
  <c r="E34" i="2"/>
  <c r="E177" i="2"/>
  <c r="E128" i="20"/>
  <c r="F128" i="20" s="1"/>
  <c r="E124" i="13"/>
  <c r="F124" i="13" s="1"/>
  <c r="D125" i="13" s="1"/>
  <c r="B179" i="2" l="1"/>
  <c r="B180" i="2" s="1"/>
  <c r="B181" i="2" s="1"/>
  <c r="D129" i="20"/>
  <c r="E125" i="13"/>
  <c r="F125" i="13" s="1"/>
  <c r="G124" i="13"/>
  <c r="B182" i="2" l="1"/>
  <c r="B183" i="2" s="1"/>
  <c r="B184" i="2" s="1"/>
  <c r="B185" i="2" s="1"/>
  <c r="B186" i="2" s="1"/>
  <c r="E186" i="2"/>
  <c r="D126" i="13"/>
  <c r="G125" i="13"/>
  <c r="E129" i="20"/>
  <c r="F129" i="20" s="1"/>
  <c r="B188" i="2" l="1"/>
  <c r="B189" i="2" s="1"/>
  <c r="D130" i="20"/>
  <c r="E126" i="13"/>
  <c r="F126" i="13" s="1"/>
  <c r="D127" i="13" s="1"/>
  <c r="B190" i="2" l="1"/>
  <c r="D193" i="2"/>
  <c r="E127" i="13"/>
  <c r="F127" i="13" s="1"/>
  <c r="G126" i="13"/>
  <c r="E130" i="20"/>
  <c r="F130" i="20" s="1"/>
  <c r="D131" i="20" s="1"/>
  <c r="D128" i="13" l="1"/>
  <c r="E128" i="13" s="1"/>
  <c r="F128" i="13" s="1"/>
  <c r="D129" i="13" s="1"/>
  <c r="G127" i="13"/>
  <c r="C35" i="13"/>
  <c r="C35" i="20"/>
  <c r="B191" i="2"/>
  <c r="B192" i="2" s="1"/>
  <c r="B193" i="2" s="1"/>
  <c r="E131" i="20"/>
  <c r="F131" i="20" s="1"/>
  <c r="D132" i="20" s="1"/>
  <c r="B194" i="2" l="1"/>
  <c r="E199" i="2" s="1"/>
  <c r="E132" i="20"/>
  <c r="F132" i="20" s="1"/>
  <c r="G128" i="13"/>
  <c r="E129" i="13"/>
  <c r="F129" i="13" s="1"/>
  <c r="D338" i="2" l="1"/>
  <c r="B195" i="2"/>
  <c r="D130" i="13"/>
  <c r="G129" i="13"/>
  <c r="D133" i="20"/>
  <c r="B196" i="2" l="1"/>
  <c r="E200" i="2"/>
  <c r="E133" i="20"/>
  <c r="F133" i="20" s="1"/>
  <c r="E130" i="13"/>
  <c r="F130" i="13" s="1"/>
  <c r="D131" i="13" s="1"/>
  <c r="G130" i="13" l="1"/>
  <c r="B198" i="2"/>
  <c r="E201" i="2"/>
  <c r="D134" i="20"/>
  <c r="E131" i="13"/>
  <c r="F131" i="13" s="1"/>
  <c r="D132" i="13" s="1"/>
  <c r="B199" i="2" l="1"/>
  <c r="B200" i="2" s="1"/>
  <c r="B201" i="2" s="1"/>
  <c r="B203" i="2" s="1"/>
  <c r="E203" i="2"/>
  <c r="G131" i="13"/>
  <c r="E132" i="13"/>
  <c r="F132" i="13" s="1"/>
  <c r="E134" i="20"/>
  <c r="F134" i="20" s="1"/>
  <c r="D135" i="20" l="1"/>
  <c r="C50" i="13"/>
  <c r="C50" i="20"/>
  <c r="B205" i="2"/>
  <c r="E37" i="2" s="1"/>
  <c r="D133" i="13"/>
  <c r="G132" i="13"/>
  <c r="C49" i="13" l="1"/>
  <c r="B207" i="2"/>
  <c r="C49" i="20"/>
  <c r="E198" i="2"/>
  <c r="E135" i="20"/>
  <c r="F135" i="20" s="1"/>
  <c r="D136" i="20" s="1"/>
  <c r="E136" i="20" s="1"/>
  <c r="F136" i="20" s="1"/>
  <c r="E133" i="13"/>
  <c r="F133" i="13" s="1"/>
  <c r="D301" i="2" l="1"/>
  <c r="B209" i="2"/>
  <c r="D134" i="13"/>
  <c r="G133" i="13"/>
  <c r="D137" i="20"/>
  <c r="B211" i="2" l="1"/>
  <c r="D211" i="2"/>
  <c r="E137" i="20"/>
  <c r="F137" i="20" s="1"/>
  <c r="D138" i="20" s="1"/>
  <c r="E134" i="13"/>
  <c r="F134" i="13" s="1"/>
  <c r="D135" i="13" l="1"/>
  <c r="E135" i="13" s="1"/>
  <c r="F135" i="13" s="1"/>
  <c r="D136" i="13" s="1"/>
  <c r="G134" i="13"/>
  <c r="B213" i="2"/>
  <c r="D214" i="2"/>
  <c r="E138" i="20"/>
  <c r="F138" i="20" s="1"/>
  <c r="E13" i="2" l="1"/>
  <c r="B226" i="2"/>
  <c r="G135" i="13"/>
  <c r="D139" i="20"/>
  <c r="E136" i="13"/>
  <c r="F136" i="13" s="1"/>
  <c r="B227" i="2" l="1"/>
  <c r="B228" i="2" s="1"/>
  <c r="B229" i="2" s="1"/>
  <c r="E229" i="2"/>
  <c r="D137" i="13"/>
  <c r="G136" i="13"/>
  <c r="E139" i="20"/>
  <c r="F139" i="20" s="1"/>
  <c r="B231" i="2" l="1"/>
  <c r="B233" i="2" s="1"/>
  <c r="B234" i="2" s="1"/>
  <c r="E68" i="2"/>
  <c r="E231" i="2"/>
  <c r="D140" i="20"/>
  <c r="E137" i="13"/>
  <c r="F137" i="13" s="1"/>
  <c r="D138" i="13" s="1"/>
  <c r="B235" i="2" l="1"/>
  <c r="B236" i="2" s="1"/>
  <c r="B237" i="2" s="1"/>
  <c r="B238" i="2" s="1"/>
  <c r="B239" i="2" s="1"/>
  <c r="B241" i="2" s="1"/>
  <c r="B244" i="2" s="1"/>
  <c r="B245" i="2" s="1"/>
  <c r="E138" i="13"/>
  <c r="F138" i="13" s="1"/>
  <c r="D139" i="13" s="1"/>
  <c r="G137" i="13"/>
  <c r="E140" i="20"/>
  <c r="F140" i="20" s="1"/>
  <c r="E239" i="2" l="1"/>
  <c r="D141" i="20"/>
  <c r="E141" i="20" s="1"/>
  <c r="F141" i="20" s="1"/>
  <c r="G138" i="13"/>
  <c r="B246" i="2"/>
  <c r="B247" i="2" s="1"/>
  <c r="B248" i="2" s="1"/>
  <c r="E139" i="13"/>
  <c r="F139" i="13" s="1"/>
  <c r="D140" i="13" s="1"/>
  <c r="B249" i="2" l="1"/>
  <c r="G139" i="13"/>
  <c r="D142" i="20"/>
  <c r="E140" i="13"/>
  <c r="F140" i="13" s="1"/>
  <c r="D141" i="13" s="1"/>
  <c r="D256" i="2" l="1"/>
  <c r="B250" i="2"/>
  <c r="B251" i="2" s="1"/>
  <c r="B252" i="2" s="1"/>
  <c r="G140" i="13"/>
  <c r="E141" i="13"/>
  <c r="F141" i="13" s="1"/>
  <c r="D142" i="13" s="1"/>
  <c r="E142" i="20"/>
  <c r="F142" i="20" s="1"/>
  <c r="B254" i="2" l="1"/>
  <c r="B255" i="2" s="1"/>
  <c r="D257" i="2"/>
  <c r="E252" i="2"/>
  <c r="D143" i="20"/>
  <c r="E142" i="13"/>
  <c r="F142" i="13" s="1"/>
  <c r="D143" i="13" s="1"/>
  <c r="G141" i="13"/>
  <c r="D359" i="2" l="1"/>
  <c r="B256" i="2"/>
  <c r="B257" i="2" s="1"/>
  <c r="D258" i="2" s="1"/>
  <c r="C19" i="13"/>
  <c r="E143" i="13"/>
  <c r="F143" i="13" s="1"/>
  <c r="D144" i="13" s="1"/>
  <c r="G142" i="13"/>
  <c r="E143" i="20"/>
  <c r="F143" i="20" s="1"/>
  <c r="D144" i="20" s="1"/>
  <c r="D350" i="2" l="1"/>
  <c r="B258" i="2"/>
  <c r="C16" i="13"/>
  <c r="C16" i="20"/>
  <c r="C19" i="20"/>
  <c r="E144" i="13"/>
  <c r="F144" i="13" s="1"/>
  <c r="E144" i="20"/>
  <c r="F144" i="20" s="1"/>
  <c r="G143" i="13"/>
  <c r="B260" i="2" l="1"/>
  <c r="B77" i="41"/>
  <c r="E205" i="2"/>
  <c r="D191" i="2"/>
  <c r="D145" i="20"/>
  <c r="D145" i="13"/>
  <c r="G144" i="13"/>
  <c r="E145" i="13" l="1"/>
  <c r="F145" i="13" s="1"/>
  <c r="E145" i="20"/>
  <c r="F145" i="20" s="1"/>
  <c r="D146" i="20" l="1"/>
  <c r="D146" i="13"/>
  <c r="G145" i="13"/>
  <c r="E146" i="13" l="1"/>
  <c r="F146" i="13" s="1"/>
  <c r="E146" i="20"/>
  <c r="F146" i="20" s="1"/>
  <c r="D147" i="20" s="1"/>
  <c r="D147" i="13" l="1"/>
  <c r="G146" i="13"/>
  <c r="E147" i="20"/>
  <c r="F147" i="20" s="1"/>
  <c r="D148" i="20" s="1"/>
  <c r="E148" i="20" l="1"/>
  <c r="F148" i="20" s="1"/>
  <c r="D149" i="20" s="1"/>
  <c r="E147" i="13"/>
  <c r="F147" i="13" s="1"/>
  <c r="D148" i="13" s="1"/>
  <c r="E149" i="20" l="1"/>
  <c r="F149" i="20" s="1"/>
  <c r="E148" i="13"/>
  <c r="F148" i="13" s="1"/>
  <c r="D149" i="13" s="1"/>
  <c r="G147" i="13"/>
  <c r="D150" i="20" l="1"/>
  <c r="E150" i="20" s="1"/>
  <c r="F150" i="20" s="1"/>
  <c r="D151" i="20" s="1"/>
  <c r="E149" i="13"/>
  <c r="F149" i="13" s="1"/>
  <c r="G148" i="13"/>
  <c r="D150" i="13" l="1"/>
  <c r="G149" i="13"/>
  <c r="E151" i="20"/>
  <c r="F151" i="20" s="1"/>
  <c r="D152" i="20" l="1"/>
  <c r="E152" i="20" s="1"/>
  <c r="F152" i="20" s="1"/>
  <c r="E150" i="13"/>
  <c r="F150" i="13" s="1"/>
  <c r="D151" i="13" s="1"/>
  <c r="D153" i="20" l="1"/>
  <c r="G150" i="13"/>
  <c r="E151" i="13"/>
  <c r="F151" i="13" s="1"/>
  <c r="D152" i="13" s="1"/>
  <c r="E152" i="13" l="1"/>
  <c r="F152" i="13" s="1"/>
  <c r="D153" i="13" s="1"/>
  <c r="G151" i="13"/>
  <c r="E153" i="20"/>
  <c r="F153" i="20" s="1"/>
  <c r="D154" i="20" l="1"/>
  <c r="E153" i="13"/>
  <c r="F153" i="13" s="1"/>
  <c r="D154" i="13" s="1"/>
  <c r="G152" i="13"/>
  <c r="G153" i="13" l="1"/>
  <c r="E154" i="13"/>
  <c r="F154" i="13" s="1"/>
  <c r="D155" i="13" s="1"/>
  <c r="E154" i="20"/>
  <c r="F154" i="20" s="1"/>
  <c r="D155" i="20" l="1"/>
  <c r="E155" i="13"/>
  <c r="F155" i="13" s="1"/>
  <c r="D156" i="13" s="1"/>
  <c r="G154" i="13"/>
  <c r="G155" i="13" l="1"/>
  <c r="E156" i="13"/>
  <c r="F156" i="13" s="1"/>
  <c r="E155" i="20"/>
  <c r="F155" i="20" s="1"/>
  <c r="D156" i="20" l="1"/>
  <c r="D157" i="13"/>
  <c r="G156" i="13"/>
  <c r="E156" i="20" l="1"/>
  <c r="F156" i="20" s="1"/>
  <c r="E157" i="13"/>
  <c r="F157" i="13" s="1"/>
  <c r="D158" i="13" s="1"/>
  <c r="D157" i="20" l="1"/>
  <c r="E157" i="20" s="1"/>
  <c r="F157" i="20" s="1"/>
  <c r="E158" i="13"/>
  <c r="F158" i="13" s="1"/>
  <c r="G157" i="13"/>
  <c r="D159" i="13" l="1"/>
  <c r="G158" i="13"/>
  <c r="D158" i="20"/>
  <c r="E159" i="13" l="1"/>
  <c r="F159" i="13" s="1"/>
  <c r="D160" i="13" s="1"/>
  <c r="E158" i="20"/>
  <c r="F158" i="20" s="1"/>
  <c r="D159" i="20" l="1"/>
  <c r="E159" i="20" s="1"/>
  <c r="F159" i="20" s="1"/>
  <c r="G159" i="13"/>
  <c r="E160" i="13"/>
  <c r="F160" i="13" s="1"/>
  <c r="D161" i="13" s="1"/>
  <c r="G160" i="13" l="1"/>
  <c r="E161" i="13"/>
  <c r="E162" i="13" s="1"/>
  <c r="F161" i="13" l="1"/>
  <c r="G161" i="13" s="1"/>
  <c r="F70" i="9" l="1"/>
  <c r="G163" i="2" s="1"/>
  <c r="L163" i="2" s="1"/>
  <c r="E67" i="9"/>
  <c r="E66" i="9"/>
  <c r="E65" i="9"/>
  <c r="E68" i="9" l="1"/>
  <c r="E64" i="9"/>
  <c r="D70" i="9"/>
  <c r="G158" i="2" s="1"/>
  <c r="G159" i="2" s="1"/>
  <c r="E70" i="9" l="1"/>
  <c r="G165" i="2"/>
  <c r="G167" i="2" s="1"/>
  <c r="G169" i="2" s="1"/>
  <c r="L159" i="2"/>
  <c r="L165" i="2" l="1"/>
  <c r="L167" i="2" s="1"/>
  <c r="H10" i="49"/>
  <c r="L169" i="2" l="1"/>
  <c r="I54" i="49"/>
  <c r="D21" i="49"/>
  <c r="D22" i="49" l="1"/>
  <c r="H21" i="49"/>
  <c r="K21" i="49" l="1"/>
  <c r="D23" i="49"/>
  <c r="H22" i="49"/>
  <c r="K22" i="49" s="1"/>
  <c r="D24" i="49" l="1"/>
  <c r="H23" i="49"/>
  <c r="K23" i="49" s="1"/>
  <c r="D25" i="49" l="1"/>
  <c r="H24" i="49"/>
  <c r="K24" i="49" l="1"/>
  <c r="D26" i="49"/>
  <c r="H25" i="49"/>
  <c r="K25" i="49" s="1"/>
  <c r="D27" i="49" l="1"/>
  <c r="H26" i="49"/>
  <c r="K26" i="49" s="1"/>
  <c r="D28" i="49" l="1"/>
  <c r="H27" i="49"/>
  <c r="K27" i="49" l="1"/>
  <c r="D29" i="49"/>
  <c r="H28" i="49"/>
  <c r="K28" i="49" s="1"/>
  <c r="D30" i="49" l="1"/>
  <c r="H29" i="49"/>
  <c r="K29" i="49" s="1"/>
  <c r="D31" i="49" l="1"/>
  <c r="H30" i="49"/>
  <c r="K30" i="49" s="1"/>
  <c r="D32" i="49" l="1"/>
  <c r="H32" i="49" s="1"/>
  <c r="H31" i="49"/>
  <c r="K31" i="49" s="1"/>
  <c r="K32" i="49" l="1"/>
  <c r="K33" i="49" s="1"/>
  <c r="D36" i="49" s="1"/>
  <c r="H33" i="49"/>
  <c r="H36" i="49" l="1"/>
  <c r="K36" i="49" s="1"/>
  <c r="D39" i="49" l="1"/>
  <c r="I39" i="49"/>
  <c r="I40" i="49" l="1"/>
  <c r="I41" i="49" s="1"/>
  <c r="I42" i="49" s="1"/>
  <c r="I43" i="49" s="1"/>
  <c r="I44" i="49" s="1"/>
  <c r="I45" i="49" s="1"/>
  <c r="I46" i="49" s="1"/>
  <c r="I47" i="49" s="1"/>
  <c r="I48" i="49" s="1"/>
  <c r="I49" i="49" s="1"/>
  <c r="I50" i="49" s="1"/>
  <c r="K39" i="49"/>
  <c r="D40" i="49" s="1"/>
  <c r="H39" i="49"/>
  <c r="I53" i="49" l="1"/>
  <c r="K40" i="49"/>
  <c r="D41" i="49" s="1"/>
  <c r="H40" i="49"/>
  <c r="I55" i="49" l="1"/>
  <c r="H41" i="49"/>
  <c r="K41" i="49"/>
  <c r="D42" i="49" s="1"/>
  <c r="K42" i="49" l="1"/>
  <c r="D43" i="49" s="1"/>
  <c r="H42" i="49"/>
  <c r="K43" i="49" l="1"/>
  <c r="D44" i="49" s="1"/>
  <c r="H43" i="49"/>
  <c r="K44" i="49" l="1"/>
  <c r="D45" i="49" s="1"/>
  <c r="H44" i="49"/>
  <c r="H45" i="49" l="1"/>
  <c r="K45" i="49"/>
  <c r="D46" i="49" s="1"/>
  <c r="H46" i="49" l="1"/>
  <c r="K46" i="49"/>
  <c r="D47" i="49" s="1"/>
  <c r="K47" i="49" l="1"/>
  <c r="D48" i="49" s="1"/>
  <c r="H47" i="49"/>
  <c r="K48" i="49" l="1"/>
  <c r="D49" i="49" s="1"/>
  <c r="H48" i="49"/>
  <c r="K49" i="49" l="1"/>
  <c r="D50" i="49" s="1"/>
  <c r="H49" i="49"/>
  <c r="K50" i="49" l="1"/>
  <c r="H50" i="49"/>
  <c r="H51" i="49" s="1"/>
  <c r="I34" i="5" l="1"/>
  <c r="I18" i="5"/>
  <c r="I52" i="5"/>
  <c r="L103" i="2" s="1"/>
  <c r="I42" i="5" l="1"/>
  <c r="I26" i="5" l="1"/>
  <c r="G44" i="5" l="1"/>
  <c r="I43" i="5" l="1"/>
  <c r="E36" i="5" l="1"/>
  <c r="G28" i="5"/>
  <c r="G20" i="5"/>
  <c r="I25" i="5"/>
  <c r="G100" i="2" s="1"/>
  <c r="I33" i="5"/>
  <c r="E44" i="5"/>
  <c r="I41" i="5"/>
  <c r="G36" i="5"/>
  <c r="I35" i="5" l="1"/>
  <c r="I36" i="5" s="1"/>
  <c r="L101" i="2" s="1"/>
  <c r="G101" i="2"/>
  <c r="G102" i="2"/>
  <c r="I44" i="5"/>
  <c r="L102" i="2" s="1"/>
  <c r="I19" i="5" l="1"/>
  <c r="I17" i="5"/>
  <c r="E20" i="5" l="1"/>
  <c r="G99" i="2"/>
  <c r="G104" i="2" s="1"/>
  <c r="G125" i="2" s="1"/>
  <c r="G205" i="2" s="1"/>
  <c r="G198" i="2" s="1"/>
  <c r="G203" i="2" s="1"/>
  <c r="G213" i="2" s="1"/>
  <c r="I20" i="5"/>
  <c r="L99" i="2" s="1"/>
  <c r="I27" i="5"/>
  <c r="I28" i="5" s="1"/>
  <c r="L100" i="2" s="1"/>
  <c r="E28" i="5"/>
  <c r="L104" i="2" l="1"/>
  <c r="L125" i="2" s="1"/>
  <c r="F28" i="20" s="1"/>
  <c r="F30" i="20" s="1"/>
  <c r="E28" i="13" l="1"/>
  <c r="E30" i="13" s="1"/>
  <c r="E34" i="13" s="1"/>
  <c r="E36" i="13" s="1"/>
  <c r="E40" i="13" s="1"/>
  <c r="F57" i="13" s="1"/>
  <c r="L205" i="2"/>
  <c r="F49" i="13" s="1"/>
  <c r="G56" i="20"/>
  <c r="F34" i="20"/>
  <c r="F36" i="20" s="1"/>
  <c r="F40" i="20" s="1"/>
  <c r="G57" i="20" s="1"/>
  <c r="L198" i="2" l="1"/>
  <c r="F56" i="13"/>
  <c r="G49" i="20"/>
  <c r="L203" i="2" l="1"/>
  <c r="L213" i="2" l="1"/>
  <c r="L13" i="2" s="1"/>
  <c r="F50" i="13"/>
  <c r="G50" i="20"/>
  <c r="F47" i="13" l="1"/>
  <c r="F51" i="13" s="1"/>
  <c r="F55" i="13" s="1"/>
  <c r="F58" i="13" s="1"/>
  <c r="L30" i="2"/>
  <c r="L34" i="2"/>
  <c r="G47" i="20"/>
  <c r="G51" i="20" s="1"/>
  <c r="G55" i="20" s="1"/>
  <c r="G58" i="20" s="1"/>
  <c r="L20" i="2"/>
  <c r="L37" i="2"/>
  <c r="L31" i="2" l="1"/>
  <c r="F60" i="13"/>
  <c r="F68" i="13" s="1"/>
  <c r="F69" i="13" s="1"/>
  <c r="F65" i="13"/>
  <c r="F66" i="13" s="1"/>
  <c r="G60" i="20"/>
  <c r="G68" i="20" s="1"/>
  <c r="G69" i="20" s="1"/>
  <c r="G65" i="20"/>
  <c r="G66" i="20" s="1"/>
  <c r="F70" i="13"/>
  <c r="J97" i="13" s="1"/>
  <c r="G70" i="20"/>
  <c r="I95" i="20" s="1"/>
  <c r="G71" i="20" l="1"/>
  <c r="F71" i="13"/>
  <c r="G145" i="20"/>
  <c r="G100" i="20"/>
  <c r="G142" i="20"/>
  <c r="G152" i="20"/>
  <c r="G155" i="20"/>
  <c r="G103" i="20"/>
  <c r="G111" i="20"/>
  <c r="G148" i="20"/>
  <c r="G108" i="20"/>
  <c r="G132" i="20"/>
  <c r="G153" i="20"/>
  <c r="G124" i="20"/>
  <c r="G150" i="20"/>
  <c r="G109" i="20"/>
  <c r="G138" i="20"/>
  <c r="G105" i="20"/>
  <c r="G102" i="20"/>
  <c r="I96" i="20"/>
  <c r="G104" i="20"/>
  <c r="G140" i="20"/>
  <c r="G158" i="20"/>
  <c r="G125" i="20"/>
  <c r="G122" i="20"/>
  <c r="G117" i="20"/>
  <c r="G127" i="20"/>
  <c r="G114" i="20"/>
  <c r="G106" i="20"/>
  <c r="G115" i="20"/>
  <c r="G157" i="20"/>
  <c r="G143" i="20"/>
  <c r="G113" i="20"/>
  <c r="G123" i="20"/>
  <c r="G110" i="20"/>
  <c r="N87" i="20" s="1"/>
  <c r="G159" i="20"/>
  <c r="G141" i="20"/>
  <c r="G154" i="20"/>
  <c r="G133" i="20"/>
  <c r="G147" i="20"/>
  <c r="G130" i="20"/>
  <c r="G128" i="20"/>
  <c r="G121" i="20"/>
  <c r="G131" i="20"/>
  <c r="G118" i="20"/>
  <c r="G107" i="20"/>
  <c r="G135" i="20"/>
  <c r="G144" i="20"/>
  <c r="G156" i="20"/>
  <c r="G151" i="20"/>
  <c r="G136" i="20"/>
  <c r="G129" i="20"/>
  <c r="G139" i="20"/>
  <c r="G126" i="20"/>
  <c r="G120" i="20"/>
  <c r="G119" i="20"/>
  <c r="G112" i="20"/>
  <c r="G149" i="20"/>
  <c r="G116" i="20"/>
  <c r="G146" i="20"/>
  <c r="G137" i="20"/>
  <c r="G134" i="20"/>
  <c r="G101" i="20"/>
  <c r="H110" i="13"/>
  <c r="H132" i="13"/>
  <c r="H119" i="13"/>
  <c r="H144" i="13"/>
  <c r="H138" i="13"/>
  <c r="H108" i="13"/>
  <c r="H146" i="13"/>
  <c r="H133" i="13"/>
  <c r="H155" i="13"/>
  <c r="H157" i="13"/>
  <c r="H134" i="13"/>
  <c r="H113" i="13"/>
  <c r="H143" i="13"/>
  <c r="H137" i="13"/>
  <c r="H156" i="13"/>
  <c r="H145" i="13"/>
  <c r="H126" i="13"/>
  <c r="H103" i="13"/>
  <c r="H135" i="13"/>
  <c r="H117" i="13"/>
  <c r="H120" i="13"/>
  <c r="J98" i="13"/>
  <c r="H106" i="13"/>
  <c r="H107" i="13"/>
  <c r="H124" i="13"/>
  <c r="H121" i="13"/>
  <c r="H150" i="13"/>
  <c r="H141" i="13"/>
  <c r="H159" i="13"/>
  <c r="H161" i="13"/>
  <c r="H115" i="13"/>
  <c r="H142" i="13"/>
  <c r="H125" i="13"/>
  <c r="H151" i="13"/>
  <c r="H153" i="13"/>
  <c r="H149" i="13"/>
  <c r="H114" i="13"/>
  <c r="H140" i="13"/>
  <c r="H123" i="13"/>
  <c r="H152" i="13"/>
  <c r="H104" i="13"/>
  <c r="H112" i="13"/>
  <c r="H111" i="13"/>
  <c r="H128" i="13"/>
  <c r="H122" i="13"/>
  <c r="H147" i="13"/>
  <c r="H158" i="13"/>
  <c r="H102" i="13"/>
  <c r="H116" i="13"/>
  <c r="H105" i="13"/>
  <c r="H131" i="13"/>
  <c r="H130" i="13"/>
  <c r="H109" i="13"/>
  <c r="H139" i="13"/>
  <c r="H129" i="13"/>
  <c r="H118" i="13"/>
  <c r="H148" i="13"/>
  <c r="H127" i="13"/>
  <c r="H160" i="13"/>
  <c r="H154" i="13"/>
  <c r="H136" i="13"/>
  <c r="I156" i="13" l="1"/>
  <c r="J156" i="13" s="1"/>
  <c r="I131" i="13"/>
  <c r="J131" i="13" s="1"/>
  <c r="I137" i="13"/>
  <c r="J137" i="13" s="1"/>
  <c r="I144" i="13"/>
  <c r="J144" i="13" s="1"/>
  <c r="I151" i="13"/>
  <c r="J151" i="13" s="1"/>
  <c r="I109" i="13"/>
  <c r="J109" i="13" s="1"/>
  <c r="I130" i="13"/>
  <c r="J130" i="13" s="1"/>
  <c r="I127" i="13"/>
  <c r="J127" i="13" s="1"/>
  <c r="I112" i="13"/>
  <c r="J112" i="13" s="1"/>
  <c r="I141" i="13"/>
  <c r="J141" i="13" s="1"/>
  <c r="I132" i="13"/>
  <c r="J132" i="13" s="1"/>
  <c r="I107" i="13"/>
  <c r="J107" i="13" s="1"/>
  <c r="I113" i="13"/>
  <c r="J113" i="13" s="1"/>
  <c r="I138" i="13"/>
  <c r="J138" i="13" s="1"/>
  <c r="I104" i="13"/>
  <c r="J104" i="13" s="1"/>
  <c r="I108" i="13"/>
  <c r="J108" i="13" s="1"/>
  <c r="I142" i="13"/>
  <c r="J142" i="13" s="1"/>
  <c r="I147" i="13"/>
  <c r="J147" i="13" s="1"/>
  <c r="I153" i="13"/>
  <c r="J153" i="13" s="1"/>
  <c r="I146" i="13"/>
  <c r="J146" i="13" s="1"/>
  <c r="I110" i="13"/>
  <c r="J110" i="13" s="1"/>
  <c r="I126" i="13"/>
  <c r="J126" i="13" s="1"/>
  <c r="I103" i="13"/>
  <c r="J103" i="13" s="1"/>
  <c r="I159" i="13"/>
  <c r="J159" i="13" s="1"/>
  <c r="I128" i="13"/>
  <c r="J128" i="13" s="1"/>
  <c r="I136" i="13"/>
  <c r="J136" i="13" s="1"/>
  <c r="I148" i="13"/>
  <c r="J148" i="13" s="1"/>
  <c r="I123" i="13"/>
  <c r="J123" i="13" s="1"/>
  <c r="I145" i="13"/>
  <c r="J145" i="13" s="1"/>
  <c r="I111" i="13"/>
  <c r="J111" i="13" s="1"/>
  <c r="I124" i="13"/>
  <c r="J124" i="13" s="1"/>
  <c r="I158" i="13"/>
  <c r="J158" i="13" s="1"/>
  <c r="I105" i="13"/>
  <c r="J105" i="13" s="1"/>
  <c r="I102" i="13"/>
  <c r="I106" i="13"/>
  <c r="J106" i="13" s="1"/>
  <c r="I125" i="13"/>
  <c r="J125" i="13" s="1"/>
  <c r="I129" i="13"/>
  <c r="J129" i="13" s="1"/>
  <c r="I152" i="13"/>
  <c r="J152" i="13" s="1"/>
  <c r="I149" i="13"/>
  <c r="J149" i="13" s="1"/>
  <c r="I160" i="13"/>
  <c r="J160" i="13" s="1"/>
  <c r="I117" i="13"/>
  <c r="J117" i="13" s="1"/>
  <c r="I134" i="13"/>
  <c r="J134" i="13" s="1"/>
  <c r="I139" i="13"/>
  <c r="J139" i="13" s="1"/>
  <c r="I114" i="13"/>
  <c r="J114" i="13" s="1"/>
  <c r="I143" i="13"/>
  <c r="J143" i="13" s="1"/>
  <c r="I140" i="13"/>
  <c r="J140" i="13" s="1"/>
  <c r="I115" i="13"/>
  <c r="J115" i="13" s="1"/>
  <c r="I121" i="13"/>
  <c r="J121" i="13" s="1"/>
  <c r="I122" i="13"/>
  <c r="J122" i="13" s="1"/>
  <c r="I135" i="13"/>
  <c r="J135" i="13" s="1"/>
  <c r="I157" i="13"/>
  <c r="J157" i="13" s="1"/>
  <c r="I161" i="13"/>
  <c r="J161" i="13" s="1"/>
  <c r="I154" i="13"/>
  <c r="J154" i="13" s="1"/>
  <c r="I118" i="13"/>
  <c r="J118" i="13" s="1"/>
  <c r="I119" i="13"/>
  <c r="J119" i="13" s="1"/>
  <c r="I116" i="13"/>
  <c r="J116" i="13" s="1"/>
  <c r="I150" i="13"/>
  <c r="J150" i="13" s="1"/>
  <c r="I155" i="13"/>
  <c r="J155" i="13" s="1"/>
  <c r="I120" i="13"/>
  <c r="J120" i="13" s="1"/>
  <c r="I133" i="13"/>
  <c r="J133" i="13" s="1"/>
  <c r="H105" i="20"/>
  <c r="I105" i="20" s="1"/>
  <c r="H107" i="20"/>
  <c r="I107" i="20" s="1"/>
  <c r="H109" i="20"/>
  <c r="I109" i="20" s="1"/>
  <c r="H143" i="20"/>
  <c r="I143" i="20" s="1"/>
  <c r="H119" i="20"/>
  <c r="I119" i="20" s="1"/>
  <c r="H124" i="20"/>
  <c r="I124" i="20" s="1"/>
  <c r="H128" i="20"/>
  <c r="I128" i="20" s="1"/>
  <c r="H115" i="20"/>
  <c r="I115" i="20" s="1"/>
  <c r="H118" i="20"/>
  <c r="I118" i="20" s="1"/>
  <c r="H120" i="20"/>
  <c r="I120" i="20" s="1"/>
  <c r="H125" i="20"/>
  <c r="I125" i="20" s="1"/>
  <c r="H159" i="20"/>
  <c r="I159" i="20" s="1"/>
  <c r="H102" i="20"/>
  <c r="I102" i="20" s="1"/>
  <c r="H135" i="20"/>
  <c r="I135" i="20" s="1"/>
  <c r="H138" i="20"/>
  <c r="I138" i="20" s="1"/>
  <c r="H140" i="20"/>
  <c r="I140" i="20" s="1"/>
  <c r="H145" i="20"/>
  <c r="I145" i="20" s="1"/>
  <c r="H139" i="20"/>
  <c r="I139" i="20" s="1"/>
  <c r="H142" i="20"/>
  <c r="I142" i="20" s="1"/>
  <c r="H144" i="20"/>
  <c r="I144" i="20" s="1"/>
  <c r="H149" i="20"/>
  <c r="I149" i="20" s="1"/>
  <c r="H116" i="20"/>
  <c r="I116" i="20" s="1"/>
  <c r="H154" i="20"/>
  <c r="I154" i="20" s="1"/>
  <c r="H155" i="20"/>
  <c r="I155" i="20" s="1"/>
  <c r="H101" i="20"/>
  <c r="I101" i="20" s="1"/>
  <c r="H148" i="20"/>
  <c r="I148" i="20" s="1"/>
  <c r="H131" i="20"/>
  <c r="I131" i="20" s="1"/>
  <c r="H134" i="20"/>
  <c r="I134" i="20" s="1"/>
  <c r="H136" i="20"/>
  <c r="I136" i="20" s="1"/>
  <c r="H141" i="20"/>
  <c r="I141" i="20" s="1"/>
  <c r="H130" i="20"/>
  <c r="I130" i="20" s="1"/>
  <c r="H137" i="20"/>
  <c r="I137" i="20" s="1"/>
  <c r="H151" i="20"/>
  <c r="I151" i="20" s="1"/>
  <c r="H156" i="20"/>
  <c r="I156" i="20" s="1"/>
  <c r="H127" i="20"/>
  <c r="I127" i="20" s="1"/>
  <c r="H158" i="20"/>
  <c r="I158" i="20" s="1"/>
  <c r="H111" i="20"/>
  <c r="I111" i="20" s="1"/>
  <c r="H147" i="20"/>
  <c r="I147" i="20" s="1"/>
  <c r="H150" i="20"/>
  <c r="I150" i="20" s="1"/>
  <c r="H152" i="20"/>
  <c r="I152" i="20" s="1"/>
  <c r="H157" i="20"/>
  <c r="I157" i="20" s="1"/>
  <c r="H104" i="20"/>
  <c r="I104" i="20" s="1"/>
  <c r="H108" i="20"/>
  <c r="I108" i="20" s="1"/>
  <c r="H106" i="20"/>
  <c r="I106" i="20" s="1"/>
  <c r="H100" i="20"/>
  <c r="H113" i="20"/>
  <c r="I113" i="20" s="1"/>
  <c r="H103" i="20"/>
  <c r="I103" i="20" s="1"/>
  <c r="H110" i="20"/>
  <c r="H112" i="20"/>
  <c r="I112" i="20" s="1"/>
  <c r="H117" i="20"/>
  <c r="I117" i="20" s="1"/>
  <c r="H114" i="20"/>
  <c r="I114" i="20" s="1"/>
  <c r="H121" i="20"/>
  <c r="I121" i="20" s="1"/>
  <c r="H132" i="20"/>
  <c r="I132" i="20" s="1"/>
  <c r="H122" i="20"/>
  <c r="I122" i="20" s="1"/>
  <c r="H129" i="20"/>
  <c r="I129" i="20" s="1"/>
  <c r="H123" i="20"/>
  <c r="I123" i="20" s="1"/>
  <c r="H126" i="20"/>
  <c r="I126" i="20" s="1"/>
  <c r="H133" i="20"/>
  <c r="I133" i="20" s="1"/>
  <c r="H146" i="20"/>
  <c r="I146" i="20" s="1"/>
  <c r="H153" i="20"/>
  <c r="I153" i="20" s="1"/>
  <c r="G160" i="20"/>
  <c r="H162" i="13"/>
  <c r="M26" i="20"/>
  <c r="G27" i="2" s="1"/>
  <c r="L27" i="2" s="1"/>
  <c r="I110" i="20" l="1"/>
  <c r="N88" i="20"/>
  <c r="J102" i="13"/>
  <c r="J162" i="13" s="1"/>
  <c r="I162" i="13"/>
  <c r="H160" i="20"/>
  <c r="I100" i="20"/>
  <c r="I160" i="20" s="1"/>
  <c r="N89" i="20" l="1"/>
  <c r="N26" i="20"/>
  <c r="O26" i="20" s="1"/>
</calcChain>
</file>

<file path=xl/sharedStrings.xml><?xml version="1.0" encoding="utf-8"?>
<sst xmlns="http://schemas.openxmlformats.org/spreadsheetml/2006/main" count="2096" uniqueCount="1063">
  <si>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</si>
  <si>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</si>
  <si>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</si>
  <si>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</si>
  <si>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</si>
  <si>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</si>
  <si>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</si>
  <si>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</si>
  <si>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</si>
  <si>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</si>
  <si>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</si>
  <si>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</si>
  <si>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</si>
  <si>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</si>
  <si>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</si>
  <si>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</si>
  <si>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</si>
  <si>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</si>
  <si>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</si>
  <si>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</si>
  <si>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</si>
  <si>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</si>
  <si>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</si>
  <si>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</si>
  <si>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</si>
  <si>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</si>
  <si>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</si>
  <si>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</si>
  <si>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</si>
  <si>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</si>
  <si>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</si>
  <si>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</si>
  <si>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</si>
  <si>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</si>
  <si>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</si>
  <si>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</si>
  <si>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</si>
  <si>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</si>
  <si>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</si>
  <si>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</si>
  <si>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</si>
  <si>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</si>
  <si>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</si>
  <si>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</si>
  <si>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</si>
  <si>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</si>
  <si>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</si>
  <si>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</si>
  <si>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</si>
  <si>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</si>
  <si>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</si>
  <si>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</si>
  <si>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</si>
  <si>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</si>
  <si>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</si>
  <si>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</si>
  <si>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</si>
  <si>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</si>
  <si>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</si>
  <si>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</si>
  <si>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</si>
  <si>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</si>
  <si>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</si>
  <si>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</si>
  <si>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</si>
  <si>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</si>
  <si>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</si>
  <si>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</si>
  <si>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</si>
  <si>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</si>
  <si>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</si>
  <si>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</si>
  <si>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</si>
  <si>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</si>
  <si>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</si>
  <si>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</si>
  <si>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</si>
  <si>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</si>
  <si>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</si>
  <si>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</si>
  <si>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</si>
  <si>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</si>
  <si>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</si>
  <si>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</si>
  <si>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</si>
  <si>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</si>
  <si>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</si>
  <si>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</si>
  <si>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</si>
  <si>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</si>
  <si>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</si>
  <si>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</si>
  <si>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</si>
  <si>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</si>
  <si>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</si>
  <si>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</si>
  <si>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</si>
  <si>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</si>
  <si>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</si>
  <si>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</si>
  <si>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</si>
  <si>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</si>
  <si>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</si>
  <si>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</si>
  <si>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</si>
  <si>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</si>
  <si>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</si>
  <si>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</si>
  <si>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</si>
  <si>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</si>
  <si>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</si>
  <si>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</si>
  <si>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</si>
  <si>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</si>
  <si>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</si>
  <si>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</si>
  <si>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</si>
  <si>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</si>
  <si>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</si>
  <si>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</si>
  <si>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</si>
  <si>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</si>
  <si>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</si>
  <si>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</si>
  <si>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</si>
  <si>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</si>
  <si>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</si>
  <si>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</si>
  <si>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</si>
  <si>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</si>
  <si>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</si>
  <si>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</si>
  <si>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</si>
  <si>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</si>
  <si>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</si>
  <si>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</si>
  <si>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</si>
  <si>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</si>
  <si>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</si>
  <si>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</si>
  <si>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</si>
  <si>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</si>
  <si>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</si>
  <si>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</si>
  <si>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</si>
  <si>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</si>
  <si>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</si>
  <si>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</si>
  <si>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</si>
  <si>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</si>
  <si>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</si>
  <si>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</si>
  <si>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</si>
  <si>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</si>
  <si>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</si>
  <si>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</si>
  <si>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</si>
  <si>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</si>
  <si>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</si>
  <si>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</si>
  <si>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</si>
  <si>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</si>
  <si>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</si>
  <si>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</si>
  <si>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</si>
  <si>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</si>
  <si>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</si>
  <si>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</si>
  <si>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</si>
  <si>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</si>
  <si>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</si>
  <si>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</si>
  <si>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</si>
  <si>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</si>
  <si>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</si>
  <si>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</si>
  <si>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</si>
  <si>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</si>
  <si>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</si>
  <si>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</si>
  <si>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</si>
  <si>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</si>
  <si>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</si>
  <si>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</si>
  <si>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</si>
  <si>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</si>
  <si>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</si>
  <si>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</si>
  <si>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</si>
  <si>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</si>
  <si>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</si>
  <si>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</si>
  <si>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</si>
  <si>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</si>
  <si>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</si>
  <si>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</si>
  <si>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</si>
  <si>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</si>
  <si>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</si>
  <si>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</si>
  <si>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</si>
  <si>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</si>
  <si>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</si>
  <si>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</si>
  <si>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</si>
  <si>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</si>
  <si>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</si>
  <si>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</si>
  <si>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</si>
  <si>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</si>
  <si>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</si>
  <si>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</si>
  <si>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</si>
  <si>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</si>
  <si>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</si>
  <si>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</si>
  <si>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</si>
  <si>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</si>
  <si>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</si>
  <si>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</si>
  <si>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</si>
  <si>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</si>
  <si>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</si>
  <si>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</si>
  <si>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</si>
  <si>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</si>
  <si>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</si>
  <si>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</si>
  <si>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</si>
  <si>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</si>
  <si>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</si>
  <si>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</si>
  <si>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</si>
  <si>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</si>
  <si>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</si>
  <si>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</si>
  <si>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</si>
  <si>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</si>
  <si>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</si>
  <si>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</si>
  <si>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</si>
  <si>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</si>
  <si>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</si>
  <si>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</si>
  <si>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</si>
  <si>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</si>
  <si>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</si>
  <si>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</si>
  <si>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</si>
  <si>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</si>
  <si>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</si>
  <si>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</si>
  <si>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</si>
  <si>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</si>
  <si>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</si>
  <si>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</si>
  <si>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</si>
  <si>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</si>
  <si>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</si>
  <si>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</si>
  <si>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</si>
  <si>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</si>
  <si>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</si>
  <si>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</si>
  <si>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</si>
  <si>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</si>
  <si>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</si>
  <si>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</si>
  <si>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</si>
  <si>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</si>
  <si>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</si>
  <si>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</si>
  <si>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</si>
  <si>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</si>
  <si>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</si>
  <si>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</si>
  <si>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</si>
  <si>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</si>
  <si>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</si>
  <si>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</si>
  <si>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</si>
  <si>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</si>
  <si>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</si>
  <si>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</si>
  <si>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</si>
  <si>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</si>
  <si>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</si>
  <si>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</si>
  <si>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</si>
  <si>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</si>
  <si>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</si>
  <si>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</si>
  <si>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</si>
  <si>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</si>
  <si>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</si>
  <si>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</si>
  <si>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</si>
  <si>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</si>
  <si>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</si>
  <si>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</si>
  <si>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</si>
  <si>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</si>
  <si>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</si>
  <si>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</si>
  <si>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</si>
  <si>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</si>
  <si>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</si>
  <si>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</si>
  <si>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</si>
  <si>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</si>
  <si>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</si>
  <si>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</si>
  <si>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</si>
  <si>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</si>
  <si>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</si>
  <si>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</si>
  <si>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</si>
  <si>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</si>
  <si>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</si>
  <si>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</si>
  <si>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</si>
  <si>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</si>
  <si>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</si>
  <si>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</si>
  <si>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</si>
  <si>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</si>
  <si>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</si>
  <si>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</si>
  <si>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</si>
  <si>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</si>
  <si>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</si>
  <si>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</si>
  <si>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</si>
  <si>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</si>
  <si>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</si>
  <si>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</si>
  <si>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</si>
  <si>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</si>
  <si>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</si>
  <si>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</si>
  <si>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</si>
  <si>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</si>
  <si>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</si>
  <si>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</si>
  <si>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</si>
  <si>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</si>
  <si>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</si>
  <si>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</si>
  <si>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</si>
  <si>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</si>
  <si>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</si>
  <si>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</si>
  <si>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</si>
  <si>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</si>
  <si>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</si>
  <si>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</si>
  <si>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</si>
  <si>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</si>
  <si>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</si>
  <si>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</si>
  <si>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</si>
  <si>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</si>
  <si>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</si>
  <si>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</si>
  <si>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</si>
  <si>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</si>
  <si>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</si>
  <si>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</si>
  <si>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</si>
  <si>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</si>
  <si>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</si>
  <si>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</si>
  <si>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</si>
  <si>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</si>
  <si>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</si>
  <si>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</si>
  <si>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</si>
  <si>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</si>
  <si>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</si>
  <si>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</si>
  <si>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</si>
  <si>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</si>
  <si>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</si>
  <si>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</si>
  <si>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</si>
  <si>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</si>
  <si>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</si>
  <si>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</si>
  <si>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</si>
  <si>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</si>
  <si>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</si>
  <si>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</si>
  <si>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</si>
  <si>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</si>
  <si>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</si>
  <si>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</si>
  <si>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</si>
  <si>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</si>
  <si>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</si>
  <si>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</si>
  <si>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</si>
  <si>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</si>
  <si>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</si>
  <si>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</si>
  <si>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</si>
  <si>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</si>
  <si>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</si>
  <si>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</si>
  <si>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</si>
  <si>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</si>
  <si>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</si>
  <si>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</si>
  <si>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</si>
  <si>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</si>
  <si>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</si>
  <si>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</si>
  <si>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</si>
  <si>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</si>
  <si>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</si>
  <si>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</si>
  <si>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</si>
  <si>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</si>
  <si>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</si>
  <si>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</si>
  <si>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</si>
  <si>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</si>
  <si>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</si>
  <si>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</si>
  <si>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</si>
  <si>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</si>
  <si>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</si>
  <si>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</si>
  <si>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</si>
  <si>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</si>
  <si>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</si>
  <si>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</si>
  <si>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</si>
  <si>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</si>
  <si>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</si>
  <si>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</si>
  <si>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</si>
  <si>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</si>
  <si>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</si>
  <si>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</si>
  <si>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</si>
  <si>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</si>
  <si>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</si>
  <si>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</si>
  <si>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</si>
  <si>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</si>
  <si>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</si>
  <si>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</si>
  <si>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</si>
  <si>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</si>
  <si>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</si>
  <si>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</si>
  <si>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</si>
  <si>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</si>
  <si>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</si>
  <si>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</si>
  <si>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</si>
  <si>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</si>
  <si>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</si>
  <si>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</si>
  <si>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</si>
  <si>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</si>
  <si>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</si>
  <si>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</si>
  <si>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</si>
  <si>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</si>
  <si>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</si>
  <si>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</si>
  <si>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</si>
  <si>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</si>
  <si>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</si>
  <si>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</si>
  <si>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</si>
  <si>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</si>
  <si>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</si>
  <si>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</si>
  <si>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</si>
  <si>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</si>
  <si>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</si>
  <si>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</si>
  <si>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</si>
  <si>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</si>
  <si>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</si>
  <si>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</si>
  <si>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</si>
  <si>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</si>
  <si>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</si>
  <si>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</si>
  <si>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</si>
  <si>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</si>
  <si>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</si>
  <si>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</si>
  <si>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</si>
  <si>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</si>
  <si>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</si>
  <si>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</si>
  <si>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</si>
  <si>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</si>
  <si>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</si>
  <si>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</si>
  <si>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</si>
  <si>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</si>
  <si>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</si>
  <si>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</si>
  <si>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</si>
  <si>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</si>
  <si>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</si>
  <si>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</si>
  <si>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</si>
  <si>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</si>
  <si>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</si>
  <si>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</si>
  <si>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</si>
  <si>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</si>
  <si>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</si>
  <si>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</si>
  <si>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</si>
  <si>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</si>
  <si>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</si>
  <si>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</si>
  <si>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</si>
  <si>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</si>
  <si>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</si>
  <si>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</si>
  <si>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</si>
  <si>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</si>
  <si>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</si>
  <si>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</si>
  <si>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</si>
  <si>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</si>
  <si>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</si>
  <si>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</si>
  <si>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</si>
  <si>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</si>
  <si>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</si>
  <si>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</si>
  <si>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</si>
  <si>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</si>
  <si>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</si>
  <si>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</si>
  <si>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</si>
  <si>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</si>
  <si>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</si>
  <si>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</si>
  <si>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</si>
  <si>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</si>
  <si>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</si>
  <si>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</si>
  <si>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</si>
  <si>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</si>
  <si>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</si>
  <si>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</si>
  <si>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</si>
  <si>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</si>
  <si>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</si>
  <si>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</si>
  <si>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</si>
  <si>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</si>
  <si>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</si>
  <si>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</si>
  <si>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</si>
  <si>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</si>
  <si>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</si>
  <si>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</si>
  <si>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</si>
  <si>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</si>
  <si>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</si>
  <si>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</si>
  <si>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</si>
  <si>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</si>
  <si>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</si>
  <si>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</si>
  <si>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</si>
  <si>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</si>
  <si>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</si>
  <si>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</si>
  <si>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</si>
  <si>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</si>
  <si>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</si>
  <si>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</si>
  <si>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</si>
  <si>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</si>
  <si>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</si>
  <si>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</si>
  <si>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</si>
  <si>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</si>
  <si>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</si>
  <si>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</si>
  <si>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</si>
  <si>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</si>
  <si>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</si>
  <si>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</si>
  <si>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</si>
  <si>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</si>
  <si>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</si>
  <si>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</si>
  <si>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</si>
  <si>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</si>
  <si>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</si>
  <si>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</si>
  <si>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</si>
  <si>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</si>
  <si>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</si>
  <si>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</si>
  <si>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</si>
  <si>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</si>
  <si>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</si>
  <si>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</si>
  <si>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</si>
  <si>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</si>
  <si>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</si>
  <si>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</si>
  <si>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</si>
  <si>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</si>
  <si>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</si>
  <si>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</si>
  <si>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</si>
  <si>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</si>
  <si>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</si>
  <si>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</si>
  <si>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</si>
  <si>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</si>
  <si>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</si>
  <si>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</si>
  <si>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</si>
  <si>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</si>
  <si>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</si>
  <si>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</si>
  <si>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</si>
  <si>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</si>
  <si>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</si>
  <si>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</si>
  <si>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</si>
  <si>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</si>
  <si>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</si>
  <si>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</si>
  <si>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</si>
  <si>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</si>
  <si>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</si>
  <si>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</si>
  <si>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</si>
  <si>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</si>
  <si>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</si>
  <si>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</si>
  <si>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</si>
  <si>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</si>
  <si>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</si>
  <si>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</si>
  <si>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</si>
  <si>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</si>
  <si>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</si>
  <si>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</si>
  <si>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</si>
  <si>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</si>
  <si>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</si>
  <si>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</si>
  <si>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</si>
  <si>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</si>
  <si>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</si>
  <si>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</si>
  <si>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</si>
  <si>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</si>
  <si>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</si>
  <si>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</si>
  <si>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</si>
  <si>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</si>
  <si>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</si>
  <si>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</si>
  <si>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</si>
  <si>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</si>
  <si>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</si>
  <si>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</si>
  <si>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</si>
  <si>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</si>
  <si>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</si>
  <si>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</si>
  <si>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</si>
  <si>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</si>
  <si>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</si>
  <si>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</si>
  <si>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</si>
  <si>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</si>
  <si>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</si>
  <si>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</si>
  <si>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</si>
  <si>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</si>
  <si>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</si>
  <si>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</si>
  <si>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</si>
  <si>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</si>
  <si>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</si>
  <si>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</si>
  <si>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</si>
  <si>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</si>
  <si>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</si>
  <si>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</si>
  <si>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</si>
  <si>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</si>
  <si>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</si>
  <si>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</si>
  <si>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</si>
  <si>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</si>
  <si>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</si>
  <si>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</si>
  <si>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</si>
  <si>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</si>
  <si>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</si>
  <si>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</si>
  <si>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</si>
  <si>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</si>
  <si>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</si>
  <si>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</si>
  <si>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</si>
  <si>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</si>
  <si>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</si>
  <si>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</si>
  <si>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</si>
  <si>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</si>
  <si>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</si>
  <si>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</si>
  <si>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</si>
  <si>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</si>
  <si>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</si>
  <si>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</si>
  <si>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</si>
  <si>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</si>
  <si>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</si>
  <si>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</si>
  <si>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</si>
  <si>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</si>
  <si>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</si>
  <si>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</si>
  <si>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</si>
  <si>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</si>
  <si>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</si>
  <si>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</si>
  <si>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</si>
  <si>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</si>
  <si>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</si>
  <si>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</si>
  <si>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</si>
  <si>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</si>
  <si>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</si>
  <si>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</si>
  <si>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</si>
  <si>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</si>
  <si>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</si>
  <si>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</si>
  <si>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</si>
  <si>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</si>
  <si>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</si>
  <si>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</si>
  <si>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</si>
  <si>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</si>
  <si>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</si>
  <si>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</si>
  <si>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</si>
  <si>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</si>
  <si>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</si>
  <si>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</si>
  <si>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</si>
  <si>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</si>
  <si>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</si>
  <si>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</si>
  <si>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</si>
  <si>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</si>
  <si>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</si>
  <si>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</si>
  <si>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</si>
  <si>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</si>
  <si>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</si>
  <si>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</si>
  <si>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</si>
  <si>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</si>
  <si>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</si>
  <si>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</si>
  <si>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</si>
  <si>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</si>
  <si>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</si>
  <si>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</si>
  <si>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</si>
  <si>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</si>
  <si>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</si>
  <si>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</si>
  <si>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</si>
  <si>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</si>
  <si>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</si>
  <si>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</si>
  <si>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</si>
  <si>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</si>
  <si>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</si>
  <si>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</si>
  <si>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</si>
  <si>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</si>
  <si>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</si>
  <si>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</si>
  <si>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</si>
  <si>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</si>
  <si>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</si>
  <si>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</si>
  <si>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</si>
  <si>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</si>
  <si>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</si>
  <si>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</si>
  <si>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</si>
  <si>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</si>
  <si>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</si>
  <si>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</si>
  <si>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</si>
  <si>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</si>
  <si>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</si>
  <si>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</si>
  <si>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</si>
  <si>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</si>
  <si>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</si>
  <si>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</si>
  <si>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</si>
  <si>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</si>
  <si>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</si>
  <si>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</si>
  <si>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</si>
  <si>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</si>
  <si>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</si>
  <si>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</si>
  <si>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</si>
  <si>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</si>
  <si>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</si>
  <si>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</si>
  <si>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</si>
  <si>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</si>
  <si>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</si>
  <si>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</si>
  <si>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</si>
  <si>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</si>
  <si>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</si>
  <si>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</si>
  <si>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</si>
  <si>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</si>
  <si>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</si>
  <si>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</si>
  <si>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</si>
  <si>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</si>
  <si>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</si>
  <si>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</si>
  <si>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</si>
  <si>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</si>
  <si>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</si>
  <si>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</si>
  <si>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</si>
  <si>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</si>
  <si>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</si>
  <si>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</si>
  <si>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</si>
  <si>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</si>
  <si>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</si>
  <si>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</si>
  <si>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</si>
  <si>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</si>
  <si>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</si>
  <si>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</si>
  <si>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</si>
  <si>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</si>
  <si>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</si>
  <si>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</si>
  <si>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</si>
  <si>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</si>
  <si>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1650010</t>
  </si>
  <si>
    <t>Prepaid Pension Benefits</t>
  </si>
  <si>
    <t>1650014</t>
  </si>
  <si>
    <t>FAS 158 Qual Contra Asset</t>
  </si>
  <si>
    <t>Prepaid Insurance - EIS</t>
  </si>
  <si>
    <t>9280000</t>
  </si>
  <si>
    <t>Regulatory Commission Exp</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</si>
  <si>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</si>
  <si>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</si>
  <si>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</si>
  <si>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</si>
  <si>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</si>
  <si>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</si>
  <si>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</si>
  <si>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</si>
  <si>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</si>
  <si>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</si>
  <si>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West Virginia Corporate Income Tax</t>
  </si>
  <si>
    <t>Apportionment Factor - Note 2</t>
  </si>
  <si>
    <t>Illinois Corporation Income Tax</t>
  </si>
  <si>
    <t>Michigan Business Income Tax</t>
  </si>
  <si>
    <t>Kentucky Business Income Tax</t>
  </si>
  <si>
    <t>Ohio Municipal Net Income Tax</t>
  </si>
  <si>
    <t>Ohio Franchise Tax Rate</t>
  </si>
  <si>
    <t>Phase-out Factor Note 1</t>
  </si>
  <si>
    <t>WEST VA JURISDICTION</t>
  </si>
  <si>
    <t>Real and Personal Property - Other</t>
  </si>
  <si>
    <t>OPCo Worksheet J -  ATRR PROJECTED Calculation for PJM Projects Charged to Benefiting Zones</t>
  </si>
  <si>
    <t>No</t>
  </si>
  <si>
    <r>
      <t xml:space="preserve">## </t>
    </r>
    <r>
      <rPr>
        <b/>
        <sz val="10"/>
        <rFont val="Arial"/>
        <family val="2"/>
      </rPr>
      <t>This is the calculation of  additional incentive revenue on projects deemed by the FERC to be eligible for an incentive return.  This</t>
    </r>
  </si>
  <si>
    <t>Prepaid Taxes</t>
  </si>
  <si>
    <t>1650021</t>
  </si>
  <si>
    <t>Prepaid Taxes - Distribution</t>
  </si>
  <si>
    <t>Prefunded Pension Expense</t>
  </si>
  <si>
    <t>RTEP ID: b1864.2 (West Bellaire-Brues 138kV Circuit)</t>
  </si>
  <si>
    <t>EIS Insurance</t>
  </si>
  <si>
    <t>Medical Benefits</t>
  </si>
  <si>
    <t>Muni B&amp;O Tax</t>
  </si>
  <si>
    <t>SFAS 158 Offsett</t>
  </si>
  <si>
    <t>9280001</t>
  </si>
  <si>
    <t>Regulatory Commission Exp-Adm</t>
  </si>
  <si>
    <t>9280002</t>
  </si>
  <si>
    <t>Regulatory Commission Exp-Case</t>
  </si>
  <si>
    <t>9280005</t>
  </si>
  <si>
    <t>Reg Com Exp-FERC Trans Cases</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</si>
  <si>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</si>
  <si>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</si>
  <si>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</si>
  <si>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</si>
  <si>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</si>
  <si>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Transportation Equipment</t>
  </si>
  <si>
    <t>Power Operated Equipment</t>
  </si>
  <si>
    <t>WHEELING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</si>
  <si>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</si>
  <si>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</si>
  <si>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</si>
  <si>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</si>
  <si>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</si>
  <si>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</si>
  <si>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</si>
  <si>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</si>
  <si>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</si>
  <si>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</si>
  <si>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</si>
  <si>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</si>
  <si>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</si>
  <si>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</si>
  <si>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</si>
  <si>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</si>
  <si>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</si>
  <si>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</si>
  <si>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</si>
  <si>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</si>
  <si>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</si>
  <si>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</si>
  <si>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</si>
  <si>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</si>
  <si>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</si>
  <si>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</si>
  <si>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</si>
  <si>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</si>
  <si>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</si>
  <si>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</si>
  <si>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</si>
  <si>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ARAM</t>
  </si>
  <si>
    <t>Life of Asset</t>
  </si>
  <si>
    <t>1c</t>
  </si>
  <si>
    <t>ADFIT - Accel Amort FAS 109 Excess</t>
  </si>
  <si>
    <t>WS B - 1 Col C/D, ADIT item 2.06</t>
  </si>
  <si>
    <t>1d</t>
  </si>
  <si>
    <t>ADFIT - Utility Property</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</si>
  <si>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</si>
  <si>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</si>
  <si>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</si>
  <si>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</si>
  <si>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</si>
  <si>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</si>
  <si>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</si>
  <si>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</si>
  <si>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</si>
  <si>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</si>
  <si>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</si>
  <si>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</si>
  <si>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</si>
  <si>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</si>
  <si>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</si>
  <si>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</si>
  <si>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</si>
  <si>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</si>
  <si>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</si>
  <si>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</si>
  <si>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</si>
  <si>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</si>
  <si>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</si>
  <si>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</si>
  <si>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</si>
  <si>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</si>
  <si>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</si>
  <si>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</si>
  <si>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</si>
  <si>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</si>
  <si>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</si>
  <si>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</si>
  <si>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</si>
  <si>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</si>
  <si>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</si>
  <si>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</si>
  <si>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</si>
  <si>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</si>
  <si>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</si>
  <si>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</si>
  <si>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</si>
  <si>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</si>
  <si>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</si>
  <si>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</si>
  <si>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9280003</t>
  </si>
  <si>
    <t>Rate Case Amort</t>
  </si>
  <si>
    <t>State B&amp;O Tax</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</si>
  <si>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</si>
  <si>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</si>
  <si>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</si>
  <si>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</si>
  <si>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</si>
  <si>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</si>
  <si>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</si>
  <si>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</si>
  <si>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</si>
  <si>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</si>
  <si>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</si>
  <si>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</si>
  <si>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</si>
  <si>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</si>
  <si>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</si>
  <si>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</si>
  <si>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</si>
  <si>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</si>
  <si>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r>
      <t>190</t>
    </r>
    <r>
      <rPr>
        <sz val="9"/>
        <color rgb="FFFF0000"/>
        <rFont val="Arial"/>
        <family val="2"/>
      </rPr>
      <t>4</t>
    </r>
    <r>
      <rPr>
        <sz val="9"/>
        <rFont val="Arial"/>
        <family val="2"/>
      </rPr>
      <t>001</t>
    </r>
  </si>
  <si>
    <t>WS B - 2 Col C/D, ADIT item 2.51</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</si>
  <si>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</si>
  <si>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</si>
  <si>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</si>
  <si>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5.24</t>
  </si>
  <si>
    <r>
      <t>282</t>
    </r>
    <r>
      <rPr>
        <sz val="9"/>
        <color rgb="FFFF0000"/>
        <rFont val="Arial"/>
        <family val="2"/>
      </rPr>
      <t>4</t>
    </r>
    <r>
      <rPr>
        <sz val="9"/>
        <rFont val="Arial"/>
        <family val="2"/>
      </rPr>
      <t>001</t>
    </r>
  </si>
  <si>
    <t>WS B - 1 Col C/D, ADIT Item 5.27</t>
  </si>
  <si>
    <r>
      <t>283</t>
    </r>
    <r>
      <rPr>
        <sz val="9"/>
        <color rgb="FFFF0000"/>
        <rFont val="Arial"/>
        <family val="2"/>
      </rPr>
      <t>1</t>
    </r>
    <r>
      <rPr>
        <sz val="9"/>
        <rFont val="Arial"/>
        <family val="2"/>
      </rPr>
      <t>001</t>
    </r>
  </si>
  <si>
    <t>WS B - 1 Cols M+N+O , ADIT Item 9.39</t>
  </si>
  <si>
    <r>
      <t>283</t>
    </r>
    <r>
      <rPr>
        <sz val="9"/>
        <color rgb="FFFF0000"/>
        <rFont val="Arial"/>
        <family val="2"/>
      </rPr>
      <t>4</t>
    </r>
    <r>
      <rPr>
        <sz val="9"/>
        <rFont val="Arial"/>
        <family val="2"/>
      </rPr>
      <t>001</t>
    </r>
  </si>
  <si>
    <t>WS B - 1 Col C/D, ADIT Item 9.42</t>
  </si>
  <si>
    <t>WS B - 1 Col N, ADIT Item 5.24</t>
  </si>
  <si>
    <t>WS B - 1 Cols N , ADIT Item 9.39</t>
  </si>
  <si>
    <t>Other Prepayments</t>
  </si>
  <si>
    <t>2282003</t>
  </si>
  <si>
    <t>Accm Prv I/D - Asbestos - Curr</t>
  </si>
  <si>
    <t>2282011</t>
  </si>
  <si>
    <t>53c</t>
  </si>
  <si>
    <t>Accm Prv I/D - Asbestos</t>
  </si>
  <si>
    <t>2282012</t>
  </si>
  <si>
    <t>12/31/2022 Ending Balance</t>
  </si>
  <si>
    <t>1/1/2022 Beginning  Balances</t>
  </si>
  <si>
    <t>For Year Ended December 31, 2023</t>
  </si>
  <si>
    <t>An over or under collection will be recovered prorata over 2021, held for 2022 and returned prorate over 2023</t>
  </si>
  <si>
    <t>2021 Forecasted Revenue Requirement For Year 2021</t>
  </si>
  <si>
    <t>165000219</t>
  </si>
  <si>
    <t>165000220</t>
  </si>
  <si>
    <t>165000221</t>
  </si>
  <si>
    <t>1650006</t>
  </si>
  <si>
    <t>1650035</t>
  </si>
  <si>
    <t>PRW Without MED-D Benefits</t>
  </si>
  <si>
    <t>1650037</t>
  </si>
  <si>
    <t>FAS158 Contra-PRW Exclud Med-D</t>
  </si>
  <si>
    <t>2021 Collections</t>
  </si>
  <si>
    <t>SUN Cash Flow Hedge - 6.000%</t>
  </si>
  <si>
    <t>SUN Cash Flow Hedge - 5.375%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</si>
</sst>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s>
  <fonts count="170">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0"/>
      <name val="Arial"/>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376">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5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1" fillId="0" borderId="0" applyFont="0" applyFill="0" applyBorder="0" applyAlignment="0" applyProtection="0"/>
    <xf numFmtId="43" fontId="1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36"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7"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57" fillId="0" borderId="0" applyFont="0" applyFill="0" applyBorder="0" applyAlignment="0" applyProtection="0"/>
    <xf numFmtId="43" fontId="11" fillId="0" borderId="0" applyFont="0" applyFill="0" applyBorder="0" applyAlignment="0" applyProtection="0"/>
    <xf numFmtId="43" fontId="157"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2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7"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7"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8" fillId="0" borderId="0"/>
    <xf numFmtId="3" fontId="11" fillId="0" borderId="0"/>
    <xf numFmtId="3" fontId="11" fillId="0" borderId="0"/>
    <xf numFmtId="3" fontId="128" fillId="0" borderId="0"/>
    <xf numFmtId="0" fontId="11" fillId="0" borderId="0"/>
    <xf numFmtId="0" fontId="11" fillId="0" borderId="0"/>
    <xf numFmtId="3" fontId="11" fillId="0" borderId="0"/>
    <xf numFmtId="3" fontId="128" fillId="0" borderId="0"/>
    <xf numFmtId="3" fontId="11" fillId="0" borderId="0"/>
    <xf numFmtId="0" fontId="157" fillId="0" borderId="0"/>
    <xf numFmtId="3" fontId="128" fillId="0" borderId="0"/>
    <xf numFmtId="3" fontId="11" fillId="0" borderId="0"/>
    <xf numFmtId="3" fontId="128" fillId="0" borderId="0"/>
    <xf numFmtId="3" fontId="11" fillId="0" borderId="0"/>
    <xf numFmtId="0" fontId="11" fillId="0" borderId="0"/>
    <xf numFmtId="3" fontId="128" fillId="0" borderId="0"/>
    <xf numFmtId="3" fontId="11" fillId="0" borderId="0"/>
    <xf numFmtId="3" fontId="128" fillId="0" borderId="0"/>
    <xf numFmtId="3" fontId="11" fillId="0" borderId="0"/>
    <xf numFmtId="3" fontId="128" fillId="0" borderId="0"/>
    <xf numFmtId="3" fontId="11" fillId="0" borderId="0"/>
    <xf numFmtId="3" fontId="129" fillId="0" borderId="0"/>
    <xf numFmtId="3" fontId="11" fillId="0" borderId="0"/>
    <xf numFmtId="0" fontId="11" fillId="0" borderId="0"/>
    <xf numFmtId="0" fontId="127" fillId="0" borderId="0"/>
    <xf numFmtId="0" fontId="158" fillId="0" borderId="0"/>
    <xf numFmtId="0" fontId="11" fillId="0" borderId="0"/>
    <xf numFmtId="0" fontId="11" fillId="0" borderId="0"/>
    <xf numFmtId="0" fontId="158" fillId="0" borderId="0"/>
    <xf numFmtId="0"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1" fillId="0" borderId="0"/>
    <xf numFmtId="3" fontId="136" fillId="0" borderId="0"/>
    <xf numFmtId="3" fontId="11" fillId="0" borderId="0"/>
    <xf numFmtId="3" fontId="136" fillId="0" borderId="0"/>
    <xf numFmtId="3" fontId="11" fillId="0" borderId="0"/>
    <xf numFmtId="0" fontId="11" fillId="0" borderId="0"/>
    <xf numFmtId="0" fontId="11" fillId="0" borderId="0"/>
    <xf numFmtId="3" fontId="11" fillId="0" borderId="0"/>
    <xf numFmtId="0" fontId="11" fillId="0" borderId="0"/>
    <xf numFmtId="0" fontId="11" fillId="0" borderId="0"/>
    <xf numFmtId="0" fontId="1" fillId="0" borderId="0"/>
    <xf numFmtId="0" fontId="11" fillId="0" borderId="0"/>
    <xf numFmtId="0" fontId="154" fillId="0" borderId="0"/>
    <xf numFmtId="0" fontId="11" fillId="0" borderId="0"/>
    <xf numFmtId="0" fontId="128" fillId="0" borderId="0"/>
    <xf numFmtId="0" fontId="11" fillId="0" borderId="0"/>
    <xf numFmtId="0" fontId="11" fillId="0" borderId="0"/>
    <xf numFmtId="0" fontId="129" fillId="0" borderId="0"/>
    <xf numFmtId="0" fontId="11" fillId="0" borderId="0"/>
    <xf numFmtId="0" fontId="11" fillId="0" borderId="0"/>
    <xf numFmtId="0" fontId="11" fillId="0" borderId="0"/>
    <xf numFmtId="0" fontId="133" fillId="0" borderId="0"/>
    <xf numFmtId="0" fontId="11" fillId="0" borderId="0"/>
    <xf numFmtId="0" fontId="136" fillId="0" borderId="0"/>
    <xf numFmtId="0" fontId="11" fillId="0" borderId="0"/>
    <xf numFmtId="0" fontId="153" fillId="0" borderId="0"/>
    <xf numFmtId="0" fontId="11" fillId="0" borderId="0"/>
    <xf numFmtId="0" fontId="11" fillId="0" borderId="0"/>
    <xf numFmtId="0" fontId="11"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57" fillId="0" borderId="0"/>
    <xf numFmtId="0" fontId="128" fillId="0" borderId="0"/>
    <xf numFmtId="0" fontId="11" fillId="0" borderId="0"/>
    <xf numFmtId="0" fontId="11" fillId="0" borderId="0"/>
    <xf numFmtId="0" fontId="129" fillId="0" borderId="0"/>
    <xf numFmtId="0" fontId="11" fillId="0" borderId="0"/>
    <xf numFmtId="0" fontId="136" fillId="0" borderId="0"/>
    <xf numFmtId="0" fontId="11" fillId="0" borderId="0"/>
    <xf numFmtId="0" fontId="157" fillId="0" borderId="0"/>
    <xf numFmtId="0" fontId="11" fillId="0" borderId="0"/>
    <xf numFmtId="0" fontId="157" fillId="0" borderId="0"/>
    <xf numFmtId="0" fontId="11" fillId="0" borderId="0"/>
    <xf numFmtId="0" fontId="157" fillId="0" borderId="0"/>
    <xf numFmtId="0" fontId="11" fillId="0" borderId="0"/>
    <xf numFmtId="0" fontId="2" fillId="0" borderId="0" applyProtection="0"/>
    <xf numFmtId="0" fontId="1" fillId="0" borderId="0"/>
    <xf numFmtId="0" fontId="129" fillId="0" borderId="0"/>
    <xf numFmtId="0" fontId="11" fillId="0" borderId="0"/>
    <xf numFmtId="0" fontId="11" fillId="0" borderId="0"/>
    <xf numFmtId="0" fontId="133" fillId="0" borderId="0"/>
    <xf numFmtId="0" fontId="11" fillId="0" borderId="0"/>
    <xf numFmtId="172" fontId="2" fillId="0" borderId="0" applyProtection="0"/>
    <xf numFmtId="0" fontId="1" fillId="0" borderId="0"/>
    <xf numFmtId="0" fontId="153"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7" fillId="0" borderId="0" applyFont="0" applyFill="0" applyBorder="0" applyAlignment="0" applyProtection="0"/>
    <xf numFmtId="9" fontId="14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58">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276" applyFont="1" applyFill="1" applyAlignment="1">
      <alignment horizontal="center"/>
    </xf>
    <xf numFmtId="0" fontId="14" fillId="0" borderId="0" xfId="276" applyFont="1" applyFill="1"/>
    <xf numFmtId="9" fontId="8" fillId="0" borderId="0" xfId="276" quotePrefix="1" applyNumberFormat="1" applyFont="1" applyFill="1" applyAlignment="1">
      <alignment horizontal="center"/>
    </xf>
    <xf numFmtId="0" fontId="16" fillId="0" borderId="0" xfId="276" applyFont="1" applyAlignment="1">
      <alignment horizontal="right"/>
    </xf>
    <xf numFmtId="0" fontId="16" fillId="0" borderId="0" xfId="276" applyFont="1" applyAlignment="1">
      <alignment horizontal="center"/>
    </xf>
    <xf numFmtId="0" fontId="16" fillId="0" borderId="0" xfId="276" applyFont="1" applyFill="1" applyAlignment="1">
      <alignment horizontal="center"/>
    </xf>
    <xf numFmtId="9" fontId="8" fillId="0" borderId="0" xfId="276"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7" fillId="0" borderId="0" xfId="0" applyFont="1"/>
    <xf numFmtId="0" fontId="11" fillId="0" borderId="0" xfId="276" applyFont="1" applyFill="1"/>
    <xf numFmtId="41" fontId="11" fillId="0" borderId="0" xfId="276" applyNumberFormat="1" applyFont="1" applyFill="1"/>
    <xf numFmtId="0" fontId="14" fillId="0" borderId="0" xfId="276" applyFont="1" applyFill="1" applyAlignment="1">
      <alignment horizontal="left"/>
    </xf>
    <xf numFmtId="3" fontId="11" fillId="0" borderId="0" xfId="0" applyNumberFormat="1" applyFont="1" applyFill="1"/>
    <xf numFmtId="0" fontId="4" fillId="0" borderId="0" xfId="276" applyFont="1" applyFill="1" applyAlignment="1">
      <alignment horizontal="right"/>
    </xf>
    <xf numFmtId="40" fontId="11" fillId="0" borderId="0" xfId="0" applyNumberFormat="1" applyFont="1" applyFill="1"/>
    <xf numFmtId="0" fontId="11" fillId="0" borderId="0" xfId="276" applyFont="1"/>
    <xf numFmtId="0" fontId="4" fillId="0" borderId="0" xfId="276" applyFont="1" applyFill="1"/>
    <xf numFmtId="0" fontId="8" fillId="0" borderId="0" xfId="276" applyFont="1" applyFill="1" applyBorder="1" applyAlignment="1">
      <alignment horizontal="left"/>
    </xf>
    <xf numFmtId="0" fontId="8" fillId="0" borderId="0" xfId="276" applyFont="1" applyFill="1" applyBorder="1"/>
    <xf numFmtId="0" fontId="11" fillId="0" borderId="0" xfId="276" applyFont="1" applyAlignment="1">
      <alignment horizontal="left"/>
    </xf>
    <xf numFmtId="0" fontId="5" fillId="0" borderId="0" xfId="276"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3" fontId="18" fillId="0" borderId="0" xfId="0" applyNumberFormat="1" applyFont="1" applyFill="1" applyAlignment="1"/>
    <xf numFmtId="41" fontId="26" fillId="0" borderId="0" xfId="276" applyNumberFormat="1" applyFont="1" applyFill="1" applyBorder="1"/>
    <xf numFmtId="0" fontId="27" fillId="0" borderId="0" xfId="276" applyFont="1" applyFill="1" applyAlignment="1">
      <alignment horizontal="left"/>
    </xf>
    <xf numFmtId="0" fontId="25" fillId="0" borderId="0" xfId="276" applyFont="1" applyFill="1"/>
    <xf numFmtId="41" fontId="25" fillId="0" borderId="0" xfId="276" applyNumberFormat="1" applyFont="1" applyFill="1" applyBorder="1"/>
    <xf numFmtId="0" fontId="25" fillId="0" borderId="0" xfId="276" applyFont="1" applyFill="1" applyAlignment="1">
      <alignment horizontal="left"/>
    </xf>
    <xf numFmtId="0" fontId="28" fillId="0" borderId="0" xfId="276" applyFont="1" applyFill="1" applyBorder="1"/>
    <xf numFmtId="0" fontId="25" fillId="0" borderId="0" xfId="276" applyFont="1" applyFill="1" applyAlignment="1">
      <alignment horizontal="center"/>
    </xf>
    <xf numFmtId="0" fontId="9" fillId="0" borderId="0" xfId="276" applyFont="1" applyFill="1" applyAlignment="1">
      <alignment horizontal="center"/>
    </xf>
    <xf numFmtId="173" fontId="25" fillId="0" borderId="0" xfId="276" applyNumberFormat="1" applyFont="1" applyFill="1"/>
    <xf numFmtId="173" fontId="25" fillId="0" borderId="0" xfId="276" applyNumberFormat="1" applyFont="1" applyFill="1" applyBorder="1" applyAlignment="1">
      <alignment vertical="top"/>
    </xf>
    <xf numFmtId="41" fontId="25" fillId="0" borderId="13" xfId="276" applyNumberFormat="1" applyFont="1" applyFill="1" applyBorder="1"/>
    <xf numFmtId="173" fontId="5" fillId="0" borderId="0" xfId="86" applyNumberFormat="1" applyFont="1" applyFill="1" applyAlignment="1">
      <alignment horizontal="center"/>
    </xf>
    <xf numFmtId="0" fontId="4" fillId="0" borderId="0" xfId="276" applyFont="1" applyFill="1" applyAlignment="1">
      <alignment horizontal="center"/>
    </xf>
    <xf numFmtId="0" fontId="29" fillId="0" borderId="0" xfId="276" applyFont="1" applyFill="1" applyBorder="1"/>
    <xf numFmtId="0" fontId="9" fillId="0" borderId="0" xfId="276" applyFont="1" applyAlignment="1">
      <alignment horizontal="center"/>
    </xf>
    <xf numFmtId="41" fontId="4" fillId="0" borderId="13" xfId="276"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276" applyNumberFormat="1" applyFont="1" applyFill="1"/>
    <xf numFmtId="3" fontId="4" fillId="0" borderId="0" xfId="0" applyNumberFormat="1" applyFont="1" applyFill="1" applyAlignment="1"/>
    <xf numFmtId="41" fontId="26" fillId="25" borderId="0" xfId="276" applyNumberFormat="1" applyFont="1" applyFill="1" applyBorder="1"/>
    <xf numFmtId="0" fontId="6" fillId="0" borderId="0" xfId="232" applyFont="1" applyFill="1" applyBorder="1" applyAlignment="1">
      <alignment horizontal="left"/>
    </xf>
    <xf numFmtId="0" fontId="11" fillId="0" borderId="0" xfId="232" applyFont="1" applyBorder="1" applyAlignment="1"/>
    <xf numFmtId="0" fontId="11" fillId="0" borderId="0" xfId="232" applyFont="1" applyBorder="1" applyAlignment="1">
      <alignment horizontal="center"/>
    </xf>
    <xf numFmtId="0" fontId="11" fillId="0" borderId="0" xfId="232" applyFont="1" applyBorder="1"/>
    <xf numFmtId="0" fontId="11" fillId="0" borderId="0" xfId="232" applyNumberFormat="1" applyFont="1" applyFill="1" applyBorder="1" applyAlignment="1">
      <alignment horizontal="left"/>
    </xf>
    <xf numFmtId="0" fontId="8" fillId="0" borderId="0" xfId="232" applyNumberFormat="1" applyFont="1" applyFill="1" applyBorder="1" applyAlignment="1">
      <alignment horizontal="left"/>
    </xf>
    <xf numFmtId="0" fontId="11" fillId="0" borderId="0" xfId="232" applyFont="1" applyFill="1" applyBorder="1" applyAlignment="1">
      <alignment horizontal="center" wrapText="1"/>
    </xf>
    <xf numFmtId="3" fontId="11" fillId="0" borderId="0" xfId="232" applyNumberFormat="1" applyFont="1" applyFill="1" applyBorder="1" applyAlignment="1"/>
    <xf numFmtId="0" fontId="11" fillId="0" borderId="0" xfId="232" applyFont="1" applyFill="1" applyBorder="1" applyAlignment="1"/>
    <xf numFmtId="0" fontId="11" fillId="0" borderId="0" xfId="232" applyNumberFormat="1" applyFont="1" applyFill="1" applyBorder="1" applyAlignment="1">
      <alignment horizontal="center"/>
    </xf>
    <xf numFmtId="173" fontId="11" fillId="0" borderId="0" xfId="91" applyNumberFormat="1" applyFont="1" applyFill="1" applyBorder="1" applyAlignment="1">
      <alignment horizontal="right"/>
    </xf>
    <xf numFmtId="0" fontId="7" fillId="0" borderId="0" xfId="232" applyFont="1" applyFill="1" applyBorder="1" applyAlignment="1"/>
    <xf numFmtId="0" fontId="11" fillId="0" borderId="0" xfId="232" applyFont="1" applyFill="1" applyBorder="1"/>
    <xf numFmtId="0" fontId="8" fillId="0" borderId="0" xfId="232" applyFont="1" applyBorder="1" applyAlignment="1"/>
    <xf numFmtId="0" fontId="8" fillId="0" borderId="0" xfId="232" applyNumberFormat="1" applyFont="1" applyFill="1" applyBorder="1" applyAlignment="1">
      <alignment horizontal="center"/>
    </xf>
    <xf numFmtId="164" fontId="11" fillId="0" borderId="0" xfId="299" applyNumberFormat="1" applyFont="1" applyFill="1" applyBorder="1" applyAlignment="1"/>
    <xf numFmtId="173" fontId="11" fillId="0" borderId="0" xfId="91" applyNumberFormat="1" applyFont="1" applyFill="1" applyBorder="1" applyAlignment="1">
      <alignment horizontal="left"/>
    </xf>
    <xf numFmtId="0" fontId="11" fillId="0" borderId="0" xfId="232" applyFont="1" applyFill="1" applyBorder="1" applyAlignment="1">
      <alignment horizontal="center"/>
    </xf>
    <xf numFmtId="3" fontId="11" fillId="0" borderId="0" xfId="232" applyNumberFormat="1" applyFont="1" applyFill="1" applyBorder="1" applyAlignment="1">
      <alignment horizontal="right"/>
    </xf>
    <xf numFmtId="3" fontId="11" fillId="0" borderId="0" xfId="232"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276" applyFont="1" applyFill="1"/>
    <xf numFmtId="0" fontId="16" fillId="0" borderId="0" xfId="232" applyFont="1" applyFill="1" applyBorder="1" applyAlignment="1">
      <alignment horizontal="left"/>
    </xf>
    <xf numFmtId="0" fontId="8" fillId="0" borderId="0" xfId="232" applyFont="1" applyFill="1" applyBorder="1" applyAlignment="1">
      <alignment horizontal="left"/>
    </xf>
    <xf numFmtId="0" fontId="8" fillId="0" borderId="0" xfId="232" applyFont="1" applyFill="1" applyBorder="1" applyAlignment="1">
      <alignment horizontal="center"/>
    </xf>
    <xf numFmtId="173" fontId="11" fillId="0" borderId="14" xfId="91" applyNumberFormat="1" applyFont="1" applyFill="1" applyBorder="1" applyAlignment="1">
      <alignment horizontal="right"/>
    </xf>
    <xf numFmtId="0" fontId="8" fillId="0" borderId="0" xfId="232" applyFont="1" applyBorder="1" applyAlignment="1">
      <alignment horizontal="center"/>
    </xf>
    <xf numFmtId="0" fontId="11" fillId="0" borderId="0" xfId="276" applyFont="1" applyAlignment="1">
      <alignment horizontal="center"/>
    </xf>
    <xf numFmtId="0" fontId="4" fillId="0" borderId="0" xfId="232" applyFont="1" applyBorder="1" applyAlignment="1">
      <alignment horizontal="center"/>
    </xf>
    <xf numFmtId="49" fontId="4" fillId="0" borderId="0" xfId="276" applyNumberFormat="1" applyFont="1" applyAlignment="1">
      <alignment horizontal="center"/>
    </xf>
    <xf numFmtId="0" fontId="8" fillId="0" borderId="0" xfId="232" applyFont="1" applyBorder="1"/>
    <xf numFmtId="3" fontId="9" fillId="0" borderId="0" xfId="0" applyNumberFormat="1" applyFont="1" applyFill="1" applyAlignment="1">
      <alignment horizontal="center"/>
    </xf>
    <xf numFmtId="173" fontId="1" fillId="0" borderId="0" xfId="86" applyNumberFormat="1"/>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86" applyNumberFormat="1" applyFont="1"/>
    <xf numFmtId="10" fontId="11" fillId="0" borderId="0" xfId="0" applyNumberFormat="1" applyFont="1"/>
    <xf numFmtId="173" fontId="1" fillId="0" borderId="0" xfId="86" applyNumberFormat="1" applyFill="1"/>
    <xf numFmtId="10" fontId="0" fillId="0" borderId="0" xfId="0" applyNumberFormat="1"/>
    <xf numFmtId="184" fontId="17" fillId="0" borderId="0" xfId="287" applyNumberFormat="1" applyFont="1"/>
    <xf numFmtId="0" fontId="70" fillId="0" borderId="0" xfId="287" applyFont="1"/>
    <xf numFmtId="184" fontId="17" fillId="0" borderId="0" xfId="287" applyNumberFormat="1" applyFont="1" applyAlignment="1">
      <alignment horizontal="center"/>
    </xf>
    <xf numFmtId="0" fontId="11" fillId="0" borderId="0" xfId="287" applyFont="1"/>
    <xf numFmtId="0" fontId="17" fillId="0" borderId="0" xfId="287" applyFont="1"/>
    <xf numFmtId="0" fontId="17" fillId="0" borderId="0" xfId="287" applyNumberFormat="1" applyFont="1" applyAlignment="1">
      <alignment horizontal="center"/>
    </xf>
    <xf numFmtId="0" fontId="17" fillId="0" borderId="0" xfId="287" applyNumberFormat="1" applyFont="1"/>
    <xf numFmtId="0" fontId="17" fillId="0" borderId="0" xfId="287" applyNumberFormat="1" applyFont="1" applyBorder="1" applyAlignment="1">
      <alignment horizontal="center"/>
    </xf>
    <xf numFmtId="184" fontId="71" fillId="0" borderId="0" xfId="287" applyNumberFormat="1" applyFont="1"/>
    <xf numFmtId="0" fontId="72" fillId="0" borderId="0" xfId="287" applyFont="1"/>
    <xf numFmtId="173" fontId="70" fillId="0" borderId="0" xfId="287" applyNumberFormat="1" applyFont="1"/>
    <xf numFmtId="0" fontId="73" fillId="0" borderId="0" xfId="287" applyFont="1"/>
    <xf numFmtId="184" fontId="11" fillId="0" borderId="0" xfId="287" applyNumberFormat="1" applyFont="1"/>
    <xf numFmtId="0" fontId="74" fillId="0" borderId="0" xfId="283" applyFont="1" applyFill="1" applyAlignment="1">
      <alignment horizontal="center"/>
    </xf>
    <xf numFmtId="0" fontId="74" fillId="0" borderId="0" xfId="283" applyFont="1" applyFill="1" applyAlignment="1">
      <alignment horizontal="left" indent="2"/>
    </xf>
    <xf numFmtId="39" fontId="74" fillId="0" borderId="0" xfId="283" applyNumberFormat="1" applyFont="1" applyFill="1"/>
    <xf numFmtId="0" fontId="70" fillId="0" borderId="0" xfId="287" applyFont="1" applyFill="1"/>
    <xf numFmtId="0" fontId="11" fillId="0" borderId="0" xfId="287" applyNumberFormat="1" applyFont="1" applyAlignment="1">
      <alignment horizontal="center"/>
    </xf>
    <xf numFmtId="0" fontId="11" fillId="0" borderId="0" xfId="287" applyNumberFormat="1" applyFont="1"/>
    <xf numFmtId="43" fontId="70" fillId="0" borderId="0" xfId="86" applyFont="1"/>
    <xf numFmtId="173" fontId="75" fillId="0" borderId="0" xfId="287" applyNumberFormat="1" applyFont="1"/>
    <xf numFmtId="184" fontId="4" fillId="0" borderId="0" xfId="287" applyNumberFormat="1" applyFont="1"/>
    <xf numFmtId="43" fontId="75" fillId="0" borderId="0" xfId="86" applyFont="1"/>
    <xf numFmtId="43" fontId="4" fillId="0" borderId="0" xfId="86" applyFont="1"/>
    <xf numFmtId="173" fontId="75" fillId="0" borderId="0" xfId="86" applyNumberFormat="1" applyFont="1"/>
    <xf numFmtId="173" fontId="4" fillId="0" borderId="0" xfId="86" applyNumberFormat="1" applyFont="1"/>
    <xf numFmtId="173" fontId="70" fillId="0" borderId="14" xfId="86" applyNumberFormat="1" applyFont="1" applyBorder="1"/>
    <xf numFmtId="0" fontId="70" fillId="0" borderId="0" xfId="0" applyFont="1"/>
    <xf numFmtId="173" fontId="70" fillId="0" borderId="0" xfId="287" applyNumberFormat="1" applyFont="1" applyBorder="1"/>
    <xf numFmtId="0" fontId="78" fillId="0" borderId="0" xfId="287" applyFont="1" applyAlignment="1">
      <alignment horizontal="center"/>
    </xf>
    <xf numFmtId="173" fontId="0" fillId="0" borderId="0" xfId="86" applyNumberFormat="1" applyFont="1" applyFill="1"/>
    <xf numFmtId="173" fontId="0" fillId="0" borderId="0" xfId="0" applyNumberFormat="1"/>
    <xf numFmtId="41" fontId="11" fillId="0" borderId="0" xfId="276" applyNumberFormat="1" applyFont="1"/>
    <xf numFmtId="173" fontId="11" fillId="0" borderId="0" xfId="86" applyNumberFormat="1" applyFont="1" applyFill="1"/>
    <xf numFmtId="0" fontId="8" fillId="0" borderId="0" xfId="276" applyFont="1" applyAlignment="1">
      <alignment horizontal="center" wrapText="1"/>
    </xf>
    <xf numFmtId="38" fontId="11" fillId="0" borderId="0" xfId="0" applyNumberFormat="1" applyFont="1" applyFill="1" applyBorder="1" applyAlignment="1">
      <alignment horizontal="center"/>
    </xf>
    <xf numFmtId="0" fontId="1" fillId="0" borderId="0" xfId="276" applyFill="1" applyAlignment="1">
      <alignment horizontal="left"/>
    </xf>
    <xf numFmtId="0" fontId="79" fillId="0" borderId="0" xfId="276" applyFont="1" applyFill="1" applyBorder="1" applyAlignment="1">
      <alignment horizontal="left"/>
    </xf>
    <xf numFmtId="0" fontId="1" fillId="0" borderId="0" xfId="276" applyFill="1"/>
    <xf numFmtId="0" fontId="79" fillId="0" borderId="0" xfId="276" applyFont="1" applyFill="1" applyBorder="1"/>
    <xf numFmtId="0" fontId="68" fillId="0" borderId="0" xfId="276" applyFont="1" applyFill="1" applyAlignment="1">
      <alignment horizontal="center"/>
    </xf>
    <xf numFmtId="38" fontId="11" fillId="0" borderId="15" xfId="0" applyNumberFormat="1" applyFont="1" applyFill="1" applyBorder="1"/>
    <xf numFmtId="38" fontId="11" fillId="0" borderId="0" xfId="0" applyNumberFormat="1" applyFont="1" applyFill="1" applyBorder="1"/>
    <xf numFmtId="0" fontId="80" fillId="0" borderId="0" xfId="232" applyNumberFormat="1" applyFont="1" applyFill="1" applyBorder="1" applyAlignment="1">
      <alignment horizontal="left"/>
    </xf>
    <xf numFmtId="38" fontId="11" fillId="0" borderId="0" xfId="232" applyNumberFormat="1" applyFont="1" applyFill="1" applyBorder="1" applyAlignment="1">
      <alignment horizontal="right"/>
    </xf>
    <xf numFmtId="0" fontId="11" fillId="0" borderId="0" xfId="232"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32" applyFont="1" applyBorder="1" applyAlignment="1">
      <alignment horizontal="center"/>
    </xf>
    <xf numFmtId="38" fontId="7" fillId="0" borderId="0" xfId="232" applyNumberFormat="1" applyFont="1" applyFill="1" applyBorder="1" applyAlignment="1"/>
    <xf numFmtId="173" fontId="7" fillId="0" borderId="14" xfId="86" applyNumberFormat="1" applyFont="1" applyFill="1" applyBorder="1" applyAlignment="1"/>
    <xf numFmtId="0" fontId="11" fillId="0" borderId="14" xfId="232" applyNumberFormat="1" applyFont="1" applyFill="1" applyBorder="1" applyAlignment="1">
      <alignment horizontal="left"/>
    </xf>
    <xf numFmtId="0" fontId="17" fillId="0" borderId="0" xfId="287" applyNumberFormat="1" applyFont="1" applyFill="1" applyAlignment="1">
      <alignment horizontal="center"/>
    </xf>
    <xf numFmtId="0" fontId="11" fillId="0" borderId="0" xfId="287" applyNumberFormat="1" applyFont="1" applyFill="1"/>
    <xf numFmtId="41" fontId="70" fillId="0" borderId="0" xfId="287" applyNumberFormat="1" applyFont="1" applyFill="1"/>
    <xf numFmtId="41" fontId="70" fillId="0" borderId="0" xfId="287" applyNumberFormat="1" applyFont="1" applyFill="1" applyBorder="1"/>
    <xf numFmtId="173" fontId="70" fillId="0" borderId="0" xfId="287" applyNumberFormat="1" applyFont="1" applyFill="1"/>
    <xf numFmtId="173" fontId="70" fillId="0" borderId="0" xfId="86" applyNumberFormat="1" applyFont="1" applyFill="1"/>
    <xf numFmtId="3" fontId="3" fillId="0" borderId="0" xfId="0" applyNumberFormat="1" applyFont="1" applyAlignment="1">
      <alignment horizontal="center"/>
    </xf>
    <xf numFmtId="10" fontId="11" fillId="0" borderId="0" xfId="295"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295" applyNumberFormat="1" applyFont="1"/>
    <xf numFmtId="174" fontId="1" fillId="0" borderId="0" xfId="127" applyNumberFormat="1"/>
    <xf numFmtId="0" fontId="3" fillId="0" borderId="0" xfId="0" applyFont="1" applyAlignment="1">
      <alignment horizontal="right"/>
    </xf>
    <xf numFmtId="0" fontId="11" fillId="0" borderId="0" xfId="0" applyFont="1" applyAlignment="1">
      <alignment horizontal="centerContinuous"/>
    </xf>
    <xf numFmtId="0" fontId="8" fillId="0" borderId="0" xfId="0" applyFont="1" applyAlignment="1">
      <alignment horizontal="center"/>
    </xf>
    <xf numFmtId="173" fontId="0" fillId="0" borderId="0" xfId="86" applyNumberFormat="1" applyFont="1"/>
    <xf numFmtId="0" fontId="14" fillId="0" borderId="0" xfId="276" applyFont="1"/>
    <xf numFmtId="0" fontId="1" fillId="0" borderId="0" xfId="276" applyAlignment="1">
      <alignment horizontal="left"/>
    </xf>
    <xf numFmtId="0" fontId="1" fillId="0" borderId="0" xfId="276"/>
    <xf numFmtId="0" fontId="14" fillId="0" borderId="0" xfId="276" applyFont="1" applyAlignment="1">
      <alignment horizontal="left"/>
    </xf>
    <xf numFmtId="173" fontId="11" fillId="0" borderId="0" xfId="232" applyNumberFormat="1" applyFont="1" applyFill="1" applyBorder="1"/>
    <xf numFmtId="0" fontId="11" fillId="25" borderId="0" xfId="232" applyNumberFormat="1" applyFont="1" applyFill="1" applyBorder="1" applyAlignment="1">
      <alignment horizontal="center"/>
    </xf>
    <xf numFmtId="0" fontId="8" fillId="25" borderId="0" xfId="232" applyNumberFormat="1" applyFont="1" applyFill="1" applyBorder="1" applyAlignment="1">
      <alignment horizontal="left"/>
    </xf>
    <xf numFmtId="0" fontId="7" fillId="25" borderId="0" xfId="232" applyFont="1" applyFill="1" applyBorder="1" applyAlignment="1"/>
    <xf numFmtId="0" fontId="11" fillId="25" borderId="0" xfId="232" applyNumberFormat="1" applyFont="1" applyFill="1" applyBorder="1" applyAlignment="1">
      <alignment horizontal="left"/>
    </xf>
    <xf numFmtId="0" fontId="11" fillId="25" borderId="0" xfId="232" applyFont="1" applyFill="1" applyBorder="1"/>
    <xf numFmtId="173" fontId="11" fillId="25" borderId="0" xfId="91" applyNumberFormat="1" applyFont="1" applyFill="1" applyBorder="1" applyAlignment="1">
      <alignment horizontal="right"/>
    </xf>
    <xf numFmtId="0" fontId="0" fillId="25" borderId="0" xfId="0" applyFill="1" applyBorder="1"/>
    <xf numFmtId="164" fontId="11" fillId="25" borderId="0" xfId="299" applyNumberFormat="1" applyFont="1" applyFill="1" applyBorder="1" applyAlignment="1"/>
    <xf numFmtId="173" fontId="11" fillId="25" borderId="0" xfId="91" applyNumberFormat="1" applyFont="1" applyFill="1" applyBorder="1" applyAlignment="1">
      <alignment horizontal="left"/>
    </xf>
    <xf numFmtId="0" fontId="14" fillId="0" borderId="0" xfId="276" applyFont="1" applyAlignment="1"/>
    <xf numFmtId="0" fontId="12" fillId="0" borderId="0" xfId="0" applyFont="1" applyBorder="1"/>
    <xf numFmtId="0" fontId="16" fillId="0" borderId="0" xfId="232" applyFont="1" applyFill="1" applyBorder="1" applyAlignment="1">
      <alignment horizontal="center"/>
    </xf>
    <xf numFmtId="0" fontId="12" fillId="0" borderId="0" xfId="232" applyNumberFormat="1" applyFont="1" applyFill="1" applyBorder="1" applyAlignment="1">
      <alignment horizontal="left"/>
    </xf>
    <xf numFmtId="173" fontId="12" fillId="0" borderId="0" xfId="91" applyNumberFormat="1" applyFont="1" applyFill="1" applyBorder="1" applyAlignment="1">
      <alignment horizontal="right"/>
    </xf>
    <xf numFmtId="0" fontId="13" fillId="0" borderId="0" xfId="276" applyFont="1" applyFill="1"/>
    <xf numFmtId="0" fontId="82" fillId="0" borderId="0" xfId="276" applyFont="1" applyFill="1"/>
    <xf numFmtId="9" fontId="9" fillId="0" borderId="0" xfId="276" quotePrefix="1" applyNumberFormat="1" applyFont="1" applyFill="1" applyAlignment="1">
      <alignment horizontal="center"/>
    </xf>
    <xf numFmtId="0" fontId="3" fillId="0" borderId="0" xfId="287" applyNumberFormat="1" applyFont="1" applyAlignment="1">
      <alignment horizontal="center"/>
    </xf>
    <xf numFmtId="0" fontId="3" fillId="0" borderId="0" xfId="287" applyNumberFormat="1" applyFont="1"/>
    <xf numFmtId="184" fontId="3" fillId="0" borderId="0" xfId="287" applyNumberFormat="1" applyFont="1" applyAlignment="1">
      <alignment horizontal="center"/>
    </xf>
    <xf numFmtId="0" fontId="8" fillId="0" borderId="0" xfId="287" applyFont="1"/>
    <xf numFmtId="0" fontId="3" fillId="0" borderId="11" xfId="287" applyNumberFormat="1" applyFont="1" applyBorder="1" applyAlignment="1">
      <alignment horizontal="center"/>
    </xf>
    <xf numFmtId="184" fontId="3" fillId="0" borderId="11" xfId="287" applyNumberFormat="1" applyFont="1" applyBorder="1" applyAlignment="1">
      <alignment horizontal="center"/>
    </xf>
    <xf numFmtId="0" fontId="73" fillId="0" borderId="11" xfId="287" applyFont="1" applyBorder="1" applyAlignment="1">
      <alignment horizontal="center"/>
    </xf>
    <xf numFmtId="0" fontId="8" fillId="0" borderId="0" xfId="287" applyFont="1" applyAlignment="1">
      <alignment horizontal="center"/>
    </xf>
    <xf numFmtId="0" fontId="83" fillId="0" borderId="0" xfId="287" applyFont="1" applyFill="1"/>
    <xf numFmtId="0" fontId="8" fillId="0" borderId="0" xfId="0" applyFont="1" applyAlignment="1">
      <alignment horizontal="left"/>
    </xf>
    <xf numFmtId="173" fontId="85" fillId="0" borderId="0" xfId="86" applyNumberFormat="1" applyFont="1" applyFill="1"/>
    <xf numFmtId="173" fontId="70" fillId="0" borderId="0" xfId="86" applyNumberFormat="1" applyFont="1" applyFill="1" applyBorder="1"/>
    <xf numFmtId="41" fontId="86" fillId="26" borderId="0" xfId="287" applyNumberFormat="1" applyFont="1" applyFill="1"/>
    <xf numFmtId="41" fontId="86" fillId="26" borderId="0" xfId="287" applyNumberFormat="1" applyFont="1" applyFill="1" applyBorder="1"/>
    <xf numFmtId="0" fontId="90" fillId="0" borderId="0" xfId="0" applyFont="1" applyBorder="1" applyAlignment="1">
      <alignment horizontal="center"/>
    </xf>
    <xf numFmtId="0" fontId="89" fillId="0" borderId="0" xfId="276" applyFont="1" applyFill="1" applyAlignment="1">
      <alignment horizontal="center"/>
    </xf>
    <xf numFmtId="0" fontId="4" fillId="0" borderId="0" xfId="287" applyFont="1"/>
    <xf numFmtId="173" fontId="4" fillId="0" borderId="0" xfId="287" applyNumberFormat="1" applyFont="1"/>
    <xf numFmtId="164" fontId="0" fillId="0" borderId="0" xfId="295" applyNumberFormat="1" applyFont="1"/>
    <xf numFmtId="173" fontId="93" fillId="0" borderId="0" xfId="287" applyNumberFormat="1" applyFont="1" applyFill="1" applyBorder="1"/>
    <xf numFmtId="0" fontId="22" fillId="0" borderId="0" xfId="276" applyFont="1" applyFill="1" applyAlignment="1">
      <alignment horizontal="center"/>
    </xf>
    <xf numFmtId="37" fontId="11" fillId="0" borderId="15" xfId="0" applyNumberFormat="1" applyFont="1" applyFill="1" applyBorder="1"/>
    <xf numFmtId="37" fontId="11" fillId="0" borderId="0" xfId="232" applyNumberFormat="1" applyFont="1" applyFill="1" applyBorder="1" applyAlignment="1">
      <alignment horizontal="right"/>
    </xf>
    <xf numFmtId="37" fontId="7" fillId="0" borderId="0" xfId="232" applyNumberFormat="1" applyFont="1" applyFill="1" applyBorder="1" applyAlignment="1"/>
    <xf numFmtId="0" fontId="96" fillId="0" borderId="0" xfId="276"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295" applyFont="1"/>
    <xf numFmtId="0" fontId="98" fillId="0" borderId="0" xfId="0" applyFont="1" applyAlignment="1">
      <alignment horizontal="center" wrapText="1"/>
    </xf>
    <xf numFmtId="0" fontId="17" fillId="0" borderId="0" xfId="283" applyFont="1" applyFill="1" applyAlignment="1">
      <alignment horizontal="center"/>
    </xf>
    <xf numFmtId="0" fontId="31" fillId="0" borderId="0" xfId="276" applyFont="1" applyFill="1" applyAlignment="1">
      <alignment horizontal="left"/>
    </xf>
    <xf numFmtId="0" fontId="31" fillId="0" borderId="0" xfId="276" applyFont="1" applyFill="1"/>
    <xf numFmtId="0" fontId="100" fillId="0" borderId="0" xfId="276" applyFont="1" applyFill="1" applyAlignment="1">
      <alignment horizontal="center"/>
    </xf>
    <xf numFmtId="0" fontId="101" fillId="0" borderId="0" xfId="276" applyFont="1" applyFill="1" applyBorder="1"/>
    <xf numFmtId="188" fontId="102" fillId="0" borderId="0" xfId="232"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32" applyNumberFormat="1" applyFont="1" applyBorder="1" applyAlignment="1">
      <alignment horizontal="center"/>
    </xf>
    <xf numFmtId="0" fontId="103" fillId="0" borderId="0" xfId="287" applyFont="1" applyFill="1"/>
    <xf numFmtId="41" fontId="103" fillId="0" borderId="0" xfId="287" applyNumberFormat="1" applyFont="1" applyFill="1"/>
    <xf numFmtId="41" fontId="103" fillId="0" borderId="0" xfId="287" applyNumberFormat="1" applyFont="1" applyFill="1" applyBorder="1"/>
    <xf numFmtId="0" fontId="0" fillId="0" borderId="0" xfId="0" applyFill="1" applyAlignment="1"/>
    <xf numFmtId="43" fontId="4" fillId="0" borderId="0" xfId="86" applyFont="1" applyAlignment="1">
      <alignment horizontal="center"/>
    </xf>
    <xf numFmtId="43" fontId="4" fillId="0" borderId="0" xfId="86" applyFont="1" applyBorder="1" applyAlignment="1">
      <alignment horizontal="center"/>
    </xf>
    <xf numFmtId="43" fontId="3" fillId="0" borderId="0" xfId="86" applyFont="1" applyBorder="1" applyAlignment="1">
      <alignment horizontal="center"/>
    </xf>
    <xf numFmtId="43" fontId="3" fillId="0" borderId="0" xfId="86" applyFont="1" applyAlignment="1">
      <alignment horizontal="center"/>
    </xf>
    <xf numFmtId="43" fontId="14" fillId="0" borderId="0" xfId="86" applyFont="1"/>
    <xf numFmtId="0" fontId="5" fillId="0" borderId="0" xfId="276" applyFont="1" applyFill="1" applyBorder="1" applyAlignment="1">
      <alignment horizontal="center"/>
    </xf>
    <xf numFmtId="0" fontId="4" fillId="0" borderId="0" xfId="0" applyFont="1" applyBorder="1" applyAlignment="1">
      <alignment horizontal="center"/>
    </xf>
    <xf numFmtId="0" fontId="3" fillId="0" borderId="0" xfId="287" applyNumberFormat="1" applyFont="1" applyBorder="1" applyAlignment="1">
      <alignment horizontal="center"/>
    </xf>
    <xf numFmtId="0" fontId="11" fillId="0" borderId="0" xfId="287" applyFont="1" applyBorder="1"/>
    <xf numFmtId="0" fontId="3" fillId="0" borderId="11" xfId="287" applyNumberFormat="1" applyFont="1" applyBorder="1"/>
    <xf numFmtId="184" fontId="3" fillId="0" borderId="0" xfId="287" applyNumberFormat="1" applyFont="1" applyBorder="1" applyAlignment="1">
      <alignment horizontal="center"/>
    </xf>
    <xf numFmtId="0" fontId="11" fillId="0" borderId="0" xfId="287" applyFont="1" applyFill="1"/>
    <xf numFmtId="0" fontId="70" fillId="0" borderId="0" xfId="287" applyFont="1" applyAlignment="1">
      <alignment horizontal="center"/>
    </xf>
    <xf numFmtId="173" fontId="77" fillId="0" borderId="0" xfId="287" applyNumberFormat="1" applyFont="1" applyFill="1" applyBorder="1"/>
    <xf numFmtId="0" fontId="17" fillId="0" borderId="0" xfId="287" applyFont="1" applyFill="1"/>
    <xf numFmtId="3" fontId="77" fillId="0" borderId="0" xfId="287" applyNumberFormat="1" applyFont="1" applyFill="1" applyBorder="1"/>
    <xf numFmtId="173" fontId="77" fillId="0" borderId="0" xfId="287" applyNumberFormat="1" applyFont="1" applyFill="1"/>
    <xf numFmtId="0" fontId="0" fillId="0" borderId="0" xfId="0" applyBorder="1" applyAlignment="1">
      <alignment horizontal="center"/>
    </xf>
    <xf numFmtId="0" fontId="70" fillId="0" borderId="0" xfId="287" applyFont="1" applyFill="1" applyBorder="1"/>
    <xf numFmtId="173" fontId="70" fillId="0" borderId="0" xfId="287" applyNumberFormat="1" applyFont="1" applyFill="1" applyBorder="1"/>
    <xf numFmtId="0" fontId="21" fillId="0" borderId="0" xfId="276" applyFont="1" applyFill="1" applyBorder="1"/>
    <xf numFmtId="38" fontId="25" fillId="0" borderId="13" xfId="276" applyNumberFormat="1" applyFont="1" applyFill="1" applyBorder="1" applyAlignment="1">
      <alignment horizontal="right"/>
    </xf>
    <xf numFmtId="0" fontId="31" fillId="0" borderId="0" xfId="276" applyFont="1" applyAlignment="1">
      <alignment horizontal="center"/>
    </xf>
    <xf numFmtId="0" fontId="74" fillId="0" borderId="0" xfId="287" applyNumberFormat="1" applyFont="1" applyFill="1"/>
    <xf numFmtId="10" fontId="2" fillId="0" borderId="0" xfId="288" applyNumberFormat="1" applyProtection="1"/>
    <xf numFmtId="10" fontId="2" fillId="0" borderId="16" xfId="288" applyNumberFormat="1" applyBorder="1" applyProtection="1"/>
    <xf numFmtId="192" fontId="2" fillId="0" borderId="16" xfId="288" applyNumberFormat="1" applyBorder="1" applyProtection="1"/>
    <xf numFmtId="176" fontId="2" fillId="0" borderId="16" xfId="288" applyNumberFormat="1" applyBorder="1" applyProtection="1"/>
    <xf numFmtId="191" fontId="2" fillId="0" borderId="16" xfId="288" applyNumberFormat="1" applyBorder="1" applyProtection="1"/>
    <xf numFmtId="194" fontId="2" fillId="0" borderId="0" xfId="288" applyNumberFormat="1" applyProtection="1"/>
    <xf numFmtId="176" fontId="2" fillId="0" borderId="0" xfId="288" applyNumberFormat="1" applyProtection="1"/>
    <xf numFmtId="191" fontId="2" fillId="0" borderId="0" xfId="288" applyNumberFormat="1" applyProtection="1"/>
    <xf numFmtId="10" fontId="116" fillId="0" borderId="0" xfId="288" applyNumberFormat="1" applyFont="1" applyProtection="1"/>
    <xf numFmtId="173" fontId="119" fillId="0" borderId="0" xfId="0" applyNumberFormat="1" applyFont="1"/>
    <xf numFmtId="0" fontId="106" fillId="0" borderId="0" xfId="232" applyFont="1" applyFill="1" applyBorder="1" applyAlignment="1">
      <alignment horizontal="center"/>
    </xf>
    <xf numFmtId="0" fontId="98" fillId="0" borderId="0" xfId="232" applyFont="1" applyFill="1" applyBorder="1" applyAlignment="1">
      <alignment horizontal="left"/>
    </xf>
    <xf numFmtId="0" fontId="31" fillId="0" borderId="0" xfId="232" applyNumberFormat="1" applyFont="1" applyFill="1" applyBorder="1" applyAlignment="1">
      <alignment horizontal="center"/>
    </xf>
    <xf numFmtId="0" fontId="31" fillId="0" borderId="0" xfId="232" applyNumberFormat="1" applyFont="1" applyFill="1" applyBorder="1" applyAlignment="1">
      <alignment horizontal="left"/>
    </xf>
    <xf numFmtId="0" fontId="31" fillId="0" borderId="0" xfId="232" applyFont="1" applyFill="1" applyBorder="1" applyAlignment="1"/>
    <xf numFmtId="0" fontId="31" fillId="0" borderId="0" xfId="232" applyFont="1" applyFill="1" applyBorder="1" applyAlignment="1">
      <alignment horizontal="center"/>
    </xf>
    <xf numFmtId="0" fontId="31" fillId="0" borderId="0" xfId="232" applyFont="1" applyBorder="1"/>
    <xf numFmtId="0" fontId="31" fillId="0" borderId="0" xfId="232" applyFont="1" applyFill="1" applyBorder="1"/>
    <xf numFmtId="3" fontId="31" fillId="0" borderId="0" xfId="232" applyNumberFormat="1" applyFont="1" applyFill="1" applyBorder="1" applyAlignment="1"/>
    <xf numFmtId="0" fontId="106" fillId="0" borderId="0" xfId="232" applyFont="1" applyFill="1" applyBorder="1"/>
    <xf numFmtId="38" fontId="11" fillId="0" borderId="0" xfId="0" applyNumberFormat="1" applyFont="1" applyBorder="1"/>
    <xf numFmtId="0" fontId="31" fillId="0" borderId="0" xfId="276" applyFont="1" applyFill="1" applyBorder="1"/>
    <xf numFmtId="0" fontId="118" fillId="0" borderId="0" xfId="276" applyFont="1" applyFill="1" applyAlignment="1">
      <alignment horizontal="center"/>
    </xf>
    <xf numFmtId="0" fontId="11" fillId="0" borderId="0" xfId="276"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276"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287" applyNumberFormat="1" applyFont="1" applyFill="1" applyBorder="1"/>
    <xf numFmtId="0" fontId="70" fillId="31" borderId="0" xfId="287" applyFont="1" applyFill="1" applyAlignment="1">
      <alignment horizontal="center"/>
    </xf>
    <xf numFmtId="174" fontId="0" fillId="0" borderId="0" xfId="127" applyNumberFormat="1" applyFont="1"/>
    <xf numFmtId="0" fontId="11" fillId="0" borderId="0" xfId="276" applyFont="1" applyFill="1" applyAlignment="1">
      <alignment horizontal="center"/>
    </xf>
    <xf numFmtId="3" fontId="31" fillId="31" borderId="0" xfId="232" applyNumberFormat="1" applyFont="1" applyFill="1" applyBorder="1" applyAlignment="1"/>
    <xf numFmtId="0" fontId="73" fillId="0" borderId="0" xfId="287" applyFont="1" applyFill="1"/>
    <xf numFmtId="0" fontId="70" fillId="31" borderId="0" xfId="287" applyFont="1" applyFill="1"/>
    <xf numFmtId="10" fontId="2" fillId="0" borderId="0" xfId="288" applyNumberFormat="1" applyBorder="1" applyProtection="1"/>
    <xf numFmtId="172" fontId="2" fillId="0" borderId="0" xfId="286" applyFont="1" applyAlignment="1" applyProtection="1"/>
    <xf numFmtId="172" fontId="4" fillId="0" borderId="0" xfId="286" applyFont="1" applyAlignment="1" applyProtection="1"/>
    <xf numFmtId="0" fontId="0" fillId="0" borderId="0" xfId="0" applyBorder="1" applyProtection="1"/>
    <xf numFmtId="0" fontId="5" fillId="0" borderId="0" xfId="286" applyNumberFormat="1" applyFont="1" applyBorder="1" applyAlignment="1" applyProtection="1">
      <alignment horizontal="left"/>
    </xf>
    <xf numFmtId="14" fontId="5" fillId="0" borderId="0" xfId="286" applyNumberFormat="1" applyFont="1" applyBorder="1" applyAlignment="1" applyProtection="1"/>
    <xf numFmtId="172" fontId="5" fillId="0" borderId="0" xfId="286" applyFont="1" applyFill="1" applyAlignment="1" applyProtection="1"/>
    <xf numFmtId="172" fontId="4" fillId="0" borderId="0" xfId="286" applyFont="1" applyFill="1" applyAlignment="1" applyProtection="1"/>
    <xf numFmtId="0" fontId="4" fillId="0" borderId="0" xfId="286"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86" applyNumberFormat="1" applyFont="1" applyProtection="1"/>
    <xf numFmtId="0" fontId="4" fillId="0" borderId="0" xfId="286" applyNumberFormat="1" applyFont="1" applyAlignment="1" applyProtection="1">
      <alignment horizontal="right"/>
    </xf>
    <xf numFmtId="0" fontId="18" fillId="0" borderId="0" xfId="86" applyNumberFormat="1" applyFont="1" applyFill="1" applyAlignment="1" applyProtection="1"/>
    <xf numFmtId="3" fontId="4" fillId="0" borderId="0" xfId="286" applyNumberFormat="1" applyFont="1" applyAlignment="1" applyProtection="1"/>
    <xf numFmtId="3" fontId="4" fillId="0" borderId="0" xfId="0" applyNumberFormat="1" applyFont="1" applyAlignment="1" applyProtection="1">
      <alignment horizontal="center"/>
    </xf>
    <xf numFmtId="0" fontId="2" fillId="0" borderId="0" xfId="286" applyNumberFormat="1" applyFont="1" applyAlignment="1" applyProtection="1">
      <alignment horizontal="center"/>
    </xf>
    <xf numFmtId="0" fontId="4" fillId="0" borderId="0" xfId="286" applyNumberFormat="1" applyFont="1" applyAlignment="1" applyProtection="1">
      <alignment horizontal="center"/>
    </xf>
    <xf numFmtId="49" fontId="4" fillId="0" borderId="0" xfId="286"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86" applyNumberFormat="1" applyFont="1" applyProtection="1"/>
    <xf numFmtId="39" fontId="4" fillId="0" borderId="0" xfId="86" applyNumberFormat="1" applyFont="1" applyAlignment="1" applyProtection="1">
      <alignment horizontal="center"/>
    </xf>
    <xf numFmtId="0" fontId="2" fillId="0" borderId="6" xfId="286" applyNumberFormat="1" applyFont="1" applyBorder="1" applyAlignment="1" applyProtection="1">
      <alignment horizontal="center"/>
    </xf>
    <xf numFmtId="0" fontId="4" fillId="0" borderId="0" xfId="286" applyNumberFormat="1" applyFont="1" applyBorder="1" applyAlignment="1" applyProtection="1">
      <alignment horizontal="center"/>
    </xf>
    <xf numFmtId="0" fontId="4" fillId="0" borderId="6" xfId="286" applyNumberFormat="1" applyFont="1" applyBorder="1" applyAlignment="1" applyProtection="1">
      <alignment horizontal="center"/>
    </xf>
    <xf numFmtId="0" fontId="4" fillId="0" borderId="0" xfId="0" applyNumberFormat="1" applyFont="1" applyProtection="1"/>
    <xf numFmtId="0" fontId="4" fillId="0" borderId="0" xfId="286" applyNumberFormat="1" applyFont="1" applyFill="1" applyProtection="1"/>
    <xf numFmtId="3" fontId="4" fillId="0" borderId="0" xfId="286" applyNumberFormat="1" applyFont="1" applyProtection="1"/>
    <xf numFmtId="0" fontId="4" fillId="0" borderId="0" xfId="286" applyNumberFormat="1" applyFont="1" applyAlignment="1" applyProtection="1">
      <alignment horizontal="left"/>
    </xf>
    <xf numFmtId="170" fontId="4" fillId="0" borderId="0" xfId="286" applyNumberFormat="1" applyFont="1" applyProtection="1"/>
    <xf numFmtId="3" fontId="4" fillId="0" borderId="0" xfId="286" applyNumberFormat="1" applyFont="1" applyFill="1" applyAlignment="1" applyProtection="1">
      <alignment horizontal="left"/>
    </xf>
    <xf numFmtId="3" fontId="4" fillId="0" borderId="0" xfId="286" applyNumberFormat="1" applyFont="1" applyFill="1" applyAlignment="1" applyProtection="1"/>
    <xf numFmtId="0" fontId="4" fillId="0" borderId="6" xfId="286" applyNumberFormat="1" applyFont="1" applyBorder="1" applyAlignment="1" applyProtection="1">
      <alignment horizontal="centerContinuous"/>
    </xf>
    <xf numFmtId="0" fontId="4" fillId="0" borderId="0" xfId="0" applyNumberFormat="1" applyFont="1" applyAlignment="1" applyProtection="1"/>
    <xf numFmtId="41" fontId="4" fillId="0" borderId="0" xfId="286" applyNumberFormat="1" applyFont="1" applyFill="1" applyBorder="1" applyAlignment="1" applyProtection="1"/>
    <xf numFmtId="3" fontId="4" fillId="0" borderId="0" xfId="286" applyNumberFormat="1" applyFont="1" applyFill="1" applyAlignment="1" applyProtection="1">
      <alignment horizontal="center"/>
    </xf>
    <xf numFmtId="165" fontId="4" fillId="0" borderId="0" xfId="286" applyNumberFormat="1" applyFont="1" applyFill="1" applyAlignment="1" applyProtection="1">
      <alignment horizontal="right"/>
    </xf>
    <xf numFmtId="42" fontId="4" fillId="0" borderId="0" xfId="286" applyNumberFormat="1" applyFont="1" applyBorder="1" applyAlignment="1" applyProtection="1"/>
    <xf numFmtId="172" fontId="4" fillId="0" borderId="11" xfId="286" applyFont="1" applyBorder="1" applyAlignment="1" applyProtection="1"/>
    <xf numFmtId="172" fontId="4" fillId="0" borderId="0" xfId="286" applyFont="1" applyBorder="1" applyAlignment="1" applyProtection="1"/>
    <xf numFmtId="0" fontId="2" fillId="0" borderId="0" xfId="286" applyNumberFormat="1" applyFont="1" applyFill="1" applyAlignment="1" applyProtection="1">
      <alignment horizontal="center"/>
    </xf>
    <xf numFmtId="0" fontId="4" fillId="0" borderId="0" xfId="286"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86" applyNumberFormat="1" applyFont="1" applyAlignment="1" applyProtection="1">
      <alignment horizontal="left"/>
    </xf>
    <xf numFmtId="3" fontId="4" fillId="0" borderId="0" xfId="286" applyNumberFormat="1" applyFont="1" applyAlignment="1" applyProtection="1">
      <alignment horizontal="center"/>
    </xf>
    <xf numFmtId="174" fontId="4" fillId="0" borderId="14" xfId="286" applyNumberFormat="1" applyFont="1" applyBorder="1" applyAlignment="1" applyProtection="1"/>
    <xf numFmtId="42" fontId="4" fillId="0" borderId="0" xfId="286" applyNumberFormat="1" applyFont="1" applyAlignment="1" applyProtection="1"/>
    <xf numFmtId="172" fontId="76" fillId="0" borderId="0" xfId="286" applyFont="1" applyAlignment="1" applyProtection="1">
      <alignment horizontal="center" wrapText="1"/>
    </xf>
    <xf numFmtId="0" fontId="4" fillId="0" borderId="0" xfId="0" applyNumberFormat="1" applyFont="1" applyFill="1" applyAlignment="1" applyProtection="1"/>
    <xf numFmtId="41" fontId="4" fillId="0" borderId="0" xfId="286" applyNumberFormat="1" applyFont="1" applyFill="1" applyAlignment="1" applyProtection="1"/>
    <xf numFmtId="42" fontId="4" fillId="0" borderId="0" xfId="286" applyNumberFormat="1" applyFont="1" applyFill="1" applyAlignment="1" applyProtection="1"/>
    <xf numFmtId="43" fontId="4" fillId="0" borderId="0" xfId="86" applyFont="1" applyProtection="1"/>
    <xf numFmtId="0" fontId="4" fillId="0" borderId="0" xfId="286" applyNumberFormat="1" applyFont="1" applyFill="1" applyAlignment="1" applyProtection="1"/>
    <xf numFmtId="171" fontId="4" fillId="0" borderId="0" xfId="286" applyNumberFormat="1" applyFont="1" applyProtection="1"/>
    <xf numFmtId="10" fontId="4" fillId="0" borderId="0" xfId="286" applyNumberFormat="1" applyFont="1" applyAlignment="1" applyProtection="1"/>
    <xf numFmtId="10" fontId="4" fillId="0" borderId="0" xfId="286" applyNumberFormat="1" applyFont="1" applyProtection="1"/>
    <xf numFmtId="0" fontId="31" fillId="0" borderId="0" xfId="0" applyFont="1" applyProtection="1"/>
    <xf numFmtId="10" fontId="4" fillId="0" borderId="0" xfId="295" applyNumberFormat="1" applyFont="1" applyAlignment="1" applyProtection="1"/>
    <xf numFmtId="185" fontId="4" fillId="0" borderId="0" xfId="286" applyNumberFormat="1" applyFont="1" applyProtection="1"/>
    <xf numFmtId="0" fontId="4" fillId="0" borderId="0" xfId="0" applyNumberFormat="1" applyFont="1" applyFill="1" applyProtection="1"/>
    <xf numFmtId="43" fontId="4" fillId="0" borderId="0" xfId="86" applyFont="1" applyAlignment="1" applyProtection="1"/>
    <xf numFmtId="41" fontId="4" fillId="0" borderId="0" xfId="286" applyNumberFormat="1" applyFont="1" applyAlignment="1" applyProtection="1">
      <alignment horizontal="center"/>
    </xf>
    <xf numFmtId="41" fontId="4" fillId="0" borderId="14" xfId="286" applyNumberFormat="1" applyFont="1" applyBorder="1" applyAlignment="1" applyProtection="1">
      <alignment horizontal="center"/>
    </xf>
    <xf numFmtId="41" fontId="4" fillId="0" borderId="0" xfId="286" applyNumberFormat="1" applyFont="1" applyFill="1" applyAlignment="1" applyProtection="1">
      <alignment horizontal="right"/>
    </xf>
    <xf numFmtId="42" fontId="4" fillId="0" borderId="0" xfId="295" applyNumberFormat="1" applyFont="1" applyAlignment="1" applyProtection="1"/>
    <xf numFmtId="43" fontId="4" fillId="0" borderId="0" xfId="286" applyNumberFormat="1" applyFont="1" applyFill="1" applyAlignment="1" applyProtection="1">
      <alignment horizontal="right"/>
    </xf>
    <xf numFmtId="172" fontId="4" fillId="0" borderId="0" xfId="286" applyFont="1" applyFill="1" applyAlignment="1" applyProtection="1">
      <alignment horizontal="right"/>
    </xf>
    <xf numFmtId="0" fontId="31" fillId="0" borderId="0" xfId="0" applyFont="1" applyAlignment="1" applyProtection="1">
      <alignment horizontal="center"/>
    </xf>
    <xf numFmtId="49" fontId="4" fillId="0" borderId="0" xfId="286" applyNumberFormat="1" applyFont="1" applyAlignment="1" applyProtection="1">
      <alignment horizontal="left"/>
    </xf>
    <xf numFmtId="0" fontId="2" fillId="0" borderId="0" xfId="286" applyNumberFormat="1" applyFont="1" applyAlignment="1" applyProtection="1">
      <alignment horizontal="center" vertical="center"/>
    </xf>
    <xf numFmtId="3" fontId="5" fillId="0" borderId="0" xfId="286" applyNumberFormat="1" applyFont="1" applyAlignment="1" applyProtection="1">
      <alignment horizontal="center"/>
    </xf>
    <xf numFmtId="172" fontId="5" fillId="0" borderId="0" xfId="286" applyFont="1" applyAlignment="1" applyProtection="1">
      <alignment horizontal="center"/>
    </xf>
    <xf numFmtId="49" fontId="5" fillId="0" borderId="0" xfId="286" applyNumberFormat="1" applyFont="1" applyAlignment="1" applyProtection="1">
      <alignment horizontal="center"/>
    </xf>
    <xf numFmtId="0" fontId="9" fillId="0" borderId="0" xfId="286" applyNumberFormat="1" applyFont="1" applyAlignment="1" applyProtection="1">
      <alignment horizontal="center"/>
    </xf>
    <xf numFmtId="172" fontId="9" fillId="0" borderId="0" xfId="286" applyFont="1" applyBorder="1" applyAlignment="1" applyProtection="1">
      <alignment horizontal="center"/>
    </xf>
    <xf numFmtId="3" fontId="5" fillId="0" borderId="0" xfId="286" applyNumberFormat="1" applyFont="1" applyAlignment="1" applyProtection="1"/>
    <xf numFmtId="3" fontId="4" fillId="0" borderId="0" xfId="286" applyNumberFormat="1" applyFont="1" applyFill="1" applyBorder="1" applyAlignment="1" applyProtection="1">
      <alignment horizontal="center"/>
    </xf>
    <xf numFmtId="0" fontId="4" fillId="0" borderId="0" xfId="286" applyNumberFormat="1" applyFont="1" applyBorder="1" applyAlignment="1" applyProtection="1"/>
    <xf numFmtId="173" fontId="4" fillId="0" borderId="0" xfId="86" applyNumberFormat="1" applyFont="1" applyFill="1" applyAlignment="1" applyProtection="1"/>
    <xf numFmtId="0" fontId="4" fillId="0" borderId="0" xfId="286" applyNumberFormat="1" applyFont="1" applyBorder="1" applyAlignment="1" applyProtection="1">
      <alignment vertical="center"/>
    </xf>
    <xf numFmtId="3" fontId="4" fillId="0" borderId="0" xfId="286" applyNumberFormat="1" applyFont="1" applyFill="1" applyAlignment="1" applyProtection="1">
      <alignment vertical="center" wrapText="1"/>
    </xf>
    <xf numFmtId="3" fontId="4" fillId="0" borderId="0" xfId="286" applyNumberFormat="1" applyFont="1" applyFill="1" applyAlignment="1" applyProtection="1">
      <alignment horizontal="center" vertical="center"/>
    </xf>
    <xf numFmtId="3" fontId="4" fillId="0" borderId="0" xfId="286" applyNumberFormat="1" applyFont="1" applyFill="1" applyAlignment="1" applyProtection="1">
      <alignment vertical="center"/>
    </xf>
    <xf numFmtId="41" fontId="4" fillId="0" borderId="0" xfId="286" applyNumberFormat="1" applyFont="1" applyFill="1" applyAlignment="1" applyProtection="1">
      <alignment vertical="center"/>
    </xf>
    <xf numFmtId="0" fontId="4" fillId="0" borderId="0" xfId="286" applyNumberFormat="1" applyFont="1" applyFill="1" applyBorder="1" applyAlignment="1" applyProtection="1"/>
    <xf numFmtId="41" fontId="4" fillId="0" borderId="6" xfId="286" applyNumberFormat="1" applyFont="1" applyFill="1" applyBorder="1" applyAlignment="1" applyProtection="1"/>
    <xf numFmtId="0" fontId="31" fillId="0" borderId="0" xfId="0" applyFont="1" applyAlignment="1" applyProtection="1"/>
    <xf numFmtId="178" fontId="5" fillId="0" borderId="0" xfId="286" applyNumberFormat="1" applyFont="1" applyFill="1" applyAlignment="1" applyProtection="1">
      <alignment horizontal="right"/>
    </xf>
    <xf numFmtId="181" fontId="5" fillId="0" borderId="0" xfId="86" applyNumberFormat="1" applyFont="1" applyFill="1" applyAlignment="1" applyProtection="1"/>
    <xf numFmtId="178" fontId="4" fillId="0" borderId="0" xfId="286" applyNumberFormat="1" applyFont="1" applyFill="1" applyAlignment="1" applyProtection="1"/>
    <xf numFmtId="183" fontId="4" fillId="0" borderId="0" xfId="286" applyNumberFormat="1" applyFont="1" applyFill="1" applyAlignment="1" applyProtection="1"/>
    <xf numFmtId="182" fontId="4" fillId="0" borderId="0" xfId="286" applyNumberFormat="1" applyFont="1" applyFill="1" applyAlignment="1" applyProtection="1"/>
    <xf numFmtId="165" fontId="4" fillId="0" borderId="0" xfId="286" applyNumberFormat="1" applyFont="1" applyFill="1" applyAlignment="1" applyProtection="1"/>
    <xf numFmtId="0" fontId="4" fillId="0" borderId="0" xfId="286" applyNumberFormat="1" applyFont="1" applyFill="1" applyAlignment="1" applyProtection="1">
      <alignment horizontal="center" vertical="center"/>
    </xf>
    <xf numFmtId="164" fontId="4" fillId="0" borderId="0" xfId="286" applyNumberFormat="1" applyFont="1" applyFill="1" applyAlignment="1" applyProtection="1">
      <alignment horizontal="center"/>
    </xf>
    <xf numFmtId="177" fontId="4" fillId="0" borderId="0" xfId="86" applyNumberFormat="1" applyFont="1" applyFill="1" applyAlignment="1" applyProtection="1">
      <alignment horizontal="center"/>
    </xf>
    <xf numFmtId="41" fontId="4" fillId="0" borderId="0" xfId="286" applyNumberFormat="1" applyFont="1" applyAlignment="1" applyProtection="1"/>
    <xf numFmtId="165" fontId="4" fillId="0" borderId="0" xfId="286" applyNumberFormat="1" applyFont="1" applyAlignment="1" applyProtection="1"/>
    <xf numFmtId="3" fontId="5" fillId="0" borderId="0" xfId="286" applyNumberFormat="1" applyFont="1" applyFill="1" applyAlignment="1" applyProtection="1">
      <alignment horizontal="right"/>
    </xf>
    <xf numFmtId="181" fontId="4" fillId="0" borderId="0" xfId="86" applyNumberFormat="1" applyFont="1" applyFill="1" applyAlignment="1" applyProtection="1"/>
    <xf numFmtId="0" fontId="0" fillId="0" borderId="0" xfId="0" applyFill="1" applyProtection="1"/>
    <xf numFmtId="164" fontId="4" fillId="0" borderId="0" xfId="286" applyNumberFormat="1" applyFont="1" applyFill="1" applyAlignment="1" applyProtection="1">
      <alignment horizontal="left"/>
    </xf>
    <xf numFmtId="0" fontId="31" fillId="0" borderId="0" xfId="0" applyFont="1" applyFill="1" applyProtection="1"/>
    <xf numFmtId="10" fontId="4" fillId="0" borderId="0" xfId="295" applyNumberFormat="1" applyFont="1" applyFill="1" applyAlignment="1" applyProtection="1"/>
    <xf numFmtId="175" fontId="4" fillId="0" borderId="0" xfId="286" applyNumberFormat="1" applyFont="1" applyFill="1" applyAlignment="1" applyProtection="1"/>
    <xf numFmtId="41" fontId="4" fillId="0" borderId="0" xfId="286" applyNumberFormat="1" applyFont="1" applyAlignment="1" applyProtection="1">
      <alignment horizontal="center" vertical="center"/>
    </xf>
    <xf numFmtId="41" fontId="4" fillId="0" borderId="6" xfId="286" applyNumberFormat="1" applyFont="1" applyBorder="1" applyAlignment="1" applyProtection="1"/>
    <xf numFmtId="164" fontId="4" fillId="0" borderId="0" xfId="286" applyNumberFormat="1" applyFont="1" applyAlignment="1" applyProtection="1">
      <alignment horizontal="center"/>
    </xf>
    <xf numFmtId="0" fontId="88" fillId="0" borderId="0" xfId="286" applyNumberFormat="1" applyFont="1" applyAlignment="1" applyProtection="1">
      <alignment horizontal="center"/>
    </xf>
    <xf numFmtId="3" fontId="4" fillId="0" borderId="0" xfId="286" applyNumberFormat="1" applyFont="1" applyFill="1" applyAlignment="1" applyProtection="1">
      <alignment horizontal="right"/>
    </xf>
    <xf numFmtId="172" fontId="4" fillId="0" borderId="0" xfId="286" applyFont="1" applyAlignment="1" applyProtection="1">
      <alignment horizontal="center"/>
    </xf>
    <xf numFmtId="172" fontId="4" fillId="0" borderId="0" xfId="286" applyFont="1" applyFill="1" applyAlignment="1" applyProtection="1">
      <alignment horizontal="center"/>
    </xf>
    <xf numFmtId="0" fontId="0" fillId="0" borderId="0" xfId="0" applyAlignment="1" applyProtection="1">
      <alignment horizontal="center"/>
    </xf>
    <xf numFmtId="49" fontId="4" fillId="0" borderId="0" xfId="286" applyNumberFormat="1" applyFont="1" applyFill="1" applyAlignment="1" applyProtection="1">
      <alignment horizontal="center"/>
    </xf>
    <xf numFmtId="0" fontId="5" fillId="0" borderId="0" xfId="286" applyNumberFormat="1" applyFont="1" applyFill="1" applyAlignment="1" applyProtection="1">
      <alignment horizontal="center"/>
    </xf>
    <xf numFmtId="172" fontId="5" fillId="0" borderId="0" xfId="286" applyFont="1" applyAlignment="1" applyProtection="1"/>
    <xf numFmtId="0" fontId="5" fillId="0" borderId="0" xfId="286" applyNumberFormat="1" applyFont="1" applyAlignment="1" applyProtection="1">
      <alignment horizontal="center"/>
    </xf>
    <xf numFmtId="3" fontId="9" fillId="0" borderId="0" xfId="286" applyNumberFormat="1" applyFont="1" applyAlignment="1" applyProtection="1">
      <alignment horizontal="center"/>
    </xf>
    <xf numFmtId="3" fontId="5" fillId="0" borderId="0" xfId="286" applyNumberFormat="1" applyFont="1" applyFill="1" applyAlignment="1" applyProtection="1"/>
    <xf numFmtId="3" fontId="9" fillId="0" borderId="0" xfId="286" applyNumberFormat="1" applyFont="1" applyFill="1" applyAlignment="1" applyProtection="1"/>
    <xf numFmtId="3" fontId="9" fillId="0" borderId="0" xfId="286" applyNumberFormat="1" applyFont="1" applyAlignment="1" applyProtection="1"/>
    <xf numFmtId="0" fontId="31" fillId="0" borderId="0" xfId="0" applyFont="1" applyBorder="1" applyProtection="1"/>
    <xf numFmtId="43" fontId="11" fillId="0" borderId="0" xfId="86" applyNumberFormat="1" applyFont="1" applyAlignment="1" applyProtection="1"/>
    <xf numFmtId="3" fontId="97" fillId="0" borderId="0" xfId="286" applyNumberFormat="1" applyFont="1" applyFill="1" applyAlignment="1" applyProtection="1">
      <alignment horizontal="right"/>
    </xf>
    <xf numFmtId="41" fontId="4" fillId="0" borderId="0" xfId="286" applyNumberFormat="1" applyFont="1" applyBorder="1" applyAlignment="1" applyProtection="1"/>
    <xf numFmtId="3" fontId="4" fillId="0" borderId="0" xfId="286" applyNumberFormat="1" applyFont="1" applyAlignment="1" applyProtection="1">
      <alignment vertical="center" wrapText="1"/>
    </xf>
    <xf numFmtId="41" fontId="97" fillId="0" borderId="0" xfId="286" applyNumberFormat="1" applyFont="1" applyFill="1" applyAlignment="1" applyProtection="1">
      <alignment horizontal="right"/>
    </xf>
    <xf numFmtId="3" fontId="4" fillId="0" borderId="0" xfId="286" applyNumberFormat="1" applyFont="1" applyAlignment="1" applyProtection="1">
      <alignment horizontal="center" vertical="center"/>
    </xf>
    <xf numFmtId="3" fontId="4" fillId="0" borderId="0" xfId="286" applyNumberFormat="1" applyFont="1" applyAlignment="1" applyProtection="1">
      <alignment vertical="center"/>
    </xf>
    <xf numFmtId="41" fontId="4" fillId="0" borderId="0" xfId="286" applyNumberFormat="1" applyFont="1" applyAlignment="1" applyProtection="1">
      <alignment vertical="center"/>
    </xf>
    <xf numFmtId="43" fontId="4" fillId="0" borderId="0" xfId="295" applyNumberFormat="1" applyFont="1" applyFill="1" applyAlignment="1" applyProtection="1"/>
    <xf numFmtId="166" fontId="4" fillId="0" borderId="0" xfId="286" applyNumberFormat="1" applyFont="1" applyAlignment="1" applyProtection="1"/>
    <xf numFmtId="167" fontId="4" fillId="0" borderId="0" xfId="286" applyNumberFormat="1" applyFont="1" applyAlignment="1" applyProtection="1"/>
    <xf numFmtId="172" fontId="22" fillId="0" borderId="0" xfId="286" applyFont="1" applyAlignment="1" applyProtection="1"/>
    <xf numFmtId="164" fontId="4" fillId="0" borderId="0" xfId="286" applyNumberFormat="1" applyFont="1" applyBorder="1" applyAlignment="1" applyProtection="1">
      <alignment horizontal="left"/>
    </xf>
    <xf numFmtId="168" fontId="4" fillId="0" borderId="0" xfId="286" applyNumberFormat="1" applyFont="1" applyAlignment="1" applyProtection="1"/>
    <xf numFmtId="10" fontId="4" fillId="0" borderId="0" xfId="286" applyNumberFormat="1" applyFont="1" applyFill="1" applyAlignment="1" applyProtection="1">
      <alignment horizontal="right"/>
    </xf>
    <xf numFmtId="10" fontId="31" fillId="0" borderId="0" xfId="295" applyNumberFormat="1" applyFont="1" applyProtection="1"/>
    <xf numFmtId="3" fontId="22" fillId="0" borderId="0" xfId="286" applyNumberFormat="1" applyFont="1" applyAlignment="1" applyProtection="1"/>
    <xf numFmtId="167" fontId="4" fillId="0" borderId="0" xfId="286" applyNumberFormat="1" applyFont="1" applyFill="1" applyAlignment="1" applyProtection="1"/>
    <xf numFmtId="166" fontId="4" fillId="0" borderId="0" xfId="286" applyNumberFormat="1" applyFont="1" applyAlignment="1" applyProtection="1">
      <alignment horizontal="center"/>
    </xf>
    <xf numFmtId="186" fontId="22" fillId="0" borderId="0" xfId="286" applyNumberFormat="1" applyFont="1" applyAlignment="1" applyProtection="1">
      <alignment horizontal="center"/>
    </xf>
    <xf numFmtId="187" fontId="4" fillId="0" borderId="0" xfId="286" applyNumberFormat="1" applyFont="1" applyAlignment="1" applyProtection="1"/>
    <xf numFmtId="164" fontId="4" fillId="0" borderId="0" xfId="286" applyNumberFormat="1" applyFont="1" applyFill="1" applyBorder="1" applyAlignment="1" applyProtection="1">
      <alignment horizontal="left"/>
    </xf>
    <xf numFmtId="179" fontId="4" fillId="0" borderId="0" xfId="286" applyNumberFormat="1" applyFont="1" applyFill="1" applyAlignment="1" applyProtection="1">
      <alignment horizontal="right"/>
    </xf>
    <xf numFmtId="185" fontId="4" fillId="0" borderId="0" xfId="86" applyNumberFormat="1" applyFont="1" applyAlignment="1" applyProtection="1">
      <alignment horizontal="center"/>
    </xf>
    <xf numFmtId="41" fontId="22" fillId="0" borderId="0" xfId="286" applyNumberFormat="1" applyFont="1" applyAlignment="1" applyProtection="1"/>
    <xf numFmtId="43" fontId="22" fillId="0" borderId="0" xfId="86" applyFont="1" applyAlignment="1" applyProtection="1"/>
    <xf numFmtId="179" fontId="4" fillId="0" borderId="0" xfId="286" applyNumberFormat="1" applyFont="1" applyAlignment="1" applyProtection="1">
      <alignment horizontal="center"/>
    </xf>
    <xf numFmtId="10" fontId="4" fillId="0" borderId="0" xfId="286" applyNumberFormat="1" applyFont="1" applyFill="1" applyAlignment="1" applyProtection="1">
      <alignment horizontal="left"/>
    </xf>
    <xf numFmtId="186" fontId="4" fillId="0" borderId="0" xfId="286" applyNumberFormat="1" applyFont="1" applyAlignment="1" applyProtection="1">
      <alignment horizontal="center"/>
    </xf>
    <xf numFmtId="168" fontId="4" fillId="0" borderId="0" xfId="286" applyNumberFormat="1" applyFont="1" applyFill="1" applyAlignment="1" applyProtection="1">
      <alignment horizontal="left"/>
    </xf>
    <xf numFmtId="41" fontId="4" fillId="0" borderId="0" xfId="286" applyNumberFormat="1" applyFont="1" applyAlignment="1" applyProtection="1">
      <alignment horizontal="right"/>
    </xf>
    <xf numFmtId="41" fontId="4" fillId="0" borderId="11" xfId="286" applyNumberFormat="1" applyFont="1" applyBorder="1" applyAlignment="1" applyProtection="1"/>
    <xf numFmtId="179" fontId="4" fillId="0" borderId="0" xfId="286" applyNumberFormat="1" applyFont="1" applyAlignment="1" applyProtection="1"/>
    <xf numFmtId="172" fontId="22" fillId="0" borderId="0" xfId="286" applyFont="1" applyFill="1" applyAlignment="1" applyProtection="1"/>
    <xf numFmtId="164" fontId="4" fillId="0" borderId="0" xfId="286" applyNumberFormat="1" applyFont="1" applyFill="1" applyBorder="1" applyAlignment="1" applyProtection="1">
      <alignment horizontal="left" vertical="center"/>
    </xf>
    <xf numFmtId="41" fontId="4" fillId="0" borderId="0" xfId="286" applyNumberFormat="1" applyFont="1" applyFill="1" applyAlignment="1" applyProtection="1">
      <alignment horizontal="center" vertical="center"/>
    </xf>
    <xf numFmtId="180" fontId="4" fillId="0" borderId="0" xfId="286" applyNumberFormat="1" applyFont="1" applyAlignment="1" applyProtection="1"/>
    <xf numFmtId="173" fontId="4" fillId="0" borderId="14" xfId="86" applyNumberFormat="1" applyFont="1" applyBorder="1" applyAlignment="1" applyProtection="1"/>
    <xf numFmtId="0" fontId="4" fillId="0" borderId="0" xfId="286" applyNumberFormat="1" applyFont="1" applyFill="1" applyBorder="1" applyAlignment="1" applyProtection="1">
      <alignment horizontal="left"/>
    </xf>
    <xf numFmtId="0" fontId="5" fillId="0" borderId="0" xfId="286" applyNumberFormat="1" applyFont="1" applyAlignment="1" applyProtection="1"/>
    <xf numFmtId="0" fontId="4" fillId="0" borderId="0" xfId="0" applyFont="1" applyFill="1" applyAlignment="1" applyProtection="1">
      <alignment horizontal="left"/>
    </xf>
    <xf numFmtId="0" fontId="4" fillId="0" borderId="0" xfId="286" applyNumberFormat="1" applyFont="1" applyFill="1" applyBorder="1" applyProtection="1"/>
    <xf numFmtId="3" fontId="4" fillId="0" borderId="0" xfId="286" applyNumberFormat="1" applyFont="1" applyFill="1" applyBorder="1" applyAlignment="1" applyProtection="1"/>
    <xf numFmtId="172" fontId="4" fillId="0" borderId="0" xfId="286" applyFont="1" applyFill="1" applyBorder="1" applyAlignment="1" applyProtection="1"/>
    <xf numFmtId="172" fontId="4" fillId="0" borderId="0" xfId="286" applyFont="1" applyFill="1" applyBorder="1" applyAlignment="1" applyProtection="1">
      <alignment horizontal="center"/>
    </xf>
    <xf numFmtId="173" fontId="4" fillId="0" borderId="6" xfId="86" applyNumberFormat="1" applyFont="1" applyBorder="1" applyAlignment="1" applyProtection="1"/>
    <xf numFmtId="3" fontId="4" fillId="0" borderId="0" xfId="286" applyNumberFormat="1" applyFont="1" applyFill="1" applyBorder="1" applyAlignment="1" applyProtection="1">
      <alignment horizontal="left"/>
    </xf>
    <xf numFmtId="0" fontId="4" fillId="0" borderId="0" xfId="286" applyNumberFormat="1" applyFont="1" applyFill="1" applyBorder="1" applyAlignment="1" applyProtection="1">
      <alignment horizontal="center"/>
    </xf>
    <xf numFmtId="49" fontId="4" fillId="0" borderId="0" xfId="286" applyNumberFormat="1" applyFont="1" applyFill="1" applyBorder="1" applyProtection="1"/>
    <xf numFmtId="49" fontId="4" fillId="0" borderId="0" xfId="286" applyNumberFormat="1" applyFont="1" applyFill="1" applyBorder="1" applyAlignment="1" applyProtection="1"/>
    <xf numFmtId="49" fontId="4" fillId="0" borderId="0" xfId="286" applyNumberFormat="1" applyFont="1" applyFill="1" applyBorder="1" applyAlignment="1" applyProtection="1">
      <alignment horizontal="center"/>
    </xf>
    <xf numFmtId="3" fontId="5" fillId="0" borderId="0" xfId="286" applyNumberFormat="1" applyFont="1" applyFill="1" applyBorder="1" applyAlignment="1" applyProtection="1"/>
    <xf numFmtId="165" fontId="5" fillId="0" borderId="0" xfId="286" applyNumberFormat="1" applyFont="1" applyFill="1" applyBorder="1" applyAlignment="1" applyProtection="1">
      <alignment horizontal="right"/>
    </xf>
    <xf numFmtId="0" fontId="5" fillId="0" borderId="0" xfId="286" applyNumberFormat="1" applyFont="1" applyFill="1" applyAlignment="1" applyProtection="1"/>
    <xf numFmtId="3" fontId="4" fillId="0" borderId="0" xfId="286" applyNumberFormat="1" applyFont="1" applyFill="1" applyProtection="1"/>
    <xf numFmtId="3" fontId="4" fillId="0" borderId="0" xfId="286" applyNumberFormat="1" applyFont="1" applyFill="1" applyAlignment="1" applyProtection="1">
      <alignment horizontal="center" wrapText="1"/>
    </xf>
    <xf numFmtId="4" fontId="4" fillId="0" borderId="0" xfId="286" applyNumberFormat="1" applyFont="1" applyAlignment="1" applyProtection="1"/>
    <xf numFmtId="173" fontId="4" fillId="0" borderId="6" xfId="86" applyNumberFormat="1" applyFont="1" applyFill="1" applyBorder="1" applyAlignment="1" applyProtection="1"/>
    <xf numFmtId="3" fontId="5" fillId="0" borderId="0" xfId="286" applyNumberFormat="1" applyFont="1" applyFill="1" applyAlignment="1" applyProtection="1">
      <alignment horizontal="center"/>
    </xf>
    <xf numFmtId="172" fontId="5" fillId="0" borderId="0" xfId="286" applyFont="1" applyAlignment="1" applyProtection="1">
      <alignment horizontal="right"/>
    </xf>
    <xf numFmtId="165" fontId="5" fillId="0" borderId="0" xfId="286" applyNumberFormat="1" applyFont="1" applyAlignment="1" applyProtection="1"/>
    <xf numFmtId="166" fontId="5" fillId="0" borderId="0" xfId="286" applyNumberFormat="1" applyFont="1" applyFill="1" applyProtection="1"/>
    <xf numFmtId="3" fontId="4" fillId="0" borderId="6" xfId="286" applyNumberFormat="1" applyFont="1" applyFill="1" applyBorder="1" applyAlignment="1" applyProtection="1">
      <alignment horizontal="center"/>
    </xf>
    <xf numFmtId="0" fontId="13" fillId="0" borderId="0" xfId="286" applyNumberFormat="1" applyFont="1" applyFill="1" applyBorder="1" applyAlignment="1" applyProtection="1">
      <alignment horizontal="left"/>
    </xf>
    <xf numFmtId="0" fontId="4" fillId="0" borderId="0" xfId="286" applyNumberFormat="1" applyFont="1" applyFill="1" applyAlignment="1" applyProtection="1">
      <alignment horizontal="left"/>
    </xf>
    <xf numFmtId="3" fontId="22" fillId="0" borderId="0" xfId="286" applyNumberFormat="1" applyFont="1" applyFill="1" applyAlignment="1" applyProtection="1"/>
    <xf numFmtId="181" fontId="4" fillId="0" borderId="0" xfId="86" applyNumberFormat="1" applyFont="1" applyFill="1" applyAlignment="1" applyProtection="1">
      <alignment horizontal="center"/>
    </xf>
    <xf numFmtId="0" fontId="4" fillId="0" borderId="6" xfId="286" applyNumberFormat="1" applyFont="1" applyFill="1" applyBorder="1" applyAlignment="1" applyProtection="1">
      <alignment horizontal="center"/>
    </xf>
    <xf numFmtId="181" fontId="4" fillId="0" borderId="6" xfId="86" applyNumberFormat="1" applyFont="1" applyFill="1" applyBorder="1" applyAlignment="1" applyProtection="1">
      <alignment horizontal="center"/>
    </xf>
    <xf numFmtId="10" fontId="4" fillId="0" borderId="0" xfId="286" applyNumberFormat="1" applyFont="1" applyFill="1" applyAlignment="1" applyProtection="1"/>
    <xf numFmtId="185" fontId="4" fillId="0" borderId="0" xfId="86" applyNumberFormat="1" applyFont="1" applyFill="1" applyAlignment="1" applyProtection="1"/>
    <xf numFmtId="169" fontId="4" fillId="0" borderId="15" xfId="286" applyNumberFormat="1" applyFont="1" applyFill="1" applyBorder="1" applyAlignment="1" applyProtection="1"/>
    <xf numFmtId="3" fontId="4" fillId="0" borderId="0" xfId="286" quotePrefix="1" applyNumberFormat="1" applyFont="1" applyAlignment="1" applyProtection="1"/>
    <xf numFmtId="169" fontId="4" fillId="0" borderId="0" xfId="286" applyNumberFormat="1" applyFont="1" applyFill="1" applyBorder="1" applyAlignment="1" applyProtection="1"/>
    <xf numFmtId="169" fontId="4" fillId="0" borderId="6" xfId="286" applyNumberFormat="1" applyFont="1" applyFill="1" applyBorder="1" applyAlignment="1" applyProtection="1"/>
    <xf numFmtId="181" fontId="21" fillId="0" borderId="0" xfId="86" applyNumberFormat="1" applyFont="1" applyFill="1" applyProtection="1"/>
    <xf numFmtId="169" fontId="5" fillId="0" borderId="0" xfId="286" applyNumberFormat="1" applyFont="1" applyFill="1" applyAlignment="1" applyProtection="1"/>
    <xf numFmtId="3" fontId="5" fillId="0" borderId="0" xfId="286" quotePrefix="1" applyNumberFormat="1" applyFont="1" applyAlignment="1" applyProtection="1"/>
    <xf numFmtId="172" fontId="4" fillId="0" borderId="0" xfId="286" applyFont="1" applyAlignment="1" applyProtection="1">
      <alignment horizontal="right"/>
    </xf>
    <xf numFmtId="172" fontId="4" fillId="0" borderId="0" xfId="286" applyNumberFormat="1" applyFont="1" applyAlignment="1" applyProtection="1"/>
    <xf numFmtId="172" fontId="9" fillId="0" borderId="0" xfId="286" applyFont="1" applyAlignment="1" applyProtection="1">
      <alignment horizontal="center"/>
    </xf>
    <xf numFmtId="172" fontId="2" fillId="0" borderId="0" xfId="286" applyFont="1" applyFill="1" applyAlignment="1" applyProtection="1">
      <alignment horizontal="center"/>
    </xf>
    <xf numFmtId="172" fontId="2" fillId="0" borderId="0" xfId="286" applyFont="1" applyFill="1" applyAlignment="1" applyProtection="1"/>
    <xf numFmtId="10" fontId="4" fillId="0" borderId="0" xfId="286"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286" applyNumberFormat="1" applyFont="1" applyFill="1" applyAlignment="1" applyProtection="1"/>
    <xf numFmtId="0" fontId="118" fillId="0" borderId="0" xfId="286" applyNumberFormat="1" applyFont="1" applyFill="1" applyAlignment="1" applyProtection="1"/>
    <xf numFmtId="0" fontId="25" fillId="0" borderId="0" xfId="286" applyNumberFormat="1" applyFont="1" applyFill="1" applyProtection="1"/>
    <xf numFmtId="172" fontId="25" fillId="0" borderId="0" xfId="286" applyFont="1" applyFill="1" applyAlignment="1" applyProtection="1"/>
    <xf numFmtId="0" fontId="25" fillId="0" borderId="0" xfId="0" applyFont="1" applyAlignment="1" applyProtection="1">
      <alignment vertical="top" wrapText="1"/>
    </xf>
    <xf numFmtId="172" fontId="25" fillId="0" borderId="0" xfId="286" applyFont="1" applyFill="1" applyAlignment="1" applyProtection="1">
      <alignment wrapText="1"/>
    </xf>
    <xf numFmtId="172" fontId="118" fillId="0" borderId="0" xfId="286" applyFont="1" applyFill="1" applyAlignment="1" applyProtection="1"/>
    <xf numFmtId="0" fontId="2" fillId="0" borderId="0" xfId="286" applyNumberFormat="1" applyFont="1" applyFill="1" applyProtection="1"/>
    <xf numFmtId="0" fontId="87" fillId="0" borderId="0" xfId="286" applyNumberFormat="1" applyFont="1" applyFill="1" applyAlignment="1" applyProtection="1">
      <alignment horizontal="center"/>
    </xf>
    <xf numFmtId="0" fontId="0" fillId="0" borderId="0" xfId="0" applyAlignment="1" applyProtection="1">
      <alignment wrapText="1"/>
    </xf>
    <xf numFmtId="0" fontId="4" fillId="0" borderId="0" xfId="0" applyFont="1" applyAlignment="1" applyProtection="1">
      <alignment horizontal="center"/>
    </xf>
    <xf numFmtId="0" fontId="4" fillId="0" borderId="0" xfId="232" applyFont="1" applyBorder="1" applyAlignment="1" applyProtection="1">
      <alignment horizontal="center"/>
    </xf>
    <xf numFmtId="49" fontId="4" fillId="0" borderId="0" xfId="276"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90" applyFont="1" applyProtection="1"/>
    <xf numFmtId="0" fontId="2" fillId="0" borderId="0" xfId="290" applyFont="1" applyAlignment="1" applyProtection="1">
      <alignment horizontal="right"/>
    </xf>
    <xf numFmtId="0" fontId="9" fillId="0" borderId="0" xfId="290" applyFont="1" applyAlignment="1" applyProtection="1">
      <alignment horizontal="center"/>
    </xf>
    <xf numFmtId="0" fontId="25" fillId="0" borderId="0" xfId="0" applyFont="1" applyProtection="1"/>
    <xf numFmtId="0" fontId="4" fillId="0" borderId="0" xfId="290" applyFont="1" applyProtection="1"/>
    <xf numFmtId="0" fontId="81" fillId="0" borderId="0" xfId="290" applyFont="1" applyProtection="1"/>
    <xf numFmtId="0" fontId="25" fillId="0" borderId="0" xfId="0" applyFont="1" applyAlignment="1" applyProtection="1">
      <alignment horizontal="center"/>
    </xf>
    <xf numFmtId="0" fontId="9" fillId="0" borderId="0" xfId="290"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290" applyFont="1" applyFill="1" applyProtection="1"/>
    <xf numFmtId="0" fontId="25" fillId="0" borderId="0" xfId="290" applyFont="1" applyAlignment="1" applyProtection="1">
      <alignment horizontal="center"/>
    </xf>
    <xf numFmtId="0" fontId="8" fillId="0" borderId="0" xfId="290" applyFont="1" applyFill="1" applyAlignment="1" applyProtection="1">
      <alignment horizontal="center"/>
    </xf>
    <xf numFmtId="0" fontId="8" fillId="0" borderId="0" xfId="290" applyFont="1" applyFill="1" applyProtection="1"/>
    <xf numFmtId="0" fontId="11" fillId="0" borderId="0" xfId="290" applyFont="1" applyProtection="1"/>
    <xf numFmtId="173" fontId="11" fillId="0" borderId="0" xfId="290"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290" applyFont="1" applyFill="1" applyAlignment="1" applyProtection="1">
      <alignment horizontal="center"/>
    </xf>
    <xf numFmtId="0" fontId="98" fillId="0" borderId="0" xfId="290" applyFont="1" applyFill="1" applyProtection="1"/>
    <xf numFmtId="0" fontId="106" fillId="0" borderId="0" xfId="0" applyFont="1" applyProtection="1"/>
    <xf numFmtId="0" fontId="106" fillId="0" borderId="0" xfId="290" applyFont="1" applyProtection="1"/>
    <xf numFmtId="172" fontId="11" fillId="0" borderId="0" xfId="290" applyNumberFormat="1" applyFont="1" applyFill="1" applyAlignment="1" applyProtection="1">
      <alignment horizontal="center"/>
    </xf>
    <xf numFmtId="0" fontId="11" fillId="0" borderId="0" xfId="290" applyFont="1" applyFill="1" applyProtection="1"/>
    <xf numFmtId="0" fontId="8" fillId="0" borderId="0" xfId="290" applyFont="1" applyProtection="1"/>
    <xf numFmtId="0" fontId="98" fillId="0" borderId="0" xfId="290" applyFont="1" applyProtection="1"/>
    <xf numFmtId="43" fontId="11" fillId="0" borderId="0" xfId="125" applyFont="1" applyFill="1" applyProtection="1"/>
    <xf numFmtId="43" fontId="106" fillId="0" borderId="0" xfId="125" applyFont="1" applyFill="1" applyProtection="1"/>
    <xf numFmtId="184"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290" applyNumberFormat="1" applyFont="1" applyProtection="1"/>
    <xf numFmtId="173" fontId="11" fillId="0" borderId="0" xfId="290" applyNumberFormat="1" applyFont="1" applyBorder="1" applyProtection="1"/>
    <xf numFmtId="173" fontId="11" fillId="0" borderId="13" xfId="290" applyNumberFormat="1" applyFont="1" applyBorder="1" applyProtection="1"/>
    <xf numFmtId="0" fontId="4" fillId="0" borderId="0" xfId="290" applyFont="1" applyFill="1" applyProtection="1"/>
    <xf numFmtId="173" fontId="4" fillId="0" borderId="0" xfId="290"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86"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286" applyNumberFormat="1" applyFont="1" applyFill="1" applyBorder="1" applyAlignment="1" applyProtection="1"/>
    <xf numFmtId="3" fontId="11" fillId="0" borderId="0" xfId="286" applyNumberFormat="1" applyFont="1" applyAlignment="1" applyProtection="1"/>
    <xf numFmtId="10" fontId="1" fillId="0" borderId="0" xfId="295" applyNumberFormat="1" applyAlignment="1" applyProtection="1">
      <alignment horizontal="right"/>
    </xf>
    <xf numFmtId="172" fontId="11" fillId="0" borderId="0" xfId="286" applyFont="1" applyAlignment="1" applyProtection="1"/>
    <xf numFmtId="172" fontId="11" fillId="0" borderId="0" xfId="286" applyFont="1" applyBorder="1" applyAlignment="1" applyProtection="1"/>
    <xf numFmtId="3" fontId="11" fillId="0" borderId="0" xfId="286" applyNumberFormat="1" applyFont="1" applyFill="1" applyAlignment="1" applyProtection="1"/>
    <xf numFmtId="10" fontId="11" fillId="0" borderId="0" xfId="295" applyNumberFormat="1" applyFont="1" applyFill="1" applyAlignment="1" applyProtection="1">
      <alignment horizontal="right"/>
    </xf>
    <xf numFmtId="3" fontId="8" fillId="0" borderId="0" xfId="286" applyNumberFormat="1" applyFont="1" applyAlignment="1" applyProtection="1"/>
    <xf numFmtId="10" fontId="11" fillId="0" borderId="0" xfId="286" applyNumberFormat="1" applyFont="1" applyFill="1" applyAlignment="1" applyProtection="1">
      <alignment horizontal="right"/>
    </xf>
    <xf numFmtId="3" fontId="12" fillId="0" borderId="0" xfId="286" applyNumberFormat="1" applyFont="1" applyAlignment="1" applyProtection="1">
      <alignment horizontal="center"/>
    </xf>
    <xf numFmtId="10" fontId="12" fillId="0" borderId="0" xfId="286" applyNumberFormat="1" applyFont="1" applyFill="1" applyAlignment="1" applyProtection="1">
      <alignment horizontal="center"/>
    </xf>
    <xf numFmtId="0" fontId="11" fillId="0" borderId="0" xfId="286"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95" applyNumberFormat="1" applyFont="1" applyAlignment="1" applyProtection="1"/>
    <xf numFmtId="166" fontId="11" fillId="0" borderId="0" xfId="286" applyNumberFormat="1" applyFont="1" applyAlignment="1" applyProtection="1">
      <alignment horizontal="center"/>
    </xf>
    <xf numFmtId="166" fontId="11" fillId="0" borderId="0" xfId="286" applyNumberFormat="1" applyFont="1" applyBorder="1" applyAlignment="1" applyProtection="1">
      <alignment horizontal="center"/>
    </xf>
    <xf numFmtId="41" fontId="11" fillId="0" borderId="0" xfId="286" applyNumberFormat="1" applyFont="1" applyAlignment="1" applyProtection="1"/>
    <xf numFmtId="41" fontId="11" fillId="0" borderId="0" xfId="286" applyNumberFormat="1" applyFont="1" applyAlignment="1" applyProtection="1">
      <alignment horizontal="center"/>
    </xf>
    <xf numFmtId="41" fontId="11" fillId="0" borderId="0" xfId="286" applyNumberFormat="1" applyFont="1" applyBorder="1" applyAlignment="1" applyProtection="1">
      <alignment horizontal="center"/>
    </xf>
    <xf numFmtId="0" fontId="11" fillId="0" borderId="0" xfId="286" applyNumberFormat="1" applyFont="1" applyBorder="1" applyAlignment="1" applyProtection="1">
      <alignment horizontal="right"/>
    </xf>
    <xf numFmtId="164" fontId="12" fillId="0" borderId="0" xfId="295" applyNumberFormat="1" applyFont="1" applyAlignment="1" applyProtection="1"/>
    <xf numFmtId="0" fontId="11" fillId="0" borderId="0" xfId="286" applyNumberFormat="1" applyFont="1" applyBorder="1" applyAlignment="1" applyProtection="1"/>
    <xf numFmtId="3" fontId="11" fillId="0" borderId="0" xfId="286" applyNumberFormat="1" applyFont="1" applyAlignment="1" applyProtection="1">
      <alignment horizontal="right"/>
    </xf>
    <xf numFmtId="172" fontId="1" fillId="0" borderId="17" xfId="286" applyFont="1" applyBorder="1" applyAlignment="1" applyProtection="1"/>
    <xf numFmtId="0" fontId="1" fillId="0" borderId="0" xfId="286" applyNumberFormat="1" applyFont="1" applyBorder="1" applyAlignment="1" applyProtection="1">
      <alignment horizontal="center"/>
    </xf>
    <xf numFmtId="172" fontId="1" fillId="0" borderId="0" xfId="286" applyFont="1" applyBorder="1" applyAlignment="1" applyProtection="1"/>
    <xf numFmtId="3" fontId="1" fillId="0" borderId="18" xfId="286" applyNumberFormat="1" applyFont="1" applyBorder="1" applyAlignment="1" applyProtection="1"/>
    <xf numFmtId="10" fontId="11" fillId="0" borderId="0" xfId="286" applyNumberFormat="1" applyFont="1" applyFill="1" applyAlignment="1" applyProtection="1">
      <alignment horizontal="left"/>
    </xf>
    <xf numFmtId="41" fontId="11" fillId="0" borderId="0" xfId="286"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286" applyNumberFormat="1" applyFont="1" applyFill="1" applyAlignment="1" applyProtection="1"/>
    <xf numFmtId="166" fontId="1" fillId="0" borderId="19" xfId="286" applyNumberFormat="1" applyFont="1" applyBorder="1" applyAlignment="1" applyProtection="1">
      <alignment horizontal="center"/>
    </xf>
    <xf numFmtId="0" fontId="1" fillId="0" borderId="6" xfId="286" applyNumberFormat="1" applyFont="1" applyBorder="1" applyAlignment="1" applyProtection="1">
      <alignment horizontal="center"/>
    </xf>
    <xf numFmtId="174" fontId="1" fillId="0" borderId="20" xfId="0" applyNumberFormat="1" applyFont="1" applyBorder="1" applyProtection="1"/>
    <xf numFmtId="41" fontId="1" fillId="0" borderId="0" xfId="286" applyNumberFormat="1" applyFont="1" applyBorder="1" applyAlignment="1" applyProtection="1"/>
    <xf numFmtId="0" fontId="11" fillId="31" borderId="0" xfId="286" applyNumberFormat="1" applyFont="1" applyFill="1" applyBorder="1" applyAlignment="1" applyProtection="1"/>
    <xf numFmtId="41" fontId="11" fillId="0" borderId="0" xfId="286" applyNumberFormat="1" applyFont="1" applyFill="1" applyAlignment="1" applyProtection="1">
      <alignment horizontal="left"/>
    </xf>
    <xf numFmtId="41" fontId="1" fillId="0" borderId="0" xfId="286" applyNumberFormat="1" applyFont="1" applyFill="1" applyBorder="1" applyAlignment="1" applyProtection="1">
      <alignment horizontal="right"/>
    </xf>
    <xf numFmtId="167" fontId="11" fillId="0" borderId="0" xfId="286" applyNumberFormat="1" applyFont="1" applyAlignment="1" applyProtection="1"/>
    <xf numFmtId="164" fontId="11" fillId="0" borderId="0" xfId="286" applyNumberFormat="1" applyFont="1" applyFill="1" applyBorder="1" applyAlignment="1" applyProtection="1">
      <alignment horizontal="left"/>
    </xf>
    <xf numFmtId="164" fontId="11" fillId="0" borderId="0" xfId="286" applyNumberFormat="1" applyFont="1" applyBorder="1" applyAlignment="1" applyProtection="1">
      <alignment horizontal="left"/>
    </xf>
    <xf numFmtId="3" fontId="11" fillId="0" borderId="0" xfId="286" applyNumberFormat="1" applyFont="1" applyAlignment="1" applyProtection="1">
      <alignment vertical="center" wrapText="1"/>
    </xf>
    <xf numFmtId="41" fontId="11" fillId="0" borderId="0" xfId="286" applyNumberFormat="1" applyFont="1" applyBorder="1" applyAlignment="1" applyProtection="1">
      <alignment vertical="center"/>
    </xf>
    <xf numFmtId="41" fontId="11" fillId="0" borderId="0" xfId="286" applyNumberFormat="1" applyFont="1" applyBorder="1" applyAlignment="1" applyProtection="1">
      <alignment horizontal="center" vertical="center"/>
    </xf>
    <xf numFmtId="41" fontId="11" fillId="0" borderId="0" xfId="286"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86" applyNumberFormat="1" applyFont="1" applyFill="1" applyBorder="1" applyAlignment="1" applyProtection="1"/>
    <xf numFmtId="41" fontId="11" fillId="0" borderId="11" xfId="286" applyNumberFormat="1" applyFont="1" applyFill="1" applyBorder="1" applyAlignment="1" applyProtection="1"/>
    <xf numFmtId="3" fontId="11" fillId="0" borderId="0" xfId="286" applyNumberFormat="1" applyFont="1" applyFill="1" applyBorder="1" applyAlignment="1" applyProtection="1"/>
    <xf numFmtId="41" fontId="11" fillId="0" borderId="0" xfId="286" applyNumberFormat="1" applyFont="1" applyFill="1" applyBorder="1" applyAlignment="1" applyProtection="1">
      <alignment horizontal="center"/>
    </xf>
    <xf numFmtId="0" fontId="11" fillId="0" borderId="0" xfId="286" applyNumberFormat="1" applyFont="1" applyFill="1" applyBorder="1" applyProtection="1"/>
    <xf numFmtId="41" fontId="12" fillId="0" borderId="0" xfId="286" applyNumberFormat="1" applyFont="1" applyFill="1" applyBorder="1" applyAlignment="1" applyProtection="1"/>
    <xf numFmtId="3" fontId="11" fillId="0" borderId="0" xfId="286" applyNumberFormat="1" applyFont="1" applyFill="1" applyBorder="1" applyAlignment="1" applyProtection="1">
      <alignment horizontal="center"/>
    </xf>
    <xf numFmtId="0" fontId="11" fillId="0" borderId="0" xfId="0" applyFont="1" applyFill="1" applyBorder="1" applyProtection="1"/>
    <xf numFmtId="0" fontId="11" fillId="0" borderId="0" xfId="286" applyNumberFormat="1" applyFont="1" applyFill="1" applyBorder="1" applyAlignment="1" applyProtection="1">
      <alignment horizontal="center"/>
    </xf>
    <xf numFmtId="10" fontId="11" fillId="0" borderId="0" xfId="286" applyNumberFormat="1" applyFont="1" applyFill="1" applyBorder="1" applyAlignment="1" applyProtection="1"/>
    <xf numFmtId="169" fontId="11" fillId="0" borderId="0" xfId="286" applyNumberFormat="1" applyFont="1" applyFill="1" applyBorder="1" applyAlignment="1" applyProtection="1"/>
    <xf numFmtId="172" fontId="11" fillId="0" borderId="0" xfId="286" applyFont="1" applyFill="1" applyBorder="1" applyAlignment="1" applyProtection="1"/>
    <xf numFmtId="169" fontId="8" fillId="0" borderId="0" xfId="286"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86" applyNumberFormat="1" applyFont="1" applyFill="1" applyBorder="1" applyProtection="1"/>
    <xf numFmtId="41" fontId="12" fillId="0" borderId="0" xfId="0" applyNumberFormat="1" applyFont="1" applyProtection="1"/>
    <xf numFmtId="181" fontId="11" fillId="0" borderId="0" xfId="86"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86" applyNumberFormat="1" applyFont="1" applyFill="1" applyProtection="1"/>
    <xf numFmtId="173" fontId="11" fillId="0" borderId="0" xfId="86" applyNumberFormat="1" applyFont="1" applyBorder="1" applyProtection="1"/>
    <xf numFmtId="43" fontId="11" fillId="0" borderId="0" xfId="86"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5" xfId="0" applyFont="1" applyBorder="1" applyProtection="1"/>
    <xf numFmtId="0" fontId="11" fillId="0" borderId="15" xfId="0"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7" xfId="0" applyFont="1" applyBorder="1" applyProtection="1"/>
    <xf numFmtId="0" fontId="8" fillId="0" borderId="0" xfId="0" applyFont="1" applyFill="1" applyProtection="1"/>
    <xf numFmtId="173" fontId="11" fillId="0" borderId="20"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5"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6"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6" xfId="86" applyNumberFormat="1" applyFont="1" applyBorder="1" applyAlignment="1" applyProtection="1">
      <alignment horizontal="center" wrapText="1"/>
    </xf>
    <xf numFmtId="173" fontId="8" fillId="0" borderId="25" xfId="86" applyNumberFormat="1" applyFont="1" applyBorder="1" applyAlignment="1" applyProtection="1">
      <alignment horizontal="center" wrapText="1"/>
    </xf>
    <xf numFmtId="0" fontId="8" fillId="0" borderId="27" xfId="0" applyFont="1" applyBorder="1" applyAlignment="1" applyProtection="1">
      <alignment horizontal="center" wrapText="1"/>
    </xf>
    <xf numFmtId="0" fontId="8" fillId="0" borderId="0" xfId="0" applyFont="1" applyBorder="1" applyAlignment="1" applyProtection="1">
      <alignment horizontal="center" wrapText="1"/>
    </xf>
    <xf numFmtId="0" fontId="8" fillId="0" borderId="28" xfId="0" applyFont="1" applyBorder="1" applyAlignment="1" applyProtection="1">
      <alignment horizontal="center"/>
    </xf>
    <xf numFmtId="0" fontId="8" fillId="0" borderId="6" xfId="0" applyFont="1" applyBorder="1" applyAlignment="1" applyProtection="1">
      <alignment horizontal="center"/>
    </xf>
    <xf numFmtId="173" fontId="8" fillId="0" borderId="28" xfId="86" applyNumberFormat="1" applyFont="1" applyBorder="1" applyAlignment="1" applyProtection="1">
      <alignment horizontal="center"/>
    </xf>
    <xf numFmtId="173" fontId="8" fillId="0" borderId="20" xfId="86" applyNumberFormat="1" applyFont="1" applyBorder="1" applyAlignment="1" applyProtection="1">
      <alignment horizontal="center"/>
    </xf>
    <xf numFmtId="0" fontId="8" fillId="0" borderId="28" xfId="0" applyFont="1" applyFill="1" applyBorder="1" applyAlignment="1" applyProtection="1">
      <alignment horizontal="center"/>
    </xf>
    <xf numFmtId="0" fontId="8" fillId="0" borderId="27" xfId="0" applyFont="1" applyFill="1" applyBorder="1" applyAlignment="1" applyProtection="1">
      <alignment horizontal="center"/>
    </xf>
    <xf numFmtId="0" fontId="11" fillId="0" borderId="27" xfId="0" applyNumberFormat="1" applyFont="1" applyBorder="1" applyAlignment="1" applyProtection="1">
      <alignment horizontal="center"/>
    </xf>
    <xf numFmtId="173" fontId="11" fillId="0" borderId="27" xfId="86" applyNumberFormat="1" applyFont="1" applyBorder="1" applyProtection="1"/>
    <xf numFmtId="173" fontId="11" fillId="0" borderId="27" xfId="86" applyNumberFormat="1" applyFont="1" applyFill="1" applyBorder="1" applyProtection="1"/>
    <xf numFmtId="173" fontId="11" fillId="0" borderId="18" xfId="86" applyNumberFormat="1" applyFont="1" applyFill="1" applyBorder="1" applyProtection="1"/>
    <xf numFmtId="174" fontId="11" fillId="0" borderId="27" xfId="0" applyNumberFormat="1" applyFont="1" applyBorder="1" applyProtection="1"/>
    <xf numFmtId="174" fontId="7" fillId="28" borderId="26" xfId="0" applyNumberFormat="1" applyFont="1" applyFill="1" applyBorder="1" applyProtection="1"/>
    <xf numFmtId="174" fontId="11" fillId="29" borderId="26" xfId="0" applyNumberFormat="1" applyFont="1" applyFill="1" applyBorder="1" applyProtection="1"/>
    <xf numFmtId="173" fontId="11" fillId="0" borderId="27" xfId="0" applyNumberFormat="1" applyFont="1" applyBorder="1" applyProtection="1"/>
    <xf numFmtId="173" fontId="11" fillId="0" borderId="18" xfId="86" applyNumberFormat="1" applyFont="1" applyBorder="1" applyProtection="1"/>
    <xf numFmtId="174" fontId="7" fillId="28" borderId="27" xfId="0" applyNumberFormat="1" applyFont="1" applyFill="1" applyBorder="1" applyProtection="1"/>
    <xf numFmtId="174" fontId="11" fillId="29" borderId="27" xfId="0" applyNumberFormat="1" applyFont="1" applyFill="1" applyBorder="1" applyProtection="1"/>
    <xf numFmtId="0" fontId="11" fillId="0" borderId="28" xfId="0" applyNumberFormat="1" applyFont="1" applyBorder="1" applyAlignment="1" applyProtection="1">
      <alignment horizontal="center"/>
    </xf>
    <xf numFmtId="173" fontId="11" fillId="0" borderId="6" xfId="0" applyNumberFormat="1" applyFont="1" applyBorder="1" applyProtection="1"/>
    <xf numFmtId="173" fontId="11" fillId="0" borderId="28" xfId="0" applyNumberFormat="1" applyFont="1" applyBorder="1" applyProtection="1"/>
    <xf numFmtId="173" fontId="11" fillId="0" borderId="28" xfId="86" applyNumberFormat="1" applyFont="1" applyBorder="1" applyProtection="1"/>
    <xf numFmtId="174" fontId="11" fillId="0" borderId="28" xfId="0" applyNumberFormat="1" applyFont="1" applyBorder="1" applyProtection="1"/>
    <xf numFmtId="174" fontId="7" fillId="28" borderId="28" xfId="0" applyNumberFormat="1" applyFont="1" applyFill="1" applyBorder="1" applyProtection="1"/>
    <xf numFmtId="174" fontId="11" fillId="29" borderId="28" xfId="0" applyNumberFormat="1" applyFont="1" applyFill="1" applyBorder="1" applyProtection="1"/>
    <xf numFmtId="0" fontId="0" fillId="32" borderId="0" xfId="0" applyFill="1" applyProtection="1"/>
    <xf numFmtId="10" fontId="0" fillId="0" borderId="0" xfId="295" applyNumberFormat="1" applyFont="1" applyAlignment="1" applyProtection="1">
      <alignment horizontal="right"/>
    </xf>
    <xf numFmtId="172" fontId="11" fillId="0" borderId="21" xfId="286" applyFont="1" applyBorder="1" applyAlignment="1" applyProtection="1"/>
    <xf numFmtId="172" fontId="11" fillId="0" borderId="15" xfId="286" applyFont="1" applyBorder="1" applyAlignment="1" applyProtection="1"/>
    <xf numFmtId="3" fontId="11" fillId="0" borderId="25" xfId="286" applyNumberFormat="1" applyFont="1" applyBorder="1" applyAlignment="1" applyProtection="1"/>
    <xf numFmtId="172" fontId="11" fillId="0" borderId="17" xfId="286" applyFont="1" applyBorder="1" applyAlignment="1" applyProtection="1"/>
    <xf numFmtId="3" fontId="11" fillId="0" borderId="18" xfId="286" applyNumberFormat="1" applyFont="1" applyBorder="1" applyAlignment="1" applyProtection="1"/>
    <xf numFmtId="0" fontId="11" fillId="0" borderId="0" xfId="286"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5" xfId="0" applyNumberFormat="1" applyFont="1" applyBorder="1" applyProtection="1"/>
    <xf numFmtId="166" fontId="11" fillId="0" borderId="19" xfId="286" applyNumberFormat="1" applyFont="1" applyBorder="1" applyAlignment="1" applyProtection="1">
      <alignment horizontal="center"/>
    </xf>
    <xf numFmtId="0" fontId="11" fillId="0" borderId="6" xfId="286" applyNumberFormat="1" applyFont="1" applyBorder="1" applyAlignment="1" applyProtection="1">
      <alignment horizontal="center"/>
    </xf>
    <xf numFmtId="173" fontId="11" fillId="0" borderId="6" xfId="286" quotePrefix="1" applyNumberFormat="1" applyFont="1" applyBorder="1" applyAlignment="1" applyProtection="1">
      <alignment horizontal="center"/>
    </xf>
    <xf numFmtId="41" fontId="11" fillId="0" borderId="0" xfId="286" applyNumberFormat="1" applyFont="1" applyFill="1" applyBorder="1" applyAlignment="1" applyProtection="1">
      <alignment horizontal="right"/>
    </xf>
    <xf numFmtId="10" fontId="11" fillId="0" borderId="0" xfId="295" applyNumberFormat="1" applyFont="1" applyFill="1" applyBorder="1" applyAlignment="1" applyProtection="1"/>
    <xf numFmtId="0" fontId="125" fillId="27" borderId="0" xfId="0" applyFont="1" applyFill="1" applyBorder="1" applyProtection="1"/>
    <xf numFmtId="0" fontId="8" fillId="0" borderId="21" xfId="0" applyFont="1" applyFill="1" applyBorder="1" applyAlignment="1" applyProtection="1">
      <alignment horizontal="center"/>
    </xf>
    <xf numFmtId="173" fontId="11" fillId="0" borderId="17" xfId="86" applyNumberFormat="1" applyFont="1" applyBorder="1" applyProtection="1"/>
    <xf numFmtId="173" fontId="8" fillId="0" borderId="0" xfId="86" applyNumberFormat="1" applyFont="1" applyBorder="1" applyProtection="1"/>
    <xf numFmtId="173" fontId="11" fillId="0" borderId="18" xfId="0" applyNumberFormat="1" applyFont="1" applyBorder="1" applyProtection="1"/>
    <xf numFmtId="173" fontId="8" fillId="0" borderId="11" xfId="86" applyNumberFormat="1" applyFont="1" applyBorder="1" applyProtection="1"/>
    <xf numFmtId="173" fontId="11" fillId="0" borderId="29" xfId="0" applyNumberFormat="1" applyFont="1" applyBorder="1" applyProtection="1"/>
    <xf numFmtId="173" fontId="8" fillId="0" borderId="6" xfId="86" applyNumberFormat="1" applyFont="1" applyFill="1" applyBorder="1" applyAlignment="1" applyProtection="1">
      <alignment horizontal="left"/>
    </xf>
    <xf numFmtId="173" fontId="8" fillId="0" borderId="20" xfId="86" applyNumberFormat="1" applyFont="1" applyFill="1" applyBorder="1" applyAlignment="1" applyProtection="1">
      <alignment horizontal="left"/>
    </xf>
    <xf numFmtId="173" fontId="11" fillId="0" borderId="26" xfId="0" applyNumberFormat="1" applyFont="1" applyBorder="1" applyProtection="1"/>
    <xf numFmtId="174" fontId="11" fillId="0" borderId="26" xfId="0" applyNumberFormat="1" applyFont="1" applyBorder="1" applyProtection="1"/>
    <xf numFmtId="0" fontId="8" fillId="0" borderId="0" xfId="286" applyNumberFormat="1" applyFont="1" applyFill="1" applyBorder="1" applyAlignment="1" applyProtection="1">
      <alignment vertical="center"/>
    </xf>
    <xf numFmtId="0" fontId="105" fillId="0" borderId="0" xfId="0" applyFont="1" applyProtection="1"/>
    <xf numFmtId="0" fontId="8" fillId="0" borderId="0" xfId="286" applyNumberFormat="1" applyFont="1" applyFill="1" applyBorder="1" applyAlignment="1" applyProtection="1">
      <alignment vertical="top"/>
    </xf>
    <xf numFmtId="0" fontId="21" fillId="0" borderId="0" xfId="0" applyFont="1" applyAlignment="1" applyProtection="1"/>
    <xf numFmtId="0" fontId="109" fillId="0" borderId="0" xfId="288" applyFont="1" applyAlignment="1" applyProtection="1"/>
    <xf numFmtId="0" fontId="2" fillId="0" borderId="0" xfId="288" applyProtection="1"/>
    <xf numFmtId="0" fontId="110" fillId="0" borderId="0" xfId="288" applyFont="1" applyProtection="1"/>
    <xf numFmtId="0" fontId="111" fillId="0" borderId="0" xfId="288" applyFont="1" applyAlignment="1" applyProtection="1">
      <alignment horizontal="center"/>
    </xf>
    <xf numFmtId="0" fontId="112" fillId="0" borderId="0" xfId="288" applyFont="1" applyProtection="1"/>
    <xf numFmtId="176" fontId="111" fillId="0" borderId="0" xfId="288" applyNumberFormat="1" applyFont="1" applyAlignment="1" applyProtection="1">
      <alignment horizontal="center"/>
    </xf>
    <xf numFmtId="0" fontId="111" fillId="0" borderId="0" xfId="288" applyFont="1" applyProtection="1"/>
    <xf numFmtId="176" fontId="111" fillId="0" borderId="0" xfId="288" quotePrefix="1" applyNumberFormat="1" applyFont="1" applyAlignment="1" applyProtection="1">
      <alignment horizontal="center"/>
    </xf>
    <xf numFmtId="193" fontId="111" fillId="0" borderId="0" xfId="288" quotePrefix="1" applyNumberFormat="1" applyFont="1" applyAlignment="1" applyProtection="1">
      <alignment horizontal="center"/>
    </xf>
    <xf numFmtId="0" fontId="113" fillId="0" borderId="0" xfId="288" applyFont="1" applyProtection="1"/>
    <xf numFmtId="0" fontId="114" fillId="0" borderId="16" xfId="288" applyFont="1" applyBorder="1" applyProtection="1"/>
    <xf numFmtId="0" fontId="110" fillId="0" borderId="16" xfId="288" applyFont="1" applyBorder="1" applyProtection="1"/>
    <xf numFmtId="0" fontId="2" fillId="0" borderId="0" xfId="288" applyFont="1" applyBorder="1" applyAlignment="1" applyProtection="1">
      <alignment horizontal="left"/>
    </xf>
    <xf numFmtId="0" fontId="2" fillId="0" borderId="0" xfId="288" applyFont="1" applyBorder="1" applyProtection="1"/>
    <xf numFmtId="0" fontId="115" fillId="0" borderId="0" xfId="288" applyFont="1" applyProtection="1"/>
    <xf numFmtId="176" fontId="2" fillId="0" borderId="0" xfId="288" quotePrefix="1" applyNumberFormat="1" applyAlignment="1" applyProtection="1">
      <alignment horizontal="right"/>
    </xf>
    <xf numFmtId="0" fontId="115" fillId="0" borderId="0" xfId="288" applyFont="1" applyAlignment="1" applyProtection="1">
      <alignment horizontal="right"/>
    </xf>
    <xf numFmtId="0" fontId="116" fillId="0" borderId="0" xfId="288" applyFont="1" applyProtection="1"/>
    <xf numFmtId="0" fontId="117" fillId="0" borderId="0" xfId="288" applyFont="1" applyProtection="1"/>
    <xf numFmtId="0" fontId="41" fillId="0" borderId="0" xfId="288" applyFont="1" applyProtection="1"/>
    <xf numFmtId="0" fontId="122" fillId="0" borderId="0" xfId="0" applyFont="1" applyFill="1" applyAlignment="1" applyProtection="1">
      <alignment horizontal="left"/>
    </xf>
    <xf numFmtId="0" fontId="122" fillId="0" borderId="0" xfId="0" applyFont="1" applyFill="1" applyProtection="1"/>
    <xf numFmtId="0" fontId="122" fillId="0" borderId="26" xfId="0" applyFont="1" applyFill="1" applyBorder="1" applyAlignment="1" applyProtection="1">
      <alignment horizontal="center" wrapText="1"/>
    </xf>
    <xf numFmtId="0" fontId="122" fillId="0" borderId="27" xfId="0" applyFont="1" applyFill="1" applyBorder="1" applyAlignment="1" applyProtection="1">
      <alignment horizontal="center" wrapText="1"/>
    </xf>
    <xf numFmtId="0" fontId="122" fillId="0" borderId="27"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8"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98"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90" applyNumberFormat="1" applyFont="1" applyFill="1" applyProtection="1"/>
    <xf numFmtId="176" fontId="122" fillId="0" borderId="0" xfId="0" applyNumberFormat="1" applyFont="1" applyFill="1" applyProtection="1"/>
    <xf numFmtId="173" fontId="122" fillId="0" borderId="11" xfId="90" applyNumberFormat="1" applyFont="1" applyFill="1" applyBorder="1" applyProtection="1"/>
    <xf numFmtId="173" fontId="123" fillId="0" borderId="0" xfId="90" applyNumberFormat="1" applyFont="1" applyFill="1" applyProtection="1"/>
    <xf numFmtId="173" fontId="123" fillId="0" borderId="0" xfId="90"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5" fontId="4" fillId="0" borderId="0" xfId="0" applyNumberFormat="1" applyFont="1" applyFill="1" applyProtection="1"/>
    <xf numFmtId="173" fontId="4" fillId="0" borderId="0" xfId="90" applyNumberFormat="1" applyFont="1" applyFill="1" applyProtection="1"/>
    <xf numFmtId="173" fontId="4" fillId="0" borderId="0" xfId="129" applyNumberFormat="1" applyFont="1" applyFill="1" applyProtection="1"/>
    <xf numFmtId="0" fontId="0" fillId="0" borderId="0" xfId="0" applyFill="1" applyAlignment="1" applyProtection="1">
      <alignment horizontal="left"/>
    </xf>
    <xf numFmtId="0" fontId="18" fillId="33" borderId="0" xfId="86" applyNumberFormat="1" applyFont="1" applyFill="1" applyAlignment="1" applyProtection="1">
      <protection locked="0"/>
    </xf>
    <xf numFmtId="173" fontId="18" fillId="33" borderId="0" xfId="86" applyNumberFormat="1" applyFont="1" applyFill="1" applyAlignment="1" applyProtection="1">
      <alignment horizontal="right"/>
      <protection locked="0"/>
    </xf>
    <xf numFmtId="41" fontId="18" fillId="33" borderId="0" xfId="286" applyNumberFormat="1" applyFont="1" applyFill="1" applyAlignment="1" applyProtection="1">
      <protection locked="0"/>
    </xf>
    <xf numFmtId="41" fontId="18" fillId="33" borderId="6" xfId="286" applyNumberFormat="1" applyFont="1" applyFill="1" applyBorder="1" applyAlignment="1" applyProtection="1">
      <protection locked="0"/>
    </xf>
    <xf numFmtId="3" fontId="18" fillId="33" borderId="0" xfId="286" applyNumberFormat="1" applyFont="1" applyFill="1" applyAlignment="1" applyProtection="1">
      <protection locked="0"/>
    </xf>
    <xf numFmtId="3" fontId="18" fillId="33" borderId="6" xfId="286" applyNumberFormat="1" applyFont="1" applyFill="1" applyBorder="1" applyAlignment="1" applyProtection="1">
      <protection locked="0"/>
    </xf>
    <xf numFmtId="10" fontId="18" fillId="33" borderId="0" xfId="295" applyNumberFormat="1" applyFont="1" applyFill="1" applyAlignment="1" applyProtection="1">
      <protection locked="0"/>
    </xf>
    <xf numFmtId="173" fontId="7" fillId="33" borderId="0" xfId="91" applyNumberFormat="1" applyFont="1" applyFill="1" applyBorder="1" applyAlignment="1" applyProtection="1">
      <alignment horizontal="right"/>
      <protection locked="0"/>
    </xf>
    <xf numFmtId="0" fontId="31" fillId="33" borderId="0" xfId="232" applyFont="1" applyFill="1" applyBorder="1" applyProtection="1">
      <protection locked="0"/>
    </xf>
    <xf numFmtId="173" fontId="7" fillId="33" borderId="11" xfId="91" applyNumberFormat="1" applyFont="1" applyFill="1" applyBorder="1" applyAlignment="1" applyProtection="1">
      <alignment horizontal="right"/>
      <protection locked="0"/>
    </xf>
    <xf numFmtId="41" fontId="7" fillId="33" borderId="0" xfId="276" applyNumberFormat="1" applyFont="1" applyFill="1" applyProtection="1">
      <protection locked="0"/>
    </xf>
    <xf numFmtId="37" fontId="7" fillId="33" borderId="0" xfId="0" applyNumberFormat="1" applyFont="1" applyFill="1" applyProtection="1">
      <protection locked="0"/>
    </xf>
    <xf numFmtId="3" fontId="62" fillId="33" borderId="0" xfId="0" applyNumberFormat="1" applyFont="1" applyFill="1" applyProtection="1">
      <protection locked="0"/>
    </xf>
    <xf numFmtId="3" fontId="126" fillId="33" borderId="0" xfId="0" applyNumberFormat="1" applyFont="1" applyFill="1" applyProtection="1">
      <protection locked="0"/>
    </xf>
    <xf numFmtId="37" fontId="126" fillId="33" borderId="0" xfId="0" applyNumberFormat="1" applyFont="1" applyFill="1" applyProtection="1">
      <protection locked="0"/>
    </xf>
    <xf numFmtId="1" fontId="62" fillId="33" borderId="0" xfId="0" applyNumberFormat="1" applyFont="1" applyFill="1" applyAlignment="1" applyProtection="1">
      <alignment horizontal="left"/>
      <protection locked="0"/>
    </xf>
    <xf numFmtId="38" fontId="62" fillId="0" borderId="15" xfId="0" applyNumberFormat="1" applyFont="1" applyFill="1" applyBorder="1"/>
    <xf numFmtId="173" fontId="0" fillId="0" borderId="0" xfId="0" applyNumberFormat="1" applyFill="1" applyProtection="1"/>
    <xf numFmtId="173" fontId="7" fillId="0" borderId="0" xfId="86" applyNumberFormat="1" applyFont="1" applyFill="1" applyProtection="1"/>
    <xf numFmtId="173" fontId="0" fillId="0" borderId="11" xfId="0" applyNumberFormat="1" applyFill="1" applyBorder="1" applyProtection="1"/>
    <xf numFmtId="173" fontId="7" fillId="33" borderId="0" xfId="125" applyNumberFormat="1" applyFont="1" applyFill="1" applyProtection="1">
      <protection locked="0"/>
    </xf>
    <xf numFmtId="0" fontId="18" fillId="33" borderId="0" xfId="276" applyFont="1" applyFill="1" applyAlignment="1" applyProtection="1">
      <alignment horizontal="center"/>
      <protection locked="0"/>
    </xf>
    <xf numFmtId="3" fontId="18" fillId="33" borderId="0" xfId="0" applyNumberFormat="1" applyFont="1" applyFill="1" applyAlignment="1" applyProtection="1">
      <protection locked="0"/>
    </xf>
    <xf numFmtId="41" fontId="18" fillId="33" borderId="0" xfId="276" applyNumberFormat="1" applyFont="1" applyFill="1" applyBorder="1" applyProtection="1">
      <protection locked="0"/>
    </xf>
    <xf numFmtId="173" fontId="77" fillId="33" borderId="0" xfId="287" applyNumberFormat="1" applyFont="1" applyFill="1" applyBorder="1" applyProtection="1">
      <protection locked="0"/>
    </xf>
    <xf numFmtId="0" fontId="70" fillId="33" borderId="0" xfId="287" applyFont="1" applyFill="1" applyAlignment="1" applyProtection="1">
      <alignment horizontal="center"/>
      <protection locked="0"/>
    </xf>
    <xf numFmtId="0" fontId="7" fillId="33" borderId="0" xfId="86" applyNumberFormat="1" applyFont="1" applyFill="1" applyAlignment="1" applyProtection="1">
      <protection locked="0"/>
    </xf>
    <xf numFmtId="173" fontId="1" fillId="33" borderId="6" xfId="286" applyNumberFormat="1" applyFont="1" applyFill="1" applyBorder="1" applyAlignment="1" applyProtection="1">
      <alignment horizontal="center"/>
      <protection locked="0"/>
    </xf>
    <xf numFmtId="0" fontId="18" fillId="33" borderId="0" xfId="86" applyNumberFormat="1" applyFont="1" applyFill="1" applyAlignment="1" applyProtection="1">
      <alignment horizontal="left"/>
      <protection locked="0"/>
    </xf>
    <xf numFmtId="173" fontId="159" fillId="33" borderId="18" xfId="86" applyNumberFormat="1" applyFont="1" applyFill="1" applyBorder="1" applyAlignment="1" applyProtection="1">
      <alignment horizontal="right"/>
      <protection locked="0"/>
    </xf>
    <xf numFmtId="173" fontId="7" fillId="33" borderId="18" xfId="86" applyNumberFormat="1" applyFont="1" applyFill="1" applyBorder="1" applyAlignment="1" applyProtection="1">
      <alignment horizontal="right"/>
      <protection locked="0"/>
    </xf>
    <xf numFmtId="0" fontId="7" fillId="33" borderId="20" xfId="0" applyFont="1" applyFill="1" applyBorder="1" applyAlignment="1" applyProtection="1">
      <alignment horizontal="right"/>
      <protection locked="0"/>
    </xf>
    <xf numFmtId="173" fontId="7" fillId="33" borderId="18" xfId="0" applyNumberFormat="1" applyFont="1" applyFill="1" applyBorder="1" applyAlignment="1" applyProtection="1">
      <alignment horizontal="right"/>
      <protection locked="0"/>
    </xf>
    <xf numFmtId="174" fontId="7" fillId="33" borderId="26" xfId="0" applyNumberFormat="1" applyFont="1" applyFill="1" applyBorder="1" applyProtection="1">
      <protection locked="0"/>
    </xf>
    <xf numFmtId="174" fontId="7" fillId="33" borderId="27" xfId="0" applyNumberFormat="1" applyFont="1" applyFill="1" applyBorder="1" applyProtection="1">
      <protection locked="0"/>
    </xf>
    <xf numFmtId="174" fontId="7" fillId="33" borderId="28" xfId="0" applyNumberFormat="1" applyFont="1" applyFill="1" applyBorder="1" applyProtection="1">
      <protection locked="0"/>
    </xf>
    <xf numFmtId="174" fontId="11" fillId="33" borderId="0" xfId="0" applyNumberFormat="1" applyFont="1" applyFill="1" applyBorder="1" applyProtection="1">
      <protection locked="0"/>
    </xf>
    <xf numFmtId="174" fontId="11" fillId="33" borderId="6" xfId="0" applyNumberFormat="1" applyFont="1" applyFill="1" applyBorder="1" applyProtection="1">
      <protection locked="0"/>
    </xf>
    <xf numFmtId="0" fontId="68" fillId="33" borderId="0" xfId="0" applyFont="1" applyFill="1" applyAlignment="1" applyProtection="1">
      <alignment horizontal="left"/>
      <protection locked="0"/>
    </xf>
    <xf numFmtId="0" fontId="7" fillId="33" borderId="18" xfId="0" applyFont="1" applyFill="1" applyBorder="1" applyAlignment="1" applyProtection="1">
      <alignment horizontal="right"/>
      <protection locked="0"/>
    </xf>
    <xf numFmtId="0" fontId="16" fillId="0" borderId="0" xfId="276" applyFont="1" applyAlignment="1">
      <alignment wrapText="1"/>
    </xf>
    <xf numFmtId="173" fontId="7" fillId="33" borderId="0" xfId="90" applyNumberFormat="1" applyFont="1" applyFill="1" applyBorder="1" applyProtection="1">
      <protection locked="0"/>
    </xf>
    <xf numFmtId="173" fontId="19" fillId="33" borderId="0" xfId="86" applyNumberFormat="1" applyFont="1" applyFill="1" applyProtection="1">
      <protection locked="0"/>
    </xf>
    <xf numFmtId="189" fontId="19" fillId="33" borderId="0" xfId="0" applyNumberFormat="1" applyFont="1" applyFill="1" applyProtection="1">
      <protection locked="0"/>
    </xf>
    <xf numFmtId="0" fontId="0" fillId="33" borderId="0" xfId="0" applyFill="1" applyAlignment="1" applyProtection="1">
      <alignment horizontal="center"/>
      <protection locked="0"/>
    </xf>
    <xf numFmtId="0" fontId="19" fillId="33" borderId="0" xfId="0" applyFont="1" applyFill="1" applyProtection="1">
      <protection locked="0"/>
    </xf>
    <xf numFmtId="170" fontId="122" fillId="33" borderId="28" xfId="0" applyNumberFormat="1" applyFont="1" applyFill="1" applyBorder="1" applyAlignment="1" applyProtection="1">
      <alignment horizontal="center"/>
      <protection locked="0"/>
    </xf>
    <xf numFmtId="176" fontId="122" fillId="33" borderId="0" xfId="298" applyNumberFormat="1" applyFont="1" applyFill="1" applyProtection="1">
      <protection locked="0"/>
    </xf>
    <xf numFmtId="197" fontId="160" fillId="31" borderId="0" xfId="0" applyNumberFormat="1" applyFont="1" applyFill="1" applyAlignment="1">
      <alignment horizontal="right"/>
    </xf>
    <xf numFmtId="41" fontId="7" fillId="33" borderId="0" xfId="277" applyNumberFormat="1" applyFont="1" applyFill="1"/>
    <xf numFmtId="41" fontId="7" fillId="33" borderId="11" xfId="277" applyNumberFormat="1" applyFont="1" applyFill="1" applyBorder="1"/>
    <xf numFmtId="173" fontId="7" fillId="0" borderId="0" xfId="125" applyNumberFormat="1" applyFont="1" applyFill="1" applyProtection="1">
      <protection locked="0"/>
    </xf>
    <xf numFmtId="0" fontId="130" fillId="0" borderId="0" xfId="0" applyFont="1" applyAlignment="1">
      <alignment vertical="center"/>
    </xf>
    <xf numFmtId="0" fontId="80" fillId="0" borderId="0" xfId="232" applyNumberFormat="1" applyFont="1" applyFill="1" applyBorder="1" applyAlignment="1">
      <alignment horizontal="center"/>
    </xf>
    <xf numFmtId="173" fontId="77" fillId="0" borderId="0" xfId="287" applyNumberFormat="1" applyFont="1" applyFill="1" applyBorder="1" applyProtection="1">
      <protection locked="0"/>
    </xf>
    <xf numFmtId="0" fontId="70" fillId="0" borderId="0" xfId="287" applyFont="1" applyFill="1" applyAlignment="1" applyProtection="1">
      <alignment horizontal="center"/>
      <protection locked="0"/>
    </xf>
    <xf numFmtId="0" fontId="131" fillId="0" borderId="0" xfId="0" applyNumberFormat="1" applyFont="1" applyAlignment="1">
      <alignment horizontal="center"/>
    </xf>
    <xf numFmtId="172" fontId="11" fillId="0" borderId="0" xfId="282" applyFont="1" applyAlignment="1"/>
    <xf numFmtId="173" fontId="11" fillId="0" borderId="0" xfId="0" applyNumberFormat="1" applyFont="1" applyAlignment="1"/>
    <xf numFmtId="0" fontId="11" fillId="0" borderId="0" xfId="289" applyFont="1"/>
    <xf numFmtId="0" fontId="11" fillId="0" borderId="0" xfId="0" applyNumberFormat="1" applyFont="1" applyAlignment="1">
      <alignment horizontal="center"/>
    </xf>
    <xf numFmtId="173" fontId="11" fillId="0" borderId="14" xfId="90" applyNumberFormat="1" applyFont="1" applyBorder="1"/>
    <xf numFmtId="173" fontId="11" fillId="0" borderId="31" xfId="90" applyNumberFormat="1" applyFont="1" applyBorder="1"/>
    <xf numFmtId="0" fontId="11" fillId="0" borderId="14" xfId="0" applyNumberFormat="1" applyFont="1" applyBorder="1" applyAlignment="1">
      <alignment horizontal="center"/>
    </xf>
    <xf numFmtId="173" fontId="7" fillId="33" borderId="32" xfId="91" applyNumberFormat="1" applyFont="1" applyFill="1" applyBorder="1" applyAlignment="1">
      <alignment horizontal="right"/>
    </xf>
    <xf numFmtId="173" fontId="7" fillId="33" borderId="0" xfId="91" applyNumberFormat="1" applyFont="1" applyFill="1" applyBorder="1" applyAlignment="1">
      <alignment horizontal="right"/>
    </xf>
    <xf numFmtId="0" fontId="11" fillId="0" borderId="33" xfId="0" applyNumberFormat="1" applyFont="1" applyBorder="1" applyAlignment="1">
      <alignment horizontal="center"/>
    </xf>
    <xf numFmtId="0" fontId="11" fillId="0" borderId="34" xfId="0" applyNumberFormat="1" applyFont="1" applyBorder="1" applyAlignment="1">
      <alignment horizontal="center"/>
    </xf>
    <xf numFmtId="0" fontId="131" fillId="0" borderId="0" xfId="0" applyFont="1" applyAlignment="1"/>
    <xf numFmtId="3" fontId="11" fillId="0" borderId="35" xfId="232" applyNumberFormat="1" applyFont="1" applyFill="1" applyBorder="1" applyAlignment="1">
      <alignment horizontal="center" wrapText="1"/>
    </xf>
    <xf numFmtId="3" fontId="11" fillId="0" borderId="11" xfId="232" applyNumberFormat="1" applyFont="1" applyFill="1" applyBorder="1" applyAlignment="1">
      <alignment horizontal="center" wrapText="1"/>
    </xf>
    <xf numFmtId="3" fontId="11" fillId="0" borderId="33" xfId="232" applyNumberFormat="1" applyFont="1" applyFill="1" applyBorder="1" applyAlignment="1">
      <alignment horizontal="center" wrapText="1"/>
    </xf>
    <xf numFmtId="0" fontId="8" fillId="0" borderId="0" xfId="289" applyFont="1" applyBorder="1" applyAlignment="1">
      <alignment horizontal="center"/>
    </xf>
    <xf numFmtId="0" fontId="8" fillId="0" borderId="32" xfId="289" applyFont="1" applyBorder="1" applyAlignment="1">
      <alignment horizontal="center"/>
    </xf>
    <xf numFmtId="0" fontId="8" fillId="0" borderId="34" xfId="289" applyFont="1" applyBorder="1" applyAlignment="1">
      <alignment horizontal="center"/>
    </xf>
    <xf numFmtId="0" fontId="8" fillId="0" borderId="32" xfId="289" applyFont="1" applyBorder="1" applyAlignment="1">
      <alignment horizontal="center" wrapText="1"/>
    </xf>
    <xf numFmtId="0" fontId="8" fillId="0" borderId="0" xfId="289" applyFont="1" applyBorder="1" applyAlignment="1">
      <alignment horizontal="center" wrapText="1"/>
    </xf>
    <xf numFmtId="0" fontId="8" fillId="0" borderId="34" xfId="289" applyFont="1" applyBorder="1" applyAlignment="1">
      <alignment horizontal="center" wrapText="1"/>
    </xf>
    <xf numFmtId="0" fontId="11" fillId="0" borderId="34" xfId="0" applyNumberFormat="1" applyFont="1" applyBorder="1" applyAlignment="1">
      <alignment horizontal="center" wrapText="1"/>
    </xf>
    <xf numFmtId="0" fontId="11" fillId="0" borderId="36" xfId="0" applyFont="1" applyBorder="1" applyAlignment="1"/>
    <xf numFmtId="0" fontId="11" fillId="0" borderId="2" xfId="0" applyFont="1" applyBorder="1" applyAlignment="1"/>
    <xf numFmtId="0" fontId="11" fillId="0" borderId="37" xfId="0" applyFont="1" applyBorder="1" applyAlignment="1"/>
    <xf numFmtId="0" fontId="8" fillId="0" borderId="2" xfId="289" applyFont="1" applyBorder="1" applyAlignment="1">
      <alignment horizontal="centerContinuous" wrapText="1"/>
    </xf>
    <xf numFmtId="0" fontId="11" fillId="0" borderId="37" xfId="0" applyNumberFormat="1" applyFont="1" applyBorder="1" applyAlignment="1">
      <alignment horizontal="center"/>
    </xf>
    <xf numFmtId="37" fontId="11" fillId="0" borderId="0" xfId="289" applyNumberFormat="1" applyFont="1"/>
    <xf numFmtId="173" fontId="11" fillId="0" borderId="38" xfId="91" applyNumberFormat="1" applyFont="1" applyBorder="1"/>
    <xf numFmtId="173" fontId="11" fillId="0" borderId="14" xfId="91" applyNumberFormat="1" applyFont="1" applyBorder="1"/>
    <xf numFmtId="0" fontId="11" fillId="0" borderId="39" xfId="289" applyFont="1" applyBorder="1" applyAlignment="1">
      <alignment horizontal="right"/>
    </xf>
    <xf numFmtId="0" fontId="11" fillId="0" borderId="40" xfId="0" applyNumberFormat="1" applyFont="1" applyBorder="1" applyAlignment="1">
      <alignment horizontal="center"/>
    </xf>
    <xf numFmtId="173" fontId="7" fillId="33" borderId="35" xfId="91" applyNumberFormat="1" applyFont="1" applyFill="1" applyBorder="1" applyAlignment="1">
      <alignment horizontal="right"/>
    </xf>
    <xf numFmtId="0" fontId="11" fillId="0" borderId="35" xfId="289" applyFont="1" applyBorder="1"/>
    <xf numFmtId="0" fontId="11" fillId="0" borderId="32" xfId="289" applyFont="1" applyBorder="1"/>
    <xf numFmtId="0" fontId="11" fillId="0" borderId="32" xfId="289" quotePrefix="1" applyFont="1" applyBorder="1" applyAlignment="1">
      <alignment horizontal="left"/>
    </xf>
    <xf numFmtId="173" fontId="7" fillId="33" borderId="36" xfId="91" applyNumberFormat="1" applyFont="1" applyFill="1" applyBorder="1" applyAlignment="1">
      <alignment horizontal="right"/>
    </xf>
    <xf numFmtId="3" fontId="23" fillId="0" borderId="35" xfId="232" applyNumberFormat="1" applyFont="1" applyFill="1" applyBorder="1" applyAlignment="1">
      <alignment horizontal="center" wrapText="1"/>
    </xf>
    <xf numFmtId="3" fontId="23" fillId="0" borderId="11" xfId="232" applyNumberFormat="1" applyFont="1" applyFill="1" applyBorder="1" applyAlignment="1">
      <alignment horizontal="center" wrapText="1"/>
    </xf>
    <xf numFmtId="0" fontId="8" fillId="0" borderId="32" xfId="275" applyFont="1" applyFill="1" applyBorder="1" applyAlignment="1">
      <alignment horizontal="center" wrapText="1"/>
    </xf>
    <xf numFmtId="0" fontId="11" fillId="0" borderId="0" xfId="0" applyFont="1" applyAlignment="1">
      <alignment wrapText="1"/>
    </xf>
    <xf numFmtId="0" fontId="8" fillId="0" borderId="36" xfId="289" applyFont="1" applyBorder="1" applyAlignment="1">
      <alignment horizontal="center" wrapText="1"/>
    </xf>
    <xf numFmtId="0" fontId="11" fillId="0" borderId="37" xfId="0" applyNumberFormat="1" applyFont="1" applyBorder="1" applyAlignment="1">
      <alignment horizontal="center" wrapText="1"/>
    </xf>
    <xf numFmtId="0" fontId="8" fillId="0" borderId="0" xfId="289" applyFont="1" applyAlignment="1">
      <alignment horizontal="centerContinuous"/>
    </xf>
    <xf numFmtId="0" fontId="11" fillId="0" borderId="0" xfId="210" applyFont="1"/>
    <xf numFmtId="0" fontId="8" fillId="0" borderId="0" xfId="289" applyFont="1" applyAlignment="1">
      <alignment horizontal="center"/>
    </xf>
    <xf numFmtId="0" fontId="11" fillId="0" borderId="0" xfId="289" applyFont="1" applyFill="1" applyAlignment="1">
      <alignment horizontal="left"/>
    </xf>
    <xf numFmtId="0" fontId="11" fillId="0" borderId="0" xfId="0" applyFont="1" applyAlignment="1">
      <alignment horizontal="right"/>
    </xf>
    <xf numFmtId="0" fontId="11" fillId="0" borderId="0" xfId="232" applyFont="1" applyFill="1" applyBorder="1" applyAlignment="1">
      <alignment horizontal="left"/>
    </xf>
    <xf numFmtId="0" fontId="16" fillId="0" borderId="0" xfId="232" applyFont="1" applyBorder="1" applyAlignment="1">
      <alignment horizontal="center" vertical="center"/>
    </xf>
    <xf numFmtId="0" fontId="16" fillId="0" borderId="0" xfId="276" applyFont="1" applyAlignment="1">
      <alignment horizontal="center" vertical="center" wrapText="1"/>
    </xf>
    <xf numFmtId="0" fontId="16" fillId="0" borderId="0" xfId="232" quotePrefix="1" applyFont="1" applyBorder="1" applyAlignment="1">
      <alignment horizontal="center" vertical="center" wrapText="1"/>
    </xf>
    <xf numFmtId="0" fontId="16" fillId="0" borderId="0" xfId="232"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2" fillId="0" borderId="0" xfId="86" applyNumberFormat="1" applyFont="1" applyFill="1" applyAlignment="1" applyProtection="1">
      <alignment horizontal="left"/>
      <protection locked="0"/>
    </xf>
    <xf numFmtId="173" fontId="62" fillId="0" borderId="11" xfId="86"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289" applyFont="1" applyAlignment="1">
      <alignment horizontal="centerContinuous"/>
    </xf>
    <xf numFmtId="0" fontId="14" fillId="0" borderId="0" xfId="289" applyFont="1" applyFill="1" applyAlignment="1">
      <alignment horizontal="left"/>
    </xf>
    <xf numFmtId="0" fontId="95" fillId="0" borderId="0" xfId="289" applyFont="1" applyAlignment="1">
      <alignment horizontal="center"/>
    </xf>
    <xf numFmtId="0" fontId="8" fillId="0" borderId="41" xfId="289" applyFont="1" applyBorder="1" applyAlignment="1">
      <alignment horizontal="center" wrapText="1"/>
    </xf>
    <xf numFmtId="0" fontId="14" fillId="0" borderId="0" xfId="0" applyFont="1" applyAlignment="1">
      <alignment wrapText="1"/>
    </xf>
    <xf numFmtId="0" fontId="8" fillId="0" borderId="10" xfId="289" applyFont="1" applyBorder="1" applyAlignment="1">
      <alignment horizontal="center"/>
    </xf>
    <xf numFmtId="0" fontId="132" fillId="0" borderId="0" xfId="0" applyFont="1" applyAlignment="1"/>
    <xf numFmtId="3" fontId="23" fillId="0" borderId="33" xfId="232" applyNumberFormat="1" applyFont="1" applyFill="1" applyBorder="1" applyAlignment="1">
      <alignment horizontal="center" wrapText="1"/>
    </xf>
    <xf numFmtId="3" fontId="23" fillId="0" borderId="42" xfId="232" applyNumberFormat="1" applyFont="1" applyFill="1" applyBorder="1" applyAlignment="1">
      <alignment wrapText="1"/>
    </xf>
    <xf numFmtId="173" fontId="7" fillId="30" borderId="0" xfId="116" applyNumberFormat="1" applyFont="1" applyFill="1" applyAlignment="1" applyProtection="1">
      <protection locked="0"/>
    </xf>
    <xf numFmtId="41" fontId="11" fillId="0" borderId="10" xfId="289" applyNumberFormat="1" applyFont="1" applyFill="1" applyBorder="1"/>
    <xf numFmtId="173" fontId="11" fillId="0" borderId="43" xfId="90" applyNumberFormat="1" applyFont="1" applyBorder="1"/>
    <xf numFmtId="3" fontId="23" fillId="0" borderId="42" xfId="232" applyNumberFormat="1" applyFont="1" applyFill="1" applyBorder="1" applyAlignment="1">
      <alignment horizontal="center" wrapText="1"/>
    </xf>
    <xf numFmtId="0" fontId="14" fillId="0" borderId="0" xfId="289" applyFont="1"/>
    <xf numFmtId="37" fontId="14" fillId="0" borderId="0" xfId="289" applyNumberFormat="1" applyFont="1"/>
    <xf numFmtId="172" fontId="14" fillId="0" borderId="0" xfId="282" applyFont="1" applyAlignment="1"/>
    <xf numFmtId="0" fontId="11" fillId="0" borderId="0" xfId="278" applyFont="1" applyFill="1" applyAlignment="1" applyProtection="1">
      <alignment vertical="top"/>
    </xf>
    <xf numFmtId="0" fontId="132" fillId="0" borderId="0" xfId="0" applyNumberFormat="1" applyFont="1" applyAlignment="1">
      <alignment horizontal="center"/>
    </xf>
    <xf numFmtId="0" fontId="94" fillId="0" borderId="0" xfId="279"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279" applyFont="1" applyFill="1" applyAlignment="1" applyProtection="1">
      <alignment horizontal="left"/>
    </xf>
    <xf numFmtId="173" fontId="11" fillId="0" borderId="0" xfId="90" applyNumberFormat="1" applyFont="1" applyFill="1" applyProtection="1"/>
    <xf numFmtId="0" fontId="11" fillId="0" borderId="0" xfId="279" applyFont="1" applyFill="1" applyProtection="1"/>
    <xf numFmtId="0" fontId="11" fillId="0" borderId="0" xfId="204"/>
    <xf numFmtId="0" fontId="11" fillId="0" borderId="0" xfId="279" applyFont="1" applyFill="1" applyAlignment="1" applyProtection="1">
      <alignment horizontal="left"/>
    </xf>
    <xf numFmtId="173" fontId="7" fillId="33" borderId="0" xfId="90" applyNumberFormat="1" applyFont="1" applyFill="1" applyProtection="1">
      <protection locked="0"/>
    </xf>
    <xf numFmtId="0" fontId="11" fillId="0" borderId="0" xfId="278" applyFont="1" applyFill="1" applyAlignment="1" applyProtection="1">
      <alignment horizontal="left"/>
    </xf>
    <xf numFmtId="173" fontId="7" fillId="0" borderId="0" xfId="90" applyNumberFormat="1" applyFont="1" applyFill="1" applyProtection="1">
      <protection locked="0"/>
    </xf>
    <xf numFmtId="0" fontId="11" fillId="0" borderId="0" xfId="204" applyProtection="1"/>
    <xf numFmtId="10" fontId="11" fillId="0" borderId="0" xfId="298" applyNumberFormat="1" applyFont="1" applyFill="1" applyBorder="1" applyProtection="1"/>
    <xf numFmtId="173" fontId="7" fillId="30" borderId="6" xfId="90" applyNumberFormat="1" applyFont="1" applyFill="1" applyBorder="1" applyAlignment="1" applyProtection="1">
      <protection locked="0"/>
    </xf>
    <xf numFmtId="10" fontId="8" fillId="0" borderId="0" xfId="298" applyNumberFormat="1" applyFont="1" applyFill="1" applyBorder="1" applyProtection="1"/>
    <xf numFmtId="0" fontId="8" fillId="0" borderId="0" xfId="279" applyFont="1" applyFill="1" applyProtection="1"/>
    <xf numFmtId="173" fontId="11" fillId="0" borderId="0" xfId="298" applyNumberFormat="1" applyFont="1" applyFill="1" applyBorder="1" applyProtection="1"/>
    <xf numFmtId="10" fontId="8" fillId="0" borderId="44" xfId="298" applyNumberFormat="1" applyFont="1" applyFill="1" applyBorder="1" applyProtection="1"/>
    <xf numFmtId="0" fontId="104" fillId="0" borderId="0" xfId="204" applyFont="1" applyAlignment="1" applyProtection="1">
      <alignment horizontal="center"/>
    </xf>
    <xf numFmtId="0" fontId="14" fillId="0" borderId="0" xfId="279" applyFont="1" applyFill="1" applyProtection="1"/>
    <xf numFmtId="0" fontId="14" fillId="0" borderId="0" xfId="279" applyFont="1" applyProtection="1"/>
    <xf numFmtId="41" fontId="8" fillId="0" borderId="0" xfId="279" applyNumberFormat="1" applyFont="1" applyFill="1" applyBorder="1" applyAlignment="1" applyProtection="1">
      <alignment horizontal="center" wrapText="1"/>
    </xf>
    <xf numFmtId="0" fontId="8" fillId="0" borderId="0" xfId="279" applyFont="1" applyFill="1" applyAlignment="1" applyProtection="1">
      <alignment horizontal="center" wrapText="1"/>
    </xf>
    <xf numFmtId="0" fontId="7" fillId="33" borderId="0" xfId="279" applyFont="1" applyFill="1" applyProtection="1">
      <protection locked="0"/>
    </xf>
    <xf numFmtId="173" fontId="14" fillId="0" borderId="0" xfId="279" applyNumberFormat="1" applyFont="1" applyFill="1" applyProtection="1"/>
    <xf numFmtId="196" fontId="7" fillId="33" borderId="0" xfId="279" applyNumberFormat="1" applyFont="1" applyFill="1" applyProtection="1">
      <protection locked="0"/>
    </xf>
    <xf numFmtId="37" fontId="7" fillId="33" borderId="0" xfId="279" applyNumberFormat="1" applyFont="1" applyFill="1" applyProtection="1">
      <protection locked="0"/>
    </xf>
    <xf numFmtId="173" fontId="7" fillId="33" borderId="0" xfId="279" applyNumberFormat="1" applyFont="1" applyFill="1" applyProtection="1">
      <protection locked="0"/>
    </xf>
    <xf numFmtId="0" fontId="84" fillId="33" borderId="0" xfId="279" applyFont="1" applyFill="1" applyProtection="1">
      <protection locked="0"/>
    </xf>
    <xf numFmtId="0" fontId="11" fillId="0" borderId="11" xfId="0" applyFont="1" applyBorder="1" applyProtection="1"/>
    <xf numFmtId="0" fontId="14" fillId="0" borderId="11" xfId="279" applyFont="1" applyFill="1" applyBorder="1" applyProtection="1"/>
    <xf numFmtId="0" fontId="11" fillId="31" borderId="0" xfId="279" applyFont="1" applyFill="1" applyAlignment="1" applyProtection="1">
      <alignment horizontal="left"/>
    </xf>
    <xf numFmtId="41" fontId="11" fillId="0" borderId="0" xfId="298" applyNumberFormat="1" applyFont="1" applyFill="1" applyBorder="1" applyProtection="1"/>
    <xf numFmtId="173" fontId="14" fillId="0" borderId="0" xfId="279" applyNumberFormat="1" applyFont="1" applyProtection="1"/>
    <xf numFmtId="185" fontId="11" fillId="0" borderId="0" xfId="90" applyNumberFormat="1" applyFont="1" applyFill="1" applyBorder="1" applyProtection="1"/>
    <xf numFmtId="10" fontId="14" fillId="0" borderId="0" xfId="298" applyNumberFormat="1" applyFont="1" applyFill="1" applyProtection="1"/>
    <xf numFmtId="173" fontId="11" fillId="0" borderId="0" xfId="90" applyNumberFormat="1" applyFont="1" applyFill="1" applyBorder="1" applyProtection="1"/>
    <xf numFmtId="173" fontId="8" fillId="0" borderId="44" xfId="90" applyNumberFormat="1" applyFont="1" applyFill="1" applyBorder="1" applyProtection="1"/>
    <xf numFmtId="0" fontId="94" fillId="0" borderId="0" xfId="279" applyFont="1" applyFill="1" applyAlignment="1" applyProtection="1">
      <alignment horizontal="left"/>
    </xf>
    <xf numFmtId="0" fontId="14" fillId="0" borderId="0" xfId="279" applyFont="1" applyFill="1" applyAlignment="1" applyProtection="1">
      <alignment horizontal="left"/>
    </xf>
    <xf numFmtId="0" fontId="16" fillId="0" borderId="0" xfId="279" applyFont="1" applyFill="1" applyAlignment="1" applyProtection="1">
      <alignment horizontal="left"/>
    </xf>
    <xf numFmtId="0" fontId="16" fillId="0" borderId="0" xfId="279" applyFont="1" applyFill="1" applyAlignment="1" applyProtection="1">
      <alignment horizontal="center" wrapText="1"/>
    </xf>
    <xf numFmtId="0" fontId="11" fillId="0" borderId="0" xfId="279" applyFill="1" applyProtection="1"/>
    <xf numFmtId="164" fontId="7" fillId="33" borderId="0" xfId="298" applyNumberFormat="1" applyFont="1" applyFill="1" applyAlignment="1" applyProtection="1">
      <alignment horizontal="right" wrapText="1"/>
      <protection locked="0"/>
    </xf>
    <xf numFmtId="44" fontId="7" fillId="33" borderId="0" xfId="129" applyFont="1" applyFill="1" applyAlignment="1" applyProtection="1">
      <alignment horizontal="right" wrapText="1"/>
      <protection locked="0"/>
    </xf>
    <xf numFmtId="41" fontId="7" fillId="0" borderId="0" xfId="279" applyNumberFormat="1" applyFont="1" applyFill="1" applyBorder="1" applyProtection="1"/>
    <xf numFmtId="173" fontId="11" fillId="0" borderId="0" xfId="90" applyNumberFormat="1" applyFill="1" applyProtection="1"/>
    <xf numFmtId="41" fontId="11" fillId="0" borderId="0" xfId="0" applyNumberFormat="1" applyFont="1" applyFill="1" applyProtection="1"/>
    <xf numFmtId="41" fontId="11" fillId="0" borderId="0" xfId="279" applyNumberFormat="1" applyFill="1" applyBorder="1" applyProtection="1"/>
    <xf numFmtId="41" fontId="95" fillId="0" borderId="0" xfId="279" applyNumberFormat="1" applyFont="1" applyFill="1" applyProtection="1"/>
    <xf numFmtId="41" fontId="11" fillId="0" borderId="12" xfId="279" applyNumberFormat="1" applyFont="1" applyFill="1" applyBorder="1" applyProtection="1"/>
    <xf numFmtId="41" fontId="8" fillId="0" borderId="41" xfId="279" applyNumberFormat="1" applyFont="1" applyFill="1" applyBorder="1" applyProtection="1"/>
    <xf numFmtId="0" fontId="8" fillId="0" borderId="0" xfId="279"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4"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5"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1" fillId="0" borderId="46" xfId="0" applyNumberFormat="1" applyFont="1" applyFill="1" applyBorder="1" applyAlignment="1"/>
    <xf numFmtId="37" fontId="161" fillId="0" borderId="0" xfId="0" applyNumberFormat="1" applyFont="1" applyFill="1" applyAlignment="1"/>
    <xf numFmtId="186" fontId="11" fillId="0" borderId="0" xfId="276"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2" fillId="0" borderId="0" xfId="286" applyNumberFormat="1" applyFont="1" applyFill="1" applyAlignment="1" applyProtection="1">
      <alignment horizontal="center"/>
    </xf>
    <xf numFmtId="172" fontId="163" fillId="0" borderId="0" xfId="286" applyFont="1" applyFill="1" applyAlignment="1" applyProtection="1"/>
    <xf numFmtId="198" fontId="7" fillId="33" borderId="0" xfId="276" applyNumberFormat="1" applyFont="1" applyFill="1" applyProtection="1">
      <protection locked="0"/>
    </xf>
    <xf numFmtId="0" fontId="164" fillId="0" borderId="0" xfId="0" applyFont="1" applyFill="1" applyAlignment="1">
      <alignment horizontal="left"/>
    </xf>
    <xf numFmtId="10" fontId="70" fillId="33" borderId="0" xfId="295" applyNumberFormat="1" applyFont="1" applyFill="1" applyAlignment="1" applyProtection="1">
      <alignment horizontal="center"/>
      <protection locked="0"/>
    </xf>
    <xf numFmtId="10" fontId="70" fillId="33" borderId="0" xfId="287" applyNumberFormat="1" applyFont="1" applyFill="1" applyAlignment="1" applyProtection="1">
      <alignment horizontal="center"/>
      <protection locked="0"/>
    </xf>
    <xf numFmtId="173" fontId="17" fillId="0" borderId="0" xfId="287" applyNumberFormat="1" applyFont="1"/>
    <xf numFmtId="0" fontId="17" fillId="0" borderId="0" xfId="287" applyNumberFormat="1" applyFont="1" applyAlignment="1">
      <alignment horizontal="center" vertical="center"/>
    </xf>
    <xf numFmtId="0" fontId="17" fillId="0" borderId="0" xfId="287" applyNumberFormat="1" applyFont="1" applyAlignment="1">
      <alignment vertical="center"/>
    </xf>
    <xf numFmtId="0" fontId="70" fillId="0" borderId="0" xfId="287" applyFont="1" applyFill="1" applyAlignment="1">
      <alignment horizontal="center"/>
    </xf>
    <xf numFmtId="0" fontId="165" fillId="0" borderId="0" xfId="287" applyFont="1" applyFill="1" applyAlignment="1">
      <alignment horizontal="right"/>
    </xf>
    <xf numFmtId="173" fontId="165" fillId="0" borderId="0" xfId="287" applyNumberFormat="1" applyFont="1" applyFill="1"/>
    <xf numFmtId="0" fontId="17" fillId="0" borderId="0" xfId="287" applyFont="1" applyAlignment="1">
      <alignment horizontal="left" indent="2"/>
    </xf>
    <xf numFmtId="173" fontId="166" fillId="0" borderId="0" xfId="287" applyNumberFormat="1" applyFont="1" applyBorder="1"/>
    <xf numFmtId="173" fontId="166" fillId="0" borderId="0" xfId="287" applyNumberFormat="1" applyFont="1"/>
    <xf numFmtId="0" fontId="137" fillId="0" borderId="0" xfId="287" applyNumberFormat="1" applyFont="1" applyAlignment="1">
      <alignment horizontal="center"/>
    </xf>
    <xf numFmtId="0" fontId="137" fillId="0" borderId="0" xfId="287" applyNumberFormat="1" applyFont="1"/>
    <xf numFmtId="0" fontId="138" fillId="0" borderId="0" xfId="287" applyFont="1"/>
    <xf numFmtId="0" fontId="137" fillId="0" borderId="0" xfId="287" applyFont="1" applyFill="1" applyBorder="1"/>
    <xf numFmtId="0" fontId="137" fillId="0" borderId="0" xfId="287" applyFont="1"/>
    <xf numFmtId="173" fontId="137" fillId="0" borderId="0" xfId="287" applyNumberFormat="1" applyFont="1" applyBorder="1"/>
    <xf numFmtId="173" fontId="137" fillId="0" borderId="0" xfId="287" applyNumberFormat="1" applyFont="1" applyFill="1" applyBorder="1"/>
    <xf numFmtId="0" fontId="4" fillId="0" borderId="0" xfId="286" applyNumberFormat="1" applyFont="1" applyFill="1" applyAlignment="1" applyProtection="1">
      <alignment horizontal="left" wrapText="1"/>
    </xf>
    <xf numFmtId="0" fontId="167" fillId="0" borderId="11" xfId="287" applyNumberFormat="1" applyFont="1" applyFill="1" applyBorder="1" applyAlignment="1">
      <alignment horizontal="center"/>
    </xf>
    <xf numFmtId="0" fontId="167" fillId="0" borderId="2" xfId="287" applyNumberFormat="1" applyFont="1" applyFill="1" applyBorder="1" applyAlignment="1">
      <alignment horizontal="center"/>
    </xf>
    <xf numFmtId="0" fontId="73" fillId="0" borderId="0" xfId="287" applyFont="1" applyFill="1" applyAlignment="1">
      <alignment horizontal="center" vertical="center"/>
    </xf>
    <xf numFmtId="0" fontId="17" fillId="0" borderId="11" xfId="287" applyNumberFormat="1" applyFont="1" applyBorder="1" applyAlignment="1">
      <alignment horizontal="center"/>
    </xf>
    <xf numFmtId="0" fontId="17" fillId="0" borderId="11" xfId="287" applyNumberFormat="1" applyFont="1" applyBorder="1"/>
    <xf numFmtId="0" fontId="17" fillId="0" borderId="11" xfId="287" applyFont="1" applyBorder="1"/>
    <xf numFmtId="173" fontId="77" fillId="0" borderId="11" xfId="287" applyNumberFormat="1" applyFont="1" applyFill="1" applyBorder="1" applyProtection="1">
      <protection locked="0"/>
    </xf>
    <xf numFmtId="173" fontId="70" fillId="0" borderId="11" xfId="287" applyNumberFormat="1" applyFont="1" applyFill="1" applyBorder="1"/>
    <xf numFmtId="0" fontId="70" fillId="0" borderId="11" xfId="287" applyFont="1" applyFill="1" applyBorder="1" applyAlignment="1" applyProtection="1">
      <alignment horizontal="center"/>
      <protection locked="0"/>
    </xf>
    <xf numFmtId="173" fontId="70" fillId="0" borderId="11" xfId="86" applyNumberFormat="1" applyFont="1" applyFill="1" applyBorder="1" applyAlignment="1" applyProtection="1">
      <alignment horizontal="center"/>
      <protection locked="0"/>
    </xf>
    <xf numFmtId="0" fontId="139" fillId="0" borderId="0" xfId="286" applyNumberFormat="1" applyFont="1" applyFill="1" applyAlignment="1" applyProtection="1">
      <alignment horizontal="center"/>
    </xf>
    <xf numFmtId="172" fontId="162" fillId="0" borderId="0" xfId="286" applyFont="1" applyFill="1" applyAlignment="1" applyProtection="1"/>
    <xf numFmtId="0" fontId="7" fillId="33" borderId="0" xfId="91" applyNumberFormat="1" applyFont="1" applyFill="1" applyBorder="1" applyAlignment="1" applyProtection="1">
      <alignment horizontal="center"/>
      <protection locked="0"/>
    </xf>
    <xf numFmtId="41" fontId="7" fillId="33" borderId="0" xfId="278" applyNumberFormat="1" applyFont="1" applyFill="1"/>
    <xf numFmtId="172" fontId="5" fillId="0" borderId="0" xfId="286" applyFont="1" applyFill="1" applyAlignment="1" applyProtection="1">
      <alignment horizontal="center"/>
    </xf>
    <xf numFmtId="3" fontId="5" fillId="0" borderId="0" xfId="286" applyNumberFormat="1" applyFont="1" applyFill="1" applyAlignment="1" applyProtection="1">
      <alignment horizontal="center" vertical="center"/>
    </xf>
    <xf numFmtId="0" fontId="2" fillId="0" borderId="0" xfId="286" applyNumberFormat="1" applyFont="1" applyFill="1" applyBorder="1" applyAlignment="1" applyProtection="1">
      <alignment horizontal="center"/>
    </xf>
    <xf numFmtId="3" fontId="13" fillId="0" borderId="0" xfId="286" applyNumberFormat="1" applyFont="1" applyFill="1" applyAlignment="1" applyProtection="1">
      <alignment horizontal="center"/>
    </xf>
    <xf numFmtId="0" fontId="2" fillId="0" borderId="6" xfId="286" applyNumberFormat="1" applyFont="1" applyFill="1" applyBorder="1" applyAlignment="1" applyProtection="1">
      <alignment horizontal="center"/>
    </xf>
    <xf numFmtId="0" fontId="4" fillId="0" borderId="0" xfId="286" applyNumberFormat="1" applyFont="1" applyFill="1" applyBorder="1" applyAlignment="1" applyProtection="1">
      <alignment vertical="center"/>
    </xf>
    <xf numFmtId="41" fontId="4" fillId="0" borderId="40" xfId="286"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290" applyFont="1" applyFill="1" applyAlignment="1" applyProtection="1">
      <alignment horizontal="center"/>
    </xf>
    <xf numFmtId="38" fontId="7" fillId="0" borderId="0" xfId="0" applyNumberFormat="1" applyFont="1" applyFill="1" applyBorder="1" applyProtection="1">
      <protection locked="0"/>
    </xf>
    <xf numFmtId="0" fontId="5" fillId="0" borderId="0" xfId="277" applyFont="1" applyFill="1" applyBorder="1"/>
    <xf numFmtId="0" fontId="72" fillId="0" borderId="0" xfId="287" applyFont="1" applyFill="1" applyAlignment="1">
      <alignment vertical="center" wrapText="1"/>
    </xf>
    <xf numFmtId="0" fontId="5" fillId="0" borderId="0" xfId="276" quotePrefix="1" applyFont="1" applyFill="1" applyBorder="1" applyAlignment="1">
      <alignment horizontal="center"/>
    </xf>
    <xf numFmtId="0" fontId="3" fillId="0" borderId="11" xfId="287" applyNumberFormat="1" applyFont="1" applyFill="1" applyBorder="1" applyAlignment="1">
      <alignment horizontal="center" wrapText="1"/>
    </xf>
    <xf numFmtId="0" fontId="3" fillId="0" borderId="11" xfId="287" applyNumberFormat="1" applyFont="1" applyFill="1" applyBorder="1" applyAlignment="1">
      <alignment horizontal="center" vertical="center"/>
    </xf>
    <xf numFmtId="184" fontId="3" fillId="0" borderId="11" xfId="287" applyNumberFormat="1" applyFont="1" applyFill="1" applyBorder="1" applyAlignment="1">
      <alignment horizontal="center" vertical="center" wrapText="1"/>
    </xf>
    <xf numFmtId="0" fontId="3" fillId="0" borderId="11" xfId="287" applyNumberFormat="1" applyFont="1" applyFill="1" applyBorder="1" applyAlignment="1">
      <alignment horizontal="center" vertical="center" wrapText="1"/>
    </xf>
    <xf numFmtId="184" fontId="3" fillId="0" borderId="11" xfId="287" applyNumberFormat="1" applyFont="1" applyFill="1" applyBorder="1" applyAlignment="1">
      <alignment horizontal="center" vertical="center"/>
    </xf>
    <xf numFmtId="0" fontId="11" fillId="0" borderId="0" xfId="0" applyFont="1" applyFill="1" applyAlignment="1">
      <alignment vertical="center"/>
    </xf>
    <xf numFmtId="173" fontId="3" fillId="0" borderId="11" xfId="287" applyNumberFormat="1" applyFont="1" applyFill="1" applyBorder="1" applyAlignment="1">
      <alignment vertical="center"/>
    </xf>
    <xf numFmtId="173" fontId="73" fillId="0" borderId="0" xfId="287" applyNumberFormat="1" applyFont="1" applyFill="1" applyBorder="1" applyAlignment="1">
      <alignment vertical="center"/>
    </xf>
    <xf numFmtId="0" fontId="3" fillId="0" borderId="0" xfId="287" applyFont="1" applyFill="1" applyAlignment="1">
      <alignment horizontal="right" vertical="center"/>
    </xf>
    <xf numFmtId="0" fontId="70" fillId="0" borderId="0" xfId="287" applyFont="1" applyFill="1" applyAlignment="1">
      <alignment wrapText="1"/>
    </xf>
    <xf numFmtId="0" fontId="11" fillId="0" borderId="0" xfId="280" applyFont="1" applyFill="1" applyAlignment="1" applyProtection="1">
      <alignment horizontal="left"/>
    </xf>
    <xf numFmtId="0" fontId="11" fillId="0" borderId="0" xfId="204" applyFont="1" applyFill="1" applyAlignment="1" applyProtection="1">
      <alignment wrapText="1"/>
    </xf>
    <xf numFmtId="0" fontId="11" fillId="0" borderId="0" xfId="204" applyFont="1" applyFill="1" applyProtection="1"/>
    <xf numFmtId="41" fontId="26" fillId="0" borderId="11" xfId="276" applyNumberFormat="1" applyFont="1" applyFill="1" applyBorder="1"/>
    <xf numFmtId="173" fontId="70" fillId="0" borderId="0" xfId="86" applyNumberFormat="1" applyFont="1" applyFill="1" applyAlignment="1" applyProtection="1">
      <alignment horizontal="center"/>
      <protection locked="0"/>
    </xf>
    <xf numFmtId="173" fontId="11" fillId="0" borderId="0" xfId="287" applyNumberFormat="1" applyFont="1" applyFill="1"/>
    <xf numFmtId="0" fontId="11" fillId="0" borderId="0" xfId="185"/>
    <xf numFmtId="0" fontId="110" fillId="0" borderId="0" xfId="288" applyFont="1" applyProtection="1">
      <protection locked="0"/>
    </xf>
    <xf numFmtId="0" fontId="76" fillId="0" borderId="0" xfId="288" applyFont="1"/>
    <xf numFmtId="0" fontId="111" fillId="0" borderId="0" xfId="288" applyFont="1" applyAlignment="1">
      <alignment horizontal="center"/>
    </xf>
    <xf numFmtId="0" fontId="112" fillId="0" borderId="0" xfId="288" applyFont="1" applyProtection="1">
      <protection locked="0"/>
    </xf>
    <xf numFmtId="176" fontId="111" fillId="0" borderId="0" xfId="288" applyNumberFormat="1" applyFont="1" applyAlignment="1">
      <alignment horizontal="center"/>
    </xf>
    <xf numFmtId="0" fontId="111" fillId="0" borderId="0" xfId="288" applyFont="1"/>
    <xf numFmtId="0" fontId="2" fillId="0" borderId="0" xfId="288"/>
    <xf numFmtId="176" fontId="2" fillId="0" borderId="0" xfId="288" applyNumberFormat="1"/>
    <xf numFmtId="0" fontId="113" fillId="0" borderId="0" xfId="288" applyFont="1" applyProtection="1">
      <protection locked="0"/>
    </xf>
    <xf numFmtId="176" fontId="110" fillId="0" borderId="0" xfId="288" applyNumberFormat="1" applyFont="1" applyProtection="1">
      <protection locked="0"/>
    </xf>
    <xf numFmtId="0" fontId="114" fillId="0" borderId="16" xfId="288" applyFont="1" applyBorder="1"/>
    <xf numFmtId="0" fontId="110" fillId="0" borderId="16" xfId="288" applyFont="1" applyBorder="1" applyProtection="1">
      <protection locked="0"/>
    </xf>
    <xf numFmtId="0" fontId="110" fillId="0" borderId="0" xfId="288" applyFont="1" applyBorder="1" applyProtection="1">
      <protection locked="0"/>
    </xf>
    <xf numFmtId="0" fontId="2" fillId="0" borderId="0" xfId="288" applyFont="1" applyBorder="1"/>
    <xf numFmtId="0" fontId="115" fillId="0" borderId="0" xfId="288" applyFont="1" applyProtection="1">
      <protection locked="0"/>
    </xf>
    <xf numFmtId="0" fontId="116" fillId="0" borderId="0" xfId="288" applyFont="1"/>
    <xf numFmtId="0" fontId="117" fillId="0" borderId="0" xfId="288" applyFont="1"/>
    <xf numFmtId="0" fontId="4" fillId="0" borderId="0" xfId="285" applyFont="1"/>
    <xf numFmtId="0" fontId="11" fillId="0" borderId="0" xfId="285"/>
    <xf numFmtId="0" fontId="11" fillId="0" borderId="0" xfId="285" applyAlignment="1">
      <alignment horizontal="center"/>
    </xf>
    <xf numFmtId="0" fontId="141" fillId="0" borderId="0" xfId="288" applyFont="1" applyAlignment="1">
      <alignment horizontal="center"/>
    </xf>
    <xf numFmtId="0" fontId="11" fillId="0" borderId="0" xfId="185" applyAlignment="1">
      <alignment wrapText="1"/>
    </xf>
    <xf numFmtId="10" fontId="2" fillId="0" borderId="0" xfId="288" applyNumberFormat="1" applyAlignment="1" applyProtection="1">
      <alignment horizontal="center"/>
    </xf>
    <xf numFmtId="0" fontId="114" fillId="0" borderId="0" xfId="288" applyFont="1" applyBorder="1"/>
    <xf numFmtId="0" fontId="2" fillId="0" borderId="0" xfId="288" applyAlignment="1">
      <alignment horizontal="center"/>
    </xf>
    <xf numFmtId="10" fontId="2" fillId="0" borderId="0" xfId="288" applyNumberFormat="1" applyAlignment="1" applyProtection="1">
      <alignment horizontal="right"/>
    </xf>
    <xf numFmtId="194" fontId="76" fillId="0" borderId="0" xfId="288" applyNumberFormat="1" applyFont="1" applyProtection="1"/>
    <xf numFmtId="10" fontId="76" fillId="0" borderId="0" xfId="288" applyNumberFormat="1" applyFont="1" applyProtection="1"/>
    <xf numFmtId="0" fontId="2" fillId="0" borderId="0" xfId="288" applyAlignment="1"/>
    <xf numFmtId="0" fontId="2" fillId="0" borderId="0" xfId="288" applyFont="1" applyFill="1" applyBorder="1"/>
    <xf numFmtId="194" fontId="2" fillId="0" borderId="0" xfId="288" applyNumberFormat="1" applyBorder="1" applyProtection="1"/>
    <xf numFmtId="0" fontId="114" fillId="0" borderId="30" xfId="288" applyFont="1" applyBorder="1"/>
    <xf numFmtId="0" fontId="110" fillId="0" borderId="30" xfId="288" applyFont="1" applyBorder="1" applyProtection="1">
      <protection locked="0"/>
    </xf>
    <xf numFmtId="10" fontId="2" fillId="0" borderId="30" xfId="288" applyNumberFormat="1" applyBorder="1" applyProtection="1"/>
    <xf numFmtId="0" fontId="5" fillId="0" borderId="0" xfId="0" applyFont="1" applyAlignment="1"/>
    <xf numFmtId="0" fontId="4" fillId="0" borderId="0" xfId="0" applyFont="1" applyAlignment="1">
      <alignment horizontal="left" indent="1"/>
    </xf>
    <xf numFmtId="0" fontId="5" fillId="0" borderId="0" xfId="204" applyFont="1" applyAlignment="1">
      <alignment horizontal="right"/>
    </xf>
    <xf numFmtId="0" fontId="11" fillId="0" borderId="31" xfId="0" applyNumberFormat="1" applyFont="1" applyBorder="1" applyAlignment="1">
      <alignment horizontal="center"/>
    </xf>
    <xf numFmtId="0" fontId="11" fillId="0" borderId="38" xfId="289" applyFont="1" applyBorder="1" applyAlignment="1">
      <alignment horizontal="right"/>
    </xf>
    <xf numFmtId="0" fontId="143" fillId="0" borderId="0" xfId="0" applyFont="1" applyAlignment="1">
      <alignment vertical="center"/>
    </xf>
    <xf numFmtId="0" fontId="144" fillId="0" borderId="0" xfId="0" applyFont="1"/>
    <xf numFmtId="0" fontId="139" fillId="0" borderId="0" xfId="0" applyFont="1" applyAlignment="1"/>
    <xf numFmtId="0" fontId="139" fillId="0" borderId="0" xfId="0" applyFont="1" applyAlignment="1">
      <alignment horizontal="left"/>
    </xf>
    <xf numFmtId="0" fontId="139" fillId="0" borderId="0" xfId="232" applyFont="1" applyBorder="1" applyAlignment="1">
      <alignment horizontal="center"/>
    </xf>
    <xf numFmtId="0" fontId="144" fillId="0" borderId="0" xfId="0" applyFont="1" applyAlignment="1">
      <alignment horizontal="center"/>
    </xf>
    <xf numFmtId="0" fontId="145" fillId="0" borderId="0" xfId="232" applyFont="1" applyBorder="1" applyAlignment="1"/>
    <xf numFmtId="0" fontId="139" fillId="0" borderId="0" xfId="232" applyFont="1" applyBorder="1" applyAlignment="1">
      <alignment horizontal="left"/>
    </xf>
    <xf numFmtId="0" fontId="139" fillId="0" borderId="0" xfId="232" applyFont="1" applyBorder="1" applyAlignment="1"/>
    <xf numFmtId="3" fontId="139" fillId="0" borderId="0" xfId="0" applyNumberFormat="1" applyFont="1" applyAlignment="1"/>
    <xf numFmtId="3" fontId="139" fillId="0" borderId="0" xfId="0" applyNumberFormat="1" applyFont="1" applyAlignment="1">
      <alignment horizontal="left"/>
    </xf>
    <xf numFmtId="0" fontId="146" fillId="0" borderId="0" xfId="0" applyFont="1" applyAlignment="1">
      <alignment horizontal="center"/>
    </xf>
    <xf numFmtId="0" fontId="147" fillId="0" borderId="0" xfId="0" applyFont="1" applyAlignment="1"/>
    <xf numFmtId="0" fontId="146" fillId="0" borderId="0" xfId="0" applyFont="1" applyAlignment="1">
      <alignment wrapText="1"/>
    </xf>
    <xf numFmtId="0" fontId="146" fillId="0" borderId="0" xfId="0" applyFont="1"/>
    <xf numFmtId="41" fontId="144" fillId="0" borderId="0" xfId="0" applyNumberFormat="1" applyFont="1"/>
    <xf numFmtId="41" fontId="147" fillId="0" borderId="0" xfId="0" applyNumberFormat="1" applyFont="1" applyAlignment="1"/>
    <xf numFmtId="0" fontId="148" fillId="0" borderId="0" xfId="0" applyFont="1" applyAlignment="1">
      <alignment horizontal="center"/>
    </xf>
    <xf numFmtId="0" fontId="149" fillId="0" borderId="0" xfId="0" applyFont="1" applyFill="1" applyAlignment="1">
      <alignment horizontal="center"/>
    </xf>
    <xf numFmtId="0" fontId="150" fillId="0" borderId="0" xfId="0" applyFont="1" applyAlignment="1">
      <alignment horizontal="center"/>
    </xf>
    <xf numFmtId="0" fontId="147" fillId="0" borderId="0" xfId="0" applyFont="1" applyFill="1"/>
    <xf numFmtId="41" fontId="144" fillId="0" borderId="0" xfId="0" applyNumberFormat="1" applyFont="1" applyAlignment="1"/>
    <xf numFmtId="173" fontId="144" fillId="0" borderId="0" xfId="0" applyNumberFormat="1" applyFont="1"/>
    <xf numFmtId="0" fontId="144" fillId="0" borderId="0" xfId="0" applyFont="1" applyAlignment="1">
      <alignment wrapText="1"/>
    </xf>
    <xf numFmtId="0" fontId="144" fillId="0" borderId="0" xfId="0" applyFont="1" applyAlignment="1"/>
    <xf numFmtId="0" fontId="144" fillId="0" borderId="11" xfId="0" applyFont="1" applyBorder="1"/>
    <xf numFmtId="0" fontId="147" fillId="0" borderId="11" xfId="0" applyFont="1" applyFill="1" applyBorder="1"/>
    <xf numFmtId="0" fontId="147" fillId="0" borderId="11" xfId="0" applyFont="1" applyBorder="1" applyAlignment="1"/>
    <xf numFmtId="0" fontId="144" fillId="0" borderId="11" xfId="0" applyFont="1" applyBorder="1" applyAlignment="1"/>
    <xf numFmtId="41" fontId="147" fillId="0" borderId="0" xfId="0" applyNumberFormat="1" applyFont="1" applyFill="1"/>
    <xf numFmtId="0" fontId="147" fillId="0" borderId="0" xfId="0" applyFont="1" applyAlignment="1">
      <alignment horizontal="center"/>
    </xf>
    <xf numFmtId="190" fontId="147" fillId="0" borderId="0" xfId="118" applyNumberFormat="1" applyFont="1" applyAlignment="1">
      <alignment horizontal="center"/>
    </xf>
    <xf numFmtId="0" fontId="144" fillId="0" borderId="0" xfId="0" applyFont="1" applyBorder="1"/>
    <xf numFmtId="173" fontId="144" fillId="0" borderId="14" xfId="0" applyNumberFormat="1" applyFont="1" applyBorder="1"/>
    <xf numFmtId="173" fontId="147" fillId="0" borderId="14" xfId="0" applyNumberFormat="1" applyFont="1" applyFill="1" applyBorder="1"/>
    <xf numFmtId="41" fontId="144" fillId="0" borderId="14" xfId="0" applyNumberFormat="1" applyFont="1" applyBorder="1" applyAlignment="1"/>
    <xf numFmtId="43" fontId="147" fillId="0" borderId="0" xfId="0" applyNumberFormat="1" applyFont="1" applyAlignment="1"/>
    <xf numFmtId="0" fontId="147" fillId="0" borderId="0" xfId="0" applyFont="1" applyAlignment="1">
      <alignment wrapText="1"/>
    </xf>
    <xf numFmtId="0" fontId="146" fillId="0" borderId="0" xfId="0" applyFont="1" applyAlignment="1">
      <alignment horizontal="center" wrapText="1"/>
    </xf>
    <xf numFmtId="43" fontId="146" fillId="0" borderId="0" xfId="118" applyFont="1" applyAlignment="1">
      <alignment horizontal="center" wrapText="1"/>
    </xf>
    <xf numFmtId="173" fontId="144" fillId="0" borderId="0" xfId="0" applyNumberFormat="1" applyFont="1" applyBorder="1"/>
    <xf numFmtId="173" fontId="144" fillId="0" borderId="0" xfId="118" applyNumberFormat="1" applyFont="1"/>
    <xf numFmtId="173" fontId="144" fillId="33" borderId="0" xfId="118" applyNumberFormat="1" applyFont="1" applyFill="1" applyProtection="1">
      <protection locked="0"/>
    </xf>
    <xf numFmtId="173" fontId="146" fillId="0" borderId="0" xfId="118" applyNumberFormat="1" applyFont="1" applyAlignment="1">
      <alignment horizontal="center" wrapText="1"/>
    </xf>
    <xf numFmtId="173" fontId="146" fillId="0" borderId="0" xfId="118" applyNumberFormat="1" applyFont="1"/>
    <xf numFmtId="173" fontId="146" fillId="0" borderId="0" xfId="118" applyNumberFormat="1" applyFont="1" applyAlignment="1">
      <alignment horizontal="center"/>
    </xf>
    <xf numFmtId="173" fontId="144" fillId="0" borderId="11" xfId="0" applyNumberFormat="1" applyFont="1" applyBorder="1"/>
    <xf numFmtId="0" fontId="4" fillId="0" borderId="0" xfId="286" applyNumberFormat="1" applyFont="1" applyFill="1" applyAlignment="1" applyProtection="1">
      <alignment horizontal="left" indent="4"/>
    </xf>
    <xf numFmtId="41" fontId="18" fillId="0" borderId="0" xfId="286" applyNumberFormat="1" applyFont="1" applyFill="1" applyAlignment="1" applyProtection="1">
      <protection locked="0"/>
    </xf>
    <xf numFmtId="173" fontId="7" fillId="33" borderId="0" xfId="116" applyNumberFormat="1" applyFont="1" applyFill="1" applyAlignment="1" applyProtection="1">
      <protection locked="0"/>
    </xf>
    <xf numFmtId="0" fontId="11" fillId="33" borderId="0" xfId="232" applyFont="1" applyFill="1" applyBorder="1" applyProtection="1">
      <protection locked="0"/>
    </xf>
    <xf numFmtId="0" fontId="18" fillId="33" borderId="0" xfId="278" applyFont="1" applyFill="1" applyAlignment="1" applyProtection="1">
      <alignment horizontal="center"/>
      <protection locked="0"/>
    </xf>
    <xf numFmtId="41" fontId="18" fillId="33" borderId="0" xfId="278" applyNumberFormat="1" applyFont="1" applyFill="1" applyBorder="1" applyProtection="1">
      <protection locked="0"/>
    </xf>
    <xf numFmtId="10" fontId="4" fillId="0" borderId="0" xfId="0" applyNumberFormat="1" applyFont="1"/>
    <xf numFmtId="10" fontId="4" fillId="0" borderId="0" xfId="0" applyNumberFormat="1" applyFont="1" applyFill="1"/>
    <xf numFmtId="10" fontId="4" fillId="31" borderId="0" xfId="0" applyNumberFormat="1" applyFont="1" applyFill="1" applyBorder="1" applyAlignment="1"/>
    <xf numFmtId="10" fontId="70" fillId="0" borderId="0" xfId="298" applyNumberFormat="1" applyFont="1" applyFill="1"/>
    <xf numFmtId="164" fontId="70" fillId="0" borderId="0" xfId="298" applyNumberFormat="1" applyFont="1" applyFill="1"/>
    <xf numFmtId="10" fontId="77" fillId="33" borderId="11" xfId="298" applyNumberFormat="1" applyFont="1" applyFill="1" applyBorder="1" applyProtection="1">
      <protection locked="0"/>
    </xf>
    <xf numFmtId="10" fontId="11" fillId="0" borderId="0" xfId="298" applyNumberFormat="1" applyFont="1" applyFill="1"/>
    <xf numFmtId="9" fontId="11" fillId="0" borderId="0" xfId="298" applyFont="1" applyFill="1"/>
    <xf numFmtId="9" fontId="70" fillId="0" borderId="0" xfId="298" applyFont="1" applyFill="1"/>
    <xf numFmtId="10" fontId="70" fillId="0" borderId="11" xfId="298" applyNumberFormat="1" applyFont="1" applyFill="1" applyBorder="1"/>
    <xf numFmtId="173" fontId="70" fillId="0" borderId="0" xfId="90" applyNumberFormat="1" applyFont="1" applyFill="1"/>
    <xf numFmtId="10" fontId="70" fillId="0" borderId="0" xfId="298" applyNumberFormat="1" applyFont="1" applyFill="1" applyBorder="1"/>
    <xf numFmtId="0" fontId="7" fillId="33" borderId="0" xfId="278" applyFont="1" applyFill="1" applyProtection="1">
      <protection locked="0"/>
    </xf>
    <xf numFmtId="173" fontId="11" fillId="0" borderId="0" xfId="90" applyNumberFormat="1" applyFont="1" applyProtection="1"/>
    <xf numFmtId="173" fontId="11" fillId="0" borderId="0" xfId="90" applyNumberFormat="1" applyFont="1" applyBorder="1" applyProtection="1"/>
    <xf numFmtId="0" fontId="18" fillId="33" borderId="0" xfId="90" applyNumberFormat="1" applyFont="1" applyFill="1" applyAlignment="1" applyProtection="1">
      <alignment horizontal="left"/>
    </xf>
    <xf numFmtId="173" fontId="8" fillId="0" borderId="25" xfId="90" applyNumberFormat="1" applyFont="1" applyBorder="1" applyProtection="1"/>
    <xf numFmtId="0" fontId="4" fillId="0" borderId="0" xfId="90" applyNumberFormat="1" applyFont="1" applyFill="1" applyAlignment="1" applyProtection="1">
      <alignment horizontal="left"/>
    </xf>
    <xf numFmtId="0" fontId="4" fillId="0" borderId="0" xfId="90" applyNumberFormat="1" applyFont="1" applyFill="1" applyBorder="1" applyAlignment="1" applyProtection="1">
      <alignment horizontal="left"/>
    </xf>
    <xf numFmtId="0" fontId="5" fillId="0" borderId="0" xfId="90" applyNumberFormat="1" applyFont="1" applyFill="1" applyBorder="1" applyAlignment="1" applyProtection="1">
      <alignment horizontal="left"/>
    </xf>
    <xf numFmtId="173" fontId="8" fillId="0" borderId="29" xfId="90" applyNumberFormat="1" applyFont="1" applyBorder="1" applyProtection="1"/>
    <xf numFmtId="173" fontId="8" fillId="0" borderId="19" xfId="90" applyNumberFormat="1" applyFont="1" applyBorder="1" applyProtection="1"/>
    <xf numFmtId="173" fontId="11" fillId="0" borderId="6" xfId="90" applyNumberFormat="1" applyFont="1" applyBorder="1" applyProtection="1"/>
    <xf numFmtId="173" fontId="11" fillId="0" borderId="20" xfId="90" applyNumberFormat="1" applyFont="1" applyBorder="1" applyProtection="1"/>
    <xf numFmtId="173" fontId="11" fillId="0" borderId="0" xfId="90" applyNumberFormat="1" applyFont="1" applyFill="1" applyAlignment="1" applyProtection="1"/>
    <xf numFmtId="173" fontId="159" fillId="33" borderId="18" xfId="90" applyNumberFormat="1" applyFont="1" applyFill="1" applyBorder="1" applyAlignment="1" applyProtection="1">
      <alignment horizontal="right"/>
      <protection locked="0"/>
    </xf>
    <xf numFmtId="173" fontId="7" fillId="0" borderId="18" xfId="0" applyNumberFormat="1" applyFont="1" applyFill="1" applyBorder="1" applyAlignment="1" applyProtection="1">
      <alignment horizontal="right"/>
    </xf>
    <xf numFmtId="0" fontId="0" fillId="0" borderId="0" xfId="0" applyFill="1" applyAlignment="1" applyProtection="1">
      <alignment wrapText="1"/>
    </xf>
    <xf numFmtId="173" fontId="8" fillId="0" borderId="0" xfId="90" applyNumberFormat="1" applyFont="1" applyBorder="1" applyAlignment="1" applyProtection="1">
      <alignment horizontal="center" wrapText="1"/>
    </xf>
    <xf numFmtId="173" fontId="8" fillId="0" borderId="26" xfId="90" applyNumberFormat="1" applyFont="1" applyBorder="1" applyAlignment="1" applyProtection="1">
      <alignment horizontal="center" wrapText="1"/>
    </xf>
    <xf numFmtId="173" fontId="8" fillId="0" borderId="25" xfId="90" applyNumberFormat="1" applyFont="1" applyBorder="1" applyAlignment="1" applyProtection="1">
      <alignment horizontal="center" wrapText="1"/>
    </xf>
    <xf numFmtId="173" fontId="8" fillId="29" borderId="26" xfId="90" applyNumberFormat="1" applyFont="1" applyFill="1" applyBorder="1" applyAlignment="1" applyProtection="1">
      <alignment horizontal="center" wrapText="1"/>
    </xf>
    <xf numFmtId="173" fontId="8" fillId="0" borderId="28" xfId="90" applyNumberFormat="1" applyFont="1" applyBorder="1" applyAlignment="1" applyProtection="1">
      <alignment horizontal="center"/>
    </xf>
    <xf numFmtId="173" fontId="8" fillId="0" borderId="20" xfId="90" applyNumberFormat="1" applyFont="1" applyBorder="1" applyAlignment="1" applyProtection="1">
      <alignment horizontal="center"/>
    </xf>
    <xf numFmtId="173" fontId="8" fillId="29" borderId="28" xfId="90" applyNumberFormat="1" applyFont="1" applyFill="1" applyBorder="1" applyAlignment="1" applyProtection="1">
      <alignment horizontal="center"/>
    </xf>
    <xf numFmtId="173" fontId="11" fillId="0" borderId="27" xfId="90" applyNumberFormat="1" applyFont="1" applyBorder="1" applyProtection="1"/>
    <xf numFmtId="173" fontId="11" fillId="0" borderId="27" xfId="90" applyNumberFormat="1" applyFont="1" applyFill="1" applyBorder="1" applyProtection="1"/>
    <xf numFmtId="173" fontId="11" fillId="0" borderId="18" xfId="90" applyNumberFormat="1" applyFont="1" applyFill="1" applyBorder="1" applyAlignment="1" applyProtection="1">
      <alignment horizontal="left" indent="3"/>
    </xf>
    <xf numFmtId="173" fontId="11" fillId="0" borderId="18" xfId="90" applyNumberFormat="1" applyFont="1" applyBorder="1" applyProtection="1"/>
    <xf numFmtId="174" fontId="159" fillId="33" borderId="27" xfId="0" applyNumberFormat="1" applyFont="1" applyFill="1" applyBorder="1" applyProtection="1">
      <protection locked="0"/>
    </xf>
    <xf numFmtId="173" fontId="11" fillId="31" borderId="0" xfId="0" applyNumberFormat="1" applyFont="1" applyFill="1" applyBorder="1" applyProtection="1"/>
    <xf numFmtId="173" fontId="11" fillId="31" borderId="27" xfId="0" applyNumberFormat="1" applyFont="1" applyFill="1" applyBorder="1" applyProtection="1"/>
    <xf numFmtId="173" fontId="11" fillId="31" borderId="27" xfId="90" applyNumberFormat="1" applyFont="1" applyFill="1" applyBorder="1" applyProtection="1"/>
    <xf numFmtId="173" fontId="11" fillId="31" borderId="18" xfId="90" applyNumberFormat="1" applyFont="1" applyFill="1" applyBorder="1" applyProtection="1"/>
    <xf numFmtId="174" fontId="11" fillId="31" borderId="27" xfId="0" applyNumberFormat="1" applyFont="1" applyFill="1" applyBorder="1" applyProtection="1"/>
    <xf numFmtId="173" fontId="11" fillId="0" borderId="28" xfId="90" applyNumberFormat="1" applyFont="1" applyBorder="1" applyProtection="1"/>
    <xf numFmtId="173" fontId="11" fillId="0" borderId="0" xfId="90" applyNumberFormat="1" applyProtection="1"/>
    <xf numFmtId="0" fontId="11" fillId="31" borderId="27" xfId="0" applyNumberFormat="1" applyFont="1" applyFill="1" applyBorder="1" applyAlignment="1" applyProtection="1">
      <alignment horizontal="center"/>
    </xf>
    <xf numFmtId="39" fontId="17" fillId="0" borderId="0" xfId="284" applyNumberFormat="1" applyFont="1" applyFill="1"/>
    <xf numFmtId="173" fontId="77" fillId="33" borderId="0" xfId="287" applyNumberFormat="1" applyFont="1" applyFill="1" applyBorder="1" applyProtection="1">
      <protection locked="0"/>
    </xf>
    <xf numFmtId="41" fontId="147" fillId="0" borderId="0" xfId="281" applyNumberFormat="1" applyFont="1" applyFill="1" applyBorder="1"/>
    <xf numFmtId="173" fontId="151" fillId="33" borderId="0" xfId="119" applyNumberFormat="1" applyFont="1" applyFill="1" applyProtection="1">
      <protection locked="0"/>
    </xf>
    <xf numFmtId="41" fontId="4" fillId="0" borderId="11" xfId="286" applyNumberFormat="1" applyFont="1" applyFill="1" applyBorder="1" applyAlignment="1" applyProtection="1"/>
    <xf numFmtId="0" fontId="0" fillId="0" borderId="11" xfId="0" applyBorder="1"/>
    <xf numFmtId="0" fontId="14" fillId="0" borderId="11" xfId="0" applyFont="1" applyBorder="1" applyAlignment="1"/>
    <xf numFmtId="173" fontId="11" fillId="0" borderId="11" xfId="90" applyNumberFormat="1" applyFont="1" applyBorder="1" applyProtection="1"/>
    <xf numFmtId="0" fontId="2" fillId="0" borderId="11" xfId="0" applyFont="1" applyBorder="1" applyProtection="1"/>
    <xf numFmtId="37" fontId="0" fillId="0" borderId="11" xfId="0" applyNumberFormat="1" applyFont="1" applyFill="1" applyBorder="1" applyAlignment="1"/>
    <xf numFmtId="174" fontId="11" fillId="0" borderId="11" xfId="0" applyNumberFormat="1" applyFont="1" applyBorder="1" applyProtection="1"/>
    <xf numFmtId="10" fontId="4" fillId="35" borderId="0" xfId="286" applyNumberFormat="1" applyFont="1" applyFill="1" applyAlignment="1" applyProtection="1"/>
    <xf numFmtId="3" fontId="62" fillId="33" borderId="0" xfId="0" quotePrefix="1" applyNumberFormat="1" applyFont="1" applyFill="1" applyProtection="1">
      <protection locked="0"/>
    </xf>
    <xf numFmtId="0" fontId="62" fillId="33" borderId="0" xfId="90" quotePrefix="1" applyNumberFormat="1" applyFont="1" applyFill="1" applyAlignment="1" applyProtection="1">
      <alignment horizontal="left"/>
      <protection locked="0"/>
    </xf>
    <xf numFmtId="10" fontId="4" fillId="0" borderId="14" xfId="0" applyNumberFormat="1" applyFont="1" applyFill="1" applyBorder="1" applyAlignment="1"/>
    <xf numFmtId="0" fontId="122" fillId="0" borderId="0" xfId="0" applyNumberFormat="1" applyFont="1" applyFill="1" applyAlignment="1" applyProtection="1">
      <alignment horizontal="center"/>
    </xf>
    <xf numFmtId="176" fontId="122" fillId="31" borderId="0" xfId="298" applyNumberFormat="1" applyFont="1" applyFill="1" applyProtection="1">
      <protection locked="0"/>
    </xf>
    <xf numFmtId="172" fontId="163" fillId="0" borderId="0" xfId="286" applyFont="1" applyAlignment="1" applyProtection="1"/>
    <xf numFmtId="173" fontId="144" fillId="30" borderId="0" xfId="0" applyNumberFormat="1" applyFont="1" applyFill="1" applyProtection="1">
      <protection locked="0"/>
    </xf>
    <xf numFmtId="173" fontId="144" fillId="30" borderId="11" xfId="0" applyNumberFormat="1" applyFont="1" applyFill="1" applyBorder="1" applyProtection="1">
      <protection locked="0"/>
    </xf>
    <xf numFmtId="164" fontId="144" fillId="27" borderId="0" xfId="298" applyNumberFormat="1" applyFont="1" applyFill="1" applyProtection="1">
      <protection locked="0"/>
    </xf>
    <xf numFmtId="38" fontId="7" fillId="30" borderId="0" xfId="0" applyNumberFormat="1" applyFont="1" applyFill="1" applyBorder="1" applyProtection="1">
      <protection locked="0"/>
    </xf>
    <xf numFmtId="9" fontId="4" fillId="0" borderId="0" xfId="0" applyNumberFormat="1" applyFont="1" applyFill="1" applyProtection="1"/>
    <xf numFmtId="44" fontId="109" fillId="0" borderId="0" xfId="129" applyFont="1" applyAlignment="1" applyProtection="1"/>
    <xf numFmtId="0" fontId="114" fillId="0" borderId="16" xfId="0" applyFont="1" applyBorder="1"/>
    <xf numFmtId="0" fontId="114" fillId="0" borderId="30" xfId="0" applyFont="1" applyBorder="1"/>
    <xf numFmtId="0" fontId="110"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4" fillId="0" borderId="0" xfId="285" applyFont="1" applyProtection="1"/>
    <xf numFmtId="0" fontId="11" fillId="0" borderId="0" xfId="285" applyProtection="1"/>
    <xf numFmtId="0" fontId="11" fillId="0" borderId="0" xfId="285" applyAlignment="1" applyProtection="1">
      <alignment horizontal="center"/>
    </xf>
    <xf numFmtId="192" fontId="2" fillId="0" borderId="0" xfId="288" applyNumberFormat="1" applyBorder="1" applyProtection="1"/>
    <xf numFmtId="191" fontId="2" fillId="0" borderId="0" xfId="288" applyNumberFormat="1" applyBorder="1" applyProtection="1"/>
    <xf numFmtId="176" fontId="2" fillId="0" borderId="0" xfId="288" applyNumberFormat="1" applyBorder="1" applyProtection="1"/>
    <xf numFmtId="0" fontId="110" fillId="0" borderId="0" xfId="288" applyFont="1" applyBorder="1" applyProtection="1"/>
    <xf numFmtId="0" fontId="110" fillId="0" borderId="16" xfId="0" applyFont="1" applyBorder="1" applyProtection="1">
      <protection locked="0"/>
    </xf>
    <xf numFmtId="10" fontId="0" fillId="0" borderId="16" xfId="0" applyNumberFormat="1" applyBorder="1" applyProtection="1"/>
    <xf numFmtId="192"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23" fillId="0" borderId="0" xfId="235" applyFont="1"/>
    <xf numFmtId="0" fontId="23" fillId="0" borderId="0" xfId="235" applyFont="1" applyAlignment="1">
      <alignment horizontal="center"/>
    </xf>
    <xf numFmtId="0" fontId="11" fillId="0" borderId="0" xfId="235" applyFont="1" applyAlignment="1">
      <alignment horizontal="right"/>
    </xf>
    <xf numFmtId="14" fontId="23" fillId="0" borderId="0" xfId="235" applyNumberFormat="1" applyFont="1"/>
    <xf numFmtId="0" fontId="23" fillId="0" borderId="0" xfId="186" applyFont="1"/>
    <xf numFmtId="9" fontId="23" fillId="0" borderId="0" xfId="297" applyFont="1"/>
    <xf numFmtId="41" fontId="23" fillId="0" borderId="0" xfId="235" applyNumberFormat="1" applyFont="1"/>
    <xf numFmtId="10" fontId="23" fillId="0" borderId="0" xfId="300" applyNumberFormat="1" applyFont="1"/>
    <xf numFmtId="0" fontId="23" fillId="0" borderId="0" xfId="0" applyFont="1" applyAlignment="1"/>
    <xf numFmtId="0" fontId="24" fillId="0" borderId="0" xfId="235" applyFont="1"/>
    <xf numFmtId="0" fontId="23" fillId="0" borderId="11" xfId="235" applyFont="1" applyBorder="1"/>
    <xf numFmtId="0" fontId="24" fillId="0" borderId="11" xfId="235" applyFont="1" applyBorder="1" applyAlignment="1">
      <alignment horizontal="center"/>
    </xf>
    <xf numFmtId="0" fontId="24" fillId="0" borderId="11" xfId="235" applyFont="1" applyBorder="1" applyAlignment="1">
      <alignment horizontal="center" wrapText="1"/>
    </xf>
    <xf numFmtId="0" fontId="24" fillId="0" borderId="11" xfId="235" applyFont="1" applyFill="1" applyBorder="1" applyAlignment="1">
      <alignment horizontal="center" wrapText="1"/>
    </xf>
    <xf numFmtId="0" fontId="24" fillId="0" borderId="0" xfId="235" applyFont="1" applyAlignment="1">
      <alignment horizontal="center"/>
    </xf>
    <xf numFmtId="0" fontId="23" fillId="0" borderId="0" xfId="235" applyFont="1" applyFill="1"/>
    <xf numFmtId="0" fontId="24" fillId="0" borderId="0" xfId="235" applyFont="1" applyFill="1" applyBorder="1" applyAlignment="1">
      <alignment horizontal="center" wrapText="1"/>
    </xf>
    <xf numFmtId="173" fontId="24" fillId="0" borderId="0" xfId="235" applyNumberFormat="1" applyFont="1" applyAlignment="1">
      <alignment horizontal="center"/>
    </xf>
    <xf numFmtId="0" fontId="24" fillId="0" borderId="0" xfId="235" applyFont="1" applyAlignment="1">
      <alignment horizontal="left"/>
    </xf>
    <xf numFmtId="0" fontId="23" fillId="36" borderId="0" xfId="235" applyFont="1" applyFill="1"/>
    <xf numFmtId="49" fontId="23" fillId="0" borderId="0" xfId="235" applyNumberFormat="1" applyFont="1" applyFill="1" applyAlignment="1">
      <alignment horizontal="center"/>
    </xf>
    <xf numFmtId="0" fontId="23" fillId="0" borderId="0" xfId="235" applyFont="1" applyBorder="1"/>
    <xf numFmtId="0" fontId="23" fillId="0" borderId="0" xfId="235" applyFont="1" applyFill="1" applyBorder="1" applyAlignment="1">
      <alignment horizontal="center"/>
    </xf>
    <xf numFmtId="173" fontId="23" fillId="37" borderId="0" xfId="123" applyNumberFormat="1" applyFont="1" applyFill="1" applyBorder="1"/>
    <xf numFmtId="41" fontId="23" fillId="33" borderId="0" xfId="278" applyNumberFormat="1" applyFont="1" applyFill="1" applyBorder="1" applyProtection="1">
      <protection locked="0"/>
    </xf>
    <xf numFmtId="0" fontId="23" fillId="0" borderId="0" xfId="0" applyFont="1" applyBorder="1"/>
    <xf numFmtId="41" fontId="23" fillId="0" borderId="0" xfId="235" applyNumberFormat="1" applyFont="1" applyBorder="1" applyAlignment="1">
      <alignment horizontal="center"/>
    </xf>
    <xf numFmtId="0" fontId="24" fillId="0" borderId="0" xfId="235" applyFont="1" applyBorder="1"/>
    <xf numFmtId="0" fontId="23" fillId="0" borderId="0" xfId="186" applyFont="1" applyBorder="1"/>
    <xf numFmtId="41" fontId="23" fillId="33" borderId="42" xfId="278" applyNumberFormat="1" applyFont="1" applyFill="1" applyBorder="1" applyProtection="1">
      <protection locked="0"/>
    </xf>
    <xf numFmtId="173" fontId="23" fillId="37" borderId="33" xfId="123" applyNumberFormat="1" applyFont="1" applyFill="1" applyBorder="1"/>
    <xf numFmtId="41" fontId="23" fillId="0" borderId="42" xfId="186" applyNumberFormat="1" applyFont="1" applyFill="1" applyBorder="1"/>
    <xf numFmtId="173" fontId="23" fillId="0" borderId="0" xfId="88" applyNumberFormat="1" applyFont="1" applyBorder="1" applyAlignment="1">
      <alignment horizontal="center"/>
    </xf>
    <xf numFmtId="41" fontId="23" fillId="33" borderId="34" xfId="278" applyNumberFormat="1" applyFont="1" applyFill="1" applyBorder="1" applyAlignment="1" applyProtection="1">
      <alignment vertical="center" wrapText="1"/>
      <protection locked="0"/>
    </xf>
    <xf numFmtId="49" fontId="23" fillId="0" borderId="0" xfId="235" applyNumberFormat="1" applyFont="1" applyAlignment="1">
      <alignment horizontal="center"/>
    </xf>
    <xf numFmtId="41" fontId="23" fillId="33" borderId="34" xfId="278" applyNumberFormat="1" applyFont="1" applyFill="1" applyBorder="1" applyAlignment="1" applyProtection="1">
      <alignment vertical="top"/>
      <protection locked="0"/>
    </xf>
    <xf numFmtId="0" fontId="0" fillId="0" borderId="0" xfId="0" applyFont="1"/>
    <xf numFmtId="0" fontId="155" fillId="0" borderId="0" xfId="0" applyFont="1"/>
    <xf numFmtId="0" fontId="23" fillId="0" borderId="0" xfId="186" applyFont="1" applyFill="1"/>
    <xf numFmtId="172" fontId="23" fillId="0" borderId="0" xfId="186" applyNumberFormat="1" applyFont="1" applyFill="1" applyBorder="1"/>
    <xf numFmtId="0" fontId="23" fillId="0" borderId="0" xfId="235" applyFont="1" applyFill="1" applyAlignment="1">
      <alignment horizontal="center"/>
    </xf>
    <xf numFmtId="0" fontId="23" fillId="0" borderId="0" xfId="235" applyFont="1" applyAlignment="1">
      <alignment wrapText="1"/>
    </xf>
    <xf numFmtId="173" fontId="23" fillId="0" borderId="0" xfId="123" applyNumberFormat="1" applyFont="1" applyFill="1" applyBorder="1"/>
    <xf numFmtId="173" fontId="23" fillId="0" borderId="0" xfId="123" applyNumberFormat="1" applyFont="1" applyBorder="1" applyAlignment="1">
      <alignment wrapText="1"/>
    </xf>
    <xf numFmtId="0" fontId="23" fillId="0" borderId="0" xfId="235" applyFont="1" applyAlignment="1">
      <alignment horizontal="left"/>
    </xf>
    <xf numFmtId="173" fontId="23" fillId="0" borderId="0" xfId="123" applyNumberFormat="1" applyFont="1" applyAlignment="1">
      <alignment wrapText="1"/>
    </xf>
    <xf numFmtId="173" fontId="23" fillId="0" borderId="0" xfId="88" applyNumberFormat="1" applyFont="1" applyAlignment="1"/>
    <xf numFmtId="1" fontId="23" fillId="0" borderId="0" xfId="88" applyNumberFormat="1" applyFont="1" applyBorder="1" applyAlignment="1"/>
    <xf numFmtId="177" fontId="23" fillId="0" borderId="0" xfId="88" applyNumberFormat="1" applyFont="1" applyBorder="1" applyAlignment="1"/>
    <xf numFmtId="173" fontId="23" fillId="0" borderId="0" xfId="88" applyNumberFormat="1" applyFont="1" applyBorder="1" applyAlignment="1"/>
    <xf numFmtId="0" fontId="23" fillId="0" borderId="0" xfId="186" applyFont="1" applyFill="1" applyBorder="1"/>
    <xf numFmtId="0" fontId="23" fillId="0" borderId="0" xfId="235" applyFont="1" applyAlignment="1">
      <alignment horizontal="left" vertical="center"/>
    </xf>
    <xf numFmtId="0" fontId="23" fillId="0" borderId="0" xfId="235" applyFont="1" applyAlignment="1">
      <alignment vertical="top" wrapText="1"/>
    </xf>
    <xf numFmtId="0" fontId="23" fillId="0" borderId="0" xfId="235" applyFont="1" applyAlignment="1"/>
    <xf numFmtId="173" fontId="23" fillId="0" borderId="0" xfId="235" applyNumberFormat="1" applyFont="1"/>
    <xf numFmtId="0" fontId="23" fillId="0" borderId="0" xfId="235" applyFont="1" applyAlignment="1">
      <alignment vertical="top"/>
    </xf>
    <xf numFmtId="0" fontId="23" fillId="0" borderId="0" xfId="235" applyFont="1" applyFill="1" applyAlignment="1">
      <alignment vertical="top" wrapText="1"/>
    </xf>
    <xf numFmtId="0" fontId="23" fillId="0" borderId="0" xfId="235" applyFont="1" applyFill="1" applyAlignment="1">
      <alignment horizontal="left"/>
    </xf>
    <xf numFmtId="0" fontId="24" fillId="0" borderId="0" xfId="235" applyFont="1" applyAlignment="1">
      <alignment horizontal="left" vertical="center"/>
    </xf>
    <xf numFmtId="173" fontId="23" fillId="0" borderId="0" xfId="235" applyNumberFormat="1" applyFont="1" applyAlignment="1">
      <alignment horizontal="left" vertical="center"/>
    </xf>
    <xf numFmtId="173" fontId="11" fillId="0" borderId="0" xfId="87" applyNumberFormat="1"/>
    <xf numFmtId="173" fontId="11" fillId="0" borderId="0" xfId="87" applyNumberFormat="1" applyFill="1"/>
    <xf numFmtId="173" fontId="11" fillId="0" borderId="0" xfId="87" applyNumberFormat="1" applyFont="1" applyFill="1"/>
    <xf numFmtId="10" fontId="144" fillId="0" borderId="0" xfId="325" applyNumberFormat="1" applyFont="1"/>
    <xf numFmtId="173" fontId="144" fillId="0" borderId="0" xfId="119" applyNumberFormat="1" applyFont="1"/>
    <xf numFmtId="164" fontId="144" fillId="27" borderId="11" xfId="298" applyNumberFormat="1" applyFont="1" applyFill="1" applyBorder="1" applyProtection="1">
      <protection locked="0"/>
    </xf>
    <xf numFmtId="173" fontId="144" fillId="0" borderId="11" xfId="119" applyNumberFormat="1" applyFont="1" applyBorder="1"/>
    <xf numFmtId="0" fontId="18" fillId="33" borderId="0" xfId="278" quotePrefix="1" applyFont="1" applyFill="1" applyAlignment="1" applyProtection="1">
      <alignment horizontal="center"/>
      <protection locked="0"/>
    </xf>
    <xf numFmtId="41" fontId="18" fillId="33" borderId="11" xfId="278" applyNumberFormat="1" applyFont="1" applyFill="1" applyBorder="1" applyProtection="1">
      <protection locked="0"/>
    </xf>
    <xf numFmtId="0" fontId="4" fillId="0" borderId="0" xfId="0" applyFont="1" applyAlignment="1">
      <alignment horizontal="center"/>
    </xf>
    <xf numFmtId="0" fontId="0" fillId="0" borderId="0" xfId="0" applyAlignment="1">
      <alignment horizontal="center"/>
    </xf>
    <xf numFmtId="0" fontId="76" fillId="0" borderId="30" xfId="288" applyFont="1" applyBorder="1" applyAlignment="1" applyProtection="1">
      <alignment horizontal="center"/>
    </xf>
    <xf numFmtId="0" fontId="76" fillId="0" borderId="30" xfId="288" applyFont="1" applyBorder="1" applyAlignment="1">
      <alignment horizontal="center"/>
    </xf>
    <xf numFmtId="41" fontId="23" fillId="33" borderId="34" xfId="278" applyNumberFormat="1" applyFont="1" applyFill="1" applyBorder="1" applyAlignment="1" applyProtection="1">
      <alignment vertical="center"/>
      <protection locked="0"/>
    </xf>
    <xf numFmtId="0" fontId="24" fillId="0" borderId="0" xfId="235" applyFont="1" applyBorder="1" applyAlignment="1">
      <alignment horizontal="center" wrapText="1"/>
    </xf>
    <xf numFmtId="10" fontId="0" fillId="0" borderId="16" xfId="0" applyNumberFormat="1" applyBorder="1" applyAlignment="1" applyProtection="1">
      <alignment horizontal="center"/>
    </xf>
    <xf numFmtId="0" fontId="114" fillId="0" borderId="0" xfId="0" applyFont="1" applyBorder="1"/>
    <xf numFmtId="0" fontId="110" fillId="0" borderId="0" xfId="0" applyFont="1" applyBorder="1" applyProtection="1">
      <protection locked="0"/>
    </xf>
    <xf numFmtId="0" fontId="168" fillId="0" borderId="0" xfId="0" applyFont="1" applyBorder="1" applyAlignment="1">
      <alignment horizontal="center"/>
    </xf>
    <xf numFmtId="177" fontId="4" fillId="0" borderId="0" xfId="87" applyNumberFormat="1" applyFont="1" applyAlignment="1">
      <alignment horizontal="center"/>
    </xf>
    <xf numFmtId="10" fontId="4" fillId="0" borderId="0" xfId="237" applyNumberFormat="1" applyFont="1" applyFill="1" applyAlignment="1">
      <alignment horizontal="right"/>
    </xf>
    <xf numFmtId="10" fontId="4" fillId="0" borderId="0" xfId="237" applyNumberFormat="1" applyFont="1" applyFill="1" applyAlignment="1">
      <alignment horizontal="center"/>
    </xf>
    <xf numFmtId="0" fontId="24" fillId="0" borderId="50" xfId="235" applyFont="1" applyBorder="1" applyAlignment="1">
      <alignment horizontal="center" wrapText="1"/>
    </xf>
    <xf numFmtId="43" fontId="24" fillId="0" borderId="11" xfId="87" applyFont="1" applyFill="1" applyBorder="1" applyAlignment="1">
      <alignment wrapText="1"/>
    </xf>
    <xf numFmtId="41" fontId="23" fillId="33" borderId="51" xfId="278" applyNumberFormat="1" applyFont="1" applyFill="1" applyBorder="1" applyProtection="1">
      <protection locked="0"/>
    </xf>
    <xf numFmtId="173" fontId="23" fillId="37" borderId="51" xfId="123" applyNumberFormat="1" applyFont="1" applyFill="1" applyBorder="1"/>
    <xf numFmtId="173" fontId="23" fillId="0" borderId="52" xfId="123" applyNumberFormat="1" applyFont="1" applyFill="1" applyBorder="1"/>
    <xf numFmtId="41" fontId="23" fillId="33" borderId="53" xfId="278" applyNumberFormat="1" applyFont="1" applyFill="1" applyBorder="1" applyProtection="1">
      <protection locked="0"/>
    </xf>
    <xf numFmtId="173" fontId="23" fillId="37" borderId="54" xfId="123" applyNumberFormat="1" applyFont="1" applyFill="1" applyBorder="1"/>
    <xf numFmtId="41" fontId="23" fillId="0" borderId="53" xfId="186" applyNumberFormat="1" applyFont="1" applyFill="1" applyBorder="1"/>
    <xf numFmtId="173" fontId="23" fillId="0" borderId="54" xfId="123" applyNumberFormat="1" applyFont="1" applyFill="1" applyBorder="1"/>
    <xf numFmtId="173" fontId="23" fillId="37" borderId="53" xfId="123" applyNumberFormat="1" applyFont="1" applyFill="1" applyBorder="1"/>
    <xf numFmtId="173" fontId="23" fillId="0" borderId="53" xfId="123" applyNumberFormat="1" applyFont="1" applyFill="1" applyBorder="1"/>
    <xf numFmtId="41" fontId="23" fillId="33" borderId="55" xfId="278" applyNumberFormat="1" applyFont="1" applyFill="1" applyBorder="1" applyProtection="1">
      <protection locked="0"/>
    </xf>
    <xf numFmtId="173" fontId="23" fillId="0" borderId="56" xfId="88" applyNumberFormat="1" applyFont="1" applyBorder="1" applyAlignment="1"/>
    <xf numFmtId="177" fontId="23" fillId="0" borderId="56" xfId="88" applyNumberFormat="1" applyFont="1" applyBorder="1" applyAlignment="1"/>
    <xf numFmtId="173" fontId="23" fillId="0" borderId="56" xfId="88" applyNumberFormat="1" applyFont="1" applyFill="1" applyBorder="1" applyAlignment="1"/>
    <xf numFmtId="173" fontId="23" fillId="0" borderId="57" xfId="88" applyNumberFormat="1" applyFont="1" applyBorder="1" applyAlignment="1">
      <alignment horizontal="center"/>
    </xf>
    <xf numFmtId="0" fontId="7" fillId="33" borderId="0" xfId="91" quotePrefix="1" applyNumberFormat="1" applyFont="1" applyFill="1" applyBorder="1" applyAlignment="1" applyProtection="1">
      <alignment horizontal="center"/>
      <protection locked="0"/>
    </xf>
    <xf numFmtId="176" fontId="18" fillId="33" borderId="0" xfId="0" applyNumberFormat="1" applyFont="1" applyFill="1" applyBorder="1" applyAlignment="1" applyProtection="1">
      <protection locked="0"/>
    </xf>
    <xf numFmtId="176" fontId="18" fillId="33" borderId="11" xfId="0" applyNumberFormat="1" applyFont="1" applyFill="1" applyBorder="1" applyAlignment="1" applyProtection="1">
      <protection locked="0"/>
    </xf>
    <xf numFmtId="176" fontId="4" fillId="0" borderId="0" xfId="0" applyNumberFormat="1" applyFont="1" applyFill="1"/>
    <xf numFmtId="0" fontId="123" fillId="0" borderId="0" xfId="0" applyFont="1" applyAlignment="1">
      <alignment horizontal="left"/>
    </xf>
    <xf numFmtId="0" fontId="122" fillId="0" borderId="26" xfId="0" applyFont="1" applyBorder="1" applyAlignment="1">
      <alignment horizontal="center" wrapText="1"/>
    </xf>
    <xf numFmtId="0" fontId="122" fillId="0" borderId="0" xfId="0" applyFont="1"/>
    <xf numFmtId="0" fontId="62" fillId="33" borderId="0" xfId="0" applyFont="1" applyFill="1" applyAlignment="1" applyProtection="1">
      <alignment horizontal="left"/>
      <protection locked="0"/>
    </xf>
    <xf numFmtId="0" fontId="11" fillId="0" borderId="0" xfId="232"/>
    <xf numFmtId="3" fontId="18" fillId="33" borderId="0" xfId="0" applyNumberFormat="1" applyFont="1" applyFill="1" applyProtection="1">
      <protection locked="0"/>
    </xf>
    <xf numFmtId="5" fontId="77" fillId="33" borderId="11" xfId="287" applyNumberFormat="1" applyFont="1" applyFill="1" applyBorder="1" applyProtection="1">
      <protection locked="0"/>
    </xf>
    <xf numFmtId="41" fontId="18" fillId="33" borderId="0" xfId="286" applyNumberFormat="1" applyFont="1" applyFill="1" applyProtection="1">
      <protection locked="0"/>
    </xf>
    <xf numFmtId="41" fontId="18" fillId="33" borderId="6" xfId="286" applyNumberFormat="1" applyFont="1" applyFill="1" applyBorder="1" applyProtection="1">
      <protection locked="0"/>
    </xf>
    <xf numFmtId="41" fontId="147" fillId="0" borderId="0" xfId="281" applyNumberFormat="1" applyFont="1"/>
    <xf numFmtId="172" fontId="4" fillId="0" borderId="0" xfId="286" applyFont="1" applyAlignment="1" applyProtection="1">
      <alignment horizontal="left"/>
    </xf>
    <xf numFmtId="172" fontId="139" fillId="0" borderId="0" xfId="286" applyFont="1" applyFill="1" applyAlignment="1" applyProtection="1">
      <alignment vertical="top" wrapText="1"/>
    </xf>
    <xf numFmtId="0" fontId="134" fillId="0" borderId="0" xfId="0" applyFont="1" applyFill="1" applyAlignment="1" applyProtection="1">
      <alignment vertical="top" wrapText="1"/>
    </xf>
    <xf numFmtId="172" fontId="25" fillId="0" borderId="0" xfId="286" applyFont="1" applyFill="1" applyAlignment="1" applyProtection="1">
      <alignment wrapText="1"/>
    </xf>
    <xf numFmtId="172" fontId="4" fillId="0" borderId="0" xfId="286" applyFont="1" applyAlignment="1" applyProtection="1">
      <alignment horizontal="left" wrapText="1"/>
    </xf>
    <xf numFmtId="172" fontId="76" fillId="0" borderId="0" xfId="286" applyFont="1" applyAlignment="1" applyProtection="1">
      <alignment horizontal="left" wrapText="1"/>
    </xf>
    <xf numFmtId="49" fontId="4" fillId="0" borderId="0" xfId="286" applyNumberFormat="1" applyFont="1" applyAlignment="1" applyProtection="1">
      <alignment horizontal="center"/>
    </xf>
    <xf numFmtId="0" fontId="31" fillId="0" borderId="0" xfId="0" applyFont="1" applyAlignment="1" applyProtection="1">
      <alignment horizontal="center"/>
    </xf>
    <xf numFmtId="0" fontId="9" fillId="0" borderId="0" xfId="286"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86" applyFont="1" applyBorder="1" applyAlignment="1" applyProtection="1">
      <alignment horizontal="center"/>
    </xf>
    <xf numFmtId="0" fontId="4" fillId="0" borderId="0" xfId="0" applyFont="1" applyFill="1" applyAlignment="1" applyProtection="1">
      <alignment horizontal="left" vertical="top" wrapText="1"/>
    </xf>
    <xf numFmtId="3" fontId="9" fillId="0" borderId="0" xfId="286" applyNumberFormat="1" applyFont="1" applyFill="1" applyAlignment="1" applyProtection="1">
      <alignment horizontal="center"/>
    </xf>
    <xf numFmtId="3" fontId="4" fillId="0" borderId="0" xfId="286" applyNumberFormat="1" applyFont="1" applyAlignment="1" applyProtection="1">
      <alignment horizontal="left" wrapText="1"/>
    </xf>
    <xf numFmtId="0" fontId="11" fillId="0" borderId="0" xfId="0" applyFont="1" applyAlignment="1" applyProtection="1">
      <alignment horizontal="left" wrapText="1"/>
    </xf>
    <xf numFmtId="0" fontId="4" fillId="0" borderId="0" xfId="286" applyNumberFormat="1" applyFont="1" applyFill="1" applyAlignment="1" applyProtection="1">
      <alignment horizontal="left" wrapText="1"/>
    </xf>
    <xf numFmtId="0" fontId="4" fillId="0" borderId="0" xfId="0" applyFont="1" applyAlignment="1" applyProtection="1">
      <alignment wrapText="1"/>
    </xf>
    <xf numFmtId="0" fontId="11" fillId="0" borderId="0" xfId="0" applyFont="1" applyAlignment="1" applyProtection="1">
      <alignment wrapText="1"/>
    </xf>
    <xf numFmtId="0" fontId="4" fillId="0" borderId="0" xfId="286" applyNumberFormat="1" applyFont="1" applyFill="1" applyAlignment="1" applyProtection="1">
      <alignment horizontal="left" vertical="top" wrapText="1"/>
    </xf>
    <xf numFmtId="172" fontId="4" fillId="0" borderId="0" xfId="286" applyFont="1" applyFill="1" applyAlignment="1" applyProtection="1">
      <alignment horizontal="left" wrapText="1"/>
    </xf>
    <xf numFmtId="172" fontId="25" fillId="0" borderId="0" xfId="286" applyFont="1" applyFill="1" applyAlignment="1" applyProtection="1">
      <alignment vertical="top" wrapText="1"/>
    </xf>
    <xf numFmtId="0" fontId="25" fillId="0" borderId="0" xfId="0" applyFont="1" applyAlignment="1" applyProtection="1">
      <alignment vertical="top" wrapText="1"/>
    </xf>
    <xf numFmtId="172" fontId="4" fillId="0" borderId="0" xfId="286"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286" applyFont="1" applyFill="1" applyAlignment="1" applyProtection="1">
      <alignment wrapText="1"/>
    </xf>
    <xf numFmtId="0" fontId="31" fillId="0" borderId="0" xfId="0" applyFont="1" applyAlignment="1" applyProtection="1">
      <alignment wrapText="1"/>
    </xf>
    <xf numFmtId="0" fontId="25" fillId="0" borderId="0" xfId="286" applyNumberFormat="1" applyFont="1" applyFill="1" applyAlignment="1" applyProtection="1">
      <alignment horizontal="left" wrapText="1"/>
    </xf>
    <xf numFmtId="0" fontId="4" fillId="0" borderId="0" xfId="0" applyFont="1" applyAlignment="1">
      <alignment horizontal="center"/>
    </xf>
    <xf numFmtId="0" fontId="4" fillId="0" borderId="0" xfId="232" applyFont="1" applyBorder="1" applyAlignment="1">
      <alignment horizontal="center"/>
    </xf>
    <xf numFmtId="0" fontId="8" fillId="0" borderId="48" xfId="289" applyFont="1" applyBorder="1" applyAlignment="1">
      <alignment horizontal="center" wrapText="1"/>
    </xf>
    <xf numFmtId="0" fontId="8" fillId="0" borderId="13" xfId="289" applyFont="1" applyBorder="1" applyAlignment="1">
      <alignment horizontal="center" wrapText="1"/>
    </xf>
    <xf numFmtId="0" fontId="8" fillId="0" borderId="49" xfId="289" applyFont="1" applyBorder="1" applyAlignment="1">
      <alignment horizontal="center" wrapText="1"/>
    </xf>
    <xf numFmtId="0" fontId="8" fillId="0" borderId="48" xfId="210" applyFont="1" applyBorder="1" applyAlignment="1">
      <alignment horizontal="center"/>
    </xf>
    <xf numFmtId="0" fontId="8" fillId="0" borderId="13" xfId="210" applyFont="1" applyBorder="1" applyAlignment="1">
      <alignment horizontal="center"/>
    </xf>
    <xf numFmtId="0" fontId="8" fillId="0" borderId="49" xfId="210" applyFont="1" applyBorder="1" applyAlignment="1">
      <alignment horizontal="center"/>
    </xf>
    <xf numFmtId="3" fontId="4" fillId="0" borderId="0" xfId="232" applyNumberFormat="1" applyFont="1" applyBorder="1" applyAlignment="1">
      <alignment horizontal="center"/>
    </xf>
    <xf numFmtId="0" fontId="11" fillId="0" borderId="0" xfId="232" applyFont="1" applyFill="1" applyBorder="1" applyAlignment="1">
      <alignment horizontal="left" wrapText="1"/>
    </xf>
    <xf numFmtId="0" fontId="16" fillId="0" borderId="0" xfId="276"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32" quotePrefix="1" applyFont="1" applyBorder="1" applyAlignment="1">
      <alignment horizontal="center" wrapText="1"/>
    </xf>
    <xf numFmtId="41" fontId="23" fillId="33" borderId="34" xfId="278" applyNumberFormat="1" applyFont="1" applyFill="1" applyBorder="1" applyAlignment="1" applyProtection="1">
      <alignment vertical="center"/>
      <protection locked="0"/>
    </xf>
    <xf numFmtId="0" fontId="23" fillId="0" borderId="0" xfId="235" applyFont="1" applyAlignment="1">
      <alignment horizontal="center" wrapText="1"/>
    </xf>
    <xf numFmtId="0" fontId="23" fillId="0" borderId="11" xfId="235" applyFont="1" applyBorder="1" applyAlignment="1">
      <alignment horizontal="center"/>
    </xf>
    <xf numFmtId="0" fontId="23" fillId="0" borderId="11" xfId="0" applyFont="1" applyBorder="1" applyAlignment="1">
      <alignment horizontal="center"/>
    </xf>
    <xf numFmtId="0" fontId="23" fillId="0" borderId="11" xfId="235" applyFont="1" applyBorder="1" applyAlignment="1">
      <alignment horizontal="center" wrapText="1"/>
    </xf>
    <xf numFmtId="0" fontId="24" fillId="0" borderId="0" xfId="235" applyFont="1" applyBorder="1" applyAlignment="1">
      <alignment horizontal="center" wrapText="1"/>
    </xf>
    <xf numFmtId="41" fontId="23" fillId="33" borderId="34" xfId="278" applyNumberFormat="1" applyFont="1" applyFill="1" applyBorder="1" applyAlignment="1" applyProtection="1">
      <alignment horizontal="left" vertical="center" wrapText="1"/>
      <protection locked="0"/>
    </xf>
    <xf numFmtId="0" fontId="23" fillId="0" borderId="0" xfId="235" applyFont="1" applyAlignment="1">
      <alignment horizontal="left" wrapText="1"/>
    </xf>
    <xf numFmtId="0" fontId="23" fillId="0" borderId="0" xfId="235" applyFont="1" applyAlignment="1">
      <alignment horizontal="left" vertical="top" wrapText="1"/>
    </xf>
    <xf numFmtId="0" fontId="23" fillId="0" borderId="0" xfId="235" applyFont="1" applyFill="1" applyAlignment="1">
      <alignment horizontal="left" vertical="top" wrapText="1"/>
    </xf>
    <xf numFmtId="0" fontId="23" fillId="0" borderId="0" xfId="235" applyFont="1" applyFill="1" applyAlignment="1">
      <alignment horizontal="left" wrapText="1"/>
    </xf>
    <xf numFmtId="0" fontId="11" fillId="0" borderId="0" xfId="232" applyNumberFormat="1" applyFont="1" applyFill="1" applyBorder="1" applyAlignment="1">
      <alignment horizontal="left" wrapText="1"/>
    </xf>
    <xf numFmtId="0" fontId="80" fillId="0" borderId="0" xfId="232" applyNumberFormat="1" applyFont="1" applyFill="1" applyBorder="1" applyAlignment="1">
      <alignment horizontal="center"/>
    </xf>
    <xf numFmtId="0" fontId="80" fillId="0" borderId="0" xfId="276" applyFont="1" applyFill="1" applyAlignment="1">
      <alignment horizontal="center"/>
    </xf>
    <xf numFmtId="0" fontId="16" fillId="0" borderId="0" xfId="276"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32" applyFont="1" applyBorder="1" applyAlignment="1" applyProtection="1">
      <alignment horizontal="center"/>
    </xf>
    <xf numFmtId="3" fontId="4" fillId="0" borderId="0" xfId="0" applyNumberFormat="1" applyFont="1" applyAlignment="1" applyProtection="1">
      <alignment horizontal="center"/>
    </xf>
    <xf numFmtId="172" fontId="11" fillId="0" borderId="0" xfId="286" applyFont="1" applyFill="1" applyAlignment="1" applyProtection="1">
      <alignment horizontal="left" vertical="top" wrapText="1"/>
    </xf>
    <xf numFmtId="0" fontId="8" fillId="0" borderId="0" xfId="290" applyFont="1" applyFill="1" applyAlignment="1" applyProtection="1">
      <alignment wrapText="1"/>
    </xf>
    <xf numFmtId="3" fontId="3" fillId="0" borderId="0" xfId="0" applyNumberFormat="1" applyFont="1" applyAlignment="1" applyProtection="1">
      <alignment horizontal="center"/>
    </xf>
    <xf numFmtId="0" fontId="9" fillId="0" borderId="0" xfId="290"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287" applyFont="1" applyBorder="1" applyAlignment="1">
      <alignment horizontal="center"/>
    </xf>
    <xf numFmtId="0" fontId="70" fillId="0" borderId="0" xfId="287" applyFont="1" applyFill="1" applyAlignment="1">
      <alignment horizontal="left" wrapText="1"/>
    </xf>
    <xf numFmtId="0" fontId="70" fillId="0" borderId="0" xfId="287" applyFont="1" applyFill="1" applyAlignment="1">
      <alignment wrapText="1"/>
    </xf>
    <xf numFmtId="0" fontId="3" fillId="0" borderId="0" xfId="232" applyFont="1" applyBorder="1" applyAlignment="1">
      <alignment horizontal="center"/>
    </xf>
    <xf numFmtId="0" fontId="3" fillId="0" borderId="0" xfId="0" applyFont="1" applyAlignment="1">
      <alignment horizontal="center"/>
    </xf>
    <xf numFmtId="0" fontId="68" fillId="33" borderId="0" xfId="0" applyFont="1" applyFill="1" applyAlignment="1" applyProtection="1">
      <alignment horizontal="left"/>
      <protection locked="0"/>
    </xf>
    <xf numFmtId="173" fontId="99" fillId="0" borderId="0" xfId="90" applyNumberFormat="1" applyFont="1" applyBorder="1" applyAlignment="1" applyProtection="1">
      <alignment horizontal="center"/>
    </xf>
    <xf numFmtId="0" fontId="0" fillId="0" borderId="0" xfId="0" applyNumberFormat="1" applyAlignment="1" applyProtection="1">
      <alignment horizontal="left" wrapText="1"/>
    </xf>
    <xf numFmtId="172" fontId="1" fillId="0" borderId="21" xfId="286" applyFont="1" applyBorder="1" applyAlignment="1" applyProtection="1">
      <alignment wrapText="1"/>
    </xf>
    <xf numFmtId="0" fontId="1" fillId="0" borderId="15" xfId="0" applyFont="1" applyBorder="1" applyAlignment="1" applyProtection="1">
      <alignment wrapText="1"/>
    </xf>
    <xf numFmtId="0" fontId="1" fillId="0" borderId="25"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3" fillId="0" borderId="0" xfId="0" applyFont="1" applyFill="1" applyAlignment="1" applyProtection="1">
      <alignment wrapText="1"/>
    </xf>
    <xf numFmtId="0" fontId="0" fillId="0" borderId="0" xfId="0" applyAlignment="1" applyProtection="1">
      <alignment wrapText="1"/>
    </xf>
    <xf numFmtId="0" fontId="11" fillId="0" borderId="0" xfId="0" applyFont="1" applyFill="1" applyBorder="1" applyAlignment="1" applyProtection="1">
      <alignment wrapText="1"/>
    </xf>
    <xf numFmtId="173" fontId="99" fillId="0" borderId="0" xfId="86" applyNumberFormat="1" applyFont="1" applyBorder="1" applyAlignment="1" applyProtection="1">
      <alignment horizontal="center"/>
    </xf>
    <xf numFmtId="0" fontId="11" fillId="0" borderId="0" xfId="279" applyFont="1" applyFill="1" applyAlignment="1" applyProtection="1">
      <alignment horizontal="left" wrapText="1"/>
    </xf>
    <xf numFmtId="0" fontId="11" fillId="0" borderId="0" xfId="204" applyFont="1" applyFill="1" applyAlignment="1" applyProtection="1">
      <alignment wrapText="1"/>
    </xf>
    <xf numFmtId="0" fontId="92" fillId="0" borderId="0" xfId="279"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279"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8"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98" fillId="0" borderId="0" xfId="0" applyFont="1" applyAlignment="1">
      <alignment horizontal="center" wrapText="1"/>
    </xf>
    <xf numFmtId="0" fontId="19" fillId="33" borderId="0" xfId="0" applyFont="1" applyFill="1" applyAlignment="1" applyProtection="1">
      <alignment wrapText="1"/>
      <protection locked="0"/>
    </xf>
    <xf numFmtId="0" fontId="152" fillId="0" borderId="0" xfId="0" applyFont="1" applyAlignment="1">
      <alignment horizontal="left" wrapText="1"/>
    </xf>
    <xf numFmtId="0" fontId="139" fillId="0" borderId="0" xfId="0" applyFont="1" applyAlignment="1">
      <alignment horizontal="center"/>
    </xf>
    <xf numFmtId="0" fontId="139" fillId="0" borderId="0" xfId="232" applyFont="1" applyBorder="1" applyAlignment="1">
      <alignment horizontal="center"/>
    </xf>
    <xf numFmtId="0" fontId="144" fillId="0" borderId="0" xfId="0" applyFont="1" applyAlignment="1">
      <alignment horizontal="center"/>
    </xf>
    <xf numFmtId="0" fontId="139" fillId="0" borderId="0" xfId="232" applyFont="1" applyFill="1" applyBorder="1" applyAlignment="1">
      <alignment horizontal="center"/>
    </xf>
    <xf numFmtId="3" fontId="139" fillId="0" borderId="0" xfId="0" applyNumberFormat="1" applyFont="1" applyAlignment="1">
      <alignment horizontal="center"/>
    </xf>
    <xf numFmtId="0" fontId="146" fillId="0" borderId="0" xfId="0" applyFont="1" applyAlignment="1">
      <alignment horizontal="center"/>
    </xf>
    <xf numFmtId="0" fontId="144" fillId="0" borderId="0" xfId="0" applyFont="1" applyAlignment="1">
      <alignment wrapText="1"/>
    </xf>
    <xf numFmtId="0" fontId="144" fillId="0" borderId="0" xfId="0" applyFont="1" applyFill="1" applyAlignment="1">
      <alignment horizontal="left" wrapText="1"/>
    </xf>
    <xf numFmtId="0" fontId="146" fillId="0" borderId="0" xfId="0" applyFont="1" applyAlignment="1">
      <alignment horizontal="center" wrapText="1"/>
    </xf>
    <xf numFmtId="173" fontId="146" fillId="0" borderId="0" xfId="118" applyNumberFormat="1" applyFont="1" applyAlignment="1">
      <alignment horizontal="center" wrapText="1"/>
    </xf>
    <xf numFmtId="0" fontId="109" fillId="0" borderId="0" xfId="288" applyFont="1" applyAlignment="1" applyProtection="1">
      <alignment horizontal="center"/>
    </xf>
    <xf numFmtId="3" fontId="109" fillId="0" borderId="0" xfId="288" applyNumberFormat="1" applyFont="1" applyAlignment="1" applyProtection="1">
      <alignment horizontal="center"/>
    </xf>
    <xf numFmtId="44" fontId="109" fillId="0" borderId="0" xfId="129" applyFont="1" applyAlignment="1" applyProtection="1">
      <alignment horizontal="center"/>
    </xf>
    <xf numFmtId="0" fontId="76" fillId="0" borderId="30" xfId="288" applyFont="1" applyBorder="1" applyAlignment="1" applyProtection="1">
      <alignment horizontal="center"/>
    </xf>
    <xf numFmtId="0" fontId="2" fillId="0" borderId="0" xfId="288" applyFont="1" applyAlignment="1" applyProtection="1">
      <alignment horizontal="left" wrapText="1"/>
    </xf>
    <xf numFmtId="0" fontId="4" fillId="0" borderId="0" xfId="285" applyFont="1" applyAlignment="1" applyProtection="1">
      <alignment vertical="top" wrapText="1"/>
    </xf>
    <xf numFmtId="0" fontId="2" fillId="0" borderId="0" xfId="0" applyFont="1" applyAlignment="1" applyProtection="1">
      <alignment vertical="top" wrapText="1"/>
    </xf>
    <xf numFmtId="0" fontId="109" fillId="0" borderId="0" xfId="288" applyFont="1" applyAlignment="1">
      <alignment horizontal="center"/>
    </xf>
    <xf numFmtId="0" fontId="4" fillId="0" borderId="0" xfId="185" applyFont="1" applyAlignment="1">
      <alignment wrapText="1"/>
    </xf>
    <xf numFmtId="44" fontId="109" fillId="0" borderId="0" xfId="129" applyFont="1" applyAlignment="1">
      <alignment horizontal="center"/>
    </xf>
    <xf numFmtId="0" fontId="76" fillId="0" borderId="30" xfId="288" applyFont="1" applyBorder="1" applyAlignment="1">
      <alignment horizontal="center"/>
    </xf>
    <xf numFmtId="0" fontId="76" fillId="0" borderId="0" xfId="185" applyFont="1" applyAlignment="1">
      <alignment vertical="top" wrapText="1"/>
    </xf>
    <xf numFmtId="0" fontId="11" fillId="0" borderId="0" xfId="185" applyAlignment="1">
      <alignment vertical="top" wrapText="1"/>
    </xf>
    <xf numFmtId="0" fontId="4" fillId="0" borderId="0" xfId="285" applyFont="1" applyAlignment="1">
      <alignment vertical="top" wrapText="1"/>
    </xf>
    <xf numFmtId="0" fontId="140" fillId="0" borderId="0" xfId="288" applyFont="1" applyAlignment="1">
      <alignment horizontal="center"/>
    </xf>
    <xf numFmtId="0" fontId="2" fillId="0" borderId="0" xfId="288" applyAlignment="1">
      <alignment wrapText="1"/>
    </xf>
    <xf numFmtId="0" fontId="4" fillId="0" borderId="0" xfId="185" applyFont="1" applyAlignment="1">
      <alignment vertical="top" wrapText="1"/>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cellXfs>
  <cellStyles count="37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0" xfId="87" xr:uid="{00000000-0005-0000-0000-000056000000}"/>
    <cellStyle name="Comma 11" xfId="88" xr:uid="{00000000-0005-0000-0000-000057000000}"/>
    <cellStyle name="Comma 12 2" xfId="89" xr:uid="{00000000-0005-0000-0000-000058000000}"/>
    <cellStyle name="Comma 2" xfId="90" xr:uid="{00000000-0005-0000-0000-000059000000}"/>
    <cellStyle name="Comma 2 2" xfId="91" xr:uid="{00000000-0005-0000-0000-00005A000000}"/>
    <cellStyle name="Comma 3" xfId="92" xr:uid="{00000000-0005-0000-0000-00005B000000}"/>
    <cellStyle name="Comma 3 10" xfId="93" xr:uid="{00000000-0005-0000-0000-00005C000000}"/>
    <cellStyle name="Comma 3 11" xfId="94" xr:uid="{00000000-0005-0000-0000-00005D000000}"/>
    <cellStyle name="Comma 3 2" xfId="95" xr:uid="{00000000-0005-0000-0000-00005E000000}"/>
    <cellStyle name="Comma 3 3" xfId="96" xr:uid="{00000000-0005-0000-0000-00005F000000}"/>
    <cellStyle name="Comma 3 3 2" xfId="97" xr:uid="{00000000-0005-0000-0000-000060000000}"/>
    <cellStyle name="Comma 3 3 3" xfId="98" xr:uid="{00000000-0005-0000-0000-000061000000}"/>
    <cellStyle name="Comma 3 4" xfId="99" xr:uid="{00000000-0005-0000-0000-000062000000}"/>
    <cellStyle name="Comma 3 4 2" xfId="100" xr:uid="{00000000-0005-0000-0000-000063000000}"/>
    <cellStyle name="Comma 3 4 3" xfId="101" xr:uid="{00000000-0005-0000-0000-000064000000}"/>
    <cellStyle name="Comma 3 5" xfId="102" xr:uid="{00000000-0005-0000-0000-000065000000}"/>
    <cellStyle name="Comma 3 6" xfId="103" xr:uid="{00000000-0005-0000-0000-000066000000}"/>
    <cellStyle name="Comma 3 6 2" xfId="104" xr:uid="{00000000-0005-0000-0000-000067000000}"/>
    <cellStyle name="Comma 3 7" xfId="105" xr:uid="{00000000-0005-0000-0000-000068000000}"/>
    <cellStyle name="Comma 3 7 2" xfId="106" xr:uid="{00000000-0005-0000-0000-000069000000}"/>
    <cellStyle name="Comma 3 8" xfId="107" xr:uid="{00000000-0005-0000-0000-00006A000000}"/>
    <cellStyle name="Comma 3 8 2" xfId="108" xr:uid="{00000000-0005-0000-0000-00006B000000}"/>
    <cellStyle name="Comma 3 9" xfId="109" xr:uid="{00000000-0005-0000-0000-00006C000000}"/>
    <cellStyle name="Comma 3 9 2" xfId="110" xr:uid="{00000000-0005-0000-0000-00006D000000}"/>
    <cellStyle name="Comma 4" xfId="111" xr:uid="{00000000-0005-0000-0000-00006E000000}"/>
    <cellStyle name="Comma 4 2" xfId="112" xr:uid="{00000000-0005-0000-0000-00006F000000}"/>
    <cellStyle name="Comma 5" xfId="113" xr:uid="{00000000-0005-0000-0000-000070000000}"/>
    <cellStyle name="Comma 5 2" xfId="114" xr:uid="{00000000-0005-0000-0000-000071000000}"/>
    <cellStyle name="Comma 6" xfId="115" xr:uid="{00000000-0005-0000-0000-000072000000}"/>
    <cellStyle name="Comma 6 2" xfId="116" xr:uid="{00000000-0005-0000-0000-000073000000}"/>
    <cellStyle name="Comma 6 3" xfId="117" xr:uid="{00000000-0005-0000-0000-000074000000}"/>
    <cellStyle name="Comma 7" xfId="118" xr:uid="{00000000-0005-0000-0000-000075000000}"/>
    <cellStyle name="Comma 7 2" xfId="119" xr:uid="{00000000-0005-0000-0000-000076000000}"/>
    <cellStyle name="Comma 7 3" xfId="120" xr:uid="{00000000-0005-0000-0000-000077000000}"/>
    <cellStyle name="Comma 8" xfId="121" xr:uid="{00000000-0005-0000-0000-000078000000}"/>
    <cellStyle name="Comma 8 2" xfId="122" xr:uid="{00000000-0005-0000-0000-000079000000}"/>
    <cellStyle name="Comma 9" xfId="123" xr:uid="{00000000-0005-0000-0000-00007A000000}"/>
    <cellStyle name="Comma 9 2" xfId="124" xr:uid="{00000000-0005-0000-0000-00007B000000}"/>
    <cellStyle name="Comma_spp calc - revsd rev crd" xfId="125" xr:uid="{00000000-0005-0000-0000-00007C000000}"/>
    <cellStyle name="Comma0" xfId="126" xr:uid="{00000000-0005-0000-0000-00007D000000}"/>
    <cellStyle name="Currency" xfId="127" builtinId="4"/>
    <cellStyle name="Currency 10" xfId="128" xr:uid="{00000000-0005-0000-0000-00007F000000}"/>
    <cellStyle name="Currency 2" xfId="129" xr:uid="{00000000-0005-0000-0000-000080000000}"/>
    <cellStyle name="Currency 2 2" xfId="130" xr:uid="{00000000-0005-0000-0000-000081000000}"/>
    <cellStyle name="Currency 3" xfId="131" xr:uid="{00000000-0005-0000-0000-000082000000}"/>
    <cellStyle name="Currency 3 10" xfId="132" xr:uid="{00000000-0005-0000-0000-000083000000}"/>
    <cellStyle name="Currency 3 2" xfId="133" xr:uid="{00000000-0005-0000-0000-000084000000}"/>
    <cellStyle name="Currency 3 3" xfId="134" xr:uid="{00000000-0005-0000-0000-000085000000}"/>
    <cellStyle name="Currency 3 3 2" xfId="135" xr:uid="{00000000-0005-0000-0000-000086000000}"/>
    <cellStyle name="Currency 3 3 3" xfId="136" xr:uid="{00000000-0005-0000-0000-000087000000}"/>
    <cellStyle name="Currency 3 4" xfId="137" xr:uid="{00000000-0005-0000-0000-000088000000}"/>
    <cellStyle name="Currency 3 4 2" xfId="138" xr:uid="{00000000-0005-0000-0000-000089000000}"/>
    <cellStyle name="Currency 3 4 3" xfId="139" xr:uid="{00000000-0005-0000-0000-00008A000000}"/>
    <cellStyle name="Currency 3 5" xfId="140" xr:uid="{00000000-0005-0000-0000-00008B000000}"/>
    <cellStyle name="Currency 3 6" xfId="141" xr:uid="{00000000-0005-0000-0000-00008C000000}"/>
    <cellStyle name="Currency 3 6 2" xfId="142" xr:uid="{00000000-0005-0000-0000-00008D000000}"/>
    <cellStyle name="Currency 3 7" xfId="143" xr:uid="{00000000-0005-0000-0000-00008E000000}"/>
    <cellStyle name="Currency 3 7 2" xfId="144" xr:uid="{00000000-0005-0000-0000-00008F000000}"/>
    <cellStyle name="Currency 3 8" xfId="145" xr:uid="{00000000-0005-0000-0000-000090000000}"/>
    <cellStyle name="Currency 3 8 2" xfId="146" xr:uid="{00000000-0005-0000-0000-000091000000}"/>
    <cellStyle name="Currency 3 9" xfId="147" xr:uid="{00000000-0005-0000-0000-000092000000}"/>
    <cellStyle name="Currency 4" xfId="148" xr:uid="{00000000-0005-0000-0000-000093000000}"/>
    <cellStyle name="Currency 4 2" xfId="149" xr:uid="{00000000-0005-0000-0000-000094000000}"/>
    <cellStyle name="Currency 5" xfId="150" xr:uid="{00000000-0005-0000-0000-000095000000}"/>
    <cellStyle name="Currency 5 2" xfId="151" xr:uid="{00000000-0005-0000-0000-000096000000}"/>
    <cellStyle name="Currency 6" xfId="152" xr:uid="{00000000-0005-0000-0000-000097000000}"/>
    <cellStyle name="Currency 7" xfId="153" xr:uid="{00000000-0005-0000-0000-000098000000}"/>
    <cellStyle name="Currency 7 2" xfId="154" xr:uid="{00000000-0005-0000-0000-000099000000}"/>
    <cellStyle name="Currency 8" xfId="155" xr:uid="{00000000-0005-0000-0000-00009A000000}"/>
    <cellStyle name="Currency 8 2" xfId="156" xr:uid="{00000000-0005-0000-0000-00009B000000}"/>
    <cellStyle name="Currency 9" xfId="157" xr:uid="{00000000-0005-0000-0000-00009C000000}"/>
    <cellStyle name="Currency0" xfId="158" xr:uid="{00000000-0005-0000-0000-00009D000000}"/>
    <cellStyle name="Date" xfId="159" xr:uid="{00000000-0005-0000-0000-00009E000000}"/>
    <cellStyle name="Explanatory Text" xfId="160" builtinId="53" customBuiltin="1"/>
    <cellStyle name="Explanatory Text 2" xfId="161" xr:uid="{00000000-0005-0000-0000-0000A0000000}"/>
    <cellStyle name="Fixed" xfId="162" xr:uid="{00000000-0005-0000-0000-0000A1000000}"/>
    <cellStyle name="Good" xfId="163" builtinId="26" customBuiltin="1"/>
    <cellStyle name="Good 2" xfId="164" xr:uid="{00000000-0005-0000-0000-0000A3000000}"/>
    <cellStyle name="Heading 1" xfId="165" builtinId="16" customBuiltin="1"/>
    <cellStyle name="Heading 1 2" xfId="166" xr:uid="{00000000-0005-0000-0000-0000A5000000}"/>
    <cellStyle name="Heading 2" xfId="167" builtinId="17" customBuiltin="1"/>
    <cellStyle name="Heading 2 2" xfId="168" xr:uid="{00000000-0005-0000-0000-0000A7000000}"/>
    <cellStyle name="Heading 3" xfId="169" builtinId="18" customBuiltin="1"/>
    <cellStyle name="Heading 3 2" xfId="170" xr:uid="{00000000-0005-0000-0000-0000A9000000}"/>
    <cellStyle name="Heading 4" xfId="171" builtinId="19" customBuiltin="1"/>
    <cellStyle name="Heading 4 2" xfId="172" xr:uid="{00000000-0005-0000-0000-0000AB000000}"/>
    <cellStyle name="Heading1" xfId="173" xr:uid="{00000000-0005-0000-0000-0000AC000000}"/>
    <cellStyle name="Heading2" xfId="174" xr:uid="{00000000-0005-0000-0000-0000AD000000}"/>
    <cellStyle name="Input" xfId="175" builtinId="20" customBuiltin="1"/>
    <cellStyle name="Input 2" xfId="176" xr:uid="{00000000-0005-0000-0000-0000AF000000}"/>
    <cellStyle name="Linked Cell" xfId="177" builtinId="24" customBuiltin="1"/>
    <cellStyle name="Linked Cell 2" xfId="178" xr:uid="{00000000-0005-0000-0000-0000B1000000}"/>
    <cellStyle name="Neutral" xfId="179" builtinId="28" customBuiltin="1"/>
    <cellStyle name="Neutral 2" xfId="180" xr:uid="{00000000-0005-0000-0000-0000B3000000}"/>
    <cellStyle name="Normal" xfId="0" builtinId="0"/>
    <cellStyle name="Normal 10" xfId="181" xr:uid="{00000000-0005-0000-0000-0000B5000000}"/>
    <cellStyle name="Normal 10 2" xfId="182" xr:uid="{00000000-0005-0000-0000-0000B6000000}"/>
    <cellStyle name="Normal 10 3" xfId="183" xr:uid="{00000000-0005-0000-0000-0000B7000000}"/>
    <cellStyle name="Normal 11" xfId="184" xr:uid="{00000000-0005-0000-0000-0000B8000000}"/>
    <cellStyle name="Normal 11 2" xfId="185" xr:uid="{00000000-0005-0000-0000-0000B9000000}"/>
    <cellStyle name="Normal 11 2 2" xfId="186" xr:uid="{00000000-0005-0000-0000-0000BA000000}"/>
    <cellStyle name="Normal 11 3" xfId="187" xr:uid="{00000000-0005-0000-0000-0000BB000000}"/>
    <cellStyle name="Normal 12" xfId="188" xr:uid="{00000000-0005-0000-0000-0000BC000000}"/>
    <cellStyle name="Normal 12 2" xfId="189" xr:uid="{00000000-0005-0000-0000-0000BD000000}"/>
    <cellStyle name="Normal 12 4" xfId="190" xr:uid="{00000000-0005-0000-0000-0000BE000000}"/>
    <cellStyle name="Normal 13" xfId="191" xr:uid="{00000000-0005-0000-0000-0000BF000000}"/>
    <cellStyle name="Normal 13 2" xfId="192" xr:uid="{00000000-0005-0000-0000-0000C0000000}"/>
    <cellStyle name="Normal 14" xfId="193" xr:uid="{00000000-0005-0000-0000-0000C1000000}"/>
    <cellStyle name="Normal 14 2" xfId="194" xr:uid="{00000000-0005-0000-0000-0000C2000000}"/>
    <cellStyle name="Normal 15" xfId="195" xr:uid="{00000000-0005-0000-0000-0000C3000000}"/>
    <cellStyle name="Normal 16" xfId="196" xr:uid="{00000000-0005-0000-0000-0000C4000000}"/>
    <cellStyle name="Normal 16 2" xfId="197" xr:uid="{00000000-0005-0000-0000-0000C5000000}"/>
    <cellStyle name="Normal 17" xfId="198" xr:uid="{00000000-0005-0000-0000-0000C6000000}"/>
    <cellStyle name="Normal 17 2" xfId="199" xr:uid="{00000000-0005-0000-0000-0000C7000000}"/>
    <cellStyle name="Normal 18" xfId="200" xr:uid="{00000000-0005-0000-0000-0000C8000000}"/>
    <cellStyle name="Normal 18 2" xfId="201" xr:uid="{00000000-0005-0000-0000-0000C9000000}"/>
    <cellStyle name="Normal 19" xfId="202" xr:uid="{00000000-0005-0000-0000-0000CA000000}"/>
    <cellStyle name="Normal 19 2" xfId="203" xr:uid="{00000000-0005-0000-0000-0000CB000000}"/>
    <cellStyle name="Normal 2" xfId="204" xr:uid="{00000000-0005-0000-0000-0000CC000000}"/>
    <cellStyle name="Normal 2 2" xfId="205" xr:uid="{00000000-0005-0000-0000-0000CD000000}"/>
    <cellStyle name="Normal 2 2 2" xfId="206" xr:uid="{00000000-0005-0000-0000-0000CE000000}"/>
    <cellStyle name="Normal 2 2 3" xfId="207" xr:uid="{00000000-0005-0000-0000-0000CF000000}"/>
    <cellStyle name="Normal 2 2 4" xfId="208" xr:uid="{00000000-0005-0000-0000-0000D0000000}"/>
    <cellStyle name="Normal 2 3" xfId="209" xr:uid="{00000000-0005-0000-0000-0000D1000000}"/>
    <cellStyle name="Normal 2 5" xfId="210" xr:uid="{00000000-0005-0000-0000-0000D2000000}"/>
    <cellStyle name="Normal 2 5 2" xfId="211" xr:uid="{00000000-0005-0000-0000-0000D3000000}"/>
    <cellStyle name="Normal 20" xfId="212" xr:uid="{00000000-0005-0000-0000-0000D4000000}"/>
    <cellStyle name="Normal 20 2" xfId="213" xr:uid="{00000000-0005-0000-0000-0000D5000000}"/>
    <cellStyle name="Normal 21" xfId="214" xr:uid="{00000000-0005-0000-0000-0000D6000000}"/>
    <cellStyle name="Normal 21 2" xfId="215" xr:uid="{00000000-0005-0000-0000-0000D7000000}"/>
    <cellStyle name="Normal 22" xfId="216" xr:uid="{00000000-0005-0000-0000-0000D8000000}"/>
    <cellStyle name="Normal 22 2" xfId="217" xr:uid="{00000000-0005-0000-0000-0000D9000000}"/>
    <cellStyle name="Normal 23" xfId="218" xr:uid="{00000000-0005-0000-0000-0000DA000000}"/>
    <cellStyle name="Normal 23 2" xfId="219" xr:uid="{00000000-0005-0000-0000-0000DB000000}"/>
    <cellStyle name="Normal 24" xfId="220" xr:uid="{00000000-0005-0000-0000-0000DC000000}"/>
    <cellStyle name="Normal 24 2" xfId="221" xr:uid="{00000000-0005-0000-0000-0000DD000000}"/>
    <cellStyle name="Normal 25" xfId="222" xr:uid="{00000000-0005-0000-0000-0000DE000000}"/>
    <cellStyle name="Normal 25 2" xfId="223" xr:uid="{00000000-0005-0000-0000-0000DF000000}"/>
    <cellStyle name="Normal 26" xfId="224" xr:uid="{00000000-0005-0000-0000-0000E0000000}"/>
    <cellStyle name="Normal 26 2" xfId="225" xr:uid="{00000000-0005-0000-0000-0000E1000000}"/>
    <cellStyle name="Normal 27" xfId="226" xr:uid="{00000000-0005-0000-0000-0000E2000000}"/>
    <cellStyle name="Normal 28" xfId="227" xr:uid="{00000000-0005-0000-0000-0000E3000000}"/>
    <cellStyle name="Normal 28 2" xfId="228" xr:uid="{00000000-0005-0000-0000-0000E4000000}"/>
    <cellStyle name="Normal 29" xfId="229" xr:uid="{00000000-0005-0000-0000-0000E5000000}"/>
    <cellStyle name="Normal 29 2" xfId="230" xr:uid="{00000000-0005-0000-0000-0000E6000000}"/>
    <cellStyle name="Normal 3" xfId="231" xr:uid="{00000000-0005-0000-0000-0000E7000000}"/>
    <cellStyle name="Normal 3 2" xfId="232" xr:uid="{00000000-0005-0000-0000-0000E8000000}"/>
    <cellStyle name="Normal 3 3" xfId="233" xr:uid="{00000000-0005-0000-0000-0000E9000000}"/>
    <cellStyle name="Normal 3_Attach O, GG, Support -New Method 2-14-11" xfId="234" xr:uid="{00000000-0005-0000-0000-0000EA000000}"/>
    <cellStyle name="Normal 31" xfId="235" xr:uid="{00000000-0005-0000-0000-0000EB000000}"/>
    <cellStyle name="Normal 4" xfId="236" xr:uid="{00000000-0005-0000-0000-0000EC000000}"/>
    <cellStyle name="Normal 4 10" xfId="237" xr:uid="{00000000-0005-0000-0000-0000ED000000}"/>
    <cellStyle name="Normal 4 11" xfId="238" xr:uid="{00000000-0005-0000-0000-0000EE000000}"/>
    <cellStyle name="Normal 4 2" xfId="239" xr:uid="{00000000-0005-0000-0000-0000EF000000}"/>
    <cellStyle name="Normal 4 3" xfId="240" xr:uid="{00000000-0005-0000-0000-0000F0000000}"/>
    <cellStyle name="Normal 4 3 2" xfId="241" xr:uid="{00000000-0005-0000-0000-0000F1000000}"/>
    <cellStyle name="Normal 4 3 3" xfId="242" xr:uid="{00000000-0005-0000-0000-0000F2000000}"/>
    <cellStyle name="Normal 4 4" xfId="243" xr:uid="{00000000-0005-0000-0000-0000F3000000}"/>
    <cellStyle name="Normal 4 4 2" xfId="244" xr:uid="{00000000-0005-0000-0000-0000F4000000}"/>
    <cellStyle name="Normal 4 4 3" xfId="245" xr:uid="{00000000-0005-0000-0000-0000F5000000}"/>
    <cellStyle name="Normal 4 5" xfId="246" xr:uid="{00000000-0005-0000-0000-0000F6000000}"/>
    <cellStyle name="Normal 4 6" xfId="247" xr:uid="{00000000-0005-0000-0000-0000F7000000}"/>
    <cellStyle name="Normal 4 6 2" xfId="248" xr:uid="{00000000-0005-0000-0000-0000F8000000}"/>
    <cellStyle name="Normal 4 7" xfId="249" xr:uid="{00000000-0005-0000-0000-0000F9000000}"/>
    <cellStyle name="Normal 4 7 2" xfId="250" xr:uid="{00000000-0005-0000-0000-0000FA000000}"/>
    <cellStyle name="Normal 4 8" xfId="251" xr:uid="{00000000-0005-0000-0000-0000FB000000}"/>
    <cellStyle name="Normal 4 8 2" xfId="252" xr:uid="{00000000-0005-0000-0000-0000FC000000}"/>
    <cellStyle name="Normal 4 9" xfId="253" xr:uid="{00000000-0005-0000-0000-0000FD000000}"/>
    <cellStyle name="Normal 4 9 2" xfId="254" xr:uid="{00000000-0005-0000-0000-0000FE000000}"/>
    <cellStyle name="Normal 4_PBOP Exhibit 1" xfId="255" xr:uid="{00000000-0005-0000-0000-0000FF000000}"/>
    <cellStyle name="Normal 5" xfId="256" xr:uid="{00000000-0005-0000-0000-000000010000}"/>
    <cellStyle name="Normal 5 2" xfId="257" xr:uid="{00000000-0005-0000-0000-000001010000}"/>
    <cellStyle name="Normal 5 2 2" xfId="258" xr:uid="{00000000-0005-0000-0000-000002010000}"/>
    <cellStyle name="Normal 5 3" xfId="259" xr:uid="{00000000-0005-0000-0000-000003010000}"/>
    <cellStyle name="Normal 5 4" xfId="260" xr:uid="{00000000-0005-0000-0000-000004010000}"/>
    <cellStyle name="Normal 6" xfId="261" xr:uid="{00000000-0005-0000-0000-000005010000}"/>
    <cellStyle name="Normal 6 2" xfId="262" xr:uid="{00000000-0005-0000-0000-000006010000}"/>
    <cellStyle name="Normal 6 2 2" xfId="263" xr:uid="{00000000-0005-0000-0000-000007010000}"/>
    <cellStyle name="Normal 6 2 3" xfId="264" xr:uid="{00000000-0005-0000-0000-000008010000}"/>
    <cellStyle name="Normal 6 3" xfId="265" xr:uid="{00000000-0005-0000-0000-000009010000}"/>
    <cellStyle name="Normal 6 3 2" xfId="266" xr:uid="{00000000-0005-0000-0000-00000A010000}"/>
    <cellStyle name="Normal 6 4" xfId="267" xr:uid="{00000000-0005-0000-0000-00000B010000}"/>
    <cellStyle name="Normal 6 4 2" xfId="268" xr:uid="{00000000-0005-0000-0000-00000C010000}"/>
    <cellStyle name="Normal 7" xfId="269" xr:uid="{00000000-0005-0000-0000-00000D010000}"/>
    <cellStyle name="Normal 7 2" xfId="270" xr:uid="{00000000-0005-0000-0000-00000E010000}"/>
    <cellStyle name="Normal 8" xfId="271" xr:uid="{00000000-0005-0000-0000-00000F010000}"/>
    <cellStyle name="Normal 8 2" xfId="272" xr:uid="{00000000-0005-0000-0000-000010010000}"/>
    <cellStyle name="Normal 9" xfId="273" xr:uid="{00000000-0005-0000-0000-000011010000}"/>
    <cellStyle name="Normal 9 2" xfId="274" xr:uid="{00000000-0005-0000-0000-000012010000}"/>
    <cellStyle name="Normal_21 Exh B" xfId="275" xr:uid="{00000000-0005-0000-0000-000013010000}"/>
    <cellStyle name="Normal_ADITAnalysisID090805" xfId="276" xr:uid="{00000000-0005-0000-0000-000014010000}"/>
    <cellStyle name="Normal_ADITAnalysisID090805 2" xfId="277" xr:uid="{00000000-0005-0000-0000-000015010000}"/>
    <cellStyle name="Normal_ADITAnalysisID090805 2 2" xfId="278" xr:uid="{00000000-0005-0000-0000-000016010000}"/>
    <cellStyle name="Normal_ADITAnalysisID090805 2 2 2" xfId="279" xr:uid="{00000000-0005-0000-0000-000017010000}"/>
    <cellStyle name="Normal_ADITAnalysisID090805 3" xfId="280" xr:uid="{00000000-0005-0000-0000-000018010000}"/>
    <cellStyle name="Normal_ADITAnalysisID090805 4 2" xfId="281" xr:uid="{00000000-0005-0000-0000-000019010000}"/>
    <cellStyle name="Normal_ATC Projected 2008 Monthly Plant Balances for Attachment O 2 (2)" xfId="282" xr:uid="{00000000-0005-0000-0000-00001A010000}"/>
    <cellStyle name="Normal_AU Period 2 Rev 4-27-00" xfId="283" xr:uid="{00000000-0005-0000-0000-00001B010000}"/>
    <cellStyle name="Normal_AU Period 2 Rev 4-27-00 2" xfId="284" xr:uid="{00000000-0005-0000-0000-00001C010000}"/>
    <cellStyle name="Normal_DeprRateAuth East Dave Davis 2" xfId="285" xr:uid="{00000000-0005-0000-0000-00001D010000}"/>
    <cellStyle name="Normal_FN1 Ratebase Draft SPP template (6-11-04) v2" xfId="286" xr:uid="{00000000-0005-0000-0000-00001E010000}"/>
    <cellStyle name="Normal_I&amp;M-AK-1" xfId="287" xr:uid="{00000000-0005-0000-0000-00001F010000}"/>
    <cellStyle name="Normal_Revised 1-21-10  Deprec Summary" xfId="288" xr:uid="{00000000-0005-0000-0000-000020010000}"/>
    <cellStyle name="Normal_Schedule O Info for Mike" xfId="289" xr:uid="{00000000-0005-0000-0000-000021010000}"/>
    <cellStyle name="Normal_spp calc - revsd rev crd" xfId="290" xr:uid="{00000000-0005-0000-0000-000022010000}"/>
    <cellStyle name="Note" xfId="291" builtinId="10" customBuiltin="1"/>
    <cellStyle name="Note 2" xfId="292" xr:uid="{00000000-0005-0000-0000-000024010000}"/>
    <cellStyle name="Output" xfId="293" builtinId="21" customBuiltin="1"/>
    <cellStyle name="Output 2" xfId="294" xr:uid="{00000000-0005-0000-0000-000026010000}"/>
    <cellStyle name="Percent" xfId="295" builtinId="5"/>
    <cellStyle name="Percent 10" xfId="296" xr:uid="{00000000-0005-0000-0000-000028010000}"/>
    <cellStyle name="Percent 11" xfId="297" xr:uid="{00000000-0005-0000-0000-000029010000}"/>
    <cellStyle name="Percent 2" xfId="298" xr:uid="{00000000-0005-0000-0000-00002A010000}"/>
    <cellStyle name="Percent 2 2" xfId="299" xr:uid="{00000000-0005-0000-0000-00002B010000}"/>
    <cellStyle name="Percent 2 2 2" xfId="300" xr:uid="{00000000-0005-0000-0000-00002C010000}"/>
    <cellStyle name="Percent 3" xfId="301" xr:uid="{00000000-0005-0000-0000-00002D010000}"/>
    <cellStyle name="Percent 3 10" xfId="302" xr:uid="{00000000-0005-0000-0000-00002E010000}"/>
    <cellStyle name="Percent 3 2" xfId="303" xr:uid="{00000000-0005-0000-0000-00002F010000}"/>
    <cellStyle name="Percent 3 3" xfId="304" xr:uid="{00000000-0005-0000-0000-000030010000}"/>
    <cellStyle name="Percent 3 3 2" xfId="305" xr:uid="{00000000-0005-0000-0000-000031010000}"/>
    <cellStyle name="Percent 3 3 3" xfId="306" xr:uid="{00000000-0005-0000-0000-000032010000}"/>
    <cellStyle name="Percent 3 4" xfId="307" xr:uid="{00000000-0005-0000-0000-000033010000}"/>
    <cellStyle name="Percent 3 4 2" xfId="308" xr:uid="{00000000-0005-0000-0000-000034010000}"/>
    <cellStyle name="Percent 3 4 3" xfId="309" xr:uid="{00000000-0005-0000-0000-000035010000}"/>
    <cellStyle name="Percent 3 5" xfId="310" xr:uid="{00000000-0005-0000-0000-000036010000}"/>
    <cellStyle name="Percent 3 6" xfId="311" xr:uid="{00000000-0005-0000-0000-000037010000}"/>
    <cellStyle name="Percent 3 6 2" xfId="312" xr:uid="{00000000-0005-0000-0000-000038010000}"/>
    <cellStyle name="Percent 3 7" xfId="313" xr:uid="{00000000-0005-0000-0000-000039010000}"/>
    <cellStyle name="Percent 3 7 2" xfId="314" xr:uid="{00000000-0005-0000-0000-00003A010000}"/>
    <cellStyle name="Percent 3 8" xfId="315" xr:uid="{00000000-0005-0000-0000-00003B010000}"/>
    <cellStyle name="Percent 3 8 2" xfId="316" xr:uid="{00000000-0005-0000-0000-00003C010000}"/>
    <cellStyle name="Percent 3 9" xfId="317" xr:uid="{00000000-0005-0000-0000-00003D010000}"/>
    <cellStyle name="Percent 4" xfId="318" xr:uid="{00000000-0005-0000-0000-00003E010000}"/>
    <cellStyle name="Percent 4 2" xfId="319" xr:uid="{00000000-0005-0000-0000-00003F010000}"/>
    <cellStyle name="Percent 4 3" xfId="320" xr:uid="{00000000-0005-0000-0000-000040010000}"/>
    <cellStyle name="Percent 5" xfId="321" xr:uid="{00000000-0005-0000-0000-000041010000}"/>
    <cellStyle name="Percent 5 2" xfId="322" xr:uid="{00000000-0005-0000-0000-000042010000}"/>
    <cellStyle name="Percent 6" xfId="323" xr:uid="{00000000-0005-0000-0000-000043010000}"/>
    <cellStyle name="Percent 7" xfId="324" xr:uid="{00000000-0005-0000-0000-000044010000}"/>
    <cellStyle name="Percent 7 2" xfId="325" xr:uid="{00000000-0005-0000-0000-000045010000}"/>
    <cellStyle name="Percent 7 3" xfId="326" xr:uid="{00000000-0005-0000-0000-000046010000}"/>
    <cellStyle name="Percent 8" xfId="327" xr:uid="{00000000-0005-0000-0000-000047010000}"/>
    <cellStyle name="Percent 8 2" xfId="328" xr:uid="{00000000-0005-0000-0000-000048010000}"/>
    <cellStyle name="Percent 9" xfId="329" xr:uid="{00000000-0005-0000-0000-000049010000}"/>
    <cellStyle name="Percent 9 2" xfId="330" xr:uid="{00000000-0005-0000-0000-00004A010000}"/>
    <cellStyle name="PSChar" xfId="331" xr:uid="{00000000-0005-0000-0000-00004B010000}"/>
    <cellStyle name="PSDate" xfId="332" xr:uid="{00000000-0005-0000-0000-00004C010000}"/>
    <cellStyle name="PSDec" xfId="333" xr:uid="{00000000-0005-0000-0000-00004D010000}"/>
    <cellStyle name="PSdesc" xfId="334" xr:uid="{00000000-0005-0000-0000-00004E010000}"/>
    <cellStyle name="PSHeading" xfId="335" xr:uid="{00000000-0005-0000-0000-00004F010000}"/>
    <cellStyle name="PSInt" xfId="336" xr:uid="{00000000-0005-0000-0000-000050010000}"/>
    <cellStyle name="PSSpacer" xfId="337" xr:uid="{00000000-0005-0000-0000-000051010000}"/>
    <cellStyle name="PStest" xfId="338" xr:uid="{00000000-0005-0000-0000-000052010000}"/>
    <cellStyle name="R00A" xfId="339" xr:uid="{00000000-0005-0000-0000-000053010000}"/>
    <cellStyle name="R00B" xfId="340" xr:uid="{00000000-0005-0000-0000-000054010000}"/>
    <cellStyle name="R00L" xfId="341" xr:uid="{00000000-0005-0000-0000-000055010000}"/>
    <cellStyle name="R01A" xfId="342" xr:uid="{00000000-0005-0000-0000-000056010000}"/>
    <cellStyle name="R01B" xfId="343" xr:uid="{00000000-0005-0000-0000-000057010000}"/>
    <cellStyle name="R01H" xfId="344" xr:uid="{00000000-0005-0000-0000-000058010000}"/>
    <cellStyle name="R01L" xfId="345" xr:uid="{00000000-0005-0000-0000-000059010000}"/>
    <cellStyle name="R02A" xfId="346" xr:uid="{00000000-0005-0000-0000-00005A010000}"/>
    <cellStyle name="R02B" xfId="347" xr:uid="{00000000-0005-0000-0000-00005B010000}"/>
    <cellStyle name="R02H" xfId="348" xr:uid="{00000000-0005-0000-0000-00005C010000}"/>
    <cellStyle name="R02L" xfId="349" xr:uid="{00000000-0005-0000-0000-00005D010000}"/>
    <cellStyle name="R03A" xfId="350" xr:uid="{00000000-0005-0000-0000-00005E010000}"/>
    <cellStyle name="R03B" xfId="351" xr:uid="{00000000-0005-0000-0000-00005F010000}"/>
    <cellStyle name="R03H" xfId="352" xr:uid="{00000000-0005-0000-0000-000060010000}"/>
    <cellStyle name="R03L" xfId="353" xr:uid="{00000000-0005-0000-0000-000061010000}"/>
    <cellStyle name="R04A" xfId="354" xr:uid="{00000000-0005-0000-0000-000062010000}"/>
    <cellStyle name="R04B" xfId="355" xr:uid="{00000000-0005-0000-0000-000063010000}"/>
    <cellStyle name="R04H" xfId="356" xr:uid="{00000000-0005-0000-0000-000064010000}"/>
    <cellStyle name="R04L" xfId="357" xr:uid="{00000000-0005-0000-0000-000065010000}"/>
    <cellStyle name="R05A" xfId="358" xr:uid="{00000000-0005-0000-0000-000066010000}"/>
    <cellStyle name="R05B" xfId="359" xr:uid="{00000000-0005-0000-0000-000067010000}"/>
    <cellStyle name="R05H" xfId="360" xr:uid="{00000000-0005-0000-0000-000068010000}"/>
    <cellStyle name="R05L" xfId="361" xr:uid="{00000000-0005-0000-0000-000069010000}"/>
    <cellStyle name="R06A" xfId="362" xr:uid="{00000000-0005-0000-0000-00006A010000}"/>
    <cellStyle name="R06B" xfId="363" xr:uid="{00000000-0005-0000-0000-00006B010000}"/>
    <cellStyle name="R06H" xfId="364" xr:uid="{00000000-0005-0000-0000-00006C010000}"/>
    <cellStyle name="R06L" xfId="365" xr:uid="{00000000-0005-0000-0000-00006D010000}"/>
    <cellStyle name="R07A" xfId="366" xr:uid="{00000000-0005-0000-0000-00006E010000}"/>
    <cellStyle name="R07B" xfId="367" xr:uid="{00000000-0005-0000-0000-00006F010000}"/>
    <cellStyle name="R07H" xfId="368" xr:uid="{00000000-0005-0000-0000-000070010000}"/>
    <cellStyle name="R07L" xfId="369" xr:uid="{00000000-0005-0000-0000-000071010000}"/>
    <cellStyle name="Title" xfId="370" builtinId="15" customBuiltin="1"/>
    <cellStyle name="Title 2" xfId="371" xr:uid="{00000000-0005-0000-0000-000073010000}"/>
    <cellStyle name="Total" xfId="372" builtinId="25" customBuiltin="1"/>
    <cellStyle name="Total 2" xfId="373" xr:uid="{00000000-0005-0000-0000-000075010000}"/>
    <cellStyle name="Warning Text" xfId="374" builtinId="11" customBuiltin="1"/>
    <cellStyle name="Warning Text 2" xfId="375" xr:uid="{00000000-0005-0000-0000-00007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29"/>
  <sheetViews>
    <sheetView tabSelected="1" view="pageBreakPreview" zoomScale="75" zoomScaleNormal="85" zoomScaleSheetLayoutView="75" zoomScalePageLayoutView="50" workbookViewId="0">
      <selection activeCell="D10" sqref="D10"/>
    </sheetView>
  </sheetViews>
  <sheetFormatPr defaultColWidth="11.42578125" defaultRowHeight="15"/>
  <cols>
    <col min="1" max="1" width="4.7109375" style="305" customWidth="1"/>
    <col min="2" max="2" width="7.85546875" style="304" customWidth="1"/>
    <col min="3" max="3" width="1.85546875" style="305" customWidth="1"/>
    <col min="4" max="4" width="70.140625" style="305" customWidth="1"/>
    <col min="5" max="5" width="25.7109375" style="305" customWidth="1"/>
    <col min="6" max="6" width="22.28515625" style="305" customWidth="1"/>
    <col min="7" max="7" width="20.7109375" style="305" customWidth="1"/>
    <col min="8" max="8" width="16.140625" style="305" customWidth="1"/>
    <col min="9" max="9" width="11.28515625" style="305" customWidth="1"/>
    <col min="10" max="10" width="21.5703125" style="305" bestFit="1" customWidth="1"/>
    <col min="11" max="11" width="4.7109375" style="305" customWidth="1"/>
    <col min="12" max="12" width="23" style="305" customWidth="1"/>
    <col min="13" max="13" width="5" style="305" customWidth="1"/>
    <col min="14" max="14" width="31.140625" style="305" customWidth="1"/>
    <col min="15" max="15" width="8.140625" style="305" customWidth="1"/>
    <col min="16" max="16" width="21.85546875" style="305" customWidth="1"/>
    <col min="17" max="17" width="11.42578125" style="305" customWidth="1"/>
    <col min="18" max="18" width="20.5703125" style="305" bestFit="1" customWidth="1"/>
    <col min="19" max="16384" width="11.42578125" style="305"/>
  </cols>
  <sheetData>
    <row r="1" spans="1:15" ht="15.75">
      <c r="A1" s="874" t="s">
        <v>114</v>
      </c>
    </row>
    <row r="2" spans="1:15" ht="15.75">
      <c r="A2" s="874" t="s">
        <v>114</v>
      </c>
    </row>
    <row r="3" spans="1:15" ht="15.75">
      <c r="D3" s="306"/>
      <c r="E3" s="307"/>
      <c r="F3" s="307"/>
      <c r="G3" s="308"/>
      <c r="I3" s="309"/>
      <c r="J3" s="309"/>
      <c r="K3" s="309"/>
      <c r="L3" s="310"/>
    </row>
    <row r="4" spans="1:15">
      <c r="J4" s="305" t="s">
        <v>823</v>
      </c>
      <c r="L4" s="822">
        <v>2023</v>
      </c>
    </row>
    <row r="5" spans="1:15">
      <c r="D5" s="311"/>
      <c r="E5" s="311"/>
      <c r="F5" s="312" t="s">
        <v>385</v>
      </c>
      <c r="G5" s="313"/>
      <c r="H5" s="313"/>
      <c r="J5" s="311"/>
      <c r="K5" s="314"/>
      <c r="L5" s="314"/>
      <c r="M5" s="315"/>
      <c r="O5" s="316"/>
    </row>
    <row r="6" spans="1:15">
      <c r="D6" s="311"/>
      <c r="E6" s="317"/>
      <c r="F6" s="312" t="s">
        <v>386</v>
      </c>
      <c r="G6" s="313"/>
      <c r="H6" s="313"/>
      <c r="J6" s="317"/>
      <c r="K6" s="314"/>
      <c r="L6" s="314"/>
      <c r="M6" s="315"/>
    </row>
    <row r="7" spans="1:15">
      <c r="D7" s="314"/>
      <c r="E7" s="314"/>
      <c r="F7" s="318" t="str">
        <f>"Utilizing  Actual/Projected FERC Form 1 Data"</f>
        <v>Utilizing  Actual/Projected FERC Form 1 Data</v>
      </c>
      <c r="G7" s="313"/>
      <c r="H7" s="313"/>
      <c r="J7" s="314"/>
      <c r="K7" s="314"/>
      <c r="L7" s="314"/>
      <c r="M7" s="315"/>
    </row>
    <row r="8" spans="1:15">
      <c r="B8" s="319"/>
      <c r="C8" s="320"/>
      <c r="D8" s="314"/>
      <c r="H8" s="321"/>
      <c r="I8" s="321"/>
      <c r="J8" s="321"/>
      <c r="K8" s="321"/>
      <c r="L8" s="314"/>
      <c r="M8" s="314"/>
    </row>
    <row r="9" spans="1:15" ht="15.75">
      <c r="B9" s="319"/>
      <c r="C9" s="320"/>
      <c r="D9" s="322"/>
      <c r="E9" s="314"/>
      <c r="F9" s="323" t="s">
        <v>807</v>
      </c>
      <c r="G9" s="324"/>
      <c r="H9" s="314"/>
      <c r="I9" s="314"/>
      <c r="J9" s="314"/>
      <c r="K9" s="314"/>
      <c r="L9" s="322"/>
      <c r="M9" s="314"/>
    </row>
    <row r="10" spans="1:15">
      <c r="B10" s="319"/>
      <c r="C10" s="320"/>
      <c r="D10" s="314"/>
      <c r="E10" s="314"/>
      <c r="F10" s="325"/>
      <c r="G10" s="324"/>
      <c r="H10" s="314"/>
      <c r="I10" s="314"/>
      <c r="J10" s="314"/>
      <c r="K10" s="314"/>
      <c r="L10" s="322"/>
      <c r="M10" s="314"/>
    </row>
    <row r="11" spans="1:15">
      <c r="B11" s="319" t="s">
        <v>169</v>
      </c>
      <c r="C11" s="320"/>
      <c r="D11" s="314"/>
      <c r="E11" s="314"/>
      <c r="F11" s="314"/>
      <c r="G11" s="324"/>
      <c r="H11" s="314"/>
      <c r="I11" s="314"/>
      <c r="J11" s="314"/>
      <c r="K11" s="314"/>
      <c r="L11" s="320" t="s">
        <v>115</v>
      </c>
      <c r="M11" s="314"/>
    </row>
    <row r="12" spans="1:15" ht="15.75" thickBot="1">
      <c r="B12" s="326" t="s">
        <v>117</v>
      </c>
      <c r="C12" s="327"/>
      <c r="D12" s="314"/>
      <c r="E12" s="327"/>
      <c r="F12" s="314"/>
      <c r="G12" s="314"/>
      <c r="H12" s="314"/>
      <c r="I12" s="314"/>
      <c r="J12" s="314"/>
      <c r="K12" s="314"/>
      <c r="L12" s="328" t="s">
        <v>170</v>
      </c>
      <c r="M12" s="314"/>
    </row>
    <row r="13" spans="1:15">
      <c r="B13" s="319">
        <f>1</f>
        <v>1</v>
      </c>
      <c r="C13" s="320"/>
      <c r="D13" s="329" t="s">
        <v>111</v>
      </c>
      <c r="E13" s="330" t="str">
        <f>"(ln "&amp;B213&amp;")"</f>
        <v>(ln 130)</v>
      </c>
      <c r="F13" s="330"/>
      <c r="G13" s="331"/>
      <c r="H13" s="332"/>
      <c r="I13" s="314"/>
      <c r="J13" s="314"/>
      <c r="K13" s="314"/>
      <c r="L13" s="333">
        <f>+L213</f>
        <v>15127208.820315024</v>
      </c>
      <c r="M13" s="314"/>
    </row>
    <row r="14" spans="1:15" ht="15.75" thickBot="1">
      <c r="B14" s="319"/>
      <c r="C14" s="320"/>
      <c r="E14" s="334"/>
      <c r="F14" s="335"/>
      <c r="G14" s="328" t="s">
        <v>118</v>
      </c>
      <c r="H14" s="317"/>
      <c r="I14" s="336" t="s">
        <v>119</v>
      </c>
      <c r="J14" s="336"/>
      <c r="K14" s="314"/>
      <c r="L14" s="331"/>
      <c r="M14" s="314"/>
    </row>
    <row r="15" spans="1:15">
      <c r="B15" s="319">
        <f>+B13+1</f>
        <v>2</v>
      </c>
      <c r="C15" s="320"/>
      <c r="D15" s="337" t="s">
        <v>168</v>
      </c>
      <c r="E15" s="334" t="s">
        <v>615</v>
      </c>
      <c r="F15" s="335"/>
      <c r="G15" s="338">
        <f>+'WS E Rev Credits'!K31</f>
        <v>3534000</v>
      </c>
      <c r="H15" s="335"/>
      <c r="I15" s="339" t="s">
        <v>129</v>
      </c>
      <c r="J15" s="340">
        <v>1</v>
      </c>
      <c r="K15" s="317"/>
      <c r="L15" s="341">
        <f>+J15*G15</f>
        <v>3534000</v>
      </c>
      <c r="M15" s="314"/>
    </row>
    <row r="16" spans="1:15">
      <c r="B16" s="319"/>
      <c r="C16" s="320"/>
      <c r="D16" s="337"/>
      <c r="F16" s="317"/>
      <c r="L16" s="342"/>
      <c r="M16" s="314"/>
    </row>
    <row r="17" spans="2:13">
      <c r="B17" s="319"/>
      <c r="C17" s="320"/>
      <c r="D17" s="337"/>
      <c r="F17" s="317"/>
      <c r="L17" s="343"/>
      <c r="M17" s="314"/>
    </row>
    <row r="18" spans="2:13">
      <c r="B18" s="319">
        <f>+B15+1</f>
        <v>3</v>
      </c>
      <c r="C18" s="320"/>
      <c r="D18" s="337" t="s">
        <v>534</v>
      </c>
      <c r="E18" s="305" t="s">
        <v>616</v>
      </c>
      <c r="F18" s="317"/>
      <c r="L18" s="341">
        <f>'WS E Rev Credits'!K39</f>
        <v>0</v>
      </c>
      <c r="M18" s="314"/>
    </row>
    <row r="19" spans="2:13">
      <c r="B19" s="319"/>
      <c r="C19" s="320"/>
      <c r="D19" s="337"/>
      <c r="F19" s="317"/>
      <c r="L19" s="343"/>
      <c r="M19" s="314"/>
    </row>
    <row r="20" spans="2:13" ht="15.75" thickBot="1">
      <c r="B20" s="344">
        <f>+B18+1</f>
        <v>4</v>
      </c>
      <c r="C20" s="345"/>
      <c r="D20" s="346" t="s">
        <v>464</v>
      </c>
      <c r="E20" s="347" t="str">
        <f>"(ln "&amp;B13&amp;" less  ln " &amp;B15&amp;" plus ln "&amp;B18&amp;")"</f>
        <v>(ln 1 less  ln 2 plus ln 3)</v>
      </c>
      <c r="F20" s="314"/>
      <c r="H20" s="317"/>
      <c r="I20" s="348"/>
      <c r="J20" s="317"/>
      <c r="K20" s="317"/>
      <c r="L20" s="349">
        <f>+L13-L15+L18</f>
        <v>11593208.820315024</v>
      </c>
      <c r="M20" s="314"/>
    </row>
    <row r="21" spans="2:13" ht="15.75" thickTop="1">
      <c r="B21" s="344"/>
      <c r="C21" s="345"/>
      <c r="D21" s="346"/>
      <c r="E21" s="347"/>
      <c r="F21" s="314"/>
      <c r="H21" s="317"/>
      <c r="I21" s="348"/>
      <c r="J21" s="317"/>
      <c r="K21" s="317"/>
      <c r="L21" s="341"/>
      <c r="M21" s="314"/>
    </row>
    <row r="22" spans="2:13">
      <c r="B22" s="344"/>
      <c r="C22" s="345"/>
      <c r="D22" s="346"/>
      <c r="E22" s="347"/>
      <c r="F22" s="314"/>
      <c r="H22" s="317"/>
      <c r="I22" s="348"/>
      <c r="J22" s="317"/>
      <c r="K22" s="317"/>
      <c r="L22" s="341"/>
      <c r="M22" s="314"/>
    </row>
    <row r="23" spans="2:13">
      <c r="B23" s="344"/>
      <c r="C23" s="345"/>
      <c r="D23" s="337"/>
      <c r="E23" s="347"/>
      <c r="F23" s="314"/>
      <c r="H23" s="317"/>
      <c r="I23" s="348"/>
      <c r="J23" s="317"/>
      <c r="K23" s="317"/>
      <c r="L23" s="350"/>
      <c r="M23" s="314"/>
    </row>
    <row r="24" spans="2:13" ht="15" customHeight="1">
      <c r="B24" s="1430"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30"/>
      <c r="D24" s="1430"/>
      <c r="E24" s="1430"/>
      <c r="F24" s="1430"/>
      <c r="G24" s="1430"/>
      <c r="H24" s="1430"/>
      <c r="I24" s="1430"/>
    </row>
    <row r="25" spans="2:13" ht="35.25" customHeight="1">
      <c r="B25" s="1430"/>
      <c r="C25" s="1430"/>
      <c r="D25" s="1430"/>
      <c r="E25" s="1430"/>
      <c r="F25" s="1430"/>
      <c r="G25" s="1430"/>
      <c r="H25" s="1430"/>
      <c r="I25" s="1430"/>
    </row>
    <row r="26" spans="2:13" ht="15" customHeight="1">
      <c r="B26" s="351"/>
      <c r="C26" s="351"/>
      <c r="D26" s="351"/>
      <c r="E26" s="351"/>
      <c r="F26" s="351"/>
      <c r="G26" s="351"/>
      <c r="H26" s="351"/>
      <c r="I26" s="351"/>
    </row>
    <row r="27" spans="2:13">
      <c r="B27" s="319">
        <f>+B20+1</f>
        <v>5</v>
      </c>
      <c r="C27" s="345"/>
      <c r="D27" s="352" t="s">
        <v>535</v>
      </c>
      <c r="E27" s="334"/>
      <c r="F27" s="335"/>
      <c r="G27" s="353">
        <f>+'WS J PROJECTED RTEP RR'!M26</f>
        <v>110998.15536206175</v>
      </c>
      <c r="H27" s="335"/>
      <c r="I27" s="339" t="s">
        <v>129</v>
      </c>
      <c r="J27" s="340">
        <v>1</v>
      </c>
      <c r="K27" s="330"/>
      <c r="L27" s="354">
        <f>+J27*G27</f>
        <v>110998.15536206175</v>
      </c>
      <c r="M27" s="314"/>
    </row>
    <row r="28" spans="2:13">
      <c r="B28" s="319"/>
      <c r="C28" s="345"/>
      <c r="D28" s="352"/>
      <c r="E28" s="347"/>
      <c r="F28" s="335"/>
      <c r="G28" s="353"/>
      <c r="H28" s="335"/>
      <c r="I28" s="335"/>
      <c r="J28" s="340"/>
      <c r="K28" s="330"/>
      <c r="L28" s="354"/>
      <c r="M28" s="314"/>
    </row>
    <row r="29" spans="2:13">
      <c r="B29" s="344">
        <f>+B27+1</f>
        <v>6</v>
      </c>
      <c r="C29" s="345"/>
      <c r="D29" s="352" t="s">
        <v>373</v>
      </c>
      <c r="E29" s="334"/>
      <c r="F29" s="314"/>
      <c r="G29" s="355"/>
      <c r="H29" s="314"/>
      <c r="J29" s="314"/>
      <c r="K29" s="314"/>
      <c r="M29" s="314"/>
    </row>
    <row r="30" spans="2:13">
      <c r="B30" s="319">
        <f>B29+1</f>
        <v>7</v>
      </c>
      <c r="C30" s="345"/>
      <c r="D30" s="356" t="s">
        <v>250</v>
      </c>
      <c r="E30" s="330" t="str">
        <f>"( (ln "&amp;B13&amp;" - ln "&amp;B168&amp;")/((ln "&amp;$B$91&amp;") x 100) )"</f>
        <v>( (ln 1 - ln 95)/((ln 42) x 100) )</v>
      </c>
      <c r="F30" s="320"/>
      <c r="G30" s="320"/>
      <c r="H30" s="320"/>
      <c r="I30" s="357"/>
      <c r="J30" s="357"/>
      <c r="K30" s="357"/>
      <c r="L30" s="358">
        <f>(L13-L168)/L$91</f>
        <v>0.11981188376431612</v>
      </c>
      <c r="M30" s="314"/>
    </row>
    <row r="31" spans="2:13">
      <c r="B31" s="319">
        <f>B30+1</f>
        <v>8</v>
      </c>
      <c r="C31" s="345"/>
      <c r="D31" s="356" t="s">
        <v>251</v>
      </c>
      <c r="E31" s="330" t="str">
        <f>"(ln "&amp;B30&amp;" / 12)"</f>
        <v>(ln 7 / 12)</v>
      </c>
      <c r="F31" s="320"/>
      <c r="G31" s="320"/>
      <c r="H31" s="320"/>
      <c r="I31" s="357"/>
      <c r="J31" s="357"/>
      <c r="K31" s="357"/>
      <c r="L31" s="359">
        <f>L30/12</f>
        <v>9.9843236470263438E-3</v>
      </c>
      <c r="M31" s="314"/>
    </row>
    <row r="32" spans="2:13">
      <c r="B32" s="319"/>
      <c r="C32" s="345"/>
      <c r="D32" s="356"/>
      <c r="E32" s="330"/>
      <c r="F32" s="320"/>
      <c r="G32" s="320"/>
      <c r="H32" s="320"/>
      <c r="I32" s="357"/>
      <c r="J32" s="357"/>
      <c r="K32" s="357"/>
      <c r="L32" s="359"/>
      <c r="M32" s="314"/>
    </row>
    <row r="33" spans="2:14">
      <c r="B33" s="319">
        <f>B31+1</f>
        <v>9</v>
      </c>
      <c r="C33" s="345"/>
      <c r="D33" s="352" t="str">
        <f>"NET PLANT CARRYING CHARGE ON LINE "&amp;B30&amp;" , w/o depreciation or ROE incentives (Note B)"</f>
        <v>NET PLANT CARRYING CHARGE ON LINE 7 , w/o depreciation or ROE incentives (Note B)</v>
      </c>
      <c r="E33" s="330"/>
      <c r="F33" s="320"/>
      <c r="G33" s="320"/>
      <c r="H33" s="320"/>
      <c r="I33" s="357"/>
      <c r="J33" s="357"/>
      <c r="K33" s="357"/>
      <c r="L33" s="359"/>
      <c r="M33" s="314"/>
    </row>
    <row r="34" spans="2:14">
      <c r="B34" s="319">
        <f>B33+1</f>
        <v>10</v>
      </c>
      <c r="C34" s="345"/>
      <c r="D34" s="356" t="s">
        <v>250</v>
      </c>
      <c r="E34" s="330" t="str">
        <f>"( (ln "&amp;B13&amp;" - ln "&amp;B168&amp;" - ln "&amp;B174&amp;" ) /((ln "&amp;$B$91&amp;") x 100) )"</f>
        <v>( (ln 1 - ln 95 - ln 100 ) /((ln 42) x 100) )</v>
      </c>
      <c r="F34" s="320"/>
      <c r="G34" s="320"/>
      <c r="H34" s="320"/>
      <c r="I34" s="357"/>
      <c r="J34" s="357"/>
      <c r="K34" s="357"/>
      <c r="L34" s="358">
        <f>(L13-L168-L174)/L91</f>
        <v>9.87503879105944E-2</v>
      </c>
      <c r="M34" s="314"/>
    </row>
    <row r="35" spans="2:14">
      <c r="B35" s="319"/>
      <c r="C35" s="345"/>
      <c r="D35" s="356"/>
      <c r="E35" s="330"/>
      <c r="F35" s="320"/>
      <c r="G35" s="320"/>
      <c r="H35" s="320"/>
      <c r="I35" s="357"/>
      <c r="J35" s="357"/>
      <c r="K35" s="357"/>
      <c r="L35" s="359"/>
      <c r="M35" s="314"/>
    </row>
    <row r="36" spans="2:14">
      <c r="B36" s="319">
        <f>B34+1</f>
        <v>11</v>
      </c>
      <c r="C36" s="345"/>
      <c r="D36" s="352" t="str">
        <f>"NET PLANT CARRYING CHARGE ON LINE "&amp;B34&amp;", w/o Return, income taxes or ROE incentives (Note B)"</f>
        <v>NET PLANT CARRYING CHARGE ON LINE 10, w/o Return, income taxes or ROE incentives (Note B)</v>
      </c>
      <c r="E36" s="330"/>
      <c r="F36" s="360"/>
      <c r="G36" s="360"/>
      <c r="H36" s="360"/>
      <c r="I36" s="360"/>
      <c r="J36" s="360"/>
      <c r="K36" s="360"/>
      <c r="L36" s="360"/>
      <c r="M36" s="322"/>
    </row>
    <row r="37" spans="2:14">
      <c r="B37" s="319">
        <f>B36+1</f>
        <v>12</v>
      </c>
      <c r="C37" s="345"/>
      <c r="D37" s="311" t="s">
        <v>250</v>
      </c>
      <c r="E37" s="330" t="str">
        <f>"( (ln "&amp;B13&amp;" - ln "&amp;B168&amp;" - ln "&amp;B174&amp;" - ln "&amp;B203&amp;" - ln "&amp;B205&amp;") /((ln "&amp;$B$91&amp;") x 100) )"</f>
        <v>( (ln 1 - ln 95 - ln 100 - ln 125 - ln 126) /((ln 42) x 100) )</v>
      </c>
      <c r="F37" s="360"/>
      <c r="G37" s="360"/>
      <c r="H37" s="360"/>
      <c r="I37" s="360"/>
      <c r="J37" s="360"/>
      <c r="K37" s="360"/>
      <c r="L37" s="361">
        <f>(L13-L168-L174-L203-L205)/L91</f>
        <v>2.7250183584464693E-2</v>
      </c>
      <c r="M37" s="322"/>
    </row>
    <row r="38" spans="2:14">
      <c r="B38" s="319"/>
      <c r="C38" s="345"/>
      <c r="D38" s="311"/>
      <c r="E38" s="330"/>
      <c r="F38" s="320"/>
      <c r="G38" s="320"/>
      <c r="H38" s="320"/>
      <c r="I38" s="357"/>
      <c r="J38" s="357"/>
      <c r="K38" s="357"/>
      <c r="L38" s="358"/>
      <c r="M38" s="362"/>
    </row>
    <row r="39" spans="2:14">
      <c r="B39" s="319">
        <f>B37+1</f>
        <v>13</v>
      </c>
      <c r="C39" s="320"/>
      <c r="D39" s="363" t="s">
        <v>591</v>
      </c>
      <c r="E39" s="330"/>
      <c r="F39" s="320"/>
      <c r="G39" s="320"/>
      <c r="H39" s="320"/>
      <c r="I39" s="357"/>
      <c r="J39" s="357"/>
      <c r="K39" s="357"/>
      <c r="L39" s="364"/>
      <c r="M39" s="314"/>
    </row>
    <row r="40" spans="2:14">
      <c r="B40" s="319"/>
      <c r="C40" s="320"/>
      <c r="E40" s="330"/>
      <c r="F40" s="320"/>
      <c r="G40" s="320"/>
      <c r="H40" s="320"/>
      <c r="I40" s="357"/>
      <c r="J40" s="357"/>
      <c r="K40" s="357"/>
      <c r="L40" s="358"/>
      <c r="M40" s="314"/>
    </row>
    <row r="41" spans="2:14">
      <c r="B41" s="305"/>
      <c r="C41" s="320"/>
      <c r="E41" s="330"/>
      <c r="F41" s="320"/>
      <c r="G41" s="320"/>
      <c r="H41" s="320"/>
      <c r="I41" s="357"/>
      <c r="J41" s="357"/>
      <c r="K41" s="357"/>
      <c r="L41" s="358"/>
      <c r="M41" s="314"/>
    </row>
    <row r="42" spans="2:14" ht="15.75">
      <c r="B42" s="319">
        <f>+B39+1</f>
        <v>14</v>
      </c>
      <c r="C42" s="320"/>
      <c r="D42" s="1436" t="s">
        <v>432</v>
      </c>
      <c r="E42" s="1436"/>
      <c r="F42" s="1436"/>
      <c r="G42" s="1436"/>
      <c r="H42" s="1436"/>
      <c r="I42" s="1436"/>
      <c r="J42" s="1436"/>
      <c r="K42" s="1436"/>
      <c r="L42" s="1436"/>
      <c r="M42" s="314"/>
    </row>
    <row r="43" spans="2:14">
      <c r="B43" s="319"/>
      <c r="C43" s="320"/>
      <c r="E43" s="330"/>
      <c r="F43" s="320"/>
      <c r="G43" s="320"/>
      <c r="H43" s="320"/>
      <c r="I43" s="357"/>
      <c r="J43" s="357"/>
      <c r="K43" s="357"/>
      <c r="L43" s="358"/>
      <c r="M43" s="314"/>
    </row>
    <row r="44" spans="2:14">
      <c r="B44" s="319">
        <f>+B42+1</f>
        <v>15</v>
      </c>
      <c r="C44" s="320"/>
      <c r="D44" s="329" t="s">
        <v>434</v>
      </c>
      <c r="E44" s="330" t="str">
        <f>"Line "&amp;B146&amp;" Below"</f>
        <v>Line 75 Below</v>
      </c>
      <c r="F44" s="320"/>
      <c r="H44" s="320"/>
      <c r="I44" s="357"/>
      <c r="J44" s="357"/>
      <c r="K44" s="357"/>
      <c r="L44" s="365">
        <f>+G146</f>
        <v>1401000</v>
      </c>
      <c r="M44" s="330"/>
      <c r="N44" s="310"/>
    </row>
    <row r="45" spans="2:14">
      <c r="B45" s="319">
        <f>+B44+1</f>
        <v>16</v>
      </c>
      <c r="C45" s="320"/>
      <c r="D45" s="329" t="s">
        <v>472</v>
      </c>
      <c r="E45" s="314"/>
      <c r="F45" s="320"/>
      <c r="H45" s="320"/>
      <c r="I45" s="357"/>
      <c r="J45" s="357"/>
      <c r="K45" s="357"/>
      <c r="L45" s="823">
        <f>'WS F Misc Exp'!D28</f>
        <v>1046000</v>
      </c>
      <c r="M45" s="330"/>
      <c r="N45" s="310"/>
    </row>
    <row r="46" spans="2:14">
      <c r="B46" s="319">
        <f>+B45+1</f>
        <v>17</v>
      </c>
      <c r="C46" s="320"/>
      <c r="D46" s="329" t="s">
        <v>473</v>
      </c>
      <c r="E46" s="314"/>
      <c r="F46" s="320"/>
      <c r="H46" s="320"/>
      <c r="I46" s="357"/>
      <c r="J46" s="357"/>
      <c r="K46" s="357"/>
      <c r="L46" s="823">
        <f>'WS F Misc Exp'!D32</f>
        <v>302000</v>
      </c>
      <c r="M46" s="330"/>
      <c r="N46" s="310"/>
    </row>
    <row r="47" spans="2:14">
      <c r="B47" s="319"/>
      <c r="C47" s="320"/>
      <c r="E47" s="314"/>
      <c r="F47" s="320"/>
      <c r="H47" s="320"/>
      <c r="I47" s="357"/>
      <c r="J47" s="357"/>
      <c r="K47" s="357"/>
      <c r="L47" s="320"/>
      <c r="M47" s="330"/>
      <c r="N47" s="310"/>
    </row>
    <row r="48" spans="2:14" ht="15.75" thickBot="1">
      <c r="B48" s="319">
        <f>+B46+1</f>
        <v>18</v>
      </c>
      <c r="C48" s="320"/>
      <c r="D48" s="329" t="s">
        <v>433</v>
      </c>
      <c r="E48" s="332" t="str">
        <f>"(Line "&amp;B44&amp;" - Line "&amp;B45&amp;" - Line "&amp;B46&amp;")"</f>
        <v>(Line 15 - Line 16 - Line 17)</v>
      </c>
      <c r="F48" s="320"/>
      <c r="H48" s="320"/>
      <c r="I48" s="357"/>
      <c r="J48" s="357"/>
      <c r="K48" s="357"/>
      <c r="L48" s="366">
        <f>+L44-L45-L46</f>
        <v>53000</v>
      </c>
      <c r="M48" s="330"/>
      <c r="N48" s="310"/>
    </row>
    <row r="49" spans="2:16" ht="15.75" thickTop="1">
      <c r="B49" s="319"/>
      <c r="C49" s="320"/>
      <c r="E49" s="330"/>
      <c r="F49" s="320"/>
      <c r="G49" s="320"/>
      <c r="H49" s="320"/>
      <c r="I49" s="357"/>
      <c r="J49" s="357"/>
      <c r="K49" s="357"/>
      <c r="L49" s="358"/>
      <c r="M49" s="330"/>
      <c r="N49" s="310"/>
    </row>
    <row r="50" spans="2:16">
      <c r="B50" s="319"/>
      <c r="C50" s="320"/>
      <c r="E50" s="330"/>
      <c r="F50" s="320"/>
      <c r="G50" s="320"/>
      <c r="H50" s="320"/>
      <c r="I50" s="357"/>
      <c r="J50" s="357"/>
      <c r="K50" s="357"/>
      <c r="L50" s="358"/>
      <c r="M50" s="330"/>
      <c r="N50" s="310"/>
    </row>
    <row r="51" spans="2:16">
      <c r="B51" s="319"/>
      <c r="C51" s="320"/>
      <c r="E51" s="330"/>
      <c r="F51" s="320"/>
      <c r="G51" s="320"/>
      <c r="H51" s="320"/>
      <c r="I51" s="357"/>
      <c r="J51" s="357"/>
      <c r="K51" s="357"/>
      <c r="L51" s="358"/>
      <c r="M51" s="330"/>
      <c r="N51" s="310"/>
    </row>
    <row r="52" spans="2:16">
      <c r="D52" s="311"/>
      <c r="E52" s="311"/>
      <c r="G52" s="332"/>
      <c r="H52" s="311"/>
      <c r="I52" s="311"/>
      <c r="J52" s="311"/>
      <c r="K52" s="311"/>
      <c r="L52" s="311"/>
      <c r="M52" s="367"/>
      <c r="N52" s="310"/>
    </row>
    <row r="53" spans="2:16">
      <c r="D53" s="311"/>
      <c r="E53" s="311"/>
      <c r="F53" s="320"/>
      <c r="G53" s="332"/>
      <c r="H53" s="311"/>
      <c r="I53" s="311"/>
      <c r="J53" s="311"/>
      <c r="K53" s="311"/>
      <c r="L53" s="311"/>
      <c r="M53" s="367"/>
      <c r="N53" s="310"/>
      <c r="P53" s="368"/>
    </row>
    <row r="54" spans="2:16">
      <c r="D54" s="311"/>
      <c r="E54" s="311"/>
      <c r="F54" s="320" t="str">
        <f>F5</f>
        <v xml:space="preserve">AEP East Companies </v>
      </c>
      <c r="G54" s="332"/>
      <c r="H54" s="311"/>
      <c r="I54" s="311"/>
      <c r="J54" s="311"/>
      <c r="K54" s="311"/>
      <c r="L54" s="311"/>
      <c r="M54" s="367"/>
      <c r="N54" s="310"/>
      <c r="P54" s="368"/>
    </row>
    <row r="55" spans="2:16">
      <c r="D55" s="311"/>
      <c r="E55" s="317"/>
      <c r="F55" s="320" t="str">
        <f>F6</f>
        <v>Transmission Cost of Service Formula Rate</v>
      </c>
      <c r="G55" s="317"/>
      <c r="H55" s="317"/>
      <c r="I55" s="317"/>
      <c r="J55" s="317"/>
      <c r="K55" s="317"/>
      <c r="L55" s="317"/>
      <c r="M55" s="369"/>
      <c r="N55" s="310"/>
      <c r="P55" s="364"/>
    </row>
    <row r="56" spans="2:16">
      <c r="D56" s="311"/>
      <c r="E56" s="317"/>
      <c r="F56" s="348" t="str">
        <f>F7</f>
        <v>Utilizing  Actual/Projected FERC Form 1 Data</v>
      </c>
      <c r="G56" s="317"/>
      <c r="H56" s="317"/>
      <c r="I56" s="317"/>
      <c r="J56" s="317"/>
      <c r="K56" s="317"/>
      <c r="L56" s="317"/>
      <c r="M56" s="370"/>
      <c r="N56" s="310"/>
      <c r="P56" s="364"/>
    </row>
    <row r="57" spans="2:16">
      <c r="D57" s="311"/>
      <c r="E57" s="317"/>
      <c r="F57" s="320"/>
      <c r="G57" s="317"/>
      <c r="H57" s="317"/>
      <c r="I57" s="317"/>
      <c r="J57" s="317"/>
      <c r="K57" s="317"/>
      <c r="L57" s="317"/>
      <c r="M57" s="335"/>
      <c r="N57" s="310"/>
      <c r="P57" s="364"/>
    </row>
    <row r="58" spans="2:16">
      <c r="D58" s="311"/>
      <c r="E58" s="317"/>
      <c r="F58" s="320" t="str">
        <f>F9</f>
        <v>WHEELING POWER COMPANY</v>
      </c>
      <c r="G58" s="317"/>
      <c r="H58" s="317"/>
      <c r="I58" s="317"/>
      <c r="J58" s="317"/>
      <c r="K58" s="317"/>
      <c r="L58" s="317"/>
      <c r="M58" s="335"/>
      <c r="N58" s="310"/>
      <c r="P58" s="364"/>
    </row>
    <row r="59" spans="2:16">
      <c r="D59" s="311"/>
      <c r="E59" s="348"/>
      <c r="F59" s="348"/>
      <c r="G59" s="348"/>
      <c r="H59" s="348"/>
      <c r="I59" s="348"/>
      <c r="J59" s="348"/>
      <c r="K59" s="348"/>
      <c r="L59" s="317"/>
      <c r="M59" s="335"/>
      <c r="N59" s="310"/>
      <c r="P59" s="364"/>
    </row>
    <row r="60" spans="2:16">
      <c r="D60" s="320" t="s">
        <v>121</v>
      </c>
      <c r="E60" s="320" t="s">
        <v>122</v>
      </c>
      <c r="F60" s="320"/>
      <c r="G60" s="320" t="s">
        <v>123</v>
      </c>
      <c r="H60" s="317" t="s">
        <v>114</v>
      </c>
      <c r="I60" s="1431" t="s">
        <v>124</v>
      </c>
      <c r="J60" s="1432"/>
      <c r="K60" s="317"/>
      <c r="L60" s="321" t="s">
        <v>125</v>
      </c>
      <c r="M60" s="335"/>
      <c r="N60" s="310"/>
    </row>
    <row r="61" spans="2:16">
      <c r="B61" s="305"/>
      <c r="D61" s="360"/>
      <c r="E61" s="360"/>
      <c r="F61" s="360"/>
      <c r="G61" s="365"/>
      <c r="H61" s="317"/>
      <c r="I61" s="317"/>
      <c r="J61" s="372"/>
      <c r="K61" s="317"/>
      <c r="M61" s="335"/>
      <c r="N61" s="310"/>
    </row>
    <row r="62" spans="2:16" ht="15.75">
      <c r="B62" s="373"/>
      <c r="C62" s="320"/>
      <c r="D62" s="360"/>
      <c r="E62" s="374" t="s">
        <v>95</v>
      </c>
      <c r="F62" s="375"/>
      <c r="G62" s="317"/>
      <c r="H62" s="317"/>
      <c r="I62" s="317"/>
      <c r="J62" s="320"/>
      <c r="K62" s="317"/>
      <c r="L62" s="376" t="s">
        <v>118</v>
      </c>
      <c r="M62" s="335"/>
      <c r="N62" s="310"/>
      <c r="P62" s="368"/>
    </row>
    <row r="63" spans="2:16" ht="15.75">
      <c r="B63" s="305"/>
      <c r="C63" s="327"/>
      <c r="D63" s="377" t="s">
        <v>94</v>
      </c>
      <c r="E63" s="378" t="s">
        <v>112</v>
      </c>
      <c r="F63" s="317"/>
      <c r="G63" s="377" t="s">
        <v>81</v>
      </c>
      <c r="H63" s="379"/>
      <c r="I63" s="1433" t="s">
        <v>119</v>
      </c>
      <c r="J63" s="1434"/>
      <c r="K63" s="379"/>
      <c r="L63" s="377" t="s">
        <v>115</v>
      </c>
      <c r="M63" s="335"/>
      <c r="N63" s="310"/>
    </row>
    <row r="64" spans="2:16">
      <c r="B64" s="1092" t="str">
        <f>B11</f>
        <v>Line</v>
      </c>
      <c r="C64" s="345"/>
      <c r="D64" s="356"/>
      <c r="E64" s="335"/>
      <c r="F64" s="335"/>
      <c r="G64" s="1093" t="s">
        <v>354</v>
      </c>
      <c r="H64" s="335"/>
      <c r="I64" s="335"/>
      <c r="J64" s="335"/>
      <c r="K64" s="335"/>
      <c r="L64" s="335"/>
      <c r="M64" s="335"/>
      <c r="N64" s="310"/>
    </row>
    <row r="65" spans="2:15" ht="15.75" thickBot="1">
      <c r="B65" s="1094" t="str">
        <f>B12</f>
        <v>No.</v>
      </c>
      <c r="C65" s="345"/>
      <c r="D65" s="356" t="s">
        <v>82</v>
      </c>
      <c r="E65" s="380"/>
      <c r="F65" s="380"/>
      <c r="G65" s="335"/>
      <c r="H65" s="335"/>
      <c r="I65" s="339"/>
      <c r="J65" s="335"/>
      <c r="K65" s="335"/>
      <c r="L65" s="335"/>
      <c r="M65" s="335"/>
      <c r="N65" s="310"/>
    </row>
    <row r="66" spans="2:15">
      <c r="B66" s="344">
        <f>+B48+1</f>
        <v>19</v>
      </c>
      <c r="C66" s="345"/>
      <c r="D66" s="388" t="s">
        <v>126</v>
      </c>
      <c r="E66" s="335" t="str">
        <f>"(Worksheet A ln "&amp;'WS A - RB Support'!A23&amp;"."&amp;'WS A - RB Support'!C8&amp;")"</f>
        <v>(Worksheet A ln 14.(b))</v>
      </c>
      <c r="F66" s="335"/>
      <c r="G66" s="353">
        <f>'WS A - RB Support'!C23</f>
        <v>1095518000</v>
      </c>
      <c r="H66" s="353"/>
      <c r="I66" s="339" t="s">
        <v>127</v>
      </c>
      <c r="J66" s="340">
        <v>0</v>
      </c>
      <c r="K66" s="335"/>
      <c r="L66" s="382">
        <f>+J66*G66</f>
        <v>0</v>
      </c>
      <c r="M66" s="335"/>
      <c r="N66" s="310"/>
    </row>
    <row r="67" spans="2:15">
      <c r="B67" s="344">
        <f>+B66+1</f>
        <v>20</v>
      </c>
      <c r="C67" s="345"/>
      <c r="D67" s="388" t="s">
        <v>377</v>
      </c>
      <c r="E67" s="335" t="str">
        <f>"(Worksheet A ln "&amp;'WS A - RB Support'!A23&amp;"."&amp;'WS A - RB Support'!D8&amp;")"</f>
        <v>(Worksheet A ln 14.(c))</v>
      </c>
      <c r="F67" s="335"/>
      <c r="G67" s="382">
        <f>-'WS A - RB Support'!D23</f>
        <v>-6136000</v>
      </c>
      <c r="H67" s="353"/>
      <c r="I67" s="339" t="s">
        <v>127</v>
      </c>
      <c r="J67" s="340">
        <v>0</v>
      </c>
      <c r="K67" s="335"/>
      <c r="L67" s="382">
        <f>+J67*G67</f>
        <v>0</v>
      </c>
      <c r="M67" s="335"/>
      <c r="N67" s="310"/>
    </row>
    <row r="68" spans="2:15">
      <c r="B68" s="344">
        <f t="shared" ref="B68:B74" si="0">+B67+1</f>
        <v>21</v>
      </c>
      <c r="C68" s="397"/>
      <c r="D68" s="1095" t="s">
        <v>128</v>
      </c>
      <c r="E68" s="335" t="str">
        <f>"(Worksheet A ln "&amp;'WS A - RB Support'!A23&amp;"."&amp;'WS A - RB Support'!E8&amp;" &amp; TCOS Ln "&amp;B229&amp;")"</f>
        <v>(Worksheet A ln 14.(d) &amp; TCOS Ln 134)</v>
      </c>
      <c r="F68" s="384"/>
      <c r="G68" s="353">
        <f>'WS A - RB Support'!E23</f>
        <v>169553000</v>
      </c>
      <c r="H68" s="353"/>
      <c r="I68" s="385" t="s">
        <v>129</v>
      </c>
      <c r="J68" s="340" t="s">
        <v>114</v>
      </c>
      <c r="K68" s="386"/>
      <c r="L68" s="382">
        <f>+L229</f>
        <v>157340000</v>
      </c>
      <c r="M68" s="386"/>
      <c r="N68" s="310"/>
    </row>
    <row r="69" spans="2:15">
      <c r="B69" s="344">
        <f t="shared" si="0"/>
        <v>22</v>
      </c>
      <c r="C69" s="397"/>
      <c r="D69" s="388" t="s">
        <v>378</v>
      </c>
      <c r="E69" s="335" t="str">
        <f>"(Worksheet A ln "&amp;'WS A - RB Support'!A23&amp;"."&amp;'WS A - RB Support'!F8&amp;")"</f>
        <v>(Worksheet A ln 14.(e))</v>
      </c>
      <c r="F69" s="384"/>
      <c r="G69" s="353">
        <f>-'WS A - RB Support'!F23</f>
        <v>0</v>
      </c>
      <c r="H69" s="353"/>
      <c r="I69" s="385" t="s">
        <v>120</v>
      </c>
      <c r="J69" s="340">
        <f>L231</f>
        <v>0.927969425489375</v>
      </c>
      <c r="K69" s="386"/>
      <c r="L69" s="382">
        <f>+G69*J69</f>
        <v>0</v>
      </c>
      <c r="M69" s="386"/>
      <c r="N69" s="310"/>
    </row>
    <row r="70" spans="2:15">
      <c r="B70" s="344">
        <f>+B69+1</f>
        <v>23</v>
      </c>
      <c r="C70" s="397"/>
      <c r="D70" s="356" t="s">
        <v>130</v>
      </c>
      <c r="E70" s="335" t="str">
        <f>"(Worksheet A ln "&amp;'WS A - RB Support'!A23&amp;"."&amp;'WS A - RB Support'!G8&amp;")"</f>
        <v>(Worksheet A ln 14.(f))</v>
      </c>
      <c r="F70" s="335"/>
      <c r="G70" s="353">
        <f>'WS A - RB Support'!G23</f>
        <v>282911000</v>
      </c>
      <c r="H70" s="353"/>
      <c r="I70" s="339" t="s">
        <v>127</v>
      </c>
      <c r="J70" s="340">
        <v>0</v>
      </c>
      <c r="K70" s="335"/>
      <c r="L70" s="382">
        <f>+J70*G70</f>
        <v>0</v>
      </c>
      <c r="M70" s="335"/>
      <c r="N70" s="310"/>
    </row>
    <row r="71" spans="2:15">
      <c r="B71" s="344">
        <f t="shared" si="0"/>
        <v>24</v>
      </c>
      <c r="C71" s="397"/>
      <c r="D71" s="388" t="s">
        <v>375</v>
      </c>
      <c r="E71" s="335" t="str">
        <f>"(Worksheet A ln "&amp;'WS A - RB Support'!A23&amp;"."&amp;'WS A - RB Support'!H8&amp;")"</f>
        <v>(Worksheet A ln 14.(g))</v>
      </c>
      <c r="F71" s="335"/>
      <c r="G71" s="382">
        <f>-'WS A - RB Support'!H23</f>
        <v>0</v>
      </c>
      <c r="H71" s="353"/>
      <c r="I71" s="339" t="s">
        <v>127</v>
      </c>
      <c r="J71" s="340">
        <v>0</v>
      </c>
      <c r="K71" s="335"/>
      <c r="L71" s="382">
        <f>+G71*J71</f>
        <v>0</v>
      </c>
      <c r="M71" s="335"/>
      <c r="N71" s="310"/>
    </row>
    <row r="72" spans="2:15">
      <c r="B72" s="344">
        <f t="shared" si="0"/>
        <v>25</v>
      </c>
      <c r="C72" s="397"/>
      <c r="D72" s="356" t="s">
        <v>131</v>
      </c>
      <c r="E72" s="335" t="str">
        <f>"(Worksheet A ln "&amp;'WS A - RB Support'!A23&amp;"."&amp;'WS A - RB Support'!I8&amp;")"</f>
        <v>(Worksheet A ln 14.(h))</v>
      </c>
      <c r="F72" s="335"/>
      <c r="G72" s="353">
        <f>'WS A - RB Support'!I23</f>
        <v>11778000</v>
      </c>
      <c r="H72" s="353"/>
      <c r="I72" s="339" t="s">
        <v>132</v>
      </c>
      <c r="J72" s="340">
        <f>L241</f>
        <v>2.8634054542100079E-2</v>
      </c>
      <c r="K72" s="335"/>
      <c r="L72" s="382">
        <f>+J72*G72</f>
        <v>337251.89439685474</v>
      </c>
      <c r="M72" s="335"/>
      <c r="N72" s="310"/>
    </row>
    <row r="73" spans="2:15">
      <c r="B73" s="344">
        <f t="shared" si="0"/>
        <v>26</v>
      </c>
      <c r="C73" s="397"/>
      <c r="D73" s="388" t="s">
        <v>376</v>
      </c>
      <c r="E73" s="335" t="str">
        <f>"(Worksheet A ln "&amp;'WS A - RB Support'!A23&amp;"."&amp;'WS A - RB Support'!J8&amp;")"</f>
        <v>(Worksheet A ln 14.(i))</v>
      </c>
      <c r="F73" s="335"/>
      <c r="G73" s="382">
        <f>-'WS A - RB Support'!J23</f>
        <v>-151000</v>
      </c>
      <c r="H73" s="353"/>
      <c r="I73" s="339" t="s">
        <v>132</v>
      </c>
      <c r="J73" s="340">
        <f>L241</f>
        <v>2.8634054542100079E-2</v>
      </c>
      <c r="K73" s="335"/>
      <c r="L73" s="382">
        <f>+G73*J73</f>
        <v>-4323.7422358571121</v>
      </c>
      <c r="M73" s="335"/>
      <c r="N73" s="310"/>
    </row>
    <row r="74" spans="2:15" ht="15.75" thickBot="1">
      <c r="B74" s="344">
        <f t="shared" si="0"/>
        <v>27</v>
      </c>
      <c r="C74" s="397"/>
      <c r="D74" s="356" t="s">
        <v>133</v>
      </c>
      <c r="E74" s="335" t="str">
        <f>"(Worksheet A ln "&amp;'WS A - RB Support'!A23&amp;"."&amp;'WS A - RB Support'!K8&amp;")"</f>
        <v>(Worksheet A ln 14.(j))</v>
      </c>
      <c r="F74" s="335"/>
      <c r="G74" s="389">
        <f>'WS A - RB Support'!K23</f>
        <v>10334000</v>
      </c>
      <c r="H74" s="353"/>
      <c r="I74" s="339" t="s">
        <v>132</v>
      </c>
      <c r="J74" s="340">
        <f>L241</f>
        <v>2.8634054542100079E-2</v>
      </c>
      <c r="K74" s="335"/>
      <c r="L74" s="483">
        <f>+J74*G74</f>
        <v>295904.31963806221</v>
      </c>
      <c r="M74" s="335"/>
      <c r="N74" s="356"/>
      <c r="O74" s="311"/>
    </row>
    <row r="75" spans="2:15" ht="15.75">
      <c r="B75" s="344">
        <f>+B74+1</f>
        <v>28</v>
      </c>
      <c r="C75" s="397"/>
      <c r="D75" s="356" t="s">
        <v>47</v>
      </c>
      <c r="E75" s="345" t="str">
        <f>"(sum lns "&amp;B66&amp;" to "&amp;B74&amp;")"</f>
        <v>(sum lns 19 to 27)</v>
      </c>
      <c r="F75" s="683"/>
      <c r="G75" s="353">
        <f>SUM(G66:G74)</f>
        <v>1563807000</v>
      </c>
      <c r="H75" s="353"/>
      <c r="I75" s="484" t="s">
        <v>755</v>
      </c>
      <c r="J75" s="391">
        <f>+L75/G75</f>
        <v>0.1010155552902622</v>
      </c>
      <c r="K75" s="335"/>
      <c r="L75" s="353">
        <f>SUM(L66:L74)</f>
        <v>157968832.47179905</v>
      </c>
      <c r="M75" s="335"/>
      <c r="N75" s="356"/>
      <c r="O75" s="311"/>
    </row>
    <row r="76" spans="2:15" ht="15.75">
      <c r="B76" s="344"/>
      <c r="C76" s="345"/>
      <c r="D76" s="356"/>
      <c r="E76" s="1097"/>
      <c r="F76" s="683"/>
      <c r="G76" s="353"/>
      <c r="H76" s="353"/>
      <c r="I76" s="1090" t="s">
        <v>216</v>
      </c>
      <c r="J76" s="392">
        <f>+L68/(G70+G68+G71)</f>
        <v>0.34774037271473529</v>
      </c>
      <c r="K76" s="335"/>
      <c r="L76" s="353"/>
      <c r="M76" s="335"/>
      <c r="N76" s="393"/>
      <c r="O76" s="311"/>
    </row>
    <row r="77" spans="2:15">
      <c r="B77" s="344">
        <f>+B75+1</f>
        <v>29</v>
      </c>
      <c r="C77" s="345"/>
      <c r="D77" s="356" t="s">
        <v>24</v>
      </c>
      <c r="E77" s="380"/>
      <c r="F77" s="380"/>
      <c r="G77" s="353"/>
      <c r="H77" s="394"/>
      <c r="I77" s="339"/>
      <c r="J77" s="395"/>
      <c r="K77" s="335"/>
      <c r="L77" s="353"/>
      <c r="M77" s="335"/>
      <c r="N77" s="335"/>
      <c r="O77" s="317"/>
    </row>
    <row r="78" spans="2:15">
      <c r="B78" s="344">
        <f>+B77+1</f>
        <v>30</v>
      </c>
      <c r="C78" s="345"/>
      <c r="D78" s="388" t="str">
        <f>+D66</f>
        <v xml:space="preserve">  Production</v>
      </c>
      <c r="E78" s="335" t="str">
        <f>"(Worksheet A ln "&amp;'WS A - RB Support'!A42&amp;"."&amp;'WS A - RB Support'!C27&amp;")"</f>
        <v>(Worksheet A ln 28.(b))</v>
      </c>
      <c r="F78" s="335"/>
      <c r="G78" s="353">
        <f>'WS A - RB Support'!C42</f>
        <v>522075000</v>
      </c>
      <c r="H78" s="353"/>
      <c r="I78" s="339" t="s">
        <v>127</v>
      </c>
      <c r="J78" s="340">
        <v>0</v>
      </c>
      <c r="K78" s="335"/>
      <c r="L78" s="382">
        <f>+J78*G78</f>
        <v>0</v>
      </c>
      <c r="M78" s="335"/>
      <c r="N78" s="335"/>
      <c r="O78" s="317"/>
    </row>
    <row r="79" spans="2:15">
      <c r="B79" s="344">
        <f t="shared" ref="B79:B87" si="1">+B78+1</f>
        <v>31</v>
      </c>
      <c r="C79" s="345"/>
      <c r="D79" s="388" t="s">
        <v>377</v>
      </c>
      <c r="E79" s="335" t="str">
        <f>"(Worksheet A ln "&amp;'WS A - RB Support'!A42&amp;"."&amp;'WS A - RB Support'!D27&amp;")"</f>
        <v>(Worksheet A ln 28.(c))</v>
      </c>
      <c r="F79" s="335"/>
      <c r="G79" s="382">
        <f>-'WS A - RB Support'!D42</f>
        <v>-3497000</v>
      </c>
      <c r="H79" s="353"/>
      <c r="I79" s="339" t="s">
        <v>127</v>
      </c>
      <c r="J79" s="340">
        <v>0</v>
      </c>
      <c r="K79" s="335"/>
      <c r="L79" s="382">
        <f>+J79*G79</f>
        <v>0</v>
      </c>
      <c r="M79" s="335"/>
      <c r="N79" s="335"/>
      <c r="O79" s="317"/>
    </row>
    <row r="80" spans="2:15" ht="15.75">
      <c r="B80" s="344">
        <f t="shared" si="1"/>
        <v>32</v>
      </c>
      <c r="C80" s="397"/>
      <c r="D80" s="1095" t="str">
        <f>D68</f>
        <v xml:space="preserve">  Transmission</v>
      </c>
      <c r="E80" s="335" t="str">
        <f>"(Worksheet A ln "&amp;'WS A - RB Support'!A42&amp;"."&amp;'WS A - RB Support'!E27&amp;" &amp; "&amp;"ln "&amp;'WS A - RB Support'!A64&amp;"."&amp;'WS A - RB Support'!D47&amp;")"</f>
        <v>(Worksheet A ln 28.(d) &amp; ln 43.(c))</v>
      </c>
      <c r="F80" s="384"/>
      <c r="G80" s="387">
        <f>'WS A - RB Support'!E42</f>
        <v>37380000</v>
      </c>
      <c r="H80" s="353"/>
      <c r="I80" s="1091" t="s">
        <v>27</v>
      </c>
      <c r="J80" s="396">
        <f>L80/G80</f>
        <v>0.83151417870518995</v>
      </c>
      <c r="K80" s="386"/>
      <c r="L80" s="382">
        <f>'WS A - RB Support'!D64</f>
        <v>31082000</v>
      </c>
      <c r="M80" s="386"/>
      <c r="N80" s="335"/>
      <c r="O80" s="317"/>
    </row>
    <row r="81" spans="2:15" ht="15.75">
      <c r="B81" s="344">
        <f t="shared" si="1"/>
        <v>33</v>
      </c>
      <c r="C81" s="397"/>
      <c r="D81" s="388" t="s">
        <v>378</v>
      </c>
      <c r="E81" s="335" t="str">
        <f>"(Worksheet A ln "&amp;'WS A - RB Support'!A42&amp;"."&amp;'WS A - RB Support'!F27&amp;")"</f>
        <v>(Worksheet A ln 28.(e))</v>
      </c>
      <c r="F81" s="384"/>
      <c r="G81" s="382">
        <f>-'WS A - RB Support'!F42</f>
        <v>0</v>
      </c>
      <c r="H81" s="353"/>
      <c r="I81" s="1091" t="s">
        <v>27</v>
      </c>
      <c r="J81" s="340">
        <f>+J80</f>
        <v>0.83151417870518995</v>
      </c>
      <c r="K81" s="386"/>
      <c r="L81" s="382">
        <f t="shared" ref="L81:L86" si="2">+J81*G81</f>
        <v>0</v>
      </c>
      <c r="M81" s="386"/>
      <c r="N81" s="335"/>
      <c r="O81" s="317"/>
    </row>
    <row r="82" spans="2:15">
      <c r="B82" s="344">
        <f>+B81+1</f>
        <v>34</v>
      </c>
      <c r="C82" s="397"/>
      <c r="D82" s="356" t="str">
        <f>+D70</f>
        <v xml:space="preserve">  Distribution</v>
      </c>
      <c r="E82" s="335" t="str">
        <f>"(Worksheet A ln "&amp;'WS A - RB Support'!A42&amp;"."&amp;'WS A - RB Support'!G27&amp;")"</f>
        <v>(Worksheet A ln 28.(f))</v>
      </c>
      <c r="F82" s="335"/>
      <c r="G82" s="353">
        <f>'WS A - RB Support'!G42</f>
        <v>82558000</v>
      </c>
      <c r="H82" s="353"/>
      <c r="I82" s="339" t="s">
        <v>127</v>
      </c>
      <c r="J82" s="340">
        <v>0</v>
      </c>
      <c r="K82" s="335"/>
      <c r="L82" s="382">
        <f t="shared" si="2"/>
        <v>0</v>
      </c>
      <c r="M82" s="335"/>
      <c r="N82" s="335"/>
      <c r="O82" s="317"/>
    </row>
    <row r="83" spans="2:15">
      <c r="B83" s="344">
        <f t="shared" si="1"/>
        <v>35</v>
      </c>
      <c r="C83" s="397"/>
      <c r="D83" s="388" t="s">
        <v>375</v>
      </c>
      <c r="E83" s="335" t="str">
        <f>"(Worksheet A ln "&amp;'WS A - RB Support'!A42&amp;"."&amp;'WS A - RB Support'!H27&amp;")"</f>
        <v>(Worksheet A ln 28.(g))</v>
      </c>
      <c r="F83" s="335"/>
      <c r="G83" s="382">
        <f>-'WS A - RB Support'!H42</f>
        <v>0</v>
      </c>
      <c r="H83" s="353"/>
      <c r="I83" s="339" t="s">
        <v>127</v>
      </c>
      <c r="J83" s="340">
        <v>0</v>
      </c>
      <c r="K83" s="335"/>
      <c r="L83" s="382">
        <f t="shared" si="2"/>
        <v>0</v>
      </c>
      <c r="M83" s="335"/>
      <c r="N83" s="335"/>
      <c r="O83" s="317"/>
    </row>
    <row r="84" spans="2:15">
      <c r="B84" s="344">
        <f t="shared" si="1"/>
        <v>36</v>
      </c>
      <c r="C84" s="397"/>
      <c r="D84" s="356" t="str">
        <f>+D72</f>
        <v xml:space="preserve">  General Plant   </v>
      </c>
      <c r="E84" s="335" t="str">
        <f>"(Worksheet A ln "&amp;'WS A - RB Support'!A42&amp;"."&amp;'WS A - RB Support'!I27&amp;")"</f>
        <v>(Worksheet A ln 28.(h))</v>
      </c>
      <c r="F84" s="335"/>
      <c r="G84" s="338">
        <f>'WS A - RB Support'!I42</f>
        <v>4123000</v>
      </c>
      <c r="H84" s="353"/>
      <c r="I84" s="339" t="s">
        <v>132</v>
      </c>
      <c r="J84" s="340">
        <f>L241</f>
        <v>2.8634054542100079E-2</v>
      </c>
      <c r="K84" s="335"/>
      <c r="L84" s="382">
        <f t="shared" si="2"/>
        <v>118058.20687707863</v>
      </c>
      <c r="M84" s="335"/>
      <c r="N84" s="335"/>
      <c r="O84" s="317"/>
    </row>
    <row r="85" spans="2:15">
      <c r="B85" s="344">
        <f t="shared" si="1"/>
        <v>37</v>
      </c>
      <c r="C85" s="397"/>
      <c r="D85" s="388" t="s">
        <v>376</v>
      </c>
      <c r="E85" s="335" t="str">
        <f>"(Worksheet A ln "&amp;'WS A - RB Support'!A42&amp;"."&amp;'WS A - RB Support'!J27&amp;")"</f>
        <v>(Worksheet A ln 28.(i))</v>
      </c>
      <c r="F85" s="335"/>
      <c r="G85" s="382">
        <f>-'WS A - RB Support'!J42</f>
        <v>-82000</v>
      </c>
      <c r="H85" s="353"/>
      <c r="I85" s="339" t="s">
        <v>132</v>
      </c>
      <c r="J85" s="340">
        <f>L241</f>
        <v>2.8634054542100079E-2</v>
      </c>
      <c r="K85" s="335"/>
      <c r="L85" s="382">
        <f t="shared" si="2"/>
        <v>-2347.9924724522066</v>
      </c>
      <c r="M85" s="335"/>
      <c r="N85" s="335"/>
      <c r="O85" s="317"/>
    </row>
    <row r="86" spans="2:15" ht="15.75" thickBot="1">
      <c r="B86" s="344">
        <f t="shared" si="1"/>
        <v>38</v>
      </c>
      <c r="C86" s="397"/>
      <c r="D86" s="356" t="str">
        <f>+D74</f>
        <v xml:space="preserve">  Intangible Plant</v>
      </c>
      <c r="E86" s="335" t="str">
        <f>"(Worksheet A ln "&amp;'WS A - RB Support'!A42&amp;"."&amp;'WS A - RB Support'!K27&amp;")"</f>
        <v>(Worksheet A ln 28.(j))</v>
      </c>
      <c r="F86" s="335"/>
      <c r="G86" s="389">
        <f>'WS A - RB Support'!K42</f>
        <v>3839000</v>
      </c>
      <c r="H86" s="353"/>
      <c r="I86" s="339" t="s">
        <v>132</v>
      </c>
      <c r="J86" s="340">
        <f>L241</f>
        <v>2.8634054542100079E-2</v>
      </c>
      <c r="K86" s="335"/>
      <c r="L86" s="483">
        <f t="shared" si="2"/>
        <v>109926.13538712221</v>
      </c>
      <c r="M86" s="335"/>
      <c r="N86" s="335"/>
      <c r="O86" s="317"/>
    </row>
    <row r="87" spans="2:15">
      <c r="B87" s="344">
        <f t="shared" si="1"/>
        <v>39</v>
      </c>
      <c r="C87" s="397"/>
      <c r="D87" s="356" t="s">
        <v>46</v>
      </c>
      <c r="E87" s="1075" t="str">
        <f>"(sum lns "&amp;B78&amp;" to "&amp;B86&amp;")"</f>
        <v>(sum lns 30 to 38)</v>
      </c>
      <c r="F87" s="681"/>
      <c r="G87" s="353">
        <f>SUM(G78:G86)</f>
        <v>646396000</v>
      </c>
      <c r="H87" s="353"/>
      <c r="I87" s="339"/>
      <c r="J87" s="335"/>
      <c r="K87" s="353"/>
      <c r="L87" s="353">
        <f>SUM(L78:L86)</f>
        <v>31307636.34979175</v>
      </c>
      <c r="M87" s="335"/>
      <c r="N87" s="335"/>
      <c r="O87" s="317"/>
    </row>
    <row r="88" spans="2:15">
      <c r="B88" s="344"/>
      <c r="C88" s="345"/>
      <c r="D88" s="310"/>
      <c r="E88" s="1098"/>
      <c r="F88" s="681"/>
      <c r="G88" s="353"/>
      <c r="H88" s="353"/>
      <c r="I88" s="339"/>
      <c r="J88" s="398"/>
      <c r="K88" s="335"/>
      <c r="L88" s="353"/>
      <c r="M88" s="335"/>
      <c r="N88" s="335"/>
      <c r="O88" s="317"/>
    </row>
    <row r="89" spans="2:15">
      <c r="B89" s="344">
        <f>+B87+1</f>
        <v>40</v>
      </c>
      <c r="C89" s="345"/>
      <c r="D89" s="356" t="s">
        <v>83</v>
      </c>
      <c r="E89" s="380"/>
      <c r="F89" s="380"/>
      <c r="G89" s="353"/>
      <c r="H89" s="353"/>
      <c r="I89" s="339"/>
      <c r="J89" s="335"/>
      <c r="K89" s="335"/>
      <c r="L89" s="353"/>
      <c r="M89" s="335"/>
      <c r="N89" s="335"/>
      <c r="O89" s="317"/>
    </row>
    <row r="90" spans="2:15">
      <c r="B90" s="344">
        <f t="shared" ref="B90:B95" si="3">+B89+1</f>
        <v>41</v>
      </c>
      <c r="C90" s="397"/>
      <c r="D90" s="388" t="str">
        <f>+D78</f>
        <v xml:space="preserve">  Production</v>
      </c>
      <c r="E90" s="335" t="str">
        <f>" (ln "&amp;B66&amp;" + ln "&amp;B67&amp;" - ln "&amp;B78&amp;" - ln "&amp;B79&amp;")"</f>
        <v xml:space="preserve"> (ln 19 + ln 20 - ln 30 - ln 31)</v>
      </c>
      <c r="F90" s="335"/>
      <c r="G90" s="353">
        <f>G66+G67-G78-G79</f>
        <v>570804000</v>
      </c>
      <c r="H90" s="353"/>
      <c r="I90" s="339"/>
      <c r="J90" s="399"/>
      <c r="K90" s="335"/>
      <c r="L90" s="353">
        <f>L66+L67-L78-L79</f>
        <v>0</v>
      </c>
      <c r="M90" s="335"/>
      <c r="N90" s="335"/>
      <c r="O90" s="317"/>
    </row>
    <row r="91" spans="2:15">
      <c r="B91" s="344">
        <f t="shared" si="3"/>
        <v>42</v>
      </c>
      <c r="C91" s="397"/>
      <c r="D91" s="388" t="str">
        <f>+D80</f>
        <v xml:space="preserve">  Transmission</v>
      </c>
      <c r="E91" s="335" t="str">
        <f>" (ln "&amp;B68&amp;" + ln "&amp;B69&amp;" - ln "&amp;B80&amp;" - ln "&amp;B81&amp;")"</f>
        <v xml:space="preserve"> (ln 21 + ln 22 - ln 32 - ln 33)</v>
      </c>
      <c r="F91" s="335"/>
      <c r="G91" s="353">
        <f>+G68+G69-G80-G81</f>
        <v>132173000</v>
      </c>
      <c r="H91" s="353"/>
      <c r="I91" s="339"/>
      <c r="J91" s="396"/>
      <c r="K91" s="335"/>
      <c r="L91" s="353">
        <f>+L68+L69-L80-L81</f>
        <v>126258000</v>
      </c>
      <c r="M91" s="335"/>
      <c r="N91" s="335"/>
      <c r="O91" s="317"/>
    </row>
    <row r="92" spans="2:15">
      <c r="B92" s="344">
        <f>+B91+1</f>
        <v>43</v>
      </c>
      <c r="C92" s="397"/>
      <c r="D92" s="388" t="str">
        <f>+D82</f>
        <v xml:space="preserve">  Distribution</v>
      </c>
      <c r="E92" s="335" t="str">
        <f>" (ln "&amp;B70&amp;" + ln "&amp;B71&amp;" - ln "&amp;B82&amp;" - ln "&amp;B83&amp;")"</f>
        <v xml:space="preserve"> (ln 23 + ln 24 - ln 34 - ln 35)</v>
      </c>
      <c r="F92" s="335"/>
      <c r="G92" s="353">
        <f>+G70+G71-G82-G83</f>
        <v>200353000</v>
      </c>
      <c r="H92" s="353"/>
      <c r="I92" s="339"/>
      <c r="J92" s="398"/>
      <c r="K92" s="335"/>
      <c r="L92" s="353">
        <f>+L70+L71-L82-L83</f>
        <v>0</v>
      </c>
      <c r="M92" s="335"/>
      <c r="N92" s="310"/>
      <c r="O92" s="317"/>
    </row>
    <row r="93" spans="2:15">
      <c r="B93" s="344">
        <f t="shared" si="3"/>
        <v>44</v>
      </c>
      <c r="C93" s="397"/>
      <c r="D93" s="388" t="str">
        <f>+D84</f>
        <v xml:space="preserve">  General Plant   </v>
      </c>
      <c r="E93" s="335" t="str">
        <f>" (ln "&amp;B72&amp;" + ln "&amp;B73&amp;" - ln "&amp;B84&amp;" - ln "&amp;B85&amp;")"</f>
        <v xml:space="preserve"> (ln 25 + ln 26 - ln 36 - ln 37)</v>
      </c>
      <c r="F93" s="335"/>
      <c r="G93" s="353">
        <f>+G72+G73-G84-G85</f>
        <v>7586000</v>
      </c>
      <c r="H93" s="353"/>
      <c r="I93" s="339"/>
      <c r="J93" s="398"/>
      <c r="K93" s="335"/>
      <c r="L93" s="353">
        <f>+L72+L73-L84-L85</f>
        <v>217217.93775637119</v>
      </c>
      <c r="M93" s="335"/>
      <c r="N93" s="335"/>
      <c r="O93" s="317"/>
    </row>
    <row r="94" spans="2:15" ht="15.75" thickBot="1">
      <c r="B94" s="344">
        <f t="shared" si="3"/>
        <v>45</v>
      </c>
      <c r="C94" s="397"/>
      <c r="D94" s="388" t="str">
        <f>+D86</f>
        <v xml:space="preserve">  Intangible Plant</v>
      </c>
      <c r="E94" s="335" t="str">
        <f>" (ln "&amp;B74&amp;" - ln "&amp;B86&amp;")"</f>
        <v xml:space="preserve"> (ln 27 - ln 38)</v>
      </c>
      <c r="F94" s="335"/>
      <c r="G94" s="389">
        <f>+G74-G86</f>
        <v>6495000</v>
      </c>
      <c r="H94" s="353"/>
      <c r="I94" s="339"/>
      <c r="J94" s="398"/>
      <c r="K94" s="335"/>
      <c r="L94" s="389">
        <f>+L74-L86</f>
        <v>185978.18425093999</v>
      </c>
      <c r="M94" s="335"/>
      <c r="N94" s="335"/>
      <c r="O94" s="317"/>
    </row>
    <row r="95" spans="2:15" ht="15.75">
      <c r="B95" s="344">
        <f t="shared" si="3"/>
        <v>46</v>
      </c>
      <c r="C95" s="397"/>
      <c r="D95" s="388" t="s">
        <v>45</v>
      </c>
      <c r="E95" s="388" t="str">
        <f>"(sum lns "&amp;B90&amp;" to "&amp;B94&amp;")"</f>
        <v>(sum lns 41 to 45)</v>
      </c>
      <c r="F95" s="335"/>
      <c r="G95" s="353">
        <f>SUM(G90:G94)</f>
        <v>917411000</v>
      </c>
      <c r="H95" s="353"/>
      <c r="I95" s="484" t="s">
        <v>756</v>
      </c>
      <c r="J95" s="391">
        <f>+L95/G95</f>
        <v>0.13806374255596163</v>
      </c>
      <c r="K95" s="335"/>
      <c r="L95" s="353">
        <f>SUM(L90:L94)</f>
        <v>126661196.12200731</v>
      </c>
      <c r="M95" s="335"/>
      <c r="N95" s="335"/>
      <c r="O95" s="317"/>
    </row>
    <row r="96" spans="2:15">
      <c r="B96" s="344"/>
      <c r="C96" s="345"/>
      <c r="D96" s="356"/>
      <c r="E96" s="335"/>
      <c r="F96" s="335"/>
      <c r="G96" s="353"/>
      <c r="H96" s="353"/>
      <c r="I96" s="415"/>
      <c r="J96" s="403"/>
      <c r="K96" s="335"/>
      <c r="L96" s="353"/>
      <c r="M96" s="335"/>
      <c r="N96" s="335"/>
      <c r="O96" s="317"/>
    </row>
    <row r="97" spans="2:15">
      <c r="B97" s="344"/>
      <c r="C97" s="345"/>
      <c r="D97" s="310"/>
      <c r="E97" s="310"/>
      <c r="F97" s="310"/>
      <c r="G97" s="569"/>
      <c r="H97" s="569"/>
      <c r="I97" s="1097"/>
      <c r="J97" s="569"/>
      <c r="K97" s="569"/>
      <c r="L97" s="569"/>
      <c r="M97" s="404"/>
      <c r="N97" s="335"/>
      <c r="O97" s="317"/>
    </row>
    <row r="98" spans="2:15">
      <c r="B98" s="344">
        <f>+B95+1</f>
        <v>47</v>
      </c>
      <c r="C98" s="345"/>
      <c r="D98" s="356" t="s">
        <v>326</v>
      </c>
      <c r="E98" s="335" t="s">
        <v>303</v>
      </c>
      <c r="F98" s="339"/>
      <c r="G98" s="569"/>
      <c r="H98" s="569"/>
      <c r="I98" s="1097"/>
      <c r="J98" s="569"/>
      <c r="K98" s="569"/>
      <c r="L98" s="569"/>
      <c r="M98" s="404"/>
      <c r="N98" s="335"/>
      <c r="O98" s="317"/>
    </row>
    <row r="99" spans="2:15">
      <c r="B99" s="344">
        <f t="shared" ref="B99:B104" si="4">+B98+1</f>
        <v>48</v>
      </c>
      <c r="C99" s="397"/>
      <c r="D99" s="388" t="s">
        <v>193</v>
      </c>
      <c r="E99" s="335" t="s">
        <v>536</v>
      </c>
      <c r="F99" s="335"/>
      <c r="G99" s="353">
        <f>-'WS B ADIT &amp; ITC'!I17</f>
        <v>-47167000</v>
      </c>
      <c r="H99" s="353"/>
      <c r="I99" s="339" t="s">
        <v>127</v>
      </c>
      <c r="J99" s="340"/>
      <c r="K99" s="335"/>
      <c r="L99" s="353">
        <f>'WS B ADIT &amp; ITC'!I20</f>
        <v>0</v>
      </c>
      <c r="M99" s="335"/>
      <c r="N99" s="335"/>
      <c r="O99" s="317"/>
    </row>
    <row r="100" spans="2:15">
      <c r="B100" s="344">
        <f t="shared" si="4"/>
        <v>49</v>
      </c>
      <c r="C100" s="397"/>
      <c r="D100" s="388" t="s">
        <v>194</v>
      </c>
      <c r="E100" s="335" t="s">
        <v>537</v>
      </c>
      <c r="F100" s="335"/>
      <c r="G100" s="353">
        <f>-'WS B ADIT &amp; ITC'!I25</f>
        <v>-137804000</v>
      </c>
      <c r="H100" s="353"/>
      <c r="I100" s="339" t="s">
        <v>129</v>
      </c>
      <c r="J100" s="340"/>
      <c r="K100" s="335"/>
      <c r="L100" s="353">
        <f>-'WS B ADIT &amp; ITC'!I28</f>
        <v>-25816000</v>
      </c>
      <c r="M100" s="335"/>
      <c r="N100" s="335"/>
      <c r="O100" s="317"/>
    </row>
    <row r="101" spans="2:15">
      <c r="B101" s="344">
        <f t="shared" si="4"/>
        <v>50</v>
      </c>
      <c r="C101" s="397"/>
      <c r="D101" s="388" t="s">
        <v>195</v>
      </c>
      <c r="E101" s="335" t="s">
        <v>538</v>
      </c>
      <c r="F101" s="335"/>
      <c r="G101" s="353">
        <f>-'WS B ADIT &amp; ITC'!I33</f>
        <v>-59042000</v>
      </c>
      <c r="H101" s="353"/>
      <c r="I101" s="339" t="s">
        <v>129</v>
      </c>
      <c r="J101" s="340"/>
      <c r="K101" s="335"/>
      <c r="L101" s="353">
        <f>-'WS B ADIT &amp; ITC'!I36</f>
        <v>-612500</v>
      </c>
      <c r="M101" s="335"/>
      <c r="N101" s="335"/>
      <c r="O101" s="317"/>
    </row>
    <row r="102" spans="2:15">
      <c r="B102" s="344">
        <f t="shared" si="4"/>
        <v>51</v>
      </c>
      <c r="C102" s="397"/>
      <c r="D102" s="388" t="s">
        <v>196</v>
      </c>
      <c r="E102" s="335" t="s">
        <v>539</v>
      </c>
      <c r="F102" s="335"/>
      <c r="G102" s="353">
        <f>'WS B ADIT &amp; ITC'!I41</f>
        <v>6523000</v>
      </c>
      <c r="H102" s="353"/>
      <c r="I102" s="339" t="s">
        <v>129</v>
      </c>
      <c r="J102" s="340"/>
      <c r="K102" s="335"/>
      <c r="L102" s="353">
        <f>'WS B ADIT &amp; ITC'!I44</f>
        <v>2624000</v>
      </c>
      <c r="M102" s="335"/>
      <c r="N102" s="335"/>
      <c r="O102" s="317"/>
    </row>
    <row r="103" spans="2:15" ht="15.75" thickBot="1">
      <c r="B103" s="344">
        <f t="shared" si="4"/>
        <v>52</v>
      </c>
      <c r="C103" s="397"/>
      <c r="D103" s="469" t="s">
        <v>134</v>
      </c>
      <c r="E103" s="335" t="s">
        <v>540</v>
      </c>
      <c r="F103" s="310"/>
      <c r="G103" s="389">
        <f>-'WS B ADIT &amp; ITC'!I51</f>
        <v>0</v>
      </c>
      <c r="H103" s="353"/>
      <c r="I103" s="339" t="s">
        <v>129</v>
      </c>
      <c r="J103" s="340"/>
      <c r="K103" s="335"/>
      <c r="L103" s="389">
        <f>-'WS B ADIT &amp; ITC'!I52</f>
        <v>0</v>
      </c>
      <c r="M103" s="405"/>
      <c r="N103" s="335"/>
      <c r="O103" s="317"/>
    </row>
    <row r="104" spans="2:15">
      <c r="B104" s="344">
        <f t="shared" si="4"/>
        <v>53</v>
      </c>
      <c r="C104" s="397"/>
      <c r="D104" s="388" t="s">
        <v>92</v>
      </c>
      <c r="E104" s="388" t="str">
        <f>"(sum lns "&amp;B99&amp;" to "&amp;B103&amp;")"</f>
        <v>(sum lns 48 to 52)</v>
      </c>
      <c r="F104" s="335"/>
      <c r="G104" s="353">
        <f>SUM(G99:G103)</f>
        <v>-237490000</v>
      </c>
      <c r="H104" s="569"/>
      <c r="I104" s="339"/>
      <c r="J104" s="407"/>
      <c r="K104" s="335"/>
      <c r="L104" s="353">
        <f>SUM(L99:L103)</f>
        <v>-23804500</v>
      </c>
      <c r="M104" s="335"/>
      <c r="N104" s="408"/>
    </row>
    <row r="105" spans="2:15">
      <c r="B105" s="344"/>
      <c r="C105" s="345"/>
      <c r="D105" s="388"/>
      <c r="E105" s="335"/>
      <c r="F105" s="335"/>
      <c r="G105" s="353"/>
      <c r="H105" s="569"/>
      <c r="I105" s="339"/>
      <c r="J105" s="398"/>
      <c r="K105" s="335"/>
      <c r="L105" s="353"/>
      <c r="M105" s="335"/>
      <c r="N105" s="310"/>
    </row>
    <row r="106" spans="2:15">
      <c r="B106" s="344">
        <f>+B104+1</f>
        <v>54</v>
      </c>
      <c r="C106" s="345"/>
      <c r="D106" s="388" t="s">
        <v>205</v>
      </c>
      <c r="E106" s="335" t="str">
        <f>"(Worksheet A ln "&amp;'WS A - RB Support'!A69&amp;"."&amp;'WS A - RB Support'!F68&amp;" &amp; "&amp;"ln "&amp;'WS A - RB Support'!A71&amp;"."&amp;'WS A - RB Support'!F68&amp;")"</f>
        <v>(Worksheet A ln 44.(e) &amp; ln 45.(e))</v>
      </c>
      <c r="F106" s="335"/>
      <c r="G106" s="353">
        <f>'WS A - RB Support'!F69</f>
        <v>0</v>
      </c>
      <c r="H106" s="569"/>
      <c r="I106" s="339" t="s">
        <v>129</v>
      </c>
      <c r="J106" s="340"/>
      <c r="K106" s="335"/>
      <c r="L106" s="353">
        <f>'WS A - RB Support'!F71</f>
        <v>0</v>
      </c>
      <c r="M106" s="335"/>
      <c r="N106" s="310"/>
    </row>
    <row r="107" spans="2:15">
      <c r="B107" s="344"/>
      <c r="C107" s="345"/>
      <c r="D107" s="388"/>
      <c r="E107" s="335"/>
      <c r="F107" s="335"/>
      <c r="G107" s="353"/>
      <c r="H107" s="569"/>
      <c r="I107" s="339"/>
      <c r="J107" s="340"/>
      <c r="K107" s="335"/>
      <c r="L107" s="353"/>
      <c r="M107" s="335"/>
      <c r="N107" s="310"/>
    </row>
    <row r="108" spans="2:15">
      <c r="B108" s="344">
        <f>+B106+1</f>
        <v>55</v>
      </c>
      <c r="C108" s="345"/>
      <c r="D108" s="388" t="s">
        <v>327</v>
      </c>
      <c r="E108" s="335" t="str">
        <f>"(Worksheet A ln "&amp;'WS A - RB Support'!A80&amp;"."&amp;'WS A - RB Support'!F68&amp;")"</f>
        <v>(Worksheet A ln 51.(e))</v>
      </c>
      <c r="F108" s="335"/>
      <c r="G108" s="353">
        <f>'WS A - RB Support'!F80</f>
        <v>0</v>
      </c>
      <c r="H108" s="569"/>
      <c r="I108" s="339" t="s">
        <v>129</v>
      </c>
      <c r="J108" s="335"/>
      <c r="K108" s="335"/>
      <c r="L108" s="353">
        <f>+G108</f>
        <v>0</v>
      </c>
      <c r="M108" s="335"/>
      <c r="N108" s="310"/>
    </row>
    <row r="109" spans="2:15">
      <c r="B109" s="344"/>
      <c r="C109" s="345"/>
      <c r="D109" s="388"/>
      <c r="E109" s="335"/>
      <c r="F109" s="335"/>
      <c r="G109" s="353"/>
      <c r="H109" s="569"/>
      <c r="I109" s="339"/>
      <c r="J109" s="335"/>
      <c r="K109" s="335"/>
      <c r="L109" s="353"/>
      <c r="M109" s="335"/>
      <c r="N109" s="310"/>
    </row>
    <row r="110" spans="2:15" ht="14.25" customHeight="1">
      <c r="B110" s="344">
        <f>+B108+1</f>
        <v>56</v>
      </c>
      <c r="C110" s="397"/>
      <c r="D110" s="464" t="s">
        <v>744</v>
      </c>
      <c r="E110" s="335" t="str">
        <f>"(Worksheet A ln "&amp;'WS A - RB Support'!A88&amp;"."&amp;'WS A - RB Support'!F68&amp;")"</f>
        <v>(Worksheet A ln 54.(e))</v>
      </c>
      <c r="F110" s="335"/>
      <c r="G110" s="338">
        <f>-'WS A - RB Support'!F88</f>
        <v>-361000</v>
      </c>
      <c r="H110" s="353"/>
      <c r="I110" s="339" t="s">
        <v>132</v>
      </c>
      <c r="J110" s="340">
        <f>L241</f>
        <v>2.8634054542100079E-2</v>
      </c>
      <c r="K110" s="335"/>
      <c r="L110" s="338">
        <f>G110*J110</f>
        <v>-10336.893689698129</v>
      </c>
      <c r="M110" s="335"/>
      <c r="N110" s="310"/>
    </row>
    <row r="111" spans="2:15">
      <c r="B111" s="344"/>
      <c r="C111" s="345"/>
      <c r="D111" s="388"/>
      <c r="E111" s="335"/>
      <c r="F111" s="335"/>
      <c r="G111" s="353"/>
      <c r="H111" s="569"/>
      <c r="I111" s="339"/>
      <c r="J111" s="335"/>
      <c r="K111" s="335"/>
      <c r="L111" s="353"/>
      <c r="M111" s="335"/>
      <c r="N111" s="310"/>
    </row>
    <row r="112" spans="2:15">
      <c r="B112" s="344">
        <f>+B110+1</f>
        <v>57</v>
      </c>
      <c r="C112" s="345"/>
      <c r="D112" s="388" t="s">
        <v>93</v>
      </c>
      <c r="E112" s="335" t="s">
        <v>498</v>
      </c>
      <c r="F112" s="335"/>
      <c r="G112" s="353"/>
      <c r="H112" s="569"/>
      <c r="I112" s="339"/>
      <c r="J112" s="335"/>
      <c r="K112" s="335"/>
      <c r="L112" s="353"/>
      <c r="M112" s="335"/>
      <c r="N112" s="310"/>
    </row>
    <row r="113" spans="2:14">
      <c r="B113" s="344">
        <f t="shared" ref="B113:B120" si="5">+B112+1</f>
        <v>58</v>
      </c>
      <c r="C113" s="397"/>
      <c r="D113" s="388" t="s">
        <v>204</v>
      </c>
      <c r="E113" s="310" t="str">
        <f>"(1/8 * ln "&amp;B149&amp;")"</f>
        <v>(1/8 * ln 78)</v>
      </c>
      <c r="F113" s="310"/>
      <c r="G113" s="353">
        <f>+G149/8</f>
        <v>165250</v>
      </c>
      <c r="H113" s="335"/>
      <c r="I113" s="339"/>
      <c r="J113" s="398"/>
      <c r="K113" s="335"/>
      <c r="L113" s="353">
        <f>+L149/8</f>
        <v>153346.94756211923</v>
      </c>
      <c r="M113" s="330"/>
      <c r="N113" s="310"/>
    </row>
    <row r="114" spans="2:14">
      <c r="B114" s="344">
        <f t="shared" si="5"/>
        <v>59</v>
      </c>
      <c r="C114" s="397"/>
      <c r="D114" s="388" t="s">
        <v>335</v>
      </c>
      <c r="E114" s="335" t="s">
        <v>541</v>
      </c>
      <c r="F114" s="335"/>
      <c r="G114" s="353">
        <f>'WS C  - Working Capital'!I17</f>
        <v>2000</v>
      </c>
      <c r="H114" s="569"/>
      <c r="I114" s="339" t="s">
        <v>120</v>
      </c>
      <c r="J114" s="340">
        <f>L231</f>
        <v>0.927969425489375</v>
      </c>
      <c r="K114" s="335"/>
      <c r="L114" s="353">
        <f>+J114*G114</f>
        <v>1855.93885097875</v>
      </c>
      <c r="M114" s="335"/>
      <c r="N114" s="310"/>
    </row>
    <row r="115" spans="2:14">
      <c r="B115" s="344">
        <f t="shared" si="5"/>
        <v>60</v>
      </c>
      <c r="C115" s="397"/>
      <c r="D115" s="388" t="s">
        <v>336</v>
      </c>
      <c r="E115" s="335" t="s">
        <v>542</v>
      </c>
      <c r="F115" s="335"/>
      <c r="G115" s="353">
        <f>'WS C  - Working Capital'!I19</f>
        <v>2000</v>
      </c>
      <c r="H115" s="569"/>
      <c r="I115" s="339" t="s">
        <v>132</v>
      </c>
      <c r="J115" s="340">
        <f>L241</f>
        <v>2.8634054542100079E-2</v>
      </c>
      <c r="K115" s="335"/>
      <c r="L115" s="353">
        <f>+J115*G115</f>
        <v>57.268109084200155</v>
      </c>
      <c r="M115" s="335"/>
      <c r="N115" s="310"/>
    </row>
    <row r="116" spans="2:14">
      <c r="B116" s="344">
        <f t="shared" si="5"/>
        <v>61</v>
      </c>
      <c r="C116" s="397"/>
      <c r="D116" s="388" t="s">
        <v>529</v>
      </c>
      <c r="E116" s="335" t="s">
        <v>543</v>
      </c>
      <c r="F116" s="335"/>
      <c r="G116" s="353">
        <f>'WS C  - Working Capital'!I21</f>
        <v>0</v>
      </c>
      <c r="H116" s="569"/>
      <c r="I116" s="339" t="s">
        <v>755</v>
      </c>
      <c r="J116" s="340">
        <f>J75</f>
        <v>0.1010155552902622</v>
      </c>
      <c r="K116" s="335"/>
      <c r="L116" s="353">
        <f>+J116*G116</f>
        <v>0</v>
      </c>
      <c r="M116" s="335"/>
      <c r="N116" s="310"/>
    </row>
    <row r="117" spans="2:14">
      <c r="B117" s="344">
        <f t="shared" si="5"/>
        <v>62</v>
      </c>
      <c r="C117" s="397"/>
      <c r="D117" s="388" t="s">
        <v>208</v>
      </c>
      <c r="E117" s="335" t="s">
        <v>572</v>
      </c>
      <c r="F117" s="335"/>
      <c r="G117" s="353">
        <f>'WS C  - Working Capital'!J31</f>
        <v>3387000</v>
      </c>
      <c r="H117" s="569"/>
      <c r="I117" s="339" t="s">
        <v>132</v>
      </c>
      <c r="J117" s="340">
        <f>L241</f>
        <v>2.8634054542100079E-2</v>
      </c>
      <c r="K117" s="335"/>
      <c r="L117" s="353">
        <f>+J117*G117</f>
        <v>96983.542734092975</v>
      </c>
      <c r="M117" s="335"/>
      <c r="N117" s="310"/>
    </row>
    <row r="118" spans="2:14">
      <c r="B118" s="344">
        <f t="shared" si="5"/>
        <v>63</v>
      </c>
      <c r="C118" s="397"/>
      <c r="D118" s="388" t="s">
        <v>209</v>
      </c>
      <c r="E118" s="335" t="s">
        <v>571</v>
      </c>
      <c r="F118" s="335"/>
      <c r="G118" s="353">
        <f>'WS C  - Working Capital'!I31</f>
        <v>856000</v>
      </c>
      <c r="H118" s="569"/>
      <c r="I118" s="339" t="s">
        <v>755</v>
      </c>
      <c r="J118" s="340">
        <f>J75</f>
        <v>0.1010155552902622</v>
      </c>
      <c r="K118" s="335"/>
      <c r="L118" s="353">
        <f>+G118*J118</f>
        <v>86469.315328464436</v>
      </c>
      <c r="M118" s="335"/>
      <c r="N118" s="310"/>
    </row>
    <row r="119" spans="2:14">
      <c r="B119" s="344">
        <f t="shared" si="5"/>
        <v>64</v>
      </c>
      <c r="C119" s="397"/>
      <c r="D119" s="388" t="s">
        <v>305</v>
      </c>
      <c r="E119" s="335" t="s">
        <v>573</v>
      </c>
      <c r="F119" s="335"/>
      <c r="G119" s="353">
        <f>'WS C  - Working Capital'!G31</f>
        <v>0</v>
      </c>
      <c r="H119" s="569"/>
      <c r="I119" s="339" t="s">
        <v>129</v>
      </c>
      <c r="J119" s="340">
        <v>1</v>
      </c>
      <c r="K119" s="335"/>
      <c r="L119" s="353">
        <f>+G119*J119</f>
        <v>0</v>
      </c>
      <c r="M119" s="335"/>
      <c r="N119" s="310"/>
    </row>
    <row r="120" spans="2:14" ht="15.75" thickBot="1">
      <c r="B120" s="344">
        <f t="shared" si="5"/>
        <v>65</v>
      </c>
      <c r="C120" s="397"/>
      <c r="D120" s="388" t="s">
        <v>105</v>
      </c>
      <c r="E120" s="335" t="s">
        <v>574</v>
      </c>
      <c r="F120" s="335"/>
      <c r="G120" s="389">
        <f>'WS C  - Working Capital'!E31</f>
        <v>-2507000</v>
      </c>
      <c r="H120" s="353"/>
      <c r="I120" s="339" t="s">
        <v>127</v>
      </c>
      <c r="J120" s="340">
        <v>0</v>
      </c>
      <c r="K120" s="335"/>
      <c r="L120" s="389">
        <f>+G120*J120</f>
        <v>0</v>
      </c>
      <c r="M120" s="335"/>
      <c r="N120" s="310"/>
    </row>
    <row r="121" spans="2:14">
      <c r="B121" s="344">
        <f>+B120+1</f>
        <v>66</v>
      </c>
      <c r="C121" s="397"/>
      <c r="D121" s="388" t="s">
        <v>44</v>
      </c>
      <c r="E121" s="388" t="str">
        <f>"(sum lns "&amp;B113&amp;" to "&amp;B120&amp;")"</f>
        <v>(sum lns 58 to 65)</v>
      </c>
      <c r="F121" s="330"/>
      <c r="G121" s="353">
        <f>SUM(G113:G120)</f>
        <v>1905250</v>
      </c>
      <c r="H121" s="330"/>
      <c r="I121" s="345"/>
      <c r="J121" s="330"/>
      <c r="K121" s="330"/>
      <c r="L121" s="353">
        <f>SUM(L113:L120)</f>
        <v>338713.0125847396</v>
      </c>
      <c r="M121" s="330"/>
      <c r="N121" s="310"/>
    </row>
    <row r="122" spans="2:14">
      <c r="B122" s="344"/>
      <c r="C122" s="345"/>
      <c r="D122" s="388"/>
      <c r="E122" s="330"/>
      <c r="F122" s="330"/>
      <c r="G122" s="353"/>
      <c r="H122" s="330"/>
      <c r="I122" s="345"/>
      <c r="J122" s="330"/>
      <c r="K122" s="330"/>
      <c r="L122" s="353"/>
      <c r="M122" s="330"/>
      <c r="N122" s="310"/>
    </row>
    <row r="123" spans="2:14">
      <c r="B123" s="344">
        <f>+B121+1</f>
        <v>67</v>
      </c>
      <c r="C123" s="345"/>
      <c r="D123" s="388" t="s">
        <v>31</v>
      </c>
      <c r="E123" s="356" t="s">
        <v>544</v>
      </c>
      <c r="F123" s="330"/>
      <c r="G123" s="353">
        <f>+'WS D IPP Credits'!C23</f>
        <v>0</v>
      </c>
      <c r="H123" s="330"/>
      <c r="I123" s="461" t="s">
        <v>129</v>
      </c>
      <c r="J123" s="340">
        <v>1</v>
      </c>
      <c r="K123" s="335"/>
      <c r="L123" s="353">
        <f>+J123*G123</f>
        <v>0</v>
      </c>
      <c r="M123" s="330"/>
      <c r="N123" s="310"/>
    </row>
    <row r="124" spans="2:14" ht="15.75" thickBot="1">
      <c r="B124" s="344"/>
      <c r="C124" s="310"/>
      <c r="D124" s="469"/>
      <c r="E124" s="335"/>
      <c r="F124" s="335"/>
      <c r="G124" s="389"/>
      <c r="H124" s="335"/>
      <c r="I124" s="339"/>
      <c r="J124" s="335"/>
      <c r="K124" s="335"/>
      <c r="L124" s="389"/>
      <c r="M124" s="335"/>
      <c r="N124" s="310"/>
    </row>
    <row r="125" spans="2:14" ht="15.75" thickBot="1">
      <c r="B125" s="344">
        <f>+B123+1</f>
        <v>68</v>
      </c>
      <c r="C125" s="345"/>
      <c r="D125" s="356" t="str">
        <f>"RATE BASE  (sum lns "&amp;B95&amp;", "&amp;B104&amp;", "&amp;B106&amp;", "&amp;B108&amp;", "&amp;B110&amp;", "&amp;B121&amp;", "&amp;B123&amp;")"</f>
        <v>RATE BASE  (sum lns 46, 53, 54, 55, 56, 66, 67)</v>
      </c>
      <c r="E125" s="335"/>
      <c r="F125" s="335"/>
      <c r="G125" s="1096">
        <f>+G121+G106+G104+G95+G123+G108+G110</f>
        <v>681465250</v>
      </c>
      <c r="H125" s="335"/>
      <c r="I125" s="335"/>
      <c r="J125" s="398"/>
      <c r="K125" s="335"/>
      <c r="L125" s="1096">
        <f>+L121+L106+L104+L95+L123+L108+L110</f>
        <v>103185072.24090236</v>
      </c>
      <c r="M125" s="335"/>
      <c r="N125" s="310"/>
    </row>
    <row r="126" spans="2:14" ht="16.5" thickTop="1">
      <c r="B126" s="319"/>
      <c r="C126" s="360"/>
      <c r="D126" s="360"/>
      <c r="E126" s="360"/>
      <c r="F126" s="360"/>
      <c r="G126" s="360"/>
      <c r="H126" s="360"/>
      <c r="I126" s="309"/>
      <c r="J126" s="309"/>
      <c r="K126" s="309"/>
      <c r="L126" s="1054"/>
      <c r="M126" s="310"/>
      <c r="N126" s="310"/>
    </row>
    <row r="127" spans="2:14">
      <c r="B127" s="412"/>
      <c r="C127" s="320"/>
      <c r="D127" s="311"/>
      <c r="E127" s="317"/>
      <c r="F127" s="317"/>
      <c r="G127" s="317"/>
      <c r="H127" s="317"/>
      <c r="I127" s="317"/>
      <c r="J127" s="317"/>
      <c r="K127" s="317"/>
      <c r="L127" s="317"/>
      <c r="M127" s="335"/>
      <c r="N127" s="310"/>
    </row>
    <row r="128" spans="2:14">
      <c r="B128" s="412"/>
      <c r="C128" s="320"/>
      <c r="D128" s="311"/>
      <c r="E128" s="317"/>
      <c r="F128" s="348" t="str">
        <f>F54</f>
        <v xml:space="preserve">AEP East Companies </v>
      </c>
      <c r="G128" s="348"/>
      <c r="H128" s="317"/>
      <c r="I128" s="317"/>
      <c r="J128" s="317"/>
      <c r="K128" s="317"/>
      <c r="L128" s="317"/>
      <c r="M128" s="413"/>
      <c r="N128" s="310"/>
    </row>
    <row r="129" spans="2:15">
      <c r="B129" s="412"/>
      <c r="C129" s="320"/>
      <c r="D129" s="311"/>
      <c r="E129" s="317"/>
      <c r="F129" s="348" t="str">
        <f>F55</f>
        <v>Transmission Cost of Service Formula Rate</v>
      </c>
      <c r="G129" s="348"/>
      <c r="H129" s="317"/>
      <c r="I129" s="317"/>
      <c r="J129" s="317"/>
      <c r="K129" s="317"/>
      <c r="L129" s="317"/>
      <c r="M129" s="413"/>
      <c r="N129" s="310"/>
    </row>
    <row r="130" spans="2:15">
      <c r="B130" s="412"/>
      <c r="C130" s="320"/>
      <c r="E130" s="317"/>
      <c r="F130" s="348" t="str">
        <f>F56</f>
        <v>Utilizing  Actual/Projected FERC Form 1 Data</v>
      </c>
      <c r="G130" s="317"/>
      <c r="H130" s="317"/>
      <c r="I130" s="317"/>
      <c r="J130" s="317"/>
      <c r="K130" s="317"/>
      <c r="L130" s="317"/>
      <c r="M130" s="370"/>
      <c r="N130" s="310"/>
    </row>
    <row r="131" spans="2:15">
      <c r="B131" s="412"/>
      <c r="C131" s="320"/>
      <c r="E131" s="317"/>
      <c r="F131" s="348"/>
      <c r="G131" s="317"/>
      <c r="H131" s="317"/>
      <c r="I131" s="317"/>
      <c r="J131" s="317"/>
      <c r="K131" s="317"/>
      <c r="L131" s="317"/>
      <c r="M131" s="335"/>
      <c r="N131" s="310"/>
    </row>
    <row r="132" spans="2:15">
      <c r="B132" s="412"/>
      <c r="C132" s="320"/>
      <c r="E132" s="414"/>
      <c r="F132" s="348" t="str">
        <f>F58</f>
        <v>WHEELING POWER COMPANY</v>
      </c>
      <c r="G132" s="414"/>
      <c r="H132" s="415"/>
      <c r="I132" s="414"/>
      <c r="J132" s="414"/>
      <c r="K132" s="414"/>
      <c r="M132" s="335"/>
      <c r="N132" s="310"/>
    </row>
    <row r="133" spans="2:15">
      <c r="B133" s="412"/>
      <c r="C133" s="320"/>
      <c r="E133" s="414"/>
      <c r="F133" s="348"/>
      <c r="G133" s="414"/>
      <c r="H133" s="415"/>
      <c r="I133" s="414"/>
      <c r="J133" s="414"/>
      <c r="K133" s="414"/>
      <c r="M133" s="335"/>
      <c r="N133" s="310"/>
    </row>
    <row r="134" spans="2:15">
      <c r="B134" s="412"/>
      <c r="D134" s="320" t="s">
        <v>121</v>
      </c>
      <c r="E134" s="320" t="s">
        <v>122</v>
      </c>
      <c r="F134" s="320"/>
      <c r="G134" s="320" t="s">
        <v>123</v>
      </c>
      <c r="H134" s="335"/>
      <c r="I134" s="1431" t="s">
        <v>124</v>
      </c>
      <c r="J134" s="1435"/>
      <c r="K134" s="317"/>
      <c r="L134" s="321" t="s">
        <v>125</v>
      </c>
      <c r="M134" s="335"/>
      <c r="N134" s="417"/>
    </row>
    <row r="135" spans="2:15" ht="15.75">
      <c r="B135" s="412"/>
      <c r="D135" s="320"/>
      <c r="E135" s="320"/>
      <c r="F135" s="320"/>
      <c r="G135" s="320"/>
      <c r="H135" s="335"/>
      <c r="I135" s="317"/>
      <c r="J135" s="372"/>
      <c r="K135" s="317"/>
      <c r="M135" s="335"/>
      <c r="N135" s="418"/>
      <c r="O135" s="419"/>
    </row>
    <row r="136" spans="2:15" ht="15.75">
      <c r="B136" s="412"/>
      <c r="C136" s="320"/>
      <c r="D136" s="420" t="s">
        <v>101</v>
      </c>
      <c r="E136" s="374" t="str">
        <f>E62</f>
        <v>Data Sources</v>
      </c>
      <c r="F136" s="375"/>
      <c r="G136" s="317"/>
      <c r="H136" s="335"/>
      <c r="I136" s="317"/>
      <c r="J136" s="320"/>
      <c r="K136" s="317"/>
      <c r="L136" s="374" t="str">
        <f>L62</f>
        <v>Total</v>
      </c>
      <c r="M136" s="310"/>
      <c r="N136" s="418"/>
      <c r="O136" s="419"/>
    </row>
    <row r="137" spans="2:15" ht="15.75">
      <c r="B137" s="412"/>
      <c r="C137" s="327"/>
      <c r="D137" s="377" t="s">
        <v>102</v>
      </c>
      <c r="E137" s="421" t="str">
        <f>E63</f>
        <v>(See "General Notes")</v>
      </c>
      <c r="F137" s="317"/>
      <c r="G137" s="421" t="str">
        <f>G63</f>
        <v>TO Total</v>
      </c>
      <c r="H137" s="422"/>
      <c r="I137" s="1433" t="str">
        <f>I63</f>
        <v>Allocator</v>
      </c>
      <c r="J137" s="1434"/>
      <c r="K137" s="379"/>
      <c r="L137" s="421" t="str">
        <f>L63</f>
        <v>Transmission</v>
      </c>
      <c r="M137" s="335"/>
      <c r="N137" s="418"/>
      <c r="O137" s="419"/>
    </row>
    <row r="138" spans="2:15" ht="15.75">
      <c r="B138" s="319" t="str">
        <f>B64</f>
        <v>Line</v>
      </c>
      <c r="D138" s="311"/>
      <c r="E138" s="317"/>
      <c r="F138" s="317"/>
      <c r="G138" s="377"/>
      <c r="H138" s="423"/>
      <c r="I138" s="420"/>
      <c r="K138" s="424"/>
      <c r="L138" s="377"/>
      <c r="M138" s="335"/>
      <c r="N138" s="310"/>
    </row>
    <row r="139" spans="2:15">
      <c r="B139" s="319" t="str">
        <f>B65</f>
        <v>No.</v>
      </c>
      <c r="C139" s="320"/>
      <c r="D139" s="311" t="s">
        <v>103</v>
      </c>
      <c r="E139" s="317"/>
      <c r="F139" s="317"/>
      <c r="G139" s="317"/>
      <c r="H139" s="335"/>
      <c r="I139" s="348"/>
      <c r="J139" s="317"/>
      <c r="K139" s="317"/>
      <c r="L139" s="317"/>
      <c r="M139" s="335"/>
      <c r="N139" s="310"/>
    </row>
    <row r="140" spans="2:15">
      <c r="B140" s="319">
        <f>+B125+1</f>
        <v>69</v>
      </c>
      <c r="C140" s="320"/>
      <c r="D140" s="311" t="s">
        <v>126</v>
      </c>
      <c r="E140" s="317" t="s">
        <v>10</v>
      </c>
      <c r="F140" s="317"/>
      <c r="G140" s="1422">
        <v>202386000</v>
      </c>
      <c r="H140" s="335"/>
      <c r="I140" s="348"/>
      <c r="J140" s="340"/>
      <c r="K140" s="317"/>
      <c r="L140" s="353"/>
      <c r="M140" s="335"/>
      <c r="N140" s="310"/>
    </row>
    <row r="141" spans="2:15">
      <c r="B141" s="319">
        <f>+B140+1</f>
        <v>70</v>
      </c>
      <c r="C141" s="320"/>
      <c r="D141" s="356" t="s">
        <v>130</v>
      </c>
      <c r="E141" s="317" t="s">
        <v>11</v>
      </c>
      <c r="F141" s="335"/>
      <c r="G141" s="1422">
        <v>14655000</v>
      </c>
      <c r="H141" s="335"/>
      <c r="I141" s="348"/>
      <c r="J141" s="340"/>
      <c r="K141" s="317"/>
      <c r="L141" s="353"/>
      <c r="M141" s="335"/>
      <c r="N141" s="310"/>
    </row>
    <row r="142" spans="2:15">
      <c r="B142" s="319">
        <f t="shared" ref="B142:B147" si="6">+B141+1</f>
        <v>71</v>
      </c>
      <c r="C142" s="320"/>
      <c r="D142" s="356" t="s">
        <v>246</v>
      </c>
      <c r="E142" s="317" t="s">
        <v>202</v>
      </c>
      <c r="F142" s="335"/>
      <c r="G142" s="1422">
        <v>1713000</v>
      </c>
      <c r="H142" s="335"/>
      <c r="I142" s="339"/>
      <c r="J142" s="340"/>
      <c r="K142" s="335"/>
      <c r="L142" s="353"/>
      <c r="M142" s="335"/>
      <c r="N142" s="310"/>
    </row>
    <row r="143" spans="2:15">
      <c r="B143" s="319">
        <f t="shared" si="6"/>
        <v>72</v>
      </c>
      <c r="C143" s="320"/>
      <c r="D143" s="356" t="s">
        <v>247</v>
      </c>
      <c r="E143" s="317" t="s">
        <v>417</v>
      </c>
      <c r="F143" s="335"/>
      <c r="G143" s="1422">
        <v>951000</v>
      </c>
      <c r="H143" s="335"/>
      <c r="I143" s="339"/>
      <c r="J143" s="340"/>
      <c r="K143" s="335"/>
      <c r="L143" s="353"/>
      <c r="M143" s="335"/>
      <c r="N143" s="310"/>
    </row>
    <row r="144" spans="2:15" ht="15.75" thickBot="1">
      <c r="B144" s="319">
        <f t="shared" si="6"/>
        <v>73</v>
      </c>
      <c r="C144" s="320"/>
      <c r="D144" s="356" t="s">
        <v>135</v>
      </c>
      <c r="E144" s="317" t="s">
        <v>416</v>
      </c>
      <c r="F144" s="335"/>
      <c r="G144" s="1423">
        <v>86329000</v>
      </c>
      <c r="H144" s="353"/>
      <c r="I144" s="360"/>
      <c r="J144" s="360"/>
      <c r="K144" s="322"/>
      <c r="L144" s="322"/>
      <c r="M144" s="330"/>
      <c r="N144" s="335"/>
      <c r="O144" s="317"/>
    </row>
    <row r="145" spans="2:15">
      <c r="B145" s="319">
        <f t="shared" si="6"/>
        <v>74</v>
      </c>
      <c r="C145" s="320"/>
      <c r="D145" s="356" t="s">
        <v>248</v>
      </c>
      <c r="E145" s="335" t="str">
        <f>"(sum lns "&amp;B140&amp;"  to "&amp;B144&amp;")"</f>
        <v>(sum lns 69  to 73)</v>
      </c>
      <c r="F145" s="335"/>
      <c r="G145" s="353">
        <f>SUM(G140:G144)</f>
        <v>306034000</v>
      </c>
      <c r="H145" s="353"/>
      <c r="I145" s="360"/>
      <c r="J145" s="360"/>
      <c r="K145" s="322"/>
      <c r="L145" s="322"/>
      <c r="M145" s="330"/>
      <c r="N145" s="335"/>
      <c r="O145" s="317"/>
    </row>
    <row r="146" spans="2:15">
      <c r="B146" s="319">
        <f t="shared" si="6"/>
        <v>75</v>
      </c>
      <c r="C146" s="320"/>
      <c r="D146" s="356" t="s">
        <v>328</v>
      </c>
      <c r="E146" s="335" t="str">
        <f>"(Note G) (Worksheet F, ln "&amp;'WS F Misc Exp'!A33&amp;".C)"</f>
        <v>(Note G) (Worksheet F, ln 14.C)</v>
      </c>
      <c r="F146" s="335"/>
      <c r="G146" s="353">
        <f>'WS F Misc Exp'!D33</f>
        <v>1401000</v>
      </c>
      <c r="H146" s="353"/>
      <c r="I146" s="360"/>
      <c r="J146" s="360"/>
      <c r="K146" s="322"/>
      <c r="L146" s="322"/>
      <c r="M146" s="330"/>
      <c r="N146" s="335"/>
      <c r="O146" s="317"/>
    </row>
    <row r="147" spans="2:15">
      <c r="B147" s="319">
        <f t="shared" si="6"/>
        <v>76</v>
      </c>
      <c r="C147" s="320"/>
      <c r="D147" s="356" t="s">
        <v>23</v>
      </c>
      <c r="E147" s="335" t="s">
        <v>100</v>
      </c>
      <c r="F147" s="335"/>
      <c r="G147" s="1422">
        <v>83606000</v>
      </c>
      <c r="H147" s="353"/>
      <c r="I147" s="360"/>
      <c r="J147" s="360"/>
      <c r="K147" s="322"/>
      <c r="L147" s="322"/>
      <c r="M147" s="330"/>
      <c r="N147" s="335"/>
      <c r="O147" s="317"/>
    </row>
    <row r="148" spans="2:15" ht="15.75" thickBot="1">
      <c r="B148" s="319">
        <f>+B147+1</f>
        <v>77</v>
      </c>
      <c r="C148" s="345"/>
      <c r="D148" s="356" t="s">
        <v>332</v>
      </c>
      <c r="E148" s="335" t="s">
        <v>480</v>
      </c>
      <c r="F148" s="335"/>
      <c r="G148" s="389">
        <f>+'WS F Misc Exp'!D21</f>
        <v>0</v>
      </c>
      <c r="H148" s="353"/>
      <c r="I148" s="406"/>
      <c r="J148" s="406"/>
      <c r="K148" s="322"/>
      <c r="L148" s="322"/>
      <c r="M148" s="330"/>
      <c r="N148" s="335"/>
      <c r="O148" s="317"/>
    </row>
    <row r="149" spans="2:15">
      <c r="B149" s="319">
        <f>+B148+1</f>
        <v>78</v>
      </c>
      <c r="C149" s="320"/>
      <c r="D149" s="356" t="s">
        <v>384</v>
      </c>
      <c r="E149" s="317" t="str">
        <f>"(lns "&amp;B144&amp;" - "&amp;B146&amp;" - "&amp;B147&amp;" - "&amp;B148&amp;")"</f>
        <v>(lns 73 - 75 - 76 - 77)</v>
      </c>
      <c r="F149" s="356"/>
      <c r="G149" s="353">
        <f>G144-G146-G147-G148</f>
        <v>1322000</v>
      </c>
      <c r="H149" s="335"/>
      <c r="I149" s="348" t="s">
        <v>120</v>
      </c>
      <c r="J149" s="340">
        <f>L231</f>
        <v>0.927969425489375</v>
      </c>
      <c r="K149" s="335"/>
      <c r="L149" s="353">
        <f>+J149*G149</f>
        <v>1226775.5804969538</v>
      </c>
      <c r="M149" s="330"/>
      <c r="N149" s="335"/>
      <c r="O149" s="317"/>
    </row>
    <row r="150" spans="2:15">
      <c r="B150" s="319"/>
      <c r="C150" s="320"/>
      <c r="D150" s="356"/>
      <c r="E150" s="335"/>
      <c r="F150" s="335"/>
      <c r="G150" s="425"/>
      <c r="H150" s="353"/>
      <c r="I150" s="360"/>
      <c r="J150" s="360"/>
      <c r="K150" s="322"/>
      <c r="L150" s="322"/>
      <c r="M150" s="330"/>
      <c r="N150" s="335"/>
      <c r="O150" s="317"/>
    </row>
    <row r="151" spans="2:15">
      <c r="B151" s="319">
        <f>+B149+1</f>
        <v>79</v>
      </c>
      <c r="C151" s="320"/>
      <c r="D151" s="311" t="s">
        <v>104</v>
      </c>
      <c r="E151" s="335" t="s">
        <v>746</v>
      </c>
      <c r="F151" s="335"/>
      <c r="G151" s="1422">
        <v>7010000</v>
      </c>
      <c r="H151" s="353"/>
      <c r="I151" s="401"/>
      <c r="J151" s="401"/>
      <c r="K151" s="317"/>
      <c r="L151" s="400"/>
      <c r="M151" s="335"/>
      <c r="N151" s="335"/>
      <c r="O151" s="317"/>
    </row>
    <row r="152" spans="2:15">
      <c r="B152" s="319">
        <f t="shared" ref="B152:B165" si="7">+B151+1</f>
        <v>80</v>
      </c>
      <c r="C152" s="320"/>
      <c r="D152" s="356" t="s">
        <v>330</v>
      </c>
      <c r="E152" s="317" t="s">
        <v>418</v>
      </c>
      <c r="F152" s="317"/>
      <c r="G152" s="1422">
        <v>499000</v>
      </c>
      <c r="H152" s="353"/>
      <c r="I152" s="401"/>
      <c r="J152" s="311"/>
      <c r="K152" s="317"/>
      <c r="L152" s="400"/>
      <c r="M152" s="404"/>
      <c r="N152" s="335"/>
      <c r="O152" s="317"/>
    </row>
    <row r="153" spans="2:15">
      <c r="B153" s="319">
        <f t="shared" si="7"/>
        <v>81</v>
      </c>
      <c r="C153" s="320"/>
      <c r="D153" s="1217" t="s">
        <v>855</v>
      </c>
      <c r="E153" s="335" t="str">
        <f>"PBOP Worksheet O Line "&amp;'WS O - PBOP'!A37&amp;" &amp; "&amp;'WS O - PBOP'!A39&amp;", (Note K)"</f>
        <v>PBOP Worksheet O Line 9 &amp; 10, (Note K)</v>
      </c>
      <c r="F153" s="317"/>
      <c r="G153" s="1218">
        <f>'WS O - PBOP'!J37+'WS O - PBOP'!J39</f>
        <v>-961000</v>
      </c>
      <c r="H153" s="353"/>
      <c r="I153" s="401"/>
      <c r="J153" s="311"/>
      <c r="K153" s="317"/>
      <c r="L153" s="400"/>
      <c r="M153" s="404"/>
      <c r="N153" s="335"/>
      <c r="O153" s="317"/>
    </row>
    <row r="154" spans="2:15">
      <c r="B154" s="319">
        <f t="shared" si="7"/>
        <v>82</v>
      </c>
      <c r="C154" s="320"/>
      <c r="D154" s="356" t="s">
        <v>856</v>
      </c>
      <c r="E154" s="335" t="str">
        <f>"PBOP Worksheet O  Line "&amp;'WS O - PBOP'!A41&amp;", (Note K)"</f>
        <v>PBOP Worksheet O  Line 11, (Note K)</v>
      </c>
      <c r="F154" s="317"/>
      <c r="G154" s="1218">
        <f>'WS O - PBOP'!J41</f>
        <v>0</v>
      </c>
      <c r="H154" s="353"/>
      <c r="I154" s="401"/>
      <c r="J154" s="311"/>
      <c r="K154" s="317"/>
      <c r="L154" s="400"/>
      <c r="M154" s="404"/>
      <c r="N154" s="335"/>
      <c r="O154" s="317"/>
    </row>
    <row r="155" spans="2:15">
      <c r="B155" s="319">
        <f t="shared" si="7"/>
        <v>83</v>
      </c>
      <c r="C155" s="320"/>
      <c r="D155" s="356" t="s">
        <v>857</v>
      </c>
      <c r="E155" s="335" t="str">
        <f>"PBOP Worksheet O Line "&amp;'WS O - PBOP'!A45&amp;", (Note K)"</f>
        <v>PBOP Worksheet O Line 13, (Note K)</v>
      </c>
      <c r="F155" s="317"/>
      <c r="G155" s="1218">
        <f>'WS O - PBOP'!J45</f>
        <v>-115000</v>
      </c>
      <c r="H155" s="353"/>
      <c r="I155" s="401"/>
      <c r="J155" s="311"/>
      <c r="K155" s="317"/>
      <c r="L155" s="400"/>
      <c r="M155" s="404"/>
      <c r="N155" s="335"/>
      <c r="O155" s="317"/>
    </row>
    <row r="156" spans="2:15">
      <c r="B156" s="319">
        <f t="shared" si="7"/>
        <v>84</v>
      </c>
      <c r="C156" s="320"/>
      <c r="D156" s="311" t="s">
        <v>329</v>
      </c>
      <c r="E156" s="317" t="s">
        <v>96</v>
      </c>
      <c r="F156" s="335"/>
      <c r="G156" s="824">
        <f>'WS F Misc Exp'!D41</f>
        <v>1218000</v>
      </c>
      <c r="H156" s="353"/>
      <c r="I156" s="401"/>
      <c r="J156" s="426"/>
      <c r="K156" s="317"/>
      <c r="L156" s="400"/>
      <c r="M156" s="335"/>
      <c r="N156" s="335"/>
      <c r="O156" s="317"/>
    </row>
    <row r="157" spans="2:15">
      <c r="B157" s="319">
        <f t="shared" si="7"/>
        <v>85</v>
      </c>
      <c r="C157" s="320"/>
      <c r="D157" s="356" t="s">
        <v>107</v>
      </c>
      <c r="E157" s="317" t="s">
        <v>97</v>
      </c>
      <c r="F157" s="335"/>
      <c r="G157" s="824">
        <f>'WS F Misc Exp'!D61</f>
        <v>2000</v>
      </c>
      <c r="H157" s="353"/>
      <c r="I157" s="401"/>
      <c r="J157" s="401"/>
      <c r="K157" s="317"/>
      <c r="L157" s="400"/>
      <c r="M157" s="335"/>
      <c r="N157" s="335"/>
      <c r="O157" s="317"/>
    </row>
    <row r="158" spans="2:15" ht="15.75" thickBot="1">
      <c r="B158" s="319">
        <f t="shared" si="7"/>
        <v>86</v>
      </c>
      <c r="C158" s="320"/>
      <c r="D158" s="356" t="s">
        <v>331</v>
      </c>
      <c r="E158" s="317" t="s">
        <v>98</v>
      </c>
      <c r="F158" s="335"/>
      <c r="G158" s="825">
        <f>'WS F Misc Exp'!D70</f>
        <v>157000</v>
      </c>
      <c r="H158" s="353"/>
      <c r="I158" s="401"/>
      <c r="J158" s="401"/>
      <c r="K158" s="317"/>
      <c r="L158" s="400"/>
      <c r="M158" s="335"/>
      <c r="N158" s="335"/>
      <c r="O158" s="317"/>
    </row>
    <row r="159" spans="2:15">
      <c r="B159" s="319">
        <f t="shared" si="7"/>
        <v>87</v>
      </c>
      <c r="C159" s="320"/>
      <c r="D159" s="311" t="s">
        <v>108</v>
      </c>
      <c r="E159" s="335" t="str">
        <f>"(ln "&amp;B151&amp;" - sum ln "&amp;B152&amp;"  to ln "&amp;B158&amp;")"</f>
        <v>(ln 79 - sum ln 80  to ln 86)</v>
      </c>
      <c r="F159" s="335"/>
      <c r="G159" s="353">
        <f>G151-SUM(G152:G158)</f>
        <v>6210000</v>
      </c>
      <c r="H159" s="353"/>
      <c r="I159" s="348" t="s">
        <v>132</v>
      </c>
      <c r="J159" s="340">
        <f>L241</f>
        <v>2.8634054542100079E-2</v>
      </c>
      <c r="K159" s="317"/>
      <c r="L159" s="400">
        <f>+J159*G159</f>
        <v>177817.4787064415</v>
      </c>
      <c r="M159" s="335"/>
      <c r="N159" s="335"/>
      <c r="O159" s="317"/>
    </row>
    <row r="160" spans="2:15">
      <c r="B160" s="319">
        <f t="shared" si="7"/>
        <v>88</v>
      </c>
      <c r="C160" s="345"/>
      <c r="D160" s="356" t="s">
        <v>197</v>
      </c>
      <c r="E160" s="335" t="str">
        <f>"(ln "&amp;B152&amp;")"</f>
        <v>(ln 80)</v>
      </c>
      <c r="F160" s="335"/>
      <c r="G160" s="353">
        <f>+G152</f>
        <v>499000</v>
      </c>
      <c r="H160" s="353"/>
      <c r="I160" s="348" t="s">
        <v>755</v>
      </c>
      <c r="J160" s="340">
        <f>J75</f>
        <v>0.1010155552902622</v>
      </c>
      <c r="K160" s="335"/>
      <c r="L160" s="353">
        <f>+J160*G160</f>
        <v>50406.762089840835</v>
      </c>
      <c r="M160" s="335"/>
      <c r="N160" s="335"/>
      <c r="O160" s="317"/>
    </row>
    <row r="161" spans="2:15">
      <c r="B161" s="319">
        <f t="shared" si="7"/>
        <v>89</v>
      </c>
      <c r="C161" s="320"/>
      <c r="D161" s="356" t="s">
        <v>230</v>
      </c>
      <c r="E161" s="335" t="str">
        <f>"Worksheet F ln "&amp;'WS F Misc Exp'!A41&amp;".(E) (Note L)"</f>
        <v>Worksheet F ln 20.(E) (Note L)</v>
      </c>
      <c r="F161" s="335"/>
      <c r="G161" s="353">
        <f>+'WS F Misc Exp'!F41</f>
        <v>5000</v>
      </c>
      <c r="H161" s="353"/>
      <c r="I161" s="348" t="s">
        <v>120</v>
      </c>
      <c r="J161" s="340">
        <f>L231</f>
        <v>0.927969425489375</v>
      </c>
      <c r="K161" s="317"/>
      <c r="L161" s="400">
        <f>J161*G161</f>
        <v>4639.8471274468748</v>
      </c>
      <c r="M161" s="335"/>
      <c r="N161" s="335"/>
      <c r="O161" s="317"/>
    </row>
    <row r="162" spans="2:15">
      <c r="B162" s="319">
        <f t="shared" si="7"/>
        <v>90</v>
      </c>
      <c r="C162" s="320"/>
      <c r="D162" s="356" t="s">
        <v>240</v>
      </c>
      <c r="E162" s="335" t="str">
        <f>"Worksheet F ln "&amp;'WS F Misc Exp'!A61&amp;".(E) (Note L)"</f>
        <v>Worksheet F ln 37.(E) (Note L)</v>
      </c>
      <c r="F162" s="335"/>
      <c r="G162" s="338">
        <f>+'WS F Misc Exp'!F61</f>
        <v>0</v>
      </c>
      <c r="H162" s="335"/>
      <c r="I162" s="339" t="s">
        <v>120</v>
      </c>
      <c r="J162" s="340">
        <f>L231</f>
        <v>0.927969425489375</v>
      </c>
      <c r="K162" s="317"/>
      <c r="L162" s="400">
        <f>+J162*G162</f>
        <v>0</v>
      </c>
      <c r="M162" s="335"/>
      <c r="N162" s="335"/>
      <c r="O162" s="317"/>
    </row>
    <row r="163" spans="2:15">
      <c r="B163" s="319">
        <f t="shared" si="7"/>
        <v>91</v>
      </c>
      <c r="C163" s="320"/>
      <c r="D163" s="356" t="s">
        <v>241</v>
      </c>
      <c r="E163" s="335" t="str">
        <f>"Worksheet F ln "&amp;'WS F Misc Exp'!A70&amp;".(E) (Note L)"</f>
        <v>Worksheet F ln 43.(E) (Note L)</v>
      </c>
      <c r="F163" s="335"/>
      <c r="G163" s="338">
        <f>+'WS F Misc Exp'!F70</f>
        <v>7000</v>
      </c>
      <c r="H163" s="427"/>
      <c r="I163" s="339" t="s">
        <v>129</v>
      </c>
      <c r="J163" s="340">
        <v>1</v>
      </c>
      <c r="K163" s="317"/>
      <c r="L163" s="428">
        <f>+J163*G163</f>
        <v>7000</v>
      </c>
      <c r="M163" s="335"/>
      <c r="N163" s="335"/>
      <c r="O163" s="317"/>
    </row>
    <row r="164" spans="2:15">
      <c r="B164" s="319">
        <f t="shared" si="7"/>
        <v>92</v>
      </c>
      <c r="C164" s="320"/>
      <c r="D164" s="356" t="s">
        <v>858</v>
      </c>
      <c r="E164" s="335" t="s">
        <v>860</v>
      </c>
      <c r="F164" s="335"/>
      <c r="G164" s="1275">
        <f>'WS O - PBOP'!E27</f>
        <v>834201</v>
      </c>
      <c r="H164" s="427"/>
      <c r="I164" s="348" t="s">
        <v>132</v>
      </c>
      <c r="J164" s="340">
        <f>L241</f>
        <v>2.8634054542100079E-2</v>
      </c>
      <c r="K164" s="317"/>
      <c r="L164" s="457">
        <f>+J164*G164</f>
        <v>23886.556933074429</v>
      </c>
      <c r="M164" s="335"/>
      <c r="N164" s="335"/>
      <c r="O164" s="317"/>
    </row>
    <row r="165" spans="2:15">
      <c r="B165" s="319">
        <f t="shared" si="7"/>
        <v>93</v>
      </c>
      <c r="C165" s="320"/>
      <c r="D165" s="311" t="s">
        <v>109</v>
      </c>
      <c r="E165" s="335" t="str">
        <f>"(sum lns "&amp;B159&amp;"  to "&amp;B164&amp;")"</f>
        <v>(sum lns 87  to 92)</v>
      </c>
      <c r="F165" s="335"/>
      <c r="G165" s="400">
        <f>SUM(G159:G164)</f>
        <v>7555201</v>
      </c>
      <c r="H165" s="353"/>
      <c r="I165" s="348"/>
      <c r="J165" s="401"/>
      <c r="K165" s="317"/>
      <c r="L165" s="400">
        <f>SUM(L159:L164)</f>
        <v>263750.64485680364</v>
      </c>
      <c r="M165" s="335"/>
      <c r="N165" s="353"/>
      <c r="O165" s="317"/>
    </row>
    <row r="166" spans="2:15" ht="15.75" thickBot="1">
      <c r="B166" s="319"/>
      <c r="C166" s="320"/>
      <c r="D166" s="356"/>
      <c r="E166" s="335"/>
      <c r="F166" s="335"/>
      <c r="G166" s="389"/>
      <c r="H166" s="335"/>
      <c r="I166" s="348"/>
      <c r="J166" s="401"/>
      <c r="K166" s="317"/>
      <c r="L166" s="410"/>
      <c r="M166" s="335"/>
      <c r="N166" s="335"/>
      <c r="O166" s="317"/>
    </row>
    <row r="167" spans="2:15">
      <c r="B167" s="319">
        <f>+B165+1</f>
        <v>94</v>
      </c>
      <c r="C167" s="345"/>
      <c r="D167" s="356" t="s">
        <v>414</v>
      </c>
      <c r="E167" s="335" t="str">
        <f>"(ln "&amp;B149&amp;" + ln "&amp;B165&amp;")"</f>
        <v>(ln 78 + ln 93)</v>
      </c>
      <c r="F167" s="335"/>
      <c r="G167" s="353">
        <f>+G149+G165</f>
        <v>8877201</v>
      </c>
      <c r="H167" s="353"/>
      <c r="I167" s="339"/>
      <c r="J167" s="335"/>
      <c r="K167" s="335"/>
      <c r="L167" s="353">
        <f>L149+L165</f>
        <v>1490526.2253537574</v>
      </c>
      <c r="M167" s="335"/>
      <c r="N167" s="335"/>
      <c r="O167" s="317"/>
    </row>
    <row r="168" spans="2:15" ht="15.75" thickBot="1">
      <c r="B168" s="319">
        <f>+B167+1</f>
        <v>95</v>
      </c>
      <c r="C168" s="345"/>
      <c r="D168" s="356" t="s">
        <v>486</v>
      </c>
      <c r="E168" s="356"/>
      <c r="F168" s="335"/>
      <c r="G168" s="825">
        <v>0</v>
      </c>
      <c r="H168" s="353"/>
      <c r="I168" s="348" t="s">
        <v>129</v>
      </c>
      <c r="J168" s="340">
        <v>1</v>
      </c>
      <c r="K168" s="335"/>
      <c r="L168" s="410">
        <f>J168*G168</f>
        <v>0</v>
      </c>
      <c r="M168" s="335"/>
      <c r="N168" s="335"/>
      <c r="O168" s="317"/>
    </row>
    <row r="169" spans="2:15">
      <c r="B169" s="319">
        <f>+B168+1</f>
        <v>96</v>
      </c>
      <c r="C169" s="320"/>
      <c r="D169" s="356" t="s">
        <v>110</v>
      </c>
      <c r="E169" s="335" t="str">
        <f>"(ln "&amp;B167&amp;" + ln "&amp;B168&amp;")"</f>
        <v>(ln 94 + ln 95)</v>
      </c>
      <c r="F169" s="335"/>
      <c r="G169" s="353">
        <f>+G167+G168</f>
        <v>8877201</v>
      </c>
      <c r="H169" s="353"/>
      <c r="I169" s="339"/>
      <c r="J169" s="335"/>
      <c r="K169" s="335"/>
      <c r="L169" s="353">
        <f>+L167+L168</f>
        <v>1490526.2253537574</v>
      </c>
      <c r="M169" s="335"/>
      <c r="N169" s="335"/>
      <c r="O169" s="317"/>
    </row>
    <row r="170" spans="2:15">
      <c r="B170" s="319"/>
      <c r="C170" s="320"/>
      <c r="D170" s="356"/>
      <c r="E170" s="317"/>
      <c r="F170" s="317"/>
      <c r="G170" s="400"/>
      <c r="H170" s="335"/>
      <c r="I170" s="317"/>
      <c r="J170" s="317"/>
      <c r="K170" s="317"/>
      <c r="L170" s="400"/>
      <c r="M170" s="335"/>
      <c r="N170" s="335"/>
      <c r="O170" s="317"/>
    </row>
    <row r="171" spans="2:15">
      <c r="B171" s="319">
        <f>+B169+1</f>
        <v>97</v>
      </c>
      <c r="C171" s="320"/>
      <c r="D171" s="381" t="s">
        <v>113</v>
      </c>
      <c r="E171" s="339"/>
      <c r="F171" s="339"/>
      <c r="G171" s="400"/>
      <c r="H171" s="335"/>
      <c r="I171" s="348"/>
      <c r="J171" s="317"/>
      <c r="K171" s="317"/>
      <c r="L171" s="400"/>
      <c r="M171" s="335"/>
      <c r="N171" s="335"/>
      <c r="O171" s="317"/>
    </row>
    <row r="172" spans="2:15">
      <c r="B172" s="319">
        <f t="shared" ref="B172:B177" si="8">+B171+1</f>
        <v>98</v>
      </c>
      <c r="C172" s="320"/>
      <c r="D172" s="311" t="s">
        <v>126</v>
      </c>
      <c r="E172" s="334" t="s">
        <v>424</v>
      </c>
      <c r="F172" s="339"/>
      <c r="G172" s="1422">
        <v>31571000</v>
      </c>
      <c r="H172" s="335"/>
      <c r="I172" s="348" t="s">
        <v>127</v>
      </c>
      <c r="J172" s="340">
        <v>0</v>
      </c>
      <c r="K172" s="317"/>
      <c r="L172" s="353">
        <f>+G172*J172</f>
        <v>0</v>
      </c>
      <c r="M172" s="335"/>
      <c r="N172" s="335"/>
      <c r="O172" s="317"/>
    </row>
    <row r="173" spans="2:15">
      <c r="B173" s="319">
        <f t="shared" si="8"/>
        <v>99</v>
      </c>
      <c r="C173" s="320"/>
      <c r="D173" s="356" t="s">
        <v>130</v>
      </c>
      <c r="E173" s="334" t="s">
        <v>423</v>
      </c>
      <c r="F173" s="339"/>
      <c r="G173" s="1422">
        <v>10938000</v>
      </c>
      <c r="H173" s="335"/>
      <c r="I173" s="348" t="s">
        <v>127</v>
      </c>
      <c r="J173" s="340">
        <v>0</v>
      </c>
      <c r="K173" s="317"/>
      <c r="L173" s="353">
        <f>+G173*J173</f>
        <v>0</v>
      </c>
      <c r="M173" s="335"/>
      <c r="N173" s="335"/>
      <c r="O173" s="317"/>
    </row>
    <row r="174" spans="2:15">
      <c r="B174" s="319">
        <f t="shared" si="8"/>
        <v>100</v>
      </c>
      <c r="C174" s="320"/>
      <c r="D174" s="383" t="str">
        <f>+D144</f>
        <v xml:space="preserve">  Transmission </v>
      </c>
      <c r="E174" s="334" t="s">
        <v>419</v>
      </c>
      <c r="F174" s="429"/>
      <c r="G174" s="1422">
        <v>3198000</v>
      </c>
      <c r="H174" s="430"/>
      <c r="I174" s="431" t="s">
        <v>26</v>
      </c>
      <c r="J174" s="340">
        <f>J80</f>
        <v>0.83151417870518995</v>
      </c>
      <c r="K174" s="432"/>
      <c r="L174" s="433">
        <f>J174*G174</f>
        <v>2659182.3434991976</v>
      </c>
      <c r="M174" s="386"/>
      <c r="N174" s="335"/>
      <c r="O174" s="317"/>
    </row>
    <row r="175" spans="2:15">
      <c r="B175" s="319">
        <f>+B174+1</f>
        <v>101</v>
      </c>
      <c r="C175" s="320"/>
      <c r="D175" s="381" t="s">
        <v>136</v>
      </c>
      <c r="E175" s="429" t="s">
        <v>420</v>
      </c>
      <c r="F175" s="317"/>
      <c r="G175" s="1422">
        <v>420000</v>
      </c>
      <c r="H175" s="353"/>
      <c r="I175" s="348" t="s">
        <v>132</v>
      </c>
      <c r="J175" s="340">
        <f>L241</f>
        <v>2.8634054542100079E-2</v>
      </c>
      <c r="K175" s="317"/>
      <c r="L175" s="400">
        <f>+J175*G175</f>
        <v>12026.302907682033</v>
      </c>
      <c r="M175" s="335"/>
      <c r="N175" s="335"/>
      <c r="O175" s="317"/>
    </row>
    <row r="176" spans="2:15" ht="15.75" thickBot="1">
      <c r="B176" s="319">
        <f t="shared" si="8"/>
        <v>102</v>
      </c>
      <c r="C176" s="320"/>
      <c r="D176" s="381" t="s">
        <v>137</v>
      </c>
      <c r="E176" s="384" t="s">
        <v>421</v>
      </c>
      <c r="F176" s="335"/>
      <c r="G176" s="1423">
        <v>1902000</v>
      </c>
      <c r="H176" s="353"/>
      <c r="I176" s="348" t="s">
        <v>132</v>
      </c>
      <c r="J176" s="340">
        <f>L241</f>
        <v>2.8634054542100079E-2</v>
      </c>
      <c r="K176" s="317"/>
      <c r="L176" s="410">
        <f>+J176*G176</f>
        <v>54461.971739074354</v>
      </c>
      <c r="M176" s="335"/>
      <c r="N176" s="335"/>
      <c r="O176" s="317"/>
    </row>
    <row r="177" spans="2:15">
      <c r="B177" s="319">
        <f t="shared" si="8"/>
        <v>103</v>
      </c>
      <c r="C177" s="320"/>
      <c r="D177" s="381" t="s">
        <v>301</v>
      </c>
      <c r="E177" s="1439" t="str">
        <f>"(Ln "&amp;B172&amp;"+"&amp;B173&amp;"+
"&amp;B174&amp;"+"&amp;B175&amp;"+"&amp;B176&amp;")"</f>
        <v>(Ln 98+99+
100+101+102)</v>
      </c>
      <c r="F177" s="317"/>
      <c r="G177" s="353">
        <f>+G172+G173+G174+G175+G176</f>
        <v>48029000</v>
      </c>
      <c r="H177" s="335"/>
      <c r="I177" s="348"/>
      <c r="J177" s="317"/>
      <c r="K177" s="317"/>
      <c r="L177" s="353">
        <f>+L172+L173+L174+L175+L176</f>
        <v>2725670.6181459539</v>
      </c>
      <c r="M177" s="335"/>
      <c r="N177" s="335"/>
      <c r="O177" s="317"/>
    </row>
    <row r="178" spans="2:15">
      <c r="B178" s="319"/>
      <c r="C178" s="320"/>
      <c r="D178" s="381"/>
      <c r="E178" s="1440"/>
      <c r="F178" s="317"/>
      <c r="G178" s="400"/>
      <c r="H178" s="335"/>
      <c r="I178" s="348"/>
      <c r="J178" s="317"/>
      <c r="K178" s="317"/>
      <c r="L178" s="400"/>
      <c r="M178" s="335"/>
      <c r="N178" s="335"/>
      <c r="O178" s="317"/>
    </row>
    <row r="179" spans="2:15">
      <c r="B179" s="319">
        <f>+B177+1</f>
        <v>104</v>
      </c>
      <c r="C179" s="320"/>
      <c r="D179" s="381" t="s">
        <v>32</v>
      </c>
      <c r="E179" s="310" t="s">
        <v>422</v>
      </c>
      <c r="G179" s="400"/>
      <c r="H179" s="335"/>
      <c r="I179" s="348"/>
      <c r="J179" s="317"/>
      <c r="K179" s="317"/>
      <c r="L179" s="400"/>
      <c r="M179" s="335"/>
      <c r="N179" s="413"/>
      <c r="O179" s="317"/>
    </row>
    <row r="180" spans="2:15">
      <c r="B180" s="319">
        <f t="shared" ref="B180:B185" si="9">+B179+1</f>
        <v>105</v>
      </c>
      <c r="C180" s="320"/>
      <c r="D180" s="381" t="s">
        <v>138</v>
      </c>
      <c r="G180" s="400"/>
      <c r="H180" s="335"/>
      <c r="I180" s="348"/>
      <c r="K180" s="317"/>
      <c r="L180" s="400"/>
      <c r="M180" s="335"/>
      <c r="N180" s="335"/>
      <c r="O180" s="317"/>
    </row>
    <row r="181" spans="2:15">
      <c r="B181" s="319">
        <f t="shared" si="9"/>
        <v>106</v>
      </c>
      <c r="C181" s="320"/>
      <c r="D181" s="381" t="s">
        <v>139</v>
      </c>
      <c r="E181" s="335" t="str">
        <f>"Worksheet H ln "&amp;'WS H Other Taxes'!A41&amp;"."&amp;'WS H Other Taxes'!I10&amp;""</f>
        <v>Worksheet H ln 22.(D)</v>
      </c>
      <c r="F181" s="317"/>
      <c r="G181" s="353">
        <f>+'WS H Other Taxes'!I41</f>
        <v>904000</v>
      </c>
      <c r="H181" s="353"/>
      <c r="I181" s="348" t="s">
        <v>132</v>
      </c>
      <c r="J181" s="340">
        <f>L241</f>
        <v>2.8634054542100079E-2</v>
      </c>
      <c r="K181" s="317"/>
      <c r="L181" s="400">
        <f>+J181*G181</f>
        <v>25885.185306058473</v>
      </c>
      <c r="M181" s="405"/>
      <c r="N181" s="335"/>
      <c r="O181" s="317"/>
    </row>
    <row r="182" spans="2:15">
      <c r="B182" s="319">
        <f t="shared" si="9"/>
        <v>107</v>
      </c>
      <c r="C182" s="320"/>
      <c r="D182" s="381" t="s">
        <v>140</v>
      </c>
      <c r="E182" s="335" t="s">
        <v>114</v>
      </c>
      <c r="F182" s="317"/>
      <c r="G182" s="353"/>
      <c r="H182" s="353"/>
      <c r="I182" s="348"/>
      <c r="K182" s="317"/>
      <c r="L182" s="400"/>
      <c r="M182" s="335"/>
      <c r="N182" s="335"/>
      <c r="O182" s="317"/>
    </row>
    <row r="183" spans="2:15">
      <c r="B183" s="319">
        <f t="shared" si="9"/>
        <v>108</v>
      </c>
      <c r="C183" s="345"/>
      <c r="D183" s="388" t="s">
        <v>141</v>
      </c>
      <c r="E183" s="335" t="str">
        <f>"Worksheet H ln "&amp;'WS H Other Taxes'!A41&amp;"."&amp;'WS H Other Taxes'!G10&amp;""</f>
        <v>Worksheet H ln 22.(C)</v>
      </c>
      <c r="F183" s="335"/>
      <c r="G183" s="353">
        <f>+'WS H Other Taxes'!G41</f>
        <v>6336000</v>
      </c>
      <c r="H183" s="353"/>
      <c r="I183" s="339" t="s">
        <v>129</v>
      </c>
      <c r="J183" s="340"/>
      <c r="K183" s="335"/>
      <c r="L183" s="413">
        <f>'WS H-1-Detail of Tax Amts'!I25</f>
        <v>1857653.9937007693</v>
      </c>
      <c r="M183" s="434"/>
      <c r="N183" s="413"/>
      <c r="O183" s="335"/>
    </row>
    <row r="184" spans="2:15">
      <c r="B184" s="319">
        <f t="shared" si="9"/>
        <v>109</v>
      </c>
      <c r="C184" s="320"/>
      <c r="D184" s="381" t="s">
        <v>200</v>
      </c>
      <c r="E184" s="335" t="str">
        <f>"Worksheet H ln "&amp;'WS H Other Taxes'!A41&amp;"."&amp;'WS H Other Taxes'!M10&amp;""</f>
        <v>Worksheet H ln 22.(F)</v>
      </c>
      <c r="F184" s="317"/>
      <c r="G184" s="353">
        <f>+'WS H Other Taxes'!M41</f>
        <v>12543000</v>
      </c>
      <c r="H184" s="406"/>
      <c r="I184" s="348" t="s">
        <v>127</v>
      </c>
      <c r="J184" s="340">
        <v>0</v>
      </c>
      <c r="K184" s="317"/>
      <c r="L184" s="400">
        <f>+J184*G184</f>
        <v>0</v>
      </c>
      <c r="M184" s="335"/>
      <c r="N184" s="335"/>
      <c r="O184" s="317"/>
    </row>
    <row r="185" spans="2:15" ht="15.75" thickBot="1">
      <c r="B185" s="319">
        <f t="shared" si="9"/>
        <v>110</v>
      </c>
      <c r="C185" s="320"/>
      <c r="D185" s="381" t="s">
        <v>142</v>
      </c>
      <c r="E185" s="335" t="str">
        <f>"Worksheet H ln "&amp;'WS H Other Taxes'!A41&amp;"."&amp;'WS H Other Taxes'!K10&amp;""</f>
        <v>Worksheet H ln 22.(E)</v>
      </c>
      <c r="F185" s="317"/>
      <c r="G185" s="389">
        <f>+'WS H Other Taxes'!K41</f>
        <v>0</v>
      </c>
      <c r="H185" s="406"/>
      <c r="I185" s="348" t="s">
        <v>755</v>
      </c>
      <c r="J185" s="340">
        <f>J75</f>
        <v>0.1010155552902622</v>
      </c>
      <c r="K185" s="317"/>
      <c r="L185" s="410">
        <f>+J185*G185</f>
        <v>0</v>
      </c>
      <c r="M185" s="335"/>
      <c r="N185" s="335"/>
      <c r="O185" s="317"/>
    </row>
    <row r="186" spans="2:15">
      <c r="B186" s="319">
        <f>+B185+1</f>
        <v>111</v>
      </c>
      <c r="C186" s="320"/>
      <c r="D186" s="381" t="s">
        <v>33</v>
      </c>
      <c r="E186" s="347" t="str">
        <f>"(sum lns "&amp;B181&amp;" to "&amp;B185&amp;")"</f>
        <v>(sum lns 106 to 110)</v>
      </c>
      <c r="F186" s="317"/>
      <c r="G186" s="353">
        <f>SUM(G181:G185)</f>
        <v>19783000</v>
      </c>
      <c r="H186" s="335"/>
      <c r="I186" s="348"/>
      <c r="J186" s="435"/>
      <c r="K186" s="317"/>
      <c r="L186" s="400">
        <f>SUM(L181:L185)</f>
        <v>1883539.1790068278</v>
      </c>
      <c r="M186" s="335"/>
      <c r="N186" s="335"/>
      <c r="O186" s="317"/>
    </row>
    <row r="187" spans="2:15">
      <c r="B187" s="319"/>
      <c r="C187" s="320"/>
      <c r="D187" s="381"/>
      <c r="E187" s="317"/>
      <c r="F187" s="317"/>
      <c r="G187" s="317"/>
      <c r="H187" s="335"/>
      <c r="I187" s="348"/>
      <c r="J187" s="435"/>
      <c r="K187" s="317"/>
      <c r="L187" s="317"/>
      <c r="M187" s="403"/>
      <c r="N187" s="335"/>
      <c r="O187" s="317"/>
    </row>
    <row r="188" spans="2:15">
      <c r="B188" s="319">
        <f>+B186+1</f>
        <v>112</v>
      </c>
      <c r="C188" s="320"/>
      <c r="D188" s="381" t="s">
        <v>337</v>
      </c>
      <c r="E188" s="335" t="s">
        <v>425</v>
      </c>
      <c r="F188" s="436"/>
      <c r="G188" s="317"/>
      <c r="H188" s="360"/>
      <c r="I188" s="414"/>
      <c r="K188" s="317"/>
      <c r="L188" s="437"/>
      <c r="M188" s="335"/>
      <c r="N188" s="335"/>
      <c r="O188" s="317"/>
    </row>
    <row r="189" spans="2:15">
      <c r="B189" s="319">
        <f t="shared" ref="B189:B196" si="10">+B188+1</f>
        <v>113</v>
      </c>
      <c r="C189" s="320"/>
      <c r="D189" s="438" t="s">
        <v>338</v>
      </c>
      <c r="E189" s="317"/>
      <c r="F189" s="439"/>
      <c r="G189" s="440">
        <f>IF(F339&gt;0,1-(((1-F340)*(1-F339))/(1-F340*F339*F341)),0)</f>
        <v>0.26027639000000002</v>
      </c>
      <c r="H189" s="441"/>
      <c r="I189" s="441"/>
      <c r="K189" s="442"/>
      <c r="L189" s="437"/>
      <c r="M189" s="335"/>
      <c r="N189" s="335"/>
      <c r="O189" s="317"/>
    </row>
    <row r="190" spans="2:15">
      <c r="B190" s="319">
        <f t="shared" si="10"/>
        <v>114</v>
      </c>
      <c r="C190" s="320"/>
      <c r="D190" s="343" t="s">
        <v>339</v>
      </c>
      <c r="E190" s="317"/>
      <c r="F190" s="439"/>
      <c r="G190" s="440">
        <f>IF(L255&gt;0,($G189/(1-$G189))*(1-$L255/$L258),0)</f>
        <v>0.23541557897971535</v>
      </c>
      <c r="H190" s="441"/>
      <c r="I190" s="441"/>
      <c r="K190" s="442"/>
      <c r="L190" s="437"/>
      <c r="M190" s="335"/>
      <c r="N190" s="335"/>
      <c r="O190" s="317"/>
    </row>
    <row r="191" spans="2:15">
      <c r="B191" s="319">
        <f t="shared" si="10"/>
        <v>115</v>
      </c>
      <c r="C191" s="320"/>
      <c r="D191" s="388" t="str">
        <f>"       where WCLTD=(ln "&amp;B255&amp;") and WACC = (ln "&amp;B258&amp;")"</f>
        <v xml:space="preserve">       where WCLTD=(ln 154) and WACC = (ln 157)</v>
      </c>
      <c r="E191" s="335"/>
      <c r="F191" s="443"/>
      <c r="G191" s="317"/>
      <c r="H191" s="441"/>
      <c r="I191" s="441"/>
      <c r="J191" s="444"/>
      <c r="K191" s="442"/>
      <c r="L191" s="445"/>
      <c r="M191" s="335"/>
      <c r="N191" s="335"/>
      <c r="O191" s="317"/>
    </row>
    <row r="192" spans="2:15">
      <c r="B192" s="319">
        <f t="shared" si="10"/>
        <v>116</v>
      </c>
      <c r="C192" s="320"/>
      <c r="D192" s="381" t="s">
        <v>428</v>
      </c>
      <c r="E192" s="446"/>
      <c r="F192" s="439"/>
      <c r="G192" s="317"/>
      <c r="H192" s="360"/>
      <c r="I192" s="414"/>
      <c r="J192" s="444"/>
      <c r="K192" s="442"/>
      <c r="L192" s="437"/>
      <c r="M192" s="335"/>
      <c r="N192" s="335"/>
      <c r="O192" s="317"/>
    </row>
    <row r="193" spans="2:15">
      <c r="B193" s="319">
        <f t="shared" si="10"/>
        <v>117</v>
      </c>
      <c r="C193" s="320"/>
      <c r="D193" s="447" t="str">
        <f>"      GRCF=1 / (1 - T)  = (from ln "&amp;B189&amp;")"</f>
        <v xml:space="preserve">      GRCF=1 / (1 - T)  = (from ln 113)</v>
      </c>
      <c r="E193" s="436"/>
      <c r="F193" s="436"/>
      <c r="G193" s="448">
        <f>IF(G189&gt;0,1/(1-G189),0)</f>
        <v>1.3518562696680725</v>
      </c>
      <c r="H193" s="360"/>
      <c r="I193" s="365"/>
      <c r="J193" s="449"/>
      <c r="K193" s="450"/>
      <c r="L193" s="451"/>
      <c r="M193" s="335"/>
      <c r="N193" s="335"/>
      <c r="O193" s="317"/>
    </row>
    <row r="194" spans="2:15">
      <c r="B194" s="319">
        <f t="shared" si="10"/>
        <v>118</v>
      </c>
      <c r="C194" s="320"/>
      <c r="D194" s="381" t="s">
        <v>340</v>
      </c>
      <c r="E194" s="401" t="s">
        <v>504</v>
      </c>
      <c r="F194" s="436"/>
      <c r="G194" s="1422">
        <v>0</v>
      </c>
      <c r="H194" s="360"/>
      <c r="I194" s="365"/>
      <c r="J194" s="452"/>
      <c r="K194" s="450"/>
      <c r="L194" s="1288"/>
      <c r="M194" s="339"/>
      <c r="N194" s="335"/>
      <c r="O194" s="317"/>
    </row>
    <row r="195" spans="2:15">
      <c r="B195" s="319">
        <f t="shared" si="10"/>
        <v>119</v>
      </c>
      <c r="C195" s="320"/>
      <c r="D195" s="343" t="s">
        <v>532</v>
      </c>
      <c r="E195" s="335" t="s">
        <v>545</v>
      </c>
      <c r="F195" s="453"/>
      <c r="G195" s="824">
        <v>-1561000</v>
      </c>
      <c r="H195" s="360"/>
      <c r="I195" s="339" t="s">
        <v>129</v>
      </c>
      <c r="J195" s="452"/>
      <c r="K195" s="450"/>
      <c r="L195" s="824">
        <v>-91000</v>
      </c>
      <c r="M195" s="339"/>
      <c r="N195" s="335"/>
      <c r="O195" s="317"/>
    </row>
    <row r="196" spans="2:15">
      <c r="B196" s="319">
        <f t="shared" si="10"/>
        <v>120</v>
      </c>
      <c r="C196" s="320"/>
      <c r="D196" s="469" t="s">
        <v>745</v>
      </c>
      <c r="E196" s="335" t="s">
        <v>545</v>
      </c>
      <c r="F196" s="453"/>
      <c r="G196" s="824">
        <v>1003000</v>
      </c>
      <c r="H196" s="360"/>
      <c r="I196" s="339" t="s">
        <v>129</v>
      </c>
      <c r="J196" s="452"/>
      <c r="K196" s="450"/>
      <c r="L196" s="824">
        <v>38000</v>
      </c>
      <c r="M196" s="339"/>
      <c r="N196" s="335"/>
      <c r="O196" s="317"/>
    </row>
    <row r="197" spans="2:15">
      <c r="B197" s="319"/>
      <c r="C197" s="320"/>
      <c r="D197" s="388"/>
      <c r="E197" s="317"/>
      <c r="F197" s="439"/>
      <c r="G197" s="400"/>
      <c r="H197" s="360"/>
      <c r="I197" s="365"/>
      <c r="J197" s="454"/>
      <c r="K197" s="450"/>
      <c r="L197" s="437"/>
      <c r="M197" s="335"/>
      <c r="N197" s="335"/>
      <c r="O197" s="317"/>
    </row>
    <row r="198" spans="2:15">
      <c r="B198" s="319">
        <f>+B196+1</f>
        <v>121</v>
      </c>
      <c r="C198" s="320"/>
      <c r="D198" s="447" t="s">
        <v>341</v>
      </c>
      <c r="E198" s="453" t="str">
        <f>"(ln "&amp;B190&amp;" * ln "&amp;B205&amp;")"</f>
        <v>(ln 114 * ln 126)</v>
      </c>
      <c r="F198" s="455"/>
      <c r="G198" s="400">
        <f>+G190*G205</f>
        <v>11451131.896733502</v>
      </c>
      <c r="H198" s="360"/>
      <c r="I198" s="365"/>
      <c r="J198" s="454"/>
      <c r="K198" s="400"/>
      <c r="L198" s="400">
        <f>+L205*G190</f>
        <v>1733890.1316017918</v>
      </c>
      <c r="M198" s="335"/>
      <c r="N198" s="335"/>
      <c r="O198" s="317"/>
    </row>
    <row r="199" spans="2:15">
      <c r="B199" s="319">
        <f>+B198+1</f>
        <v>122</v>
      </c>
      <c r="C199" s="320"/>
      <c r="D199" s="469" t="s">
        <v>342</v>
      </c>
      <c r="E199" s="453" t="str">
        <f>"(ln "&amp;B193&amp;" * ln "&amp;B194&amp;")"</f>
        <v>(ln 117 * ln 118)</v>
      </c>
      <c r="F199" s="453"/>
      <c r="G199" s="428">
        <f>G193*G194</f>
        <v>0</v>
      </c>
      <c r="H199" s="360"/>
      <c r="I199" s="339" t="s">
        <v>755</v>
      </c>
      <c r="J199" s="340">
        <f>J75</f>
        <v>0.1010155552902622</v>
      </c>
      <c r="K199" s="400"/>
      <c r="L199" s="428">
        <f>+G199*J199</f>
        <v>0</v>
      </c>
      <c r="M199" s="335"/>
      <c r="N199" s="335"/>
      <c r="O199" s="317"/>
    </row>
    <row r="200" spans="2:15">
      <c r="B200" s="319">
        <f>B199+1</f>
        <v>123</v>
      </c>
      <c r="C200" s="320"/>
      <c r="D200" s="469" t="s">
        <v>532</v>
      </c>
      <c r="E200" s="453" t="str">
        <f>"(ln "&amp;B193&amp;" * ln "&amp;B195&amp;")"</f>
        <v>(ln 117 * ln 119)</v>
      </c>
      <c r="F200" s="453"/>
      <c r="G200" s="428">
        <f>G195*G193</f>
        <v>-2110247.636951861</v>
      </c>
      <c r="H200" s="360"/>
      <c r="I200" s="456"/>
      <c r="J200" s="340"/>
      <c r="K200" s="400"/>
      <c r="L200" s="428">
        <f>L195*G193</f>
        <v>-123018.92053979459</v>
      </c>
      <c r="M200" s="335"/>
      <c r="N200" s="335"/>
      <c r="O200" s="317"/>
    </row>
    <row r="201" spans="2:15">
      <c r="B201" s="319">
        <f>B200+1</f>
        <v>124</v>
      </c>
      <c r="C201" s="320"/>
      <c r="D201" s="469" t="s">
        <v>745</v>
      </c>
      <c r="E201" s="453" t="str">
        <f>"(ln "&amp;B193&amp;" * ln "&amp;B196&amp;")"</f>
        <v>(ln 117 * ln 120)</v>
      </c>
      <c r="F201" s="453"/>
      <c r="G201" s="457">
        <f>G196*G193</f>
        <v>1355911.8384770767</v>
      </c>
      <c r="H201" s="360"/>
      <c r="I201" s="456"/>
      <c r="J201" s="340"/>
      <c r="K201" s="400"/>
      <c r="L201" s="457">
        <f>L196*G193</f>
        <v>51370.538247386758</v>
      </c>
      <c r="M201" s="335"/>
      <c r="N201" s="335"/>
      <c r="O201" s="317"/>
    </row>
    <row r="202" spans="2:15">
      <c r="B202" s="319"/>
      <c r="C202" s="320"/>
      <c r="D202" s="343"/>
      <c r="E202" s="453"/>
      <c r="F202" s="453"/>
      <c r="G202" s="428"/>
      <c r="H202" s="360"/>
      <c r="I202" s="456"/>
      <c r="J202" s="340"/>
      <c r="K202" s="400"/>
      <c r="L202" s="428"/>
      <c r="M202" s="335"/>
      <c r="N202" s="335"/>
      <c r="O202" s="317"/>
    </row>
    <row r="203" spans="2:15">
      <c r="B203" s="319">
        <f>+B201+1</f>
        <v>125</v>
      </c>
      <c r="C203" s="320"/>
      <c r="D203" s="438" t="s">
        <v>35</v>
      </c>
      <c r="E203" s="317" t="str">
        <f>"(sum lns "&amp;B198&amp;" to "&amp;B201&amp;")"</f>
        <v>(sum lns 121 to 124)</v>
      </c>
      <c r="F203" s="453"/>
      <c r="G203" s="367">
        <f>SUM(G198:G201)</f>
        <v>10696796.098258717</v>
      </c>
      <c r="H203" s="360"/>
      <c r="I203" s="365" t="s">
        <v>114</v>
      </c>
      <c r="J203" s="458"/>
      <c r="K203" s="400"/>
      <c r="L203" s="367">
        <f>SUM(L198:L201)</f>
        <v>1662241.749309384</v>
      </c>
      <c r="M203" s="335"/>
      <c r="N203" s="335"/>
      <c r="O203" s="317"/>
    </row>
    <row r="204" spans="2:15">
      <c r="B204" s="319"/>
      <c r="C204" s="320"/>
      <c r="D204" s="381"/>
      <c r="E204" s="317"/>
      <c r="F204" s="317"/>
      <c r="G204" s="317"/>
      <c r="H204" s="335"/>
      <c r="I204" s="348"/>
      <c r="J204" s="435"/>
      <c r="K204" s="317"/>
      <c r="L204" s="317"/>
      <c r="M204" s="335"/>
      <c r="N204" s="335"/>
      <c r="O204" s="317"/>
    </row>
    <row r="205" spans="2:15">
      <c r="B205" s="319">
        <f>+B203+1</f>
        <v>126</v>
      </c>
      <c r="C205" s="320"/>
      <c r="D205" s="447" t="s">
        <v>199</v>
      </c>
      <c r="E205" s="447" t="str">
        <f>"(ln "&amp;B125&amp;" * ln "&amp;B258&amp;")"</f>
        <v>(ln 68 * ln 157)</v>
      </c>
      <c r="F205" s="411"/>
      <c r="G205" s="400">
        <f>+$L258*G125</f>
        <v>48642200.938282818</v>
      </c>
      <c r="H205" s="335"/>
      <c r="I205" s="365"/>
      <c r="J205" s="400"/>
      <c r="K205" s="400"/>
      <c r="L205" s="400">
        <f>+L258*L125</f>
        <v>7365231.0484991008</v>
      </c>
      <c r="M205" s="335"/>
      <c r="N205" s="459"/>
      <c r="O205" s="437"/>
    </row>
    <row r="206" spans="2:15">
      <c r="B206" s="319"/>
      <c r="C206" s="320"/>
      <c r="D206" s="438"/>
      <c r="G206" s="400"/>
      <c r="H206" s="400"/>
      <c r="I206" s="365"/>
      <c r="J206" s="365"/>
      <c r="K206" s="400"/>
      <c r="L206" s="400"/>
      <c r="M206" s="335"/>
      <c r="N206" s="310"/>
    </row>
    <row r="207" spans="2:15">
      <c r="B207" s="319">
        <f>+B205+1</f>
        <v>127</v>
      </c>
      <c r="C207" s="320"/>
      <c r="D207" s="460" t="s">
        <v>99</v>
      </c>
      <c r="F207" s="429"/>
      <c r="G207" s="353">
        <f>-'WS D IPP Credits'!C13</f>
        <v>0</v>
      </c>
      <c r="H207" s="353"/>
      <c r="I207" s="409" t="s">
        <v>129</v>
      </c>
      <c r="J207" s="340">
        <v>1</v>
      </c>
      <c r="K207" s="433"/>
      <c r="L207" s="400">
        <f>+J207*G207</f>
        <v>0</v>
      </c>
      <c r="M207" s="386"/>
      <c r="N207" s="310"/>
    </row>
    <row r="208" spans="2:15">
      <c r="B208" s="319"/>
      <c r="C208" s="320"/>
      <c r="D208" s="460"/>
      <c r="F208" s="429"/>
      <c r="G208" s="353"/>
      <c r="H208" s="353"/>
      <c r="I208" s="409"/>
      <c r="J208" s="340"/>
      <c r="K208" s="433"/>
      <c r="L208" s="400"/>
      <c r="M208" s="386"/>
      <c r="N208" s="310"/>
    </row>
    <row r="209" spans="2:15">
      <c r="B209" s="319">
        <f>+B207+1</f>
        <v>128</v>
      </c>
      <c r="C209" s="320"/>
      <c r="D209" s="460"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10"/>
      <c r="F209" s="384"/>
      <c r="G209" s="353">
        <f>+'WS N - Sale of Plant Held'!O33</f>
        <v>0</v>
      </c>
      <c r="H209" s="353"/>
      <c r="I209" s="461"/>
      <c r="J209" s="340"/>
      <c r="K209" s="387"/>
      <c r="L209" s="353">
        <f>'WS N - Sale of Plant Held'!S33</f>
        <v>0</v>
      </c>
      <c r="M209" s="386"/>
      <c r="N209" s="310"/>
    </row>
    <row r="210" spans="2:15">
      <c r="B210" s="319"/>
      <c r="C210" s="320"/>
      <c r="D210" s="460"/>
      <c r="E210" s="310"/>
      <c r="F210" s="384"/>
      <c r="G210" s="353"/>
      <c r="H210" s="353"/>
      <c r="I210" s="461"/>
      <c r="J210" s="340"/>
      <c r="K210" s="387"/>
      <c r="L210" s="353"/>
      <c r="M210" s="386"/>
      <c r="N210" s="310"/>
    </row>
    <row r="211" spans="2:15">
      <c r="B211" s="319">
        <f>+B209+1</f>
        <v>129</v>
      </c>
      <c r="C211" s="320"/>
      <c r="D211" s="460" t="str">
        <f>" Tax Impact on Net Loss / (Gain) on Sales of Plant Held for Future Use (ln "&amp;B209&amp;" * ln"&amp;B190&amp;")"</f>
        <v xml:space="preserve"> Tax Impact on Net Loss / (Gain) on Sales of Plant Held for Future Use (ln 128 * ln114)</v>
      </c>
      <c r="E211" s="310"/>
      <c r="F211" s="384"/>
      <c r="G211" s="353">
        <f>-+G190*G209</f>
        <v>0</v>
      </c>
      <c r="H211" s="353"/>
      <c r="I211" s="461"/>
      <c r="J211" s="340"/>
      <c r="K211" s="387"/>
      <c r="L211" s="353">
        <f>L209*-G190</f>
        <v>0</v>
      </c>
      <c r="M211" s="386"/>
      <c r="N211" s="310"/>
    </row>
    <row r="212" spans="2:15" ht="15.75" thickBot="1">
      <c r="B212" s="319"/>
      <c r="C212" s="320"/>
      <c r="D212" s="381"/>
      <c r="G212" s="410"/>
      <c r="H212" s="462"/>
      <c r="I212" s="365"/>
      <c r="J212" s="365"/>
      <c r="K212" s="400"/>
      <c r="L212" s="410"/>
      <c r="M212" s="335"/>
      <c r="N212" s="310"/>
    </row>
    <row r="213" spans="2:15" ht="15.75" thickBot="1">
      <c r="B213" s="319">
        <f>+B211+1</f>
        <v>130</v>
      </c>
      <c r="C213" s="320"/>
      <c r="D213" s="305" t="s">
        <v>249</v>
      </c>
      <c r="G213" s="463">
        <f>+G207+G205+G203+G186+G177+G169+G209+G211</f>
        <v>136028198.03654152</v>
      </c>
      <c r="L213" s="463">
        <f>+L207+L205+L203+L186+L177+L169+L209+L211</f>
        <v>15127208.820315024</v>
      </c>
      <c r="M213" s="335"/>
      <c r="N213" s="310"/>
    </row>
    <row r="214" spans="2:15" ht="15.75" thickTop="1">
      <c r="B214" s="319"/>
      <c r="C214" s="320"/>
      <c r="D214" s="311" t="str">
        <f>"    (sum lns "&amp;B169&amp;", "&amp;B177&amp;", "&amp;B186&amp;", "&amp;B203&amp;", "&amp;B205&amp;", "&amp;B207&amp;", "&amp;B209&amp;", "&amp;B211&amp;")"</f>
        <v xml:space="preserve">    (sum lns 96, 103, 111, 125, 126, 127, 128, 129)</v>
      </c>
      <c r="F214" s="464"/>
      <c r="M214" s="335"/>
      <c r="N214" s="310"/>
    </row>
    <row r="215" spans="2:15">
      <c r="B215" s="319"/>
      <c r="C215" s="320"/>
      <c r="F215" s="464"/>
      <c r="M215" s="335"/>
      <c r="N215" s="310"/>
    </row>
    <row r="216" spans="2:15">
      <c r="B216" s="319"/>
      <c r="C216" s="320"/>
      <c r="D216" s="311"/>
      <c r="F216" s="414" t="str">
        <f>F128</f>
        <v xml:space="preserve">AEP East Companies </v>
      </c>
      <c r="M216" s="413"/>
      <c r="N216" s="310"/>
    </row>
    <row r="217" spans="2:15">
      <c r="B217" s="319"/>
      <c r="C217" s="320"/>
      <c r="D217" s="311"/>
      <c r="F217" s="414" t="str">
        <f>F129</f>
        <v>Transmission Cost of Service Formula Rate</v>
      </c>
      <c r="M217" s="413"/>
      <c r="N217" s="310"/>
    </row>
    <row r="218" spans="2:15">
      <c r="B218" s="305"/>
      <c r="C218" s="320"/>
      <c r="F218" s="414" t="str">
        <f>F130</f>
        <v>Utilizing  Actual/Projected FERC Form 1 Data</v>
      </c>
      <c r="M218" s="370"/>
      <c r="N218" s="310"/>
    </row>
    <row r="219" spans="2:15">
      <c r="B219" s="319"/>
      <c r="C219" s="320"/>
      <c r="E219" s="414"/>
      <c r="F219" s="414"/>
      <c r="G219" s="414"/>
      <c r="H219" s="414"/>
      <c r="I219" s="414"/>
      <c r="J219" s="414"/>
      <c r="K219" s="414"/>
      <c r="M219" s="335"/>
      <c r="N219" s="310"/>
    </row>
    <row r="220" spans="2:15">
      <c r="B220" s="319"/>
      <c r="C220" s="320"/>
      <c r="E220" s="311"/>
      <c r="F220" s="414" t="str">
        <f>F132</f>
        <v>WHEELING POWER COMPANY</v>
      </c>
      <c r="G220" s="311"/>
      <c r="H220" s="311"/>
      <c r="I220" s="311"/>
      <c r="J220" s="311"/>
      <c r="K220" s="311"/>
      <c r="L220" s="311"/>
      <c r="M220" s="356"/>
      <c r="N220" s="310"/>
    </row>
    <row r="221" spans="2:15">
      <c r="B221" s="319"/>
      <c r="C221" s="320"/>
      <c r="E221" s="311"/>
      <c r="F221" s="414"/>
      <c r="G221" s="311"/>
      <c r="H221" s="311"/>
      <c r="I221" s="311"/>
      <c r="J221" s="311"/>
      <c r="K221" s="311"/>
      <c r="L221" s="311"/>
      <c r="M221" s="356"/>
      <c r="N221" s="310"/>
    </row>
    <row r="222" spans="2:15" ht="15.75">
      <c r="B222" s="319"/>
      <c r="C222" s="320"/>
      <c r="F222" s="420" t="s">
        <v>40</v>
      </c>
      <c r="H222" s="314"/>
      <c r="I222" s="314"/>
      <c r="J222" s="314"/>
      <c r="K222" s="314"/>
      <c r="L222" s="314"/>
      <c r="M222" s="335"/>
      <c r="N222" s="310"/>
    </row>
    <row r="223" spans="2:15" ht="15.75">
      <c r="B223" s="319"/>
      <c r="C223" s="320"/>
      <c r="D223" s="465"/>
      <c r="E223" s="314"/>
      <c r="F223" s="314"/>
      <c r="G223" s="314"/>
      <c r="H223" s="314"/>
      <c r="I223" s="314"/>
      <c r="J223" s="314"/>
      <c r="K223" s="314"/>
      <c r="L223" s="314"/>
      <c r="M223" s="335"/>
      <c r="N223" s="310"/>
    </row>
    <row r="224" spans="2:15" ht="15.75">
      <c r="B224" s="319" t="s">
        <v>116</v>
      </c>
      <c r="C224" s="320"/>
      <c r="D224" s="465"/>
      <c r="E224" s="314"/>
      <c r="F224" s="314"/>
      <c r="G224" s="314"/>
      <c r="H224" s="314"/>
      <c r="I224" s="314"/>
      <c r="J224" s="314"/>
      <c r="K224" s="314"/>
      <c r="L224" s="314"/>
      <c r="M224" s="335"/>
      <c r="N224" s="310"/>
      <c r="O224" s="310"/>
    </row>
    <row r="225" spans="2:16" ht="15.75" thickBot="1">
      <c r="B225" s="326" t="s">
        <v>117</v>
      </c>
      <c r="C225" s="327"/>
      <c r="D225" s="356" t="s">
        <v>221</v>
      </c>
      <c r="E225" s="330"/>
      <c r="F225" s="330"/>
      <c r="G225" s="330"/>
      <c r="H225" s="330"/>
      <c r="I225" s="330"/>
      <c r="J225" s="330"/>
      <c r="K225" s="310"/>
      <c r="M225" s="335"/>
      <c r="N225" s="310"/>
      <c r="O225" s="310"/>
      <c r="P225" s="322"/>
    </row>
    <row r="226" spans="2:16">
      <c r="B226" s="319">
        <f>+B213+1</f>
        <v>131</v>
      </c>
      <c r="C226" s="320"/>
      <c r="D226" s="330" t="s">
        <v>166</v>
      </c>
      <c r="E226" s="466" t="str">
        <f>"(ln "&amp;B68&amp;")"</f>
        <v>(ln 21)</v>
      </c>
      <c r="F226" s="467"/>
      <c r="H226" s="468"/>
      <c r="I226" s="468"/>
      <c r="J226" s="468"/>
      <c r="K226" s="468"/>
      <c r="L226" s="338">
        <f>+G68</f>
        <v>169553000</v>
      </c>
      <c r="M226" s="335"/>
      <c r="N226" s="310"/>
      <c r="O226" s="310"/>
      <c r="P226" s="322"/>
    </row>
    <row r="227" spans="2:16">
      <c r="B227" s="319">
        <f>+B226+1</f>
        <v>132</v>
      </c>
      <c r="C227" s="320"/>
      <c r="D227" s="330" t="str">
        <f>"  Less transmission plant excluded from PJM Tariff  (Worksheet A, ln "&amp;'WS A - RB Support'!A62&amp;", Col. "&amp;'WS A - RB Support'!E47&amp;") (Note P)"</f>
        <v xml:space="preserve">  Less transmission plant excluded from PJM Tariff  (Worksheet A, ln 42, Col. (d)) (Note P)</v>
      </c>
      <c r="E227" s="469"/>
      <c r="F227" s="469"/>
      <c r="G227" s="470"/>
      <c r="H227" s="469"/>
      <c r="I227" s="469"/>
      <c r="J227" s="469"/>
      <c r="K227" s="469"/>
      <c r="L227" s="824">
        <f>'WS A - RB Support'!E62</f>
        <v>0</v>
      </c>
      <c r="M227" s="335"/>
      <c r="N227" s="310"/>
      <c r="P227" s="322"/>
    </row>
    <row r="228" spans="2:16" ht="15.75" thickBot="1">
      <c r="B228" s="319">
        <f>+B227+1</f>
        <v>133</v>
      </c>
      <c r="C228" s="320"/>
      <c r="D228" s="467" t="str">
        <f>"  Less transmission plant included in OATT Ancillary Services (Worksheet A, ln "&amp;'WS A - RB Support'!A62&amp;", Col. "&amp;'WS A - RB Support'!C47&amp;")  (Note Q)"</f>
        <v xml:space="preserve">  Less transmission plant included in OATT Ancillary Services (Worksheet A, ln 42, Col. (b))  (Note Q)</v>
      </c>
      <c r="E228" s="467"/>
      <c r="F228" s="467"/>
      <c r="G228" s="380"/>
      <c r="H228" s="468"/>
      <c r="I228" s="468"/>
      <c r="J228" s="380"/>
      <c r="K228" s="468"/>
      <c r="L228" s="471">
        <f>'WS A - RB Support'!C62</f>
        <v>12213000</v>
      </c>
      <c r="M228" s="335"/>
      <c r="N228" s="310"/>
      <c r="P228" s="322"/>
    </row>
    <row r="229" spans="2:16">
      <c r="B229" s="319">
        <f>+B228+1</f>
        <v>134</v>
      </c>
      <c r="C229" s="320"/>
      <c r="D229" s="330" t="s">
        <v>222</v>
      </c>
      <c r="E229" s="472" t="str">
        <f>"(ln "&amp;B226&amp;" - ln "&amp;B227&amp;" - ln "&amp;B228&amp;")"</f>
        <v>(ln 131 - ln 132 - ln 133)</v>
      </c>
      <c r="F229" s="467"/>
      <c r="H229" s="468"/>
      <c r="I229" s="468"/>
      <c r="J229" s="380"/>
      <c r="K229" s="468"/>
      <c r="L229" s="338">
        <f>L226-L227-L228</f>
        <v>157340000</v>
      </c>
      <c r="M229" s="335"/>
      <c r="N229" s="310"/>
      <c r="P229" s="322"/>
    </row>
    <row r="230" spans="2:16">
      <c r="B230" s="319"/>
      <c r="C230" s="320"/>
      <c r="D230" s="310"/>
      <c r="E230" s="467"/>
      <c r="F230" s="467"/>
      <c r="G230" s="380"/>
      <c r="H230" s="468"/>
      <c r="I230" s="468"/>
      <c r="J230" s="380"/>
      <c r="K230" s="468"/>
      <c r="L230" s="469"/>
      <c r="M230" s="335"/>
      <c r="N230" s="310"/>
      <c r="P230" s="322"/>
    </row>
    <row r="231" spans="2:16" ht="15.75">
      <c r="B231" s="319">
        <f>+B229+1</f>
        <v>135</v>
      </c>
      <c r="C231" s="320"/>
      <c r="D231" s="330" t="s">
        <v>223</v>
      </c>
      <c r="E231" s="473" t="str">
        <f>"(ln "&amp;B229&amp;" / ln "&amp;B226&amp;")"</f>
        <v>(ln 134 / ln 131)</v>
      </c>
      <c r="F231" s="474"/>
      <c r="H231" s="475"/>
      <c r="I231" s="476"/>
      <c r="J231" s="476"/>
      <c r="K231" s="477" t="s">
        <v>143</v>
      </c>
      <c r="L231" s="478">
        <f>IF(L226&gt;0,L229/L226,0)</f>
        <v>0.927969425489375</v>
      </c>
      <c r="M231" s="335"/>
      <c r="N231" s="310"/>
      <c r="P231" s="322"/>
    </row>
    <row r="232" spans="2:16" ht="15.75">
      <c r="B232" s="319"/>
      <c r="C232" s="320"/>
      <c r="D232" s="479"/>
      <c r="E232" s="330"/>
      <c r="F232" s="330"/>
      <c r="G232" s="480"/>
      <c r="H232" s="330"/>
      <c r="I232" s="345"/>
      <c r="J232" s="330"/>
      <c r="K232" s="330"/>
      <c r="L232" s="314"/>
      <c r="M232" s="335"/>
      <c r="N232" s="310"/>
    </row>
    <row r="233" spans="2:16" ht="30">
      <c r="B233" s="319">
        <f>B231+1</f>
        <v>136</v>
      </c>
      <c r="C233" s="345"/>
      <c r="D233" s="356" t="s">
        <v>41</v>
      </c>
      <c r="E233" s="339" t="s">
        <v>343</v>
      </c>
      <c r="F233" s="339" t="s">
        <v>184</v>
      </c>
      <c r="G233" s="481" t="s">
        <v>214</v>
      </c>
      <c r="H233" s="415" t="s">
        <v>118</v>
      </c>
      <c r="I233" s="348"/>
      <c r="J233" s="317"/>
      <c r="K233" s="317"/>
      <c r="L233" s="317"/>
      <c r="M233" s="335"/>
      <c r="N233" s="310"/>
    </row>
    <row r="234" spans="2:16">
      <c r="B234" s="319">
        <f t="shared" ref="B234:B239" si="11">+B233+1</f>
        <v>137</v>
      </c>
      <c r="C234" s="345"/>
      <c r="D234" s="356" t="s">
        <v>126</v>
      </c>
      <c r="E234" s="317" t="s">
        <v>431</v>
      </c>
      <c r="F234" s="826">
        <v>9235000</v>
      </c>
      <c r="G234" s="826">
        <v>4000</v>
      </c>
      <c r="H234" s="382">
        <f>+F234+G234</f>
        <v>9239000</v>
      </c>
      <c r="I234" s="348" t="s">
        <v>127</v>
      </c>
      <c r="J234" s="340">
        <v>0</v>
      </c>
      <c r="K234" s="482"/>
      <c r="L234" s="400">
        <f>(F234+G234)*J234</f>
        <v>0</v>
      </c>
      <c r="M234" s="335"/>
      <c r="N234" s="310"/>
    </row>
    <row r="235" spans="2:16">
      <c r="B235" s="319">
        <f t="shared" si="11"/>
        <v>138</v>
      </c>
      <c r="C235" s="345"/>
      <c r="D235" s="388" t="s">
        <v>128</v>
      </c>
      <c r="E235" s="335" t="s">
        <v>12</v>
      </c>
      <c r="F235" s="826">
        <v>7000</v>
      </c>
      <c r="G235" s="826">
        <v>373000</v>
      </c>
      <c r="H235" s="382">
        <f>+F235+G235</f>
        <v>380000</v>
      </c>
      <c r="I235" s="345" t="s">
        <v>120</v>
      </c>
      <c r="J235" s="340">
        <f>L231</f>
        <v>0.927969425489375</v>
      </c>
      <c r="K235" s="482"/>
      <c r="L235" s="400">
        <f>(F235+G235)*J235</f>
        <v>352628.38168596249</v>
      </c>
      <c r="M235" s="335"/>
      <c r="N235" s="310"/>
    </row>
    <row r="236" spans="2:16">
      <c r="B236" s="319">
        <f t="shared" si="11"/>
        <v>139</v>
      </c>
      <c r="C236" s="345"/>
      <c r="D236" s="388" t="s">
        <v>226</v>
      </c>
      <c r="E236" s="317" t="s">
        <v>466</v>
      </c>
      <c r="F236" s="826">
        <v>0</v>
      </c>
      <c r="G236" s="826">
        <v>0</v>
      </c>
      <c r="H236" s="382">
        <v>0</v>
      </c>
      <c r="I236" s="348" t="s">
        <v>127</v>
      </c>
      <c r="J236" s="340">
        <v>0</v>
      </c>
      <c r="K236" s="482"/>
      <c r="L236" s="400">
        <f>(F236+G236)*J236</f>
        <v>0</v>
      </c>
      <c r="M236" s="335"/>
      <c r="N236" s="310"/>
    </row>
    <row r="237" spans="2:16">
      <c r="B237" s="319">
        <f t="shared" si="11"/>
        <v>140</v>
      </c>
      <c r="C237" s="345"/>
      <c r="D237" s="388" t="s">
        <v>130</v>
      </c>
      <c r="E237" s="317" t="s">
        <v>429</v>
      </c>
      <c r="F237" s="826">
        <v>1911000</v>
      </c>
      <c r="G237" s="826">
        <v>224000</v>
      </c>
      <c r="H237" s="382">
        <f>+F237+G237</f>
        <v>2135000</v>
      </c>
      <c r="I237" s="348" t="s">
        <v>127</v>
      </c>
      <c r="J237" s="340">
        <v>0</v>
      </c>
      <c r="K237" s="482"/>
      <c r="L237" s="400">
        <f>(F237+G237)*J237</f>
        <v>0</v>
      </c>
      <c r="M237" s="335"/>
      <c r="N237" s="310"/>
    </row>
    <row r="238" spans="2:16" ht="15.75" thickBot="1">
      <c r="B238" s="319">
        <f t="shared" si="11"/>
        <v>141</v>
      </c>
      <c r="C238" s="345"/>
      <c r="D238" s="388" t="s">
        <v>201</v>
      </c>
      <c r="E238" s="317" t="s">
        <v>430</v>
      </c>
      <c r="F238" s="827">
        <v>217000</v>
      </c>
      <c r="G238" s="827">
        <v>344000</v>
      </c>
      <c r="H238" s="483">
        <f>+F238+G238</f>
        <v>561000</v>
      </c>
      <c r="I238" s="348" t="s">
        <v>127</v>
      </c>
      <c r="J238" s="340">
        <v>0</v>
      </c>
      <c r="K238" s="482"/>
      <c r="L238" s="410">
        <f>(F238+G238)*J238</f>
        <v>0</v>
      </c>
      <c r="M238" s="335"/>
      <c r="N238" s="310"/>
    </row>
    <row r="239" spans="2:16" ht="15.75">
      <c r="B239" s="319">
        <f t="shared" si="11"/>
        <v>142</v>
      </c>
      <c r="C239" s="345"/>
      <c r="D239" s="388" t="s">
        <v>118</v>
      </c>
      <c r="E239" s="388" t="str">
        <f>"(sum lns "&amp;B234&amp;" to "&amp;B238&amp;")"</f>
        <v>(sum lns 137 to 141)</v>
      </c>
      <c r="F239" s="335">
        <f>SUM(F234:F238)</f>
        <v>11370000</v>
      </c>
      <c r="G239" s="335">
        <f>SUM(G234:G238)</f>
        <v>945000</v>
      </c>
      <c r="H239" s="335">
        <f>SUM(H234:H238)</f>
        <v>12315000</v>
      </c>
      <c r="I239" s="348"/>
      <c r="J239" s="317"/>
      <c r="K239" s="317"/>
      <c r="L239" s="400">
        <f>SUM(L234:L238)</f>
        <v>352628.38168596249</v>
      </c>
      <c r="M239" s="484"/>
      <c r="N239" s="310"/>
    </row>
    <row r="240" spans="2:16">
      <c r="B240" s="319"/>
      <c r="C240" s="345"/>
      <c r="D240" s="388" t="s">
        <v>114</v>
      </c>
      <c r="E240" s="335" t="s">
        <v>114</v>
      </c>
      <c r="F240" s="335"/>
      <c r="G240" s="310"/>
      <c r="H240" s="335"/>
      <c r="I240" s="414"/>
      <c r="M240" s="310"/>
      <c r="N240" s="310"/>
    </row>
    <row r="241" spans="2:21" ht="15.75">
      <c r="B241" s="319">
        <f>B239+1</f>
        <v>143</v>
      </c>
      <c r="C241" s="320"/>
      <c r="D241" s="381" t="s">
        <v>42</v>
      </c>
      <c r="E241" s="335"/>
      <c r="F241" s="335"/>
      <c r="G241" s="335"/>
      <c r="H241" s="335"/>
      <c r="I241" s="414"/>
      <c r="K241" s="485" t="s">
        <v>43</v>
      </c>
      <c r="L241" s="486">
        <f>L239/(F239+G239)</f>
        <v>2.8634054542100079E-2</v>
      </c>
      <c r="M241" s="310"/>
      <c r="N241" s="310"/>
    </row>
    <row r="242" spans="2:21">
      <c r="B242" s="319"/>
      <c r="C242" s="320"/>
      <c r="D242" s="381"/>
      <c r="E242" s="335"/>
      <c r="F242" s="335"/>
      <c r="G242" s="335"/>
      <c r="H242" s="335"/>
      <c r="I242" s="348"/>
      <c r="J242" s="317"/>
      <c r="K242" s="317"/>
      <c r="L242" s="317"/>
      <c r="M242" s="335"/>
      <c r="N242" s="310"/>
    </row>
    <row r="243" spans="2:21" ht="15.75">
      <c r="B243" s="319"/>
      <c r="C243" s="320"/>
      <c r="D243" s="381"/>
      <c r="E243" s="464"/>
      <c r="F243" s="317"/>
      <c r="H243" s="317"/>
      <c r="I243" s="317"/>
      <c r="J243" s="317"/>
      <c r="K243" s="379"/>
      <c r="L243" s="487"/>
      <c r="M243" s="335"/>
      <c r="N243" s="310"/>
    </row>
    <row r="244" spans="2:21" ht="15.75" thickBot="1">
      <c r="B244" s="319">
        <f>+B241+1</f>
        <v>144</v>
      </c>
      <c r="C244" s="345"/>
      <c r="D244" s="388" t="s">
        <v>198</v>
      </c>
      <c r="E244" s="335"/>
      <c r="F244" s="335"/>
      <c r="G244" s="335"/>
      <c r="H244" s="335"/>
      <c r="I244" s="335"/>
      <c r="J244" s="335"/>
      <c r="K244" s="335"/>
      <c r="L244" s="488" t="s">
        <v>144</v>
      </c>
      <c r="M244" s="335"/>
      <c r="N244" s="310"/>
    </row>
    <row r="245" spans="2:21">
      <c r="B245" s="319">
        <f t="shared" ref="B245:B252" si="12">+B244+1</f>
        <v>145</v>
      </c>
      <c r="C245" s="345"/>
      <c r="D245" s="335" t="s">
        <v>219</v>
      </c>
      <c r="E245" s="310" t="str">
        <f>"(Worksheet M, ln. "&amp;'WS M - Cost of Capital'!A56&amp;", col. "&amp;'WS M - Cost of Capital'!E47&amp;")"</f>
        <v>(Worksheet M, ln. 37, col. (d))</v>
      </c>
      <c r="F245" s="335"/>
      <c r="G245" s="335"/>
      <c r="H245" s="335"/>
      <c r="I245" s="335"/>
      <c r="J245" s="335"/>
      <c r="K245" s="335"/>
      <c r="L245" s="353">
        <f>'WS M - Cost of Capital'!E56</f>
        <v>23991000</v>
      </c>
      <c r="M245" s="335"/>
      <c r="N245" s="310"/>
    </row>
    <row r="246" spans="2:21">
      <c r="B246" s="319">
        <f t="shared" si="12"/>
        <v>146</v>
      </c>
      <c r="C246" s="345"/>
      <c r="D246" s="335" t="s">
        <v>220</v>
      </c>
      <c r="E246" s="310" t="str">
        <f>"(Worksheet M, ln. "&amp;'WS M - Cost of Capital'!A103&amp;")"</f>
        <v>(Worksheet M, ln. 71)</v>
      </c>
      <c r="F246" s="335"/>
      <c r="G246" s="335"/>
      <c r="H246" s="335"/>
      <c r="I246" s="335"/>
      <c r="J246" s="335"/>
      <c r="K246" s="335"/>
      <c r="L246" s="353">
        <f>'WS M - Cost of Capital'!E103</f>
        <v>0</v>
      </c>
      <c r="M246" s="335"/>
      <c r="N246" s="310"/>
    </row>
    <row r="247" spans="2:21">
      <c r="B247" s="319">
        <f t="shared" si="12"/>
        <v>147</v>
      </c>
      <c r="C247" s="345"/>
      <c r="D247" s="489" t="s">
        <v>242</v>
      </c>
      <c r="E247" s="335"/>
      <c r="F247" s="335"/>
      <c r="G247" s="335"/>
      <c r="H247" s="404"/>
      <c r="I247" s="335"/>
      <c r="J247" s="335"/>
      <c r="K247" s="335"/>
      <c r="L247" s="353"/>
      <c r="M247" s="335"/>
      <c r="N247" s="310"/>
    </row>
    <row r="248" spans="2:21">
      <c r="B248" s="319">
        <f t="shared" si="12"/>
        <v>148</v>
      </c>
      <c r="C248" s="345"/>
      <c r="D248" s="335" t="s">
        <v>243</v>
      </c>
      <c r="E248" s="516" t="str">
        <f>"(Worksheet M, ln. "&amp;'WS M - Cost of Capital'!A23&amp;", col. "&amp;'WS M - Cost of Capital'!C8&amp;")"</f>
        <v>(Worksheet M, ln. 14, col. (b))</v>
      </c>
      <c r="F248" s="335"/>
      <c r="G248" s="330"/>
      <c r="H248" s="406"/>
      <c r="I248" s="335"/>
      <c r="J248" s="335"/>
      <c r="K248" s="335"/>
      <c r="L248" s="353">
        <f>'WS M - Cost of Capital'!C23</f>
        <v>469504000</v>
      </c>
      <c r="M248" s="335"/>
      <c r="N248" s="310"/>
    </row>
    <row r="249" spans="2:21">
      <c r="B249" s="319">
        <f t="shared" si="12"/>
        <v>149</v>
      </c>
      <c r="C249" s="345"/>
      <c r="D249" s="335" t="s">
        <v>368</v>
      </c>
      <c r="E249" s="516" t="str">
        <f>"(Worksheet M, ln. "&amp;'WS M - Cost of Capital'!A23&amp;", col. "&amp;'WS M - Cost of Capital'!D8&amp;")"</f>
        <v>(Worksheet M, ln. 14, col. (c))</v>
      </c>
      <c r="F249" s="335"/>
      <c r="G249" s="335"/>
      <c r="H249" s="406"/>
      <c r="I249" s="335"/>
      <c r="J249" s="335"/>
      <c r="K249" s="335"/>
      <c r="L249" s="382">
        <f>'WS M - Cost of Capital'!D23</f>
        <v>0</v>
      </c>
      <c r="M249" s="335"/>
      <c r="N249" s="310"/>
    </row>
    <row r="250" spans="2:21">
      <c r="B250" s="319">
        <f>+B249+1</f>
        <v>150</v>
      </c>
      <c r="C250" s="345"/>
      <c r="D250" s="335" t="s">
        <v>361</v>
      </c>
      <c r="E250" s="516" t="str">
        <f>"(Worksheet M, ln. "&amp;'WS M - Cost of Capital'!A23&amp;", col. "&amp;'WS M - Cost of Capital'!E8&amp;")"</f>
        <v>(Worksheet M, ln. 14, col. (d))</v>
      </c>
      <c r="F250" s="335"/>
      <c r="G250" s="335"/>
      <c r="H250" s="406"/>
      <c r="I250" s="335"/>
      <c r="J250" s="335"/>
      <c r="K250" s="335"/>
      <c r="L250" s="382">
        <f>'WS M - Cost of Capital'!E23</f>
        <v>0</v>
      </c>
      <c r="M250" s="335"/>
      <c r="N250" s="310"/>
    </row>
    <row r="251" spans="2:21" ht="15.75" thickBot="1">
      <c r="B251" s="319">
        <f t="shared" si="12"/>
        <v>151</v>
      </c>
      <c r="C251" s="345"/>
      <c r="D251" s="335" t="s">
        <v>367</v>
      </c>
      <c r="E251" s="516" t="str">
        <f>"(Worksheet M, ln. "&amp;'WS M - Cost of Capital'!A23&amp;", col. "&amp;'WS M - Cost of Capital'!F8&amp;")"</f>
        <v>(Worksheet M, ln. 14, col. (e))</v>
      </c>
      <c r="F251" s="335"/>
      <c r="G251" s="335"/>
      <c r="H251" s="406"/>
      <c r="I251" s="335"/>
      <c r="J251" s="407"/>
      <c r="K251" s="335"/>
      <c r="L251" s="483">
        <f>'WS M - Cost of Capital'!F23</f>
        <v>865000</v>
      </c>
      <c r="M251" s="335"/>
      <c r="N251" s="310"/>
    </row>
    <row r="252" spans="2:21">
      <c r="B252" s="319">
        <f t="shared" si="12"/>
        <v>152</v>
      </c>
      <c r="C252" s="345"/>
      <c r="D252" s="305" t="s">
        <v>244</v>
      </c>
      <c r="E252" s="335" t="str">
        <f>"(ln "&amp;B248&amp;" - ln "&amp;B249&amp;" - ln "&amp;B250&amp;" - ln "&amp;B251&amp;")"</f>
        <v>(ln 148 - ln 149 - ln 150 - ln 151)</v>
      </c>
      <c r="F252" s="490"/>
      <c r="G252" s="310"/>
      <c r="H252" s="330"/>
      <c r="I252" s="330"/>
      <c r="J252" s="330"/>
      <c r="K252" s="330"/>
      <c r="L252" s="353">
        <f>+L248-L249-L250-L251</f>
        <v>468639000</v>
      </c>
      <c r="M252" s="317"/>
    </row>
    <row r="253" spans="2:21" ht="15.75">
      <c r="B253" s="319"/>
      <c r="C253" s="345"/>
      <c r="D253" s="388"/>
      <c r="E253" s="335"/>
      <c r="F253" s="335"/>
      <c r="G253" s="1438"/>
      <c r="H253" s="1438"/>
      <c r="I253" s="491"/>
      <c r="J253" s="492" t="s">
        <v>145</v>
      </c>
      <c r="K253" s="335"/>
      <c r="L253" s="335"/>
      <c r="M253" s="317"/>
    </row>
    <row r="254" spans="2:21" ht="15.75" thickBot="1">
      <c r="B254" s="319">
        <f>+B252+1</f>
        <v>153</v>
      </c>
      <c r="C254" s="345"/>
      <c r="D254" s="388"/>
      <c r="F254" s="335"/>
      <c r="G254" s="493" t="s">
        <v>144</v>
      </c>
      <c r="H254" s="493" t="s">
        <v>146</v>
      </c>
      <c r="I254" s="488" t="s">
        <v>916</v>
      </c>
      <c r="J254" s="494" t="s">
        <v>427</v>
      </c>
      <c r="K254" s="335"/>
      <c r="L254" s="493" t="s">
        <v>147</v>
      </c>
      <c r="M254" s="317"/>
      <c r="N254" s="311"/>
      <c r="O254" s="311"/>
      <c r="P254" s="311"/>
      <c r="Q254" s="311"/>
      <c r="R254" s="311"/>
      <c r="S254" s="311"/>
      <c r="T254" s="311"/>
      <c r="U254" s="311"/>
    </row>
    <row r="255" spans="2:21">
      <c r="B255" s="319">
        <f>+B254+1</f>
        <v>154</v>
      </c>
      <c r="C255" s="345"/>
      <c r="D255" s="516" t="str">
        <f>"  Long Term Debt  (Note T) Worksheet M, ln "&amp;'WS M - Cost of Capital'!A42&amp;", col. (g), ln "&amp;'WS M - Cost of Capital'!A58&amp;", col. "&amp;'WS M - Cost of Capital'!E47&amp;")"</f>
        <v xml:space="preserve">  Long Term Debt  (Note T) Worksheet M, ln 28, col. (g), ln 38, col. (d))</v>
      </c>
      <c r="E255" s="516"/>
      <c r="F255" s="335"/>
      <c r="G255" s="353">
        <f>'WS M - Cost of Capital'!H42</f>
        <v>547000000</v>
      </c>
      <c r="H255" s="1282">
        <f>IF($G$258&gt;0,G255/$G$258,0)</f>
        <v>0.53857719130517834</v>
      </c>
      <c r="I255" s="495">
        <f>IF(H257&gt;E260,1-I256-I257,H255)</f>
        <v>0.53857719130517834</v>
      </c>
      <c r="J255" s="407">
        <f>'WS M - Cost of Capital'!E58</f>
        <v>4.3859232175502742E-2</v>
      </c>
      <c r="K255" s="310"/>
      <c r="L255" s="497">
        <f>H255*J255</f>
        <v>2.3621582077883972E-2</v>
      </c>
      <c r="M255" s="498"/>
      <c r="N255" s="311"/>
      <c r="O255" s="311"/>
      <c r="P255" s="311"/>
      <c r="Q255" s="311"/>
      <c r="R255" s="311"/>
      <c r="S255" s="311"/>
      <c r="T255" s="311"/>
      <c r="U255" s="311"/>
    </row>
    <row r="256" spans="2:21">
      <c r="B256" s="319">
        <f>+B255+1</f>
        <v>155</v>
      </c>
      <c r="C256" s="345"/>
      <c r="D256" s="388" t="str">
        <f>"  Preferred Stock (ln "&amp;B249&amp;")"</f>
        <v xml:space="preserve">  Preferred Stock (ln 149)</v>
      </c>
      <c r="F256" s="310"/>
      <c r="G256" s="353">
        <f>+L249</f>
        <v>0</v>
      </c>
      <c r="H256" s="495">
        <f>IF($G$258&gt;0,G256/$G$258,0)</f>
        <v>0</v>
      </c>
      <c r="I256" s="495">
        <f>H256</f>
        <v>0</v>
      </c>
      <c r="J256" s="496">
        <f>IF(G256&gt;0,L246/G256,0)</f>
        <v>0</v>
      </c>
      <c r="K256" s="310"/>
      <c r="L256" s="499">
        <f>H256*J256</f>
        <v>0</v>
      </c>
      <c r="M256" s="317"/>
    </row>
    <row r="257" spans="2:21" ht="15.75" thickBot="1">
      <c r="B257" s="319">
        <f>+B256+1</f>
        <v>156</v>
      </c>
      <c r="C257" s="345"/>
      <c r="D257" s="388" t="str">
        <f>"  Common Stock (ln "&amp;B252&amp;")"</f>
        <v xml:space="preserve">  Common Stock (ln 152)</v>
      </c>
      <c r="F257" s="310"/>
      <c r="G257" s="389">
        <f>+L252</f>
        <v>468639000</v>
      </c>
      <c r="H257" s="495">
        <f>IF($G$258&gt;0,G257/$G$258,0)</f>
        <v>0.46142280869482166</v>
      </c>
      <c r="I257" s="495">
        <f>IF(H257&gt;E260,E260,H257)</f>
        <v>0.46142280869482166</v>
      </c>
      <c r="J257" s="828">
        <v>0.10349999999999999</v>
      </c>
      <c r="K257" s="310"/>
      <c r="L257" s="500">
        <f>H257*J257</f>
        <v>4.7757260699914039E-2</v>
      </c>
      <c r="M257" s="317"/>
    </row>
    <row r="258" spans="2:21" ht="15.75">
      <c r="B258" s="319">
        <f>+B257+1</f>
        <v>157</v>
      </c>
      <c r="C258" s="345"/>
      <c r="D258" s="388" t="str">
        <f>" Total (Sum lns "&amp;B255&amp;" to "&amp;B257&amp;")"</f>
        <v xml:space="preserve"> Total (Sum lns 154 to 156)</v>
      </c>
      <c r="F258" s="310"/>
      <c r="G258" s="353">
        <f>G257+G256+G255</f>
        <v>1015639000</v>
      </c>
      <c r="I258" s="491"/>
      <c r="J258" s="501"/>
      <c r="K258" s="402" t="s">
        <v>25</v>
      </c>
      <c r="L258" s="502">
        <f>SUM(L255:L257)</f>
        <v>7.1378842777798018E-2</v>
      </c>
      <c r="M258" s="503"/>
    </row>
    <row r="259" spans="2:21" ht="15.75">
      <c r="B259" s="319"/>
      <c r="C259" s="345"/>
      <c r="D259" s="388"/>
      <c r="F259" s="310"/>
      <c r="G259" s="353"/>
      <c r="I259" s="491"/>
      <c r="J259" s="501"/>
      <c r="K259" s="402"/>
      <c r="L259" s="502"/>
      <c r="M259" s="503"/>
    </row>
    <row r="260" spans="2:21" ht="15.75">
      <c r="B260" s="344">
        <f>B258+1</f>
        <v>158</v>
      </c>
      <c r="C260" s="510"/>
      <c r="D260" s="510" t="s">
        <v>915</v>
      </c>
      <c r="E260" s="1293">
        <v>0.55000000000000004</v>
      </c>
      <c r="F260" s="310"/>
      <c r="G260" s="353"/>
      <c r="I260" s="491"/>
      <c r="J260" s="501"/>
      <c r="K260" s="402"/>
      <c r="L260" s="502"/>
      <c r="M260" s="503"/>
    </row>
    <row r="261" spans="2:21">
      <c r="B261" s="319"/>
      <c r="C261" s="360"/>
      <c r="D261" s="360"/>
      <c r="E261" s="322"/>
      <c r="F261" s="322"/>
      <c r="G261" s="322"/>
      <c r="H261" s="322"/>
      <c r="I261" s="322"/>
      <c r="J261" s="317"/>
      <c r="K261" s="314"/>
      <c r="L261" s="317"/>
      <c r="M261" s="314"/>
      <c r="N261" s="330"/>
      <c r="O261" s="330"/>
      <c r="P261" s="330"/>
      <c r="Q261" s="330"/>
      <c r="R261" s="330"/>
      <c r="S261" s="330"/>
      <c r="T261" s="330"/>
      <c r="U261" s="330"/>
    </row>
    <row r="262" spans="2:21" ht="15.75">
      <c r="B262" s="412"/>
      <c r="C262" s="320"/>
      <c r="D262" s="307"/>
      <c r="E262" s="307"/>
      <c r="F262" s="414" t="str">
        <f>F216</f>
        <v xml:space="preserve">AEP East Companies </v>
      </c>
      <c r="G262" s="308"/>
      <c r="H262" s="317"/>
      <c r="I262" s="317"/>
      <c r="J262" s="317"/>
      <c r="K262" s="314"/>
      <c r="L262" s="317"/>
      <c r="M262" s="504"/>
      <c r="N262" s="330"/>
      <c r="O262" s="330"/>
      <c r="P262" s="330"/>
      <c r="Q262" s="330"/>
      <c r="R262" s="330"/>
      <c r="S262" s="330"/>
      <c r="T262" s="330"/>
      <c r="U262" s="330"/>
    </row>
    <row r="263" spans="2:21">
      <c r="B263" s="412"/>
      <c r="C263" s="320"/>
      <c r="D263" s="505"/>
      <c r="E263" s="320"/>
      <c r="F263" s="414" t="str">
        <f>F217</f>
        <v>Transmission Cost of Service Formula Rate</v>
      </c>
      <c r="G263" s="317"/>
      <c r="H263" s="317"/>
      <c r="I263" s="317"/>
      <c r="J263" s="317"/>
      <c r="K263" s="314"/>
      <c r="L263" s="333"/>
      <c r="M263" s="370"/>
      <c r="N263" s="330"/>
      <c r="O263" s="330"/>
      <c r="P263" s="330"/>
      <c r="Q263" s="330"/>
      <c r="R263" s="330"/>
      <c r="S263" s="330"/>
      <c r="T263" s="330"/>
      <c r="U263" s="330"/>
    </row>
    <row r="264" spans="2:21" ht="15.75">
      <c r="B264" s="412"/>
      <c r="C264" s="320"/>
      <c r="D264" s="505"/>
      <c r="E264" s="420"/>
      <c r="F264" s="414" t="str">
        <f>F218</f>
        <v>Utilizing  Actual/Projected FERC Form 1 Data</v>
      </c>
      <c r="G264" s="317"/>
      <c r="H264" s="317"/>
      <c r="I264" s="317"/>
      <c r="J264" s="317"/>
      <c r="K264" s="314"/>
      <c r="L264" s="333"/>
      <c r="M264" s="504"/>
      <c r="N264" s="330"/>
      <c r="O264" s="330"/>
      <c r="P264" s="330"/>
      <c r="Q264" s="330"/>
      <c r="R264" s="330"/>
      <c r="S264" s="330"/>
      <c r="T264" s="330"/>
      <c r="U264" s="330"/>
    </row>
    <row r="265" spans="2:21" ht="15.75">
      <c r="B265" s="319"/>
      <c r="C265" s="320"/>
      <c r="D265" s="505"/>
      <c r="E265" s="420"/>
      <c r="F265" s="414"/>
      <c r="G265" s="317"/>
      <c r="H265" s="317"/>
      <c r="I265" s="317"/>
      <c r="J265" s="317"/>
      <c r="K265" s="314"/>
      <c r="L265" s="333"/>
      <c r="M265" s="310"/>
      <c r="N265" s="330"/>
      <c r="O265" s="330"/>
      <c r="P265" s="330"/>
      <c r="Q265" s="330"/>
      <c r="R265" s="330"/>
      <c r="S265" s="330"/>
      <c r="T265" s="330"/>
      <c r="U265" s="330"/>
    </row>
    <row r="266" spans="2:21" ht="15.75">
      <c r="B266" s="319"/>
      <c r="C266" s="320"/>
      <c r="D266" s="505"/>
      <c r="E266" s="420"/>
      <c r="F266" s="414" t="str">
        <f>F220</f>
        <v>WHEELING POWER COMPANY</v>
      </c>
      <c r="G266" s="317"/>
      <c r="H266" s="317"/>
      <c r="I266" s="317"/>
      <c r="J266" s="317"/>
      <c r="K266" s="314"/>
      <c r="L266" s="333"/>
      <c r="M266" s="310"/>
      <c r="N266" s="330"/>
      <c r="O266" s="330"/>
      <c r="P266" s="330"/>
      <c r="Q266" s="330"/>
      <c r="R266" s="330"/>
      <c r="S266" s="330"/>
      <c r="T266" s="330"/>
      <c r="U266" s="330"/>
    </row>
    <row r="267" spans="2:21" ht="15.75">
      <c r="B267" s="319"/>
      <c r="C267" s="320"/>
      <c r="D267" s="505"/>
      <c r="E267" s="420"/>
      <c r="F267" s="414"/>
      <c r="G267" s="317"/>
      <c r="H267" s="317"/>
      <c r="I267" s="317"/>
      <c r="J267" s="317"/>
      <c r="K267" s="314"/>
      <c r="L267" s="333"/>
      <c r="M267" s="310"/>
      <c r="N267" s="330"/>
      <c r="O267" s="330"/>
      <c r="P267" s="330"/>
      <c r="Q267" s="330"/>
      <c r="R267" s="330"/>
      <c r="S267" s="330"/>
      <c r="T267" s="330"/>
      <c r="U267" s="330"/>
    </row>
    <row r="268" spans="2:21" ht="15.75">
      <c r="B268" s="506" t="s">
        <v>176</v>
      </c>
      <c r="C268" s="327"/>
      <c r="D268" s="356"/>
      <c r="E268" s="330"/>
      <c r="F268" s="506" t="s">
        <v>175</v>
      </c>
      <c r="G268" s="335"/>
      <c r="H268" s="335"/>
      <c r="I268" s="335"/>
      <c r="J268" s="335"/>
      <c r="K268" s="330"/>
      <c r="L268" s="335"/>
      <c r="M268" s="310"/>
      <c r="N268" s="330"/>
      <c r="O268" s="330"/>
      <c r="P268" s="330"/>
      <c r="Q268" s="330"/>
      <c r="R268" s="330"/>
      <c r="S268" s="330"/>
      <c r="T268" s="330"/>
      <c r="U268" s="330"/>
    </row>
    <row r="269" spans="2:21">
      <c r="C269" s="327"/>
      <c r="L269" s="333"/>
      <c r="M269" s="310"/>
      <c r="N269" s="330"/>
      <c r="O269" s="330"/>
      <c r="P269" s="330"/>
      <c r="Q269" s="330"/>
      <c r="R269" s="330"/>
      <c r="S269" s="330"/>
      <c r="T269" s="330"/>
      <c r="U269" s="330"/>
    </row>
    <row r="270" spans="2:21">
      <c r="B270" s="319"/>
      <c r="C270" s="320"/>
      <c r="D270" s="311" t="s">
        <v>5</v>
      </c>
      <c r="E270" s="345"/>
      <c r="F270" s="345"/>
      <c r="G270" s="335"/>
      <c r="H270" s="335"/>
      <c r="I270" s="335"/>
      <c r="J270" s="335"/>
      <c r="K270" s="330"/>
      <c r="L270" s="335"/>
      <c r="M270" s="330"/>
      <c r="N270" s="330"/>
      <c r="O270" s="330"/>
      <c r="P270" s="330"/>
      <c r="Q270" s="330"/>
      <c r="R270" s="330"/>
      <c r="S270" s="330"/>
      <c r="T270" s="330"/>
      <c r="U270" s="330"/>
    </row>
    <row r="271" spans="2:21">
      <c r="B271" s="305"/>
      <c r="D271" s="356"/>
      <c r="E271" s="330"/>
      <c r="F271" s="330"/>
      <c r="G271" s="335"/>
      <c r="H271" s="335"/>
      <c r="I271" s="335"/>
      <c r="J271" s="335"/>
      <c r="K271" s="330"/>
      <c r="L271" s="335"/>
      <c r="M271" s="330"/>
      <c r="N271" s="330"/>
      <c r="O271" s="330"/>
      <c r="P271" s="330"/>
      <c r="Q271" s="330"/>
      <c r="R271" s="330"/>
      <c r="S271" s="330"/>
      <c r="T271" s="330"/>
      <c r="U271" s="330"/>
    </row>
    <row r="272" spans="2:21" ht="3.75" customHeight="1">
      <c r="B272" s="305"/>
      <c r="D272" s="356"/>
      <c r="E272" s="330"/>
      <c r="F272" s="330"/>
      <c r="G272" s="335"/>
      <c r="H272" s="335"/>
      <c r="I272" s="335"/>
      <c r="J272" s="335"/>
      <c r="K272" s="330"/>
      <c r="L272" s="335"/>
      <c r="M272" s="330"/>
      <c r="N272" s="330"/>
      <c r="O272" s="330"/>
      <c r="P272" s="330"/>
      <c r="Q272" s="330"/>
      <c r="R272" s="330"/>
      <c r="S272" s="330"/>
      <c r="T272" s="330"/>
      <c r="U272" s="330"/>
    </row>
    <row r="273" spans="2:21">
      <c r="B273" s="507" t="s">
        <v>148</v>
      </c>
      <c r="C273" s="327"/>
      <c r="D273" s="356" t="s">
        <v>477</v>
      </c>
      <c r="E273" s="330"/>
      <c r="F273" s="330"/>
      <c r="G273" s="335"/>
      <c r="H273" s="335"/>
      <c r="I273" s="335"/>
      <c r="J273" s="335"/>
      <c r="K273" s="330"/>
      <c r="L273" s="335"/>
      <c r="M273" s="330"/>
      <c r="N273" s="330"/>
      <c r="O273" s="330"/>
      <c r="P273" s="330"/>
      <c r="Q273" s="330"/>
      <c r="R273" s="330"/>
      <c r="S273" s="330"/>
      <c r="T273" s="330"/>
      <c r="U273" s="330"/>
    </row>
    <row r="274" spans="2:21">
      <c r="B274" s="507"/>
      <c r="C274" s="415"/>
      <c r="D274" s="356" t="s">
        <v>369</v>
      </c>
      <c r="E274" s="330"/>
      <c r="F274" s="330"/>
      <c r="G274" s="330"/>
      <c r="H274" s="330"/>
      <c r="I274" s="330"/>
      <c r="J274" s="330"/>
      <c r="K274" s="330"/>
      <c r="L274" s="330"/>
      <c r="M274" s="330"/>
      <c r="N274" s="330"/>
      <c r="O274" s="330"/>
      <c r="P274" s="330"/>
      <c r="Q274" s="330"/>
      <c r="R274" s="330"/>
      <c r="S274" s="330"/>
      <c r="T274" s="330"/>
      <c r="U274" s="330"/>
    </row>
    <row r="275" spans="2:21">
      <c r="B275" s="508"/>
      <c r="C275" s="310"/>
      <c r="D275" s="305" t="s">
        <v>370</v>
      </c>
      <c r="E275" s="509"/>
      <c r="F275" s="509"/>
      <c r="G275" s="330"/>
      <c r="H275" s="330"/>
      <c r="I275" s="330"/>
      <c r="J275" s="330"/>
      <c r="K275" s="330"/>
      <c r="L275" s="330"/>
      <c r="M275" s="330"/>
      <c r="N275" s="330"/>
      <c r="O275" s="330"/>
      <c r="P275" s="330"/>
      <c r="Q275" s="330"/>
      <c r="R275" s="330"/>
      <c r="S275" s="330"/>
      <c r="T275" s="330"/>
      <c r="U275" s="330"/>
    </row>
    <row r="276" spans="2:21">
      <c r="B276" s="508"/>
      <c r="C276" s="310"/>
      <c r="D276" s="356" t="s">
        <v>478</v>
      </c>
      <c r="E276" s="330"/>
      <c r="F276" s="330"/>
      <c r="G276" s="330"/>
      <c r="H276" s="330"/>
      <c r="I276" s="330"/>
      <c r="J276" s="330"/>
      <c r="K276" s="330"/>
      <c r="L276" s="330"/>
      <c r="M276" s="330"/>
      <c r="N276" s="330"/>
      <c r="O276" s="330"/>
      <c r="P276" s="330"/>
      <c r="Q276" s="330"/>
      <c r="R276" s="330"/>
      <c r="S276" s="330"/>
      <c r="T276" s="330"/>
      <c r="U276" s="330"/>
    </row>
    <row r="277" spans="2:21">
      <c r="B277" s="344"/>
      <c r="C277" s="345"/>
      <c r="D277" s="356" t="s">
        <v>479</v>
      </c>
      <c r="E277" s="330"/>
      <c r="F277" s="330"/>
      <c r="G277" s="330"/>
      <c r="H277" s="330"/>
      <c r="I277" s="330"/>
      <c r="J277" s="330"/>
      <c r="K277" s="330"/>
      <c r="L277" s="330"/>
      <c r="M277" s="330"/>
      <c r="N277" s="330"/>
      <c r="O277" s="330"/>
      <c r="P277" s="330"/>
      <c r="Q277" s="330"/>
      <c r="R277" s="330"/>
      <c r="S277" s="330"/>
      <c r="T277" s="330"/>
      <c r="U277" s="330"/>
    </row>
    <row r="278" spans="2:21">
      <c r="B278" s="344"/>
      <c r="C278" s="345"/>
      <c r="D278" s="356" t="s">
        <v>371</v>
      </c>
      <c r="E278" s="330"/>
      <c r="F278" s="330"/>
      <c r="G278" s="330"/>
      <c r="H278" s="330"/>
      <c r="I278" s="330"/>
      <c r="J278" s="330"/>
      <c r="K278" s="330"/>
      <c r="L278" s="330"/>
      <c r="M278" s="330"/>
      <c r="N278" s="330"/>
      <c r="O278" s="330"/>
      <c r="P278" s="330"/>
      <c r="Q278" s="330"/>
      <c r="R278" s="330"/>
      <c r="S278" s="330"/>
      <c r="T278" s="330"/>
      <c r="U278" s="330"/>
    </row>
    <row r="279" spans="2:21">
      <c r="B279" s="344"/>
      <c r="C279" s="345"/>
      <c r="D279" s="356" t="s">
        <v>372</v>
      </c>
      <c r="E279" s="330"/>
      <c r="F279" s="330"/>
      <c r="G279" s="330"/>
      <c r="H279" s="330"/>
      <c r="I279" s="330"/>
      <c r="J279" s="330"/>
      <c r="K279" s="330"/>
      <c r="L279" s="330"/>
      <c r="M279" s="330"/>
      <c r="N279" s="330"/>
      <c r="O279" s="330"/>
      <c r="P279" s="330"/>
      <c r="Q279" s="330"/>
      <c r="R279" s="330"/>
      <c r="S279" s="330"/>
      <c r="T279" s="330"/>
      <c r="U279" s="330"/>
    </row>
    <row r="280" spans="2:21" ht="45" customHeight="1">
      <c r="B280" s="344"/>
      <c r="C280" s="345"/>
      <c r="D280" s="1441" t="s">
        <v>575</v>
      </c>
      <c r="E280" s="1441"/>
      <c r="F280" s="1441"/>
      <c r="G280" s="1441"/>
      <c r="H280" s="1441"/>
      <c r="I280" s="1441"/>
      <c r="J280" s="1441"/>
      <c r="K280" s="1441"/>
      <c r="L280" s="1441"/>
      <c r="M280" s="330"/>
      <c r="N280" s="330"/>
      <c r="O280" s="330"/>
      <c r="P280" s="330"/>
      <c r="Q280" s="330"/>
      <c r="R280" s="330"/>
      <c r="S280" s="330"/>
      <c r="T280" s="330"/>
      <c r="U280" s="330"/>
    </row>
    <row r="281" spans="2:21">
      <c r="B281" s="344"/>
      <c r="C281" s="345"/>
      <c r="D281" s="356" t="s">
        <v>487</v>
      </c>
      <c r="E281" s="330"/>
      <c r="F281" s="330"/>
      <c r="G281" s="330"/>
      <c r="H281" s="330"/>
      <c r="I281" s="330"/>
      <c r="J281" s="330"/>
      <c r="K281" s="330"/>
      <c r="L281" s="330"/>
      <c r="M281" s="330"/>
      <c r="N281" s="330"/>
      <c r="O281" s="330"/>
      <c r="P281" s="330"/>
      <c r="Q281" s="330"/>
      <c r="R281" s="330"/>
      <c r="S281" s="330"/>
      <c r="T281" s="330"/>
      <c r="U281" s="330"/>
    </row>
    <row r="282" spans="2:21">
      <c r="B282" s="344"/>
      <c r="C282" s="345"/>
      <c r="D282" s="510"/>
      <c r="E282" s="330"/>
      <c r="F282" s="330"/>
      <c r="G282" s="330"/>
      <c r="H282" s="330"/>
      <c r="I282" s="330"/>
      <c r="J282" s="330"/>
      <c r="K282" s="330"/>
      <c r="L282" s="356"/>
      <c r="M282" s="330"/>
      <c r="N282" s="330"/>
      <c r="O282" s="330"/>
      <c r="P282" s="330"/>
      <c r="Q282" s="330"/>
      <c r="R282" s="330"/>
      <c r="S282" s="330"/>
      <c r="T282" s="330"/>
      <c r="U282" s="330"/>
    </row>
    <row r="283" spans="2:21" ht="15" customHeight="1">
      <c r="B283" s="344" t="s">
        <v>149</v>
      </c>
      <c r="C283" s="345"/>
      <c r="D283" s="1442" t="s">
        <v>594</v>
      </c>
      <c r="E283" s="1443"/>
      <c r="F283" s="1443"/>
      <c r="G283" s="1443"/>
      <c r="H283" s="1443"/>
      <c r="I283" s="1443"/>
      <c r="J283" s="1443"/>
      <c r="K283" s="1443"/>
      <c r="L283" s="356"/>
      <c r="M283" s="330"/>
      <c r="N283" s="330"/>
      <c r="O283" s="330"/>
      <c r="P283" s="330"/>
      <c r="Q283" s="330"/>
      <c r="R283" s="330"/>
      <c r="S283" s="330"/>
      <c r="T283" s="330"/>
      <c r="U283" s="330"/>
    </row>
    <row r="284" spans="2:21">
      <c r="B284" s="344"/>
      <c r="C284" s="345"/>
      <c r="D284" s="1443"/>
      <c r="E284" s="1443"/>
      <c r="F284" s="1443"/>
      <c r="G284" s="1443"/>
      <c r="H284" s="1443"/>
      <c r="I284" s="1443"/>
      <c r="J284" s="1443"/>
      <c r="K284" s="1443"/>
      <c r="L284" s="356"/>
      <c r="M284" s="330"/>
      <c r="N284" s="330"/>
      <c r="O284" s="330"/>
      <c r="P284" s="330"/>
      <c r="Q284" s="330"/>
      <c r="R284" s="330"/>
      <c r="S284" s="330"/>
      <c r="T284" s="330"/>
      <c r="U284" s="330"/>
    </row>
    <row r="285" spans="2:21">
      <c r="E285" s="330"/>
      <c r="F285" s="330"/>
      <c r="G285" s="330"/>
      <c r="H285" s="330"/>
      <c r="I285" s="330"/>
      <c r="J285" s="330"/>
      <c r="K285" s="330"/>
      <c r="L285" s="330"/>
      <c r="M285" s="330"/>
      <c r="N285" s="330"/>
      <c r="O285" s="330"/>
      <c r="P285" s="330"/>
      <c r="Q285" s="330"/>
      <c r="R285" s="330"/>
      <c r="S285" s="330"/>
      <c r="T285" s="330"/>
      <c r="U285" s="330"/>
    </row>
    <row r="286" spans="2:21">
      <c r="B286" s="344" t="s">
        <v>150</v>
      </c>
      <c r="C286" s="345"/>
      <c r="D286" s="511" t="s">
        <v>866</v>
      </c>
      <c r="E286" s="330"/>
      <c r="F286" s="330"/>
      <c r="G286" s="330"/>
      <c r="H286" s="330"/>
      <c r="I286" s="330"/>
      <c r="J286" s="330"/>
      <c r="K286" s="330"/>
      <c r="L286" s="330"/>
      <c r="M286" s="330"/>
      <c r="N286" s="330"/>
      <c r="O286" s="330"/>
      <c r="P286" s="330"/>
      <c r="Q286" s="330"/>
      <c r="R286" s="330"/>
      <c r="S286" s="330"/>
      <c r="T286" s="330"/>
      <c r="U286" s="330"/>
    </row>
    <row r="287" spans="2:21">
      <c r="B287" s="344"/>
      <c r="C287" s="345"/>
      <c r="D287" s="511"/>
      <c r="E287" s="330"/>
      <c r="F287" s="330"/>
      <c r="G287" s="330"/>
      <c r="H287" s="330"/>
      <c r="I287" s="330"/>
      <c r="J287" s="330"/>
      <c r="K287" s="330"/>
      <c r="L287" s="330"/>
      <c r="M287" s="330"/>
      <c r="N287" s="330"/>
      <c r="O287" s="330"/>
      <c r="P287" s="330"/>
      <c r="Q287" s="330"/>
      <c r="R287" s="330"/>
      <c r="S287" s="330"/>
      <c r="T287" s="330"/>
      <c r="U287" s="330"/>
    </row>
    <row r="288" spans="2:21">
      <c r="B288" s="344" t="s">
        <v>151</v>
      </c>
      <c r="C288" s="345"/>
      <c r="D288" s="1441" t="s">
        <v>577</v>
      </c>
      <c r="E288" s="1441"/>
      <c r="F288" s="1441"/>
      <c r="G288" s="1441"/>
      <c r="H288" s="1441"/>
      <c r="I288" s="1441"/>
      <c r="J288" s="1441"/>
      <c r="K288" s="1441"/>
      <c r="L288" s="1441"/>
      <c r="M288" s="330"/>
      <c r="N288" s="330"/>
      <c r="O288" s="330"/>
      <c r="P288" s="356"/>
      <c r="Q288" s="356"/>
      <c r="R288" s="330"/>
      <c r="S288" s="330"/>
      <c r="T288" s="330"/>
      <c r="U288" s="330"/>
    </row>
    <row r="289" spans="2:21">
      <c r="B289" s="344"/>
      <c r="C289" s="345"/>
      <c r="D289" s="1441"/>
      <c r="E289" s="1441"/>
      <c r="F289" s="1441"/>
      <c r="G289" s="1441"/>
      <c r="H289" s="1441"/>
      <c r="I289" s="1441"/>
      <c r="J289" s="1441"/>
      <c r="K289" s="1441"/>
      <c r="L289" s="1441"/>
      <c r="M289" s="330"/>
      <c r="N289" s="330"/>
      <c r="O289" s="330"/>
      <c r="P289" s="356"/>
      <c r="Q289" s="356"/>
      <c r="R289" s="330"/>
      <c r="S289" s="330"/>
      <c r="T289" s="330"/>
      <c r="U289" s="330"/>
    </row>
    <row r="290" spans="2:21">
      <c r="B290" s="344"/>
      <c r="C290" s="345"/>
      <c r="D290" s="356" t="s">
        <v>578</v>
      </c>
      <c r="E290" s="330"/>
      <c r="F290" s="330"/>
      <c r="G290" s="330"/>
      <c r="H290" s="330"/>
      <c r="I290" s="330"/>
      <c r="J290" s="330"/>
      <c r="K290" s="330"/>
      <c r="L290" s="467"/>
      <c r="M290" s="330"/>
      <c r="N290" s="330"/>
      <c r="O290" s="330"/>
      <c r="P290" s="356"/>
      <c r="Q290" s="356"/>
      <c r="R290" s="330"/>
      <c r="S290" s="330"/>
      <c r="T290" s="330"/>
      <c r="U290" s="330"/>
    </row>
    <row r="291" spans="2:21">
      <c r="B291" s="344"/>
      <c r="C291" s="345"/>
      <c r="D291" s="356" t="s">
        <v>579</v>
      </c>
      <c r="E291" s="330"/>
      <c r="F291" s="330"/>
      <c r="G291" s="330"/>
      <c r="H291" s="330"/>
      <c r="I291" s="330"/>
      <c r="J291" s="330"/>
      <c r="K291" s="330"/>
      <c r="L291" s="467"/>
      <c r="M291" s="330"/>
      <c r="N291" s="330"/>
      <c r="O291" s="330"/>
      <c r="P291" s="356"/>
      <c r="Q291" s="330"/>
      <c r="R291" s="330"/>
      <c r="S291" s="330"/>
      <c r="T291" s="330"/>
      <c r="U291" s="330"/>
    </row>
    <row r="292" spans="2:21" ht="30" customHeight="1">
      <c r="B292" s="344"/>
      <c r="C292" s="345"/>
      <c r="D292" s="1441" t="s">
        <v>576</v>
      </c>
      <c r="E292" s="1441"/>
      <c r="F292" s="1441"/>
      <c r="G292" s="1441"/>
      <c r="H292" s="1441"/>
      <c r="I292" s="1441"/>
      <c r="J292" s="1441"/>
      <c r="K292" s="1441"/>
      <c r="L292" s="1441"/>
      <c r="M292" s="330"/>
      <c r="N292" s="330"/>
      <c r="O292" s="330"/>
      <c r="P292" s="356"/>
      <c r="Q292" s="330"/>
      <c r="R292" s="330"/>
      <c r="S292" s="330"/>
      <c r="T292" s="330"/>
      <c r="U292" s="330"/>
    </row>
    <row r="293" spans="2:21" ht="21.75" customHeight="1">
      <c r="B293" s="344" t="s">
        <v>152</v>
      </c>
      <c r="C293" s="356"/>
      <c r="D293" s="356"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12"/>
      <c r="F293" s="512"/>
      <c r="G293" s="512"/>
      <c r="H293" s="512"/>
      <c r="I293" s="512"/>
      <c r="J293" s="512"/>
      <c r="K293" s="512"/>
      <c r="L293" s="512"/>
      <c r="M293" s="330"/>
      <c r="N293" s="330"/>
      <c r="O293" s="330"/>
      <c r="P293" s="330"/>
      <c r="Q293" s="330"/>
      <c r="R293" s="330"/>
      <c r="S293" s="330"/>
      <c r="T293" s="330"/>
      <c r="U293" s="330"/>
    </row>
    <row r="294" spans="2:21">
      <c r="B294" s="344"/>
      <c r="C294" s="356"/>
      <c r="D294" s="513"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90"/>
      <c r="F294" s="390"/>
      <c r="G294" s="390"/>
      <c r="H294" s="390"/>
      <c r="I294" s="390"/>
      <c r="J294" s="390"/>
      <c r="K294" s="390"/>
      <c r="L294" s="390"/>
      <c r="M294" s="330"/>
      <c r="N294" s="330"/>
      <c r="O294" s="330"/>
      <c r="P294" s="330"/>
      <c r="Q294" s="330"/>
      <c r="R294" s="330"/>
      <c r="S294" s="330"/>
      <c r="T294" s="330"/>
      <c r="U294" s="330"/>
    </row>
    <row r="295" spans="2:21">
      <c r="B295" s="344"/>
      <c r="C295" s="356"/>
      <c r="D295" s="514" t="str">
        <f>+"2)  Costs of Transmission of Electricity by Others, as described in Note H."</f>
        <v>2)  Costs of Transmission of Electricity by Others, as described in Note H.</v>
      </c>
      <c r="E295" s="512"/>
      <c r="F295" s="512"/>
      <c r="G295" s="512"/>
      <c r="H295" s="512"/>
      <c r="I295" s="512"/>
      <c r="J295" s="512"/>
      <c r="K295" s="512"/>
      <c r="L295" s="512"/>
      <c r="M295" s="330"/>
      <c r="N295" s="330"/>
      <c r="O295" s="330"/>
      <c r="P295" s="330"/>
      <c r="Q295" s="330"/>
      <c r="R295" s="330"/>
      <c r="S295" s="330"/>
      <c r="T295" s="330"/>
      <c r="U295" s="330"/>
    </row>
    <row r="296" spans="2:21">
      <c r="B296" s="344"/>
      <c r="C296" s="356"/>
      <c r="D296" s="513" t="str">
        <f>+"3)  The impact of state regulatory deferrals and amortizations, as shown on line  "&amp;B148&amp;""</f>
        <v>3)  The impact of state regulatory deferrals and amortizations, as shown on line  77</v>
      </c>
      <c r="E296" s="390"/>
      <c r="F296" s="390"/>
      <c r="G296" s="390"/>
      <c r="H296" s="390"/>
      <c r="I296" s="390"/>
      <c r="J296" s="390"/>
      <c r="K296" s="390"/>
      <c r="L296" s="390"/>
      <c r="M296" s="330"/>
      <c r="N296" s="330"/>
      <c r="O296" s="330"/>
      <c r="P296" s="330"/>
      <c r="Q296" s="330"/>
      <c r="R296" s="330"/>
      <c r="S296" s="330"/>
      <c r="T296" s="330"/>
      <c r="U296" s="330"/>
    </row>
    <row r="297" spans="2:21">
      <c r="B297" s="344"/>
      <c r="C297" s="390"/>
      <c r="D297" s="514" t="str">
        <f>"4) All A&amp;G Expenses, as shown on line "&amp;B165&amp;"."</f>
        <v>4) All A&amp;G Expenses, as shown on line 93.</v>
      </c>
      <c r="E297" s="512"/>
      <c r="F297" s="512"/>
      <c r="G297" s="512"/>
      <c r="H297" s="512"/>
      <c r="I297" s="512"/>
      <c r="J297" s="512"/>
      <c r="K297" s="512"/>
      <c r="L297" s="512"/>
      <c r="M297" s="330"/>
      <c r="N297" s="330"/>
      <c r="O297" s="330"/>
      <c r="P297" s="330"/>
      <c r="Q297" s="330"/>
      <c r="R297" s="330"/>
      <c r="S297" s="330"/>
      <c r="T297" s="330"/>
      <c r="U297" s="330"/>
    </row>
    <row r="298" spans="2:21">
      <c r="B298" s="344"/>
      <c r="C298" s="345"/>
      <c r="D298" s="513"/>
      <c r="E298" s="515"/>
      <c r="F298" s="515"/>
      <c r="G298" s="515"/>
      <c r="H298" s="515"/>
      <c r="I298" s="515"/>
      <c r="J298" s="515"/>
      <c r="K298" s="515"/>
      <c r="L298" s="515"/>
      <c r="M298" s="330"/>
      <c r="N298" s="330"/>
      <c r="O298" s="330"/>
      <c r="P298" s="330"/>
      <c r="Q298" s="330"/>
      <c r="R298" s="330"/>
      <c r="S298" s="330"/>
      <c r="T298" s="330"/>
      <c r="U298" s="330"/>
    </row>
    <row r="299" spans="2:21">
      <c r="B299" s="507" t="s">
        <v>153</v>
      </c>
      <c r="C299" s="415"/>
      <c r="D299" s="516"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16"/>
      <c r="F299" s="516"/>
      <c r="G299" s="516"/>
      <c r="H299" s="516"/>
      <c r="I299" s="516"/>
      <c r="J299" s="516"/>
      <c r="K299" s="516"/>
      <c r="L299" s="516"/>
      <c r="M299" s="330"/>
      <c r="N299" s="330"/>
      <c r="O299" s="330"/>
      <c r="P299" s="330"/>
      <c r="Q299" s="330"/>
      <c r="R299" s="330"/>
      <c r="S299" s="330"/>
      <c r="T299" s="330"/>
      <c r="U299" s="330"/>
    </row>
    <row r="300" spans="2:21">
      <c r="B300" s="508"/>
      <c r="C300" s="310"/>
      <c r="D300" s="516" t="s">
        <v>218</v>
      </c>
      <c r="E300" s="516"/>
      <c r="F300" s="516"/>
      <c r="G300" s="516"/>
      <c r="H300" s="516"/>
      <c r="I300" s="516"/>
      <c r="J300" s="516"/>
      <c r="K300" s="516"/>
      <c r="L300" s="516"/>
      <c r="M300" s="330"/>
      <c r="N300" s="330"/>
      <c r="O300" s="330"/>
      <c r="P300" s="330"/>
      <c r="Q300" s="330"/>
      <c r="R300" s="330"/>
      <c r="S300" s="330"/>
      <c r="T300" s="330"/>
      <c r="U300" s="330"/>
    </row>
    <row r="301" spans="2:21">
      <c r="B301" s="508"/>
      <c r="C301" s="310"/>
      <c r="D301" s="516" t="str">
        <f>"expense is included on line "&amp;B207&amp;"."</f>
        <v>expense is included on line 127.</v>
      </c>
      <c r="E301" s="516"/>
      <c r="F301" s="516"/>
      <c r="G301" s="516"/>
      <c r="H301" s="516"/>
      <c r="I301" s="516"/>
      <c r="J301" s="516"/>
      <c r="K301" s="516"/>
      <c r="L301" s="516"/>
      <c r="M301" s="330"/>
      <c r="N301" s="330"/>
      <c r="O301" s="330"/>
      <c r="P301" s="330"/>
      <c r="Q301" s="330"/>
      <c r="R301" s="330"/>
      <c r="S301" s="330"/>
      <c r="T301" s="330"/>
      <c r="U301" s="330"/>
    </row>
    <row r="302" spans="2:21">
      <c r="B302" s="508"/>
      <c r="C302" s="310"/>
      <c r="D302" s="516"/>
      <c r="E302" s="516"/>
      <c r="F302" s="516"/>
      <c r="G302" s="516"/>
      <c r="H302" s="516"/>
      <c r="I302" s="516"/>
      <c r="J302" s="516"/>
      <c r="K302" s="516"/>
      <c r="L302" s="516"/>
      <c r="M302" s="310"/>
      <c r="N302" s="330"/>
      <c r="O302" s="330"/>
      <c r="P302" s="330"/>
      <c r="Q302" s="330"/>
      <c r="R302" s="330"/>
      <c r="S302" s="330"/>
      <c r="T302" s="330"/>
      <c r="U302" s="330"/>
    </row>
    <row r="303" spans="2:21">
      <c r="B303" s="507" t="s">
        <v>154</v>
      </c>
      <c r="C303" s="310"/>
      <c r="D303" s="1453"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53"/>
      <c r="F303" s="1453"/>
      <c r="G303" s="1453"/>
      <c r="H303" s="1453"/>
      <c r="I303" s="1453"/>
      <c r="J303" s="1453"/>
      <c r="K303" s="1453"/>
      <c r="L303" s="516"/>
      <c r="M303" s="310"/>
      <c r="N303" s="330"/>
      <c r="O303" s="330"/>
      <c r="P303" s="330"/>
      <c r="Q303" s="330"/>
      <c r="R303" s="330"/>
      <c r="S303" s="330"/>
      <c r="T303" s="330"/>
      <c r="U303" s="330"/>
    </row>
    <row r="304" spans="2:21">
      <c r="B304" s="507"/>
      <c r="C304" s="310"/>
      <c r="D304" s="1453"/>
      <c r="E304" s="1453"/>
      <c r="F304" s="1453"/>
      <c r="G304" s="1453"/>
      <c r="H304" s="1453"/>
      <c r="I304" s="1453"/>
      <c r="J304" s="1453"/>
      <c r="K304" s="1453"/>
      <c r="L304" s="516"/>
      <c r="M304" s="310"/>
      <c r="N304" s="330"/>
      <c r="O304" s="330"/>
      <c r="P304" s="330"/>
      <c r="Q304" s="330"/>
      <c r="R304" s="330"/>
      <c r="S304" s="330"/>
      <c r="T304" s="330"/>
      <c r="U304" s="330"/>
    </row>
    <row r="305" spans="2:21">
      <c r="B305" s="507"/>
      <c r="C305" s="310"/>
      <c r="D305" s="1453"/>
      <c r="E305" s="1453"/>
      <c r="F305" s="1453"/>
      <c r="G305" s="1453"/>
      <c r="H305" s="1453"/>
      <c r="I305" s="1453"/>
      <c r="J305" s="1453"/>
      <c r="K305" s="1453"/>
      <c r="L305" s="516"/>
      <c r="M305" s="310"/>
      <c r="N305" s="330"/>
      <c r="O305" s="330"/>
      <c r="P305" s="330"/>
      <c r="Q305" s="330"/>
      <c r="R305" s="330"/>
      <c r="S305" s="330"/>
      <c r="T305" s="330"/>
      <c r="U305" s="330"/>
    </row>
    <row r="306" spans="2:21">
      <c r="B306" s="507"/>
      <c r="C306" s="310"/>
      <c r="D306" s="513"/>
      <c r="E306" s="516"/>
      <c r="F306" s="516"/>
      <c r="G306" s="516"/>
      <c r="H306" s="516"/>
      <c r="I306" s="516"/>
      <c r="J306" s="516"/>
      <c r="K306" s="516"/>
      <c r="L306" s="516"/>
      <c r="M306" s="310"/>
      <c r="N306" s="330"/>
      <c r="O306" s="330"/>
      <c r="P306" s="330"/>
      <c r="Q306" s="330"/>
      <c r="R306" s="330"/>
      <c r="S306" s="330"/>
      <c r="T306" s="330"/>
      <c r="U306" s="330"/>
    </row>
    <row r="307" spans="2:21">
      <c r="B307" s="507" t="s">
        <v>155</v>
      </c>
      <c r="C307" s="310"/>
      <c r="D307" s="1446"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46"/>
      <c r="F307" s="1446"/>
      <c r="G307" s="1446"/>
      <c r="H307" s="1446"/>
      <c r="I307" s="1446"/>
      <c r="J307" s="1446"/>
      <c r="K307" s="1446"/>
      <c r="L307" s="516"/>
      <c r="M307" s="310"/>
      <c r="N307" s="330"/>
      <c r="O307" s="330"/>
      <c r="P307" s="330"/>
      <c r="Q307" s="330"/>
      <c r="R307" s="330"/>
      <c r="S307" s="330"/>
      <c r="T307" s="330"/>
      <c r="U307" s="330"/>
    </row>
    <row r="308" spans="2:21">
      <c r="B308" s="507"/>
      <c r="C308" s="310"/>
      <c r="D308" s="1446"/>
      <c r="E308" s="1446"/>
      <c r="F308" s="1446"/>
      <c r="G308" s="1446"/>
      <c r="H308" s="1446"/>
      <c r="I308" s="1446"/>
      <c r="J308" s="1446"/>
      <c r="K308" s="1446"/>
      <c r="L308" s="516"/>
      <c r="M308" s="310"/>
      <c r="N308" s="330"/>
      <c r="O308" s="330"/>
      <c r="P308" s="330"/>
      <c r="Q308" s="330"/>
      <c r="R308" s="330"/>
      <c r="S308" s="330"/>
      <c r="T308" s="330"/>
      <c r="U308" s="330"/>
    </row>
    <row r="309" spans="2:21">
      <c r="B309" s="507"/>
      <c r="C309" s="310"/>
      <c r="D309" s="1447"/>
      <c r="E309" s="1447"/>
      <c r="F309" s="1447"/>
      <c r="G309" s="1447"/>
      <c r="H309" s="1447"/>
      <c r="I309" s="1447"/>
      <c r="J309" s="1447"/>
      <c r="K309" s="1447"/>
      <c r="L309" s="516"/>
      <c r="M309" s="310"/>
      <c r="N309" s="330"/>
      <c r="O309" s="330"/>
      <c r="P309" s="330"/>
      <c r="Q309" s="330"/>
      <c r="R309" s="330"/>
      <c r="S309" s="330"/>
      <c r="T309" s="330"/>
      <c r="U309" s="330"/>
    </row>
    <row r="310" spans="2:21">
      <c r="B310" s="507"/>
      <c r="C310" s="310"/>
      <c r="D310" s="1428"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28"/>
      <c r="F310" s="1428"/>
      <c r="G310" s="1428"/>
      <c r="H310" s="1428"/>
      <c r="I310" s="1428"/>
      <c r="J310" s="1428"/>
      <c r="K310" s="517"/>
      <c r="L310" s="516"/>
      <c r="M310" s="310"/>
      <c r="N310" s="330"/>
      <c r="O310" s="330"/>
      <c r="P310" s="330"/>
      <c r="Q310" s="330"/>
      <c r="R310" s="330"/>
      <c r="S310" s="330"/>
      <c r="T310" s="330"/>
      <c r="U310" s="330"/>
    </row>
    <row r="311" spans="2:21">
      <c r="B311" s="507"/>
      <c r="C311" s="310"/>
      <c r="D311" s="1428"/>
      <c r="E311" s="1428"/>
      <c r="F311" s="1428"/>
      <c r="G311" s="1428"/>
      <c r="H311" s="1428"/>
      <c r="I311" s="1428"/>
      <c r="J311" s="1428"/>
      <c r="K311" s="517"/>
      <c r="L311" s="516"/>
      <c r="M311" s="310"/>
      <c r="N311" s="330"/>
      <c r="O311" s="330"/>
      <c r="P311" s="330"/>
      <c r="Q311" s="330"/>
      <c r="R311" s="330"/>
      <c r="S311" s="330"/>
      <c r="T311" s="330"/>
      <c r="U311" s="330"/>
    </row>
    <row r="312" spans="2:21">
      <c r="B312" s="507"/>
      <c r="C312" s="310"/>
      <c r="D312" s="516" t="str">
        <f>"The company records referenced on line "&amp;B168&amp;" is the "&amp;F9&amp;" general ledger."</f>
        <v>The company records referenced on line 95 is the WHEELING POWER COMPANY general ledger.</v>
      </c>
      <c r="E312" s="518"/>
      <c r="F312" s="518"/>
      <c r="G312" s="518"/>
      <c r="H312" s="518"/>
      <c r="I312" s="518"/>
      <c r="J312" s="518"/>
      <c r="K312" s="518"/>
      <c r="L312" s="516"/>
      <c r="M312" s="310"/>
      <c r="N312" s="330"/>
      <c r="O312" s="330"/>
      <c r="P312" s="330"/>
      <c r="Q312" s="330"/>
      <c r="R312" s="330"/>
      <c r="S312" s="330"/>
      <c r="T312" s="330"/>
      <c r="U312" s="330"/>
    </row>
    <row r="313" spans="2:21">
      <c r="B313" s="507"/>
      <c r="C313" s="310"/>
      <c r="D313" s="516"/>
      <c r="E313" s="518"/>
      <c r="F313" s="518"/>
      <c r="G313" s="518"/>
      <c r="H313" s="518"/>
      <c r="I313" s="518"/>
      <c r="J313" s="518"/>
      <c r="K313" s="518"/>
      <c r="L313" s="516"/>
      <c r="M313" s="310"/>
      <c r="N313" s="330"/>
      <c r="O313" s="330"/>
      <c r="P313" s="330"/>
      <c r="Q313" s="330"/>
      <c r="R313" s="330"/>
      <c r="S313" s="330"/>
      <c r="T313" s="330"/>
      <c r="U313" s="330"/>
    </row>
    <row r="314" spans="2:21">
      <c r="B314" s="507" t="s">
        <v>156</v>
      </c>
      <c r="C314" s="310"/>
      <c r="D314" s="310" t="s">
        <v>580</v>
      </c>
      <c r="E314" s="360"/>
      <c r="F314" s="360"/>
      <c r="G314" s="360"/>
      <c r="H314" s="360"/>
      <c r="I314" s="360"/>
      <c r="J314" s="360"/>
      <c r="K314" s="360"/>
      <c r="L314" s="519"/>
      <c r="M314" s="310"/>
      <c r="N314" s="330"/>
      <c r="O314" s="330"/>
      <c r="P314" s="330"/>
      <c r="Q314" s="330"/>
      <c r="R314" s="330"/>
      <c r="S314" s="330"/>
      <c r="T314" s="330"/>
      <c r="U314" s="330"/>
    </row>
    <row r="315" spans="2:21">
      <c r="B315" s="507"/>
      <c r="C315" s="310"/>
      <c r="D315" s="519"/>
      <c r="E315" s="519"/>
      <c r="F315" s="519"/>
      <c r="G315" s="519"/>
      <c r="H315" s="519"/>
      <c r="I315" s="519"/>
      <c r="J315" s="519"/>
      <c r="K315" s="519"/>
      <c r="L315" s="519"/>
      <c r="M315" s="310"/>
      <c r="N315" s="330"/>
      <c r="O315" s="330"/>
      <c r="P315" s="330"/>
      <c r="Q315" s="330"/>
      <c r="R315" s="330"/>
      <c r="S315" s="330"/>
      <c r="T315" s="330"/>
      <c r="U315" s="330"/>
    </row>
    <row r="316" spans="2:21">
      <c r="B316" s="507" t="s">
        <v>157</v>
      </c>
      <c r="C316" s="310"/>
      <c r="D316" s="1451" t="s">
        <v>48</v>
      </c>
      <c r="E316" s="1443"/>
      <c r="F316" s="1443"/>
      <c r="G316" s="1443"/>
      <c r="H316" s="1443"/>
      <c r="I316" s="1443"/>
      <c r="J316" s="1443"/>
      <c r="K316" s="516"/>
      <c r="L316" s="516"/>
      <c r="M316" s="310"/>
      <c r="N316" s="330"/>
      <c r="O316" s="330"/>
      <c r="P316" s="330"/>
      <c r="Q316" s="330"/>
      <c r="R316" s="330"/>
      <c r="S316" s="330"/>
      <c r="T316" s="330"/>
      <c r="U316" s="330"/>
    </row>
    <row r="317" spans="2:21">
      <c r="B317" s="507"/>
      <c r="C317" s="310"/>
      <c r="D317" s="1452"/>
      <c r="E317" s="1452"/>
      <c r="F317" s="1452"/>
      <c r="G317" s="1452"/>
      <c r="H317" s="1452"/>
      <c r="I317" s="1452"/>
      <c r="J317" s="1452"/>
      <c r="K317" s="519"/>
      <c r="L317" s="519"/>
      <c r="M317" s="310"/>
      <c r="N317" s="330"/>
      <c r="O317" s="330"/>
      <c r="P317" s="330"/>
      <c r="Q317" s="330"/>
      <c r="R317" s="330"/>
      <c r="S317" s="330"/>
      <c r="T317" s="330"/>
      <c r="U317" s="330"/>
    </row>
    <row r="318" spans="2:21">
      <c r="B318" s="507"/>
      <c r="C318" s="310"/>
      <c r="D318" s="1443"/>
      <c r="E318" s="1443"/>
      <c r="F318" s="1443"/>
      <c r="G318" s="1443"/>
      <c r="H318" s="1443"/>
      <c r="I318" s="1443"/>
      <c r="J318" s="1443"/>
      <c r="K318" s="516"/>
      <c r="L318" s="516"/>
      <c r="M318" s="310"/>
      <c r="N318" s="330"/>
      <c r="O318" s="330"/>
      <c r="P318" s="330"/>
      <c r="Q318" s="330"/>
      <c r="R318" s="330"/>
      <c r="S318" s="330"/>
      <c r="T318" s="330"/>
      <c r="U318" s="330"/>
    </row>
    <row r="319" spans="2:21">
      <c r="B319" s="507"/>
      <c r="C319" s="310"/>
      <c r="D319" s="516"/>
      <c r="E319" s="516"/>
      <c r="F319" s="516"/>
      <c r="G319" s="516"/>
      <c r="H319" s="516"/>
      <c r="I319" s="516"/>
      <c r="J319" s="516"/>
      <c r="K319" s="516"/>
      <c r="L319" s="516"/>
      <c r="M319" s="310"/>
      <c r="N319" s="330"/>
      <c r="O319" s="330"/>
      <c r="P319" s="330"/>
      <c r="Q319" s="330"/>
      <c r="R319" s="330"/>
      <c r="S319" s="330"/>
      <c r="T319" s="330"/>
      <c r="U319" s="330"/>
    </row>
    <row r="320" spans="2:21" ht="15.75">
      <c r="B320" s="1086" t="s">
        <v>158</v>
      </c>
      <c r="C320" s="1087"/>
      <c r="D320" s="1426" t="s">
        <v>861</v>
      </c>
      <c r="E320" s="1427"/>
      <c r="F320" s="1427"/>
      <c r="G320" s="1427"/>
      <c r="H320" s="1427"/>
      <c r="I320" s="1427"/>
      <c r="J320" s="1427"/>
      <c r="K320" s="1427"/>
      <c r="L320" s="519"/>
      <c r="M320" s="310"/>
      <c r="N320" s="330"/>
      <c r="O320" s="330"/>
      <c r="P320" s="330"/>
      <c r="Q320" s="330"/>
      <c r="R320" s="330"/>
      <c r="S320" s="330"/>
      <c r="T320" s="330"/>
      <c r="U320" s="330"/>
    </row>
    <row r="321" spans="2:21" ht="15.75">
      <c r="B321" s="1053"/>
      <c r="C321" s="1087"/>
      <c r="D321" s="1427"/>
      <c r="E321" s="1427"/>
      <c r="F321" s="1427"/>
      <c r="G321" s="1427"/>
      <c r="H321" s="1427"/>
      <c r="I321" s="1427"/>
      <c r="J321" s="1427"/>
      <c r="K321" s="1427"/>
      <c r="L321" s="516"/>
      <c r="M321" s="310"/>
      <c r="N321" s="330"/>
      <c r="O321" s="330"/>
      <c r="P321" s="330"/>
      <c r="Q321" s="330"/>
      <c r="R321" s="330"/>
      <c r="S321" s="330"/>
      <c r="T321" s="330"/>
      <c r="U321" s="330"/>
    </row>
    <row r="322" spans="2:21">
      <c r="B322" s="507"/>
      <c r="C322" s="310"/>
      <c r="D322" s="516"/>
      <c r="E322" s="516"/>
      <c r="F322" s="516"/>
      <c r="G322" s="516"/>
      <c r="H322" s="516"/>
      <c r="I322" s="516"/>
      <c r="J322" s="516"/>
      <c r="K322" s="516"/>
      <c r="L322" s="516"/>
      <c r="M322" s="310"/>
      <c r="N322" s="330"/>
      <c r="O322" s="330"/>
      <c r="P322" s="330"/>
      <c r="Q322" s="330"/>
      <c r="R322" s="330"/>
      <c r="S322" s="330"/>
      <c r="T322" s="330"/>
      <c r="U322" s="330"/>
    </row>
    <row r="323" spans="2:21">
      <c r="B323" s="344" t="s">
        <v>159</v>
      </c>
      <c r="C323" s="345"/>
      <c r="D323" s="1441" t="s">
        <v>581</v>
      </c>
      <c r="E323" s="1441"/>
      <c r="F323" s="1441"/>
      <c r="G323" s="1441"/>
      <c r="H323" s="1441"/>
      <c r="I323" s="1441"/>
      <c r="J323" s="1441"/>
      <c r="K323" s="1441"/>
      <c r="L323" s="1441"/>
      <c r="M323" s="310"/>
      <c r="N323" s="330"/>
      <c r="O323" s="330"/>
      <c r="P323" s="330"/>
      <c r="Q323" s="330"/>
      <c r="R323" s="330"/>
      <c r="S323" s="330"/>
      <c r="T323" s="330"/>
      <c r="U323" s="330"/>
    </row>
    <row r="324" spans="2:21">
      <c r="B324" s="344"/>
      <c r="C324" s="345"/>
      <c r="D324" s="1441"/>
      <c r="E324" s="1441"/>
      <c r="F324" s="1441"/>
      <c r="G324" s="1441"/>
      <c r="H324" s="1441"/>
      <c r="I324" s="1441"/>
      <c r="J324" s="1441"/>
      <c r="K324" s="1441"/>
      <c r="L324" s="1441"/>
      <c r="M324" s="310"/>
      <c r="N324" s="330"/>
      <c r="O324" s="330"/>
      <c r="P324" s="330"/>
      <c r="Q324" s="330"/>
      <c r="R324" s="330"/>
      <c r="S324" s="330"/>
      <c r="T324" s="330"/>
      <c r="U324" s="330"/>
    </row>
    <row r="325" spans="2:21">
      <c r="B325" s="344"/>
      <c r="C325" s="345"/>
      <c r="D325" s="1441"/>
      <c r="E325" s="1441"/>
      <c r="F325" s="1441"/>
      <c r="G325" s="1441"/>
      <c r="H325" s="1441"/>
      <c r="I325" s="1441"/>
      <c r="J325" s="1441"/>
      <c r="K325" s="1441"/>
      <c r="L325" s="1441"/>
      <c r="M325" s="310"/>
      <c r="N325" s="330"/>
      <c r="O325" s="330"/>
      <c r="P325" s="330"/>
      <c r="Q325" s="330"/>
      <c r="R325" s="330"/>
      <c r="S325" s="330"/>
      <c r="T325" s="330"/>
      <c r="U325" s="330"/>
    </row>
    <row r="326" spans="2:21">
      <c r="B326" s="344"/>
      <c r="C326" s="345"/>
      <c r="D326" s="1441"/>
      <c r="E326" s="1441"/>
      <c r="F326" s="1441"/>
      <c r="G326" s="1441"/>
      <c r="H326" s="1441"/>
      <c r="I326" s="1441"/>
      <c r="J326" s="1441"/>
      <c r="K326" s="1441"/>
      <c r="L326" s="1441"/>
      <c r="M326" s="310"/>
      <c r="N326" s="330"/>
      <c r="O326" s="330"/>
      <c r="P326" s="330"/>
      <c r="Q326" s="330"/>
      <c r="R326" s="330"/>
      <c r="S326" s="330"/>
      <c r="T326" s="330"/>
      <c r="U326" s="330"/>
    </row>
    <row r="327" spans="2:21">
      <c r="B327" s="344"/>
      <c r="C327" s="345"/>
      <c r="D327" s="516"/>
      <c r="E327" s="515"/>
      <c r="F327" s="515"/>
      <c r="G327" s="515"/>
      <c r="H327" s="515"/>
      <c r="I327" s="515"/>
      <c r="J327" s="515"/>
      <c r="K327" s="515"/>
      <c r="L327" s="515"/>
      <c r="M327" s="310"/>
      <c r="N327" s="330"/>
      <c r="O327" s="330"/>
      <c r="P327" s="330"/>
      <c r="Q327" s="330"/>
      <c r="R327" s="330"/>
      <c r="S327" s="330"/>
      <c r="T327" s="330"/>
      <c r="U327" s="330"/>
    </row>
    <row r="328" spans="2:21" ht="15" customHeight="1">
      <c r="B328" s="344" t="s">
        <v>160</v>
      </c>
      <c r="C328" s="345"/>
      <c r="D328" s="1448" t="s">
        <v>859</v>
      </c>
      <c r="E328" s="1449"/>
      <c r="F328" s="1449"/>
      <c r="G328" s="1449"/>
      <c r="H328" s="1449"/>
      <c r="I328" s="1449"/>
      <c r="J328" s="1449"/>
      <c r="K328" s="1449"/>
      <c r="L328" s="1450"/>
      <c r="M328" s="310"/>
      <c r="N328" s="330"/>
      <c r="O328" s="330"/>
      <c r="P328" s="330"/>
      <c r="Q328" s="330"/>
      <c r="R328" s="330"/>
      <c r="S328" s="330"/>
      <c r="T328" s="330"/>
      <c r="U328" s="330"/>
    </row>
    <row r="329" spans="2:21">
      <c r="B329" s="344"/>
      <c r="C329" s="345"/>
      <c r="D329" s="1449"/>
      <c r="E329" s="1449"/>
      <c r="F329" s="1449"/>
      <c r="G329" s="1449"/>
      <c r="H329" s="1449"/>
      <c r="I329" s="1449"/>
      <c r="J329" s="1449"/>
      <c r="K329" s="1449"/>
      <c r="L329" s="1450"/>
      <c r="M329" s="310"/>
      <c r="N329" s="330"/>
      <c r="O329" s="330"/>
      <c r="P329" s="330"/>
      <c r="Q329" s="330"/>
      <c r="R329" s="330"/>
      <c r="S329" s="330"/>
      <c r="T329" s="330"/>
      <c r="U329" s="330"/>
    </row>
    <row r="330" spans="2:21">
      <c r="B330" s="344"/>
      <c r="C330" s="345"/>
      <c r="D330" s="1450"/>
      <c r="E330" s="1450"/>
      <c r="F330" s="1450"/>
      <c r="G330" s="1450"/>
      <c r="H330" s="1450"/>
      <c r="I330" s="1450"/>
      <c r="J330" s="1450"/>
      <c r="K330" s="1450"/>
      <c r="L330" s="1450"/>
      <c r="M330" s="310"/>
      <c r="N330" s="330"/>
      <c r="O330" s="330"/>
      <c r="P330" s="330"/>
      <c r="Q330" s="330"/>
      <c r="R330" s="330"/>
      <c r="S330" s="330"/>
      <c r="T330" s="330"/>
      <c r="U330" s="330"/>
    </row>
    <row r="331" spans="2:21">
      <c r="B331" s="344"/>
      <c r="C331" s="345"/>
      <c r="D331" s="459"/>
      <c r="E331" s="330"/>
      <c r="F331" s="330"/>
      <c r="G331" s="330"/>
      <c r="H331" s="330"/>
      <c r="I331" s="330"/>
      <c r="J331" s="330"/>
      <c r="K331" s="330"/>
      <c r="L331" s="330"/>
      <c r="M331" s="310"/>
      <c r="N331" s="330"/>
      <c r="O331" s="330"/>
      <c r="P331" s="330"/>
      <c r="Q331" s="330"/>
      <c r="R331" s="330"/>
      <c r="S331" s="330"/>
      <c r="T331" s="330"/>
      <c r="U331" s="330"/>
    </row>
    <row r="332" spans="2:21">
      <c r="B332" s="414" t="s">
        <v>245</v>
      </c>
      <c r="C332" s="345"/>
      <c r="D332" s="356" t="s">
        <v>355</v>
      </c>
      <c r="E332" s="313"/>
      <c r="F332" s="313"/>
      <c r="G332" s="313"/>
      <c r="H332" s="313"/>
      <c r="I332" s="313"/>
      <c r="J332" s="313"/>
      <c r="K332" s="310"/>
      <c r="L332" s="310"/>
      <c r="M332" s="310"/>
      <c r="N332" s="330"/>
      <c r="O332" s="330"/>
      <c r="P332" s="330"/>
      <c r="Q332" s="330"/>
      <c r="R332" s="330"/>
      <c r="S332" s="330"/>
      <c r="T332" s="330"/>
      <c r="U332" s="330"/>
    </row>
    <row r="333" spans="2:21">
      <c r="B333" s="414"/>
      <c r="C333" s="345"/>
      <c r="D333" s="313"/>
      <c r="E333" s="313"/>
      <c r="F333" s="313"/>
      <c r="G333" s="313"/>
      <c r="H333" s="313"/>
      <c r="I333" s="313"/>
      <c r="J333" s="313"/>
      <c r="K333" s="310"/>
      <c r="L333" s="310"/>
      <c r="M333" s="310"/>
      <c r="N333" s="330"/>
      <c r="O333" s="330"/>
      <c r="P333" s="330"/>
      <c r="Q333" s="330"/>
      <c r="R333" s="330"/>
      <c r="S333" s="330"/>
      <c r="T333" s="330"/>
      <c r="U333" s="330"/>
    </row>
    <row r="334" spans="2:21">
      <c r="B334" s="344" t="s">
        <v>304</v>
      </c>
      <c r="C334" s="345"/>
      <c r="D334" s="356" t="s">
        <v>344</v>
      </c>
      <c r="E334" s="310"/>
      <c r="F334" s="310"/>
      <c r="G334" s="310"/>
      <c r="H334" s="310"/>
      <c r="I334" s="310"/>
      <c r="J334" s="310"/>
      <c r="K334" s="310"/>
      <c r="L334" s="310"/>
      <c r="M334" s="310"/>
      <c r="N334" s="330"/>
      <c r="O334" s="330"/>
      <c r="P334" s="330"/>
      <c r="Q334" s="330"/>
      <c r="R334" s="330"/>
      <c r="S334" s="330"/>
      <c r="T334" s="330"/>
      <c r="U334" s="330"/>
    </row>
    <row r="335" spans="2:21">
      <c r="B335" s="414"/>
      <c r="C335" s="345"/>
      <c r="D335" s="356" t="s">
        <v>233</v>
      </c>
      <c r="E335" s="310"/>
      <c r="F335" s="310"/>
      <c r="G335" s="310"/>
      <c r="H335" s="310"/>
      <c r="I335" s="310"/>
      <c r="J335" s="310"/>
      <c r="K335" s="310"/>
      <c r="L335" s="310"/>
      <c r="M335" s="310"/>
      <c r="N335" s="330"/>
      <c r="O335" s="330"/>
      <c r="P335" s="330"/>
      <c r="Q335" s="330"/>
      <c r="R335" s="330"/>
      <c r="S335" s="330"/>
      <c r="T335" s="330"/>
      <c r="U335" s="330"/>
    </row>
    <row r="336" spans="2:21">
      <c r="B336" s="414"/>
      <c r="C336" s="345"/>
      <c r="D336" s="356" t="s">
        <v>234</v>
      </c>
      <c r="E336" s="310"/>
      <c r="F336" s="310"/>
      <c r="G336" s="310"/>
      <c r="H336" s="310"/>
      <c r="I336" s="310"/>
      <c r="J336" s="310"/>
      <c r="K336" s="310"/>
      <c r="L336" s="310"/>
      <c r="M336" s="310"/>
      <c r="N336" s="330"/>
      <c r="O336" s="330"/>
      <c r="P336" s="330"/>
      <c r="Q336" s="330"/>
      <c r="R336" s="330"/>
      <c r="S336" s="330"/>
      <c r="T336" s="330"/>
      <c r="U336" s="330"/>
    </row>
    <row r="337" spans="2:21">
      <c r="B337" s="414"/>
      <c r="C337" s="345"/>
      <c r="D337" s="356" t="s">
        <v>235</v>
      </c>
      <c r="E337" s="310"/>
      <c r="F337" s="310"/>
      <c r="G337" s="310"/>
      <c r="H337" s="310"/>
      <c r="I337" s="310"/>
      <c r="J337" s="310"/>
      <c r="K337" s="310"/>
      <c r="L337" s="310"/>
      <c r="M337" s="310"/>
      <c r="N337" s="330"/>
      <c r="O337" s="330"/>
      <c r="P337" s="330"/>
      <c r="Q337" s="330"/>
      <c r="R337" s="330"/>
      <c r="S337" s="330"/>
      <c r="T337" s="330"/>
      <c r="U337" s="330"/>
    </row>
    <row r="338" spans="2:21">
      <c r="B338" s="344"/>
      <c r="C338" s="345"/>
      <c r="D338" s="356" t="str">
        <f>"(ln "&amp;B194&amp;") multiplied by (1/1-T) .  If the applicable tax rates are zero enter 0."</f>
        <v>(ln 118) multiplied by (1/1-T) .  If the applicable tax rates are zero enter 0.</v>
      </c>
      <c r="H338" s="310"/>
      <c r="I338" s="310"/>
      <c r="J338" s="310"/>
      <c r="K338" s="310"/>
      <c r="L338" s="310"/>
      <c r="M338" s="310"/>
      <c r="N338" s="330"/>
      <c r="O338" s="330"/>
      <c r="P338" s="330"/>
      <c r="Q338" s="330"/>
      <c r="R338" s="330"/>
      <c r="S338" s="330"/>
      <c r="T338" s="330"/>
      <c r="U338" s="330"/>
    </row>
    <row r="339" spans="2:21">
      <c r="B339" s="520"/>
      <c r="C339" s="330"/>
      <c r="D339" s="356" t="s">
        <v>345</v>
      </c>
      <c r="E339" s="330" t="s">
        <v>346</v>
      </c>
      <c r="F339" s="828">
        <v>0.21</v>
      </c>
      <c r="G339" s="330"/>
      <c r="H339" s="310"/>
      <c r="I339" s="310"/>
      <c r="J339" s="310"/>
      <c r="K339" s="310"/>
      <c r="L339" s="310"/>
      <c r="M339" s="310"/>
      <c r="N339" s="330"/>
      <c r="O339" s="330"/>
      <c r="P339" s="330"/>
      <c r="Q339" s="330"/>
      <c r="R339" s="330"/>
      <c r="S339" s="330"/>
      <c r="T339" s="330"/>
      <c r="U339" s="330"/>
    </row>
    <row r="340" spans="2:21">
      <c r="B340" s="520"/>
      <c r="C340" s="330"/>
      <c r="D340" s="356"/>
      <c r="E340" s="330" t="s">
        <v>347</v>
      </c>
      <c r="F340" s="509">
        <f>'WS G  State Tax Rate'!F33</f>
        <v>6.3641000000000003E-2</v>
      </c>
      <c r="G340" s="330" t="s">
        <v>505</v>
      </c>
      <c r="H340" s="310"/>
      <c r="I340" s="310"/>
      <c r="J340" s="310"/>
      <c r="K340" s="310"/>
      <c r="L340" s="310"/>
      <c r="M340" s="310"/>
      <c r="N340" s="330"/>
      <c r="O340" s="330"/>
      <c r="P340" s="330"/>
      <c r="Q340" s="330"/>
      <c r="R340" s="330"/>
      <c r="S340" s="330"/>
      <c r="T340" s="330"/>
      <c r="U340" s="330"/>
    </row>
    <row r="341" spans="2:21">
      <c r="B341" s="520"/>
      <c r="C341" s="330"/>
      <c r="D341" s="356"/>
      <c r="E341" s="330" t="s">
        <v>348</v>
      </c>
      <c r="F341" s="828">
        <v>0</v>
      </c>
      <c r="G341" s="330" t="s">
        <v>349</v>
      </c>
      <c r="H341" s="310"/>
      <c r="I341" s="310"/>
      <c r="J341" s="310"/>
      <c r="K341" s="310"/>
      <c r="L341" s="310"/>
      <c r="M341" s="310"/>
      <c r="N341" s="330"/>
      <c r="O341" s="330"/>
      <c r="P341" s="330"/>
      <c r="Q341" s="330"/>
      <c r="R341" s="330"/>
      <c r="S341" s="330"/>
      <c r="T341" s="330"/>
      <c r="U341" s="330"/>
    </row>
    <row r="342" spans="2:21">
      <c r="B342" s="414"/>
      <c r="C342" s="345"/>
      <c r="D342" s="356" t="s">
        <v>592</v>
      </c>
      <c r="E342" s="310"/>
      <c r="F342" s="310"/>
      <c r="G342" s="310"/>
      <c r="H342" s="310"/>
      <c r="I342" s="310"/>
      <c r="J342" s="310"/>
      <c r="K342" s="310"/>
      <c r="L342" s="310"/>
      <c r="M342" s="330"/>
      <c r="N342" s="330"/>
      <c r="O342" s="330"/>
      <c r="P342" s="330"/>
      <c r="Q342" s="330"/>
      <c r="R342" s="330"/>
      <c r="S342" s="330"/>
      <c r="T342" s="330"/>
      <c r="U342" s="330"/>
    </row>
    <row r="343" spans="2:21">
      <c r="B343" s="414"/>
      <c r="C343" s="345"/>
      <c r="D343" s="356" t="s">
        <v>593</v>
      </c>
      <c r="E343" s="310"/>
      <c r="F343" s="310"/>
      <c r="G343" s="310"/>
      <c r="H343" s="310"/>
      <c r="I343" s="310"/>
      <c r="J343" s="310"/>
      <c r="K343" s="310"/>
      <c r="L343" s="310"/>
      <c r="M343" s="330"/>
      <c r="N343" s="330"/>
      <c r="O343" s="330"/>
      <c r="P343" s="330"/>
      <c r="Q343" s="330"/>
      <c r="R343" s="330"/>
      <c r="S343" s="330"/>
      <c r="T343" s="330"/>
      <c r="U343" s="330"/>
    </row>
    <row r="344" spans="2:21">
      <c r="B344" s="344" t="s">
        <v>350</v>
      </c>
      <c r="C344" s="345"/>
      <c r="D344" s="356" t="s">
        <v>224</v>
      </c>
      <c r="E344" s="310"/>
      <c r="F344" s="310"/>
      <c r="G344" s="310"/>
      <c r="H344" s="310"/>
      <c r="I344" s="310"/>
      <c r="J344" s="310"/>
      <c r="K344" s="310"/>
      <c r="L344" s="310"/>
      <c r="M344" s="310"/>
      <c r="N344" s="330"/>
      <c r="O344" s="330"/>
      <c r="P344" s="330"/>
      <c r="Q344" s="330"/>
      <c r="R344" s="330"/>
      <c r="S344" s="330"/>
      <c r="T344" s="330"/>
      <c r="U344" s="330"/>
    </row>
    <row r="345" spans="2:21">
      <c r="B345" s="305"/>
      <c r="D345" s="356"/>
      <c r="E345" s="310"/>
      <c r="F345" s="310"/>
      <c r="G345" s="310"/>
      <c r="H345" s="310"/>
      <c r="I345" s="310"/>
      <c r="J345" s="310"/>
      <c r="K345" s="310"/>
      <c r="L345" s="310"/>
      <c r="M345" s="310"/>
      <c r="N345" s="330"/>
      <c r="O345" s="330"/>
      <c r="P345" s="330"/>
      <c r="Q345" s="330"/>
      <c r="R345" s="330"/>
      <c r="S345" s="330"/>
      <c r="T345" s="330"/>
      <c r="U345" s="330"/>
    </row>
    <row r="346" spans="2:21">
      <c r="B346" s="344" t="s">
        <v>351</v>
      </c>
      <c r="C346" s="345"/>
      <c r="D346" s="356" t="s">
        <v>22</v>
      </c>
      <c r="E346" s="310"/>
      <c r="F346" s="310"/>
      <c r="G346" s="310"/>
      <c r="H346" s="310"/>
      <c r="I346" s="310"/>
      <c r="J346" s="310"/>
      <c r="K346" s="310"/>
      <c r="L346" s="310"/>
      <c r="M346" s="310"/>
      <c r="N346" s="330"/>
      <c r="O346" s="330"/>
      <c r="P346" s="330"/>
      <c r="Q346" s="330"/>
      <c r="R346" s="330"/>
      <c r="S346" s="330"/>
      <c r="T346" s="330"/>
      <c r="U346" s="330"/>
    </row>
    <row r="347" spans="2:21">
      <c r="B347" s="344"/>
      <c r="C347" s="345"/>
      <c r="D347" s="356"/>
      <c r="E347" s="330"/>
      <c r="F347" s="330"/>
      <c r="G347" s="330"/>
      <c r="H347" s="330"/>
      <c r="I347" s="330"/>
      <c r="J347" s="330"/>
      <c r="K347" s="330"/>
      <c r="L347" s="330"/>
      <c r="M347" s="330"/>
      <c r="N347" s="330"/>
      <c r="O347" s="330"/>
      <c r="P347" s="330"/>
      <c r="Q347" s="330"/>
      <c r="R347" s="330"/>
      <c r="S347" s="330"/>
      <c r="T347" s="330"/>
      <c r="U347" s="330"/>
    </row>
    <row r="348" spans="2:21">
      <c r="B348" s="344" t="s">
        <v>352</v>
      </c>
      <c r="C348" s="345"/>
      <c r="D348" s="356" t="s">
        <v>415</v>
      </c>
      <c r="E348" s="330"/>
      <c r="F348" s="330"/>
      <c r="G348" s="330"/>
      <c r="H348" s="330"/>
      <c r="I348" s="330"/>
      <c r="J348" s="330"/>
      <c r="K348" s="330"/>
      <c r="L348" s="330"/>
      <c r="M348" s="330"/>
      <c r="N348" s="330"/>
      <c r="O348" s="330"/>
      <c r="P348" s="330"/>
      <c r="Q348" s="330"/>
      <c r="R348" s="330"/>
      <c r="S348" s="330"/>
      <c r="T348" s="330"/>
      <c r="U348" s="330"/>
    </row>
    <row r="349" spans="2:21">
      <c r="B349" s="344"/>
      <c r="C349" s="345"/>
      <c r="D349" s="356"/>
      <c r="E349" s="330"/>
      <c r="F349" s="330"/>
      <c r="G349" s="330"/>
      <c r="H349" s="330"/>
      <c r="I349" s="330"/>
      <c r="J349" s="330"/>
      <c r="K349" s="330"/>
      <c r="L349" s="330"/>
      <c r="M349" s="330"/>
      <c r="N349" s="330"/>
      <c r="O349" s="330"/>
      <c r="P349" s="330"/>
      <c r="Q349" s="330"/>
      <c r="R349" s="330"/>
      <c r="S349" s="330"/>
      <c r="T349" s="330"/>
      <c r="U349" s="330"/>
    </row>
    <row r="350" spans="2:21">
      <c r="B350" s="507" t="s">
        <v>353</v>
      </c>
      <c r="C350" s="415"/>
      <c r="D350" s="356"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30"/>
      <c r="N350" s="330"/>
      <c r="O350" s="330"/>
      <c r="P350" s="330"/>
      <c r="Q350" s="330"/>
      <c r="R350" s="330"/>
      <c r="S350" s="330"/>
      <c r="T350" s="330"/>
      <c r="U350" s="330"/>
    </row>
    <row r="351" spans="2:21">
      <c r="B351" s="508"/>
      <c r="C351" s="310"/>
      <c r="D351" s="356"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30"/>
      <c r="N351" s="330"/>
      <c r="O351" s="330"/>
      <c r="P351" s="330"/>
      <c r="Q351" s="330"/>
      <c r="R351" s="330"/>
      <c r="S351" s="330"/>
      <c r="T351" s="330"/>
      <c r="U351" s="330"/>
    </row>
    <row r="352" spans="2:21" ht="15" customHeight="1">
      <c r="B352" s="508"/>
      <c r="C352" s="310"/>
      <c r="D352" s="1444" t="s">
        <v>582</v>
      </c>
      <c r="E352" s="1444"/>
      <c r="F352" s="1444"/>
      <c r="G352" s="1444"/>
      <c r="H352" s="1444"/>
      <c r="I352" s="1444"/>
      <c r="J352" s="1444"/>
      <c r="K352" s="1444"/>
      <c r="L352" s="1444"/>
      <c r="M352" s="330"/>
      <c r="N352" s="330"/>
      <c r="O352" s="330"/>
      <c r="P352" s="330"/>
      <c r="Q352" s="330"/>
      <c r="R352" s="330"/>
      <c r="S352" s="330"/>
      <c r="T352" s="330"/>
      <c r="U352" s="330"/>
    </row>
    <row r="353" spans="2:21">
      <c r="B353" s="508"/>
      <c r="C353" s="310"/>
      <c r="D353" s="1444"/>
      <c r="E353" s="1444"/>
      <c r="F353" s="1444"/>
      <c r="G353" s="1444"/>
      <c r="H353" s="1444"/>
      <c r="I353" s="1444"/>
      <c r="J353" s="1444"/>
      <c r="K353" s="1444"/>
      <c r="L353" s="1444"/>
      <c r="M353" s="330"/>
      <c r="N353" s="330"/>
      <c r="O353" s="330"/>
      <c r="P353" s="330"/>
      <c r="Q353" s="330"/>
      <c r="R353" s="330"/>
      <c r="S353" s="330"/>
      <c r="T353" s="330"/>
      <c r="U353" s="330"/>
    </row>
    <row r="354" spans="2:21" ht="14.25" customHeight="1">
      <c r="B354" s="508"/>
      <c r="C354" s="310"/>
      <c r="D354" s="1444"/>
      <c r="E354" s="1444"/>
      <c r="F354" s="1444"/>
      <c r="G354" s="1444"/>
      <c r="H354" s="1444"/>
      <c r="I354" s="1444"/>
      <c r="J354" s="1444"/>
      <c r="K354" s="1444"/>
      <c r="L354" s="1444"/>
      <c r="M354" s="330"/>
      <c r="N354" s="330"/>
      <c r="O354" s="330"/>
      <c r="P354" s="330"/>
      <c r="Q354" s="330"/>
      <c r="R354" s="330"/>
      <c r="S354" s="330"/>
      <c r="T354" s="330"/>
      <c r="U354" s="330"/>
    </row>
    <row r="355" spans="2:21" ht="15" hidden="1" customHeight="1">
      <c r="B355" s="508"/>
      <c r="C355" s="310"/>
      <c r="D355" s="1444"/>
      <c r="E355" s="1444"/>
      <c r="F355" s="1444"/>
      <c r="G355" s="1444"/>
      <c r="H355" s="1444"/>
      <c r="I355" s="1444"/>
      <c r="J355" s="1444"/>
      <c r="K355" s="1444"/>
      <c r="L355" s="1444"/>
      <c r="M355" s="330"/>
      <c r="N355" s="330"/>
      <c r="O355" s="330"/>
      <c r="P355" s="330"/>
      <c r="Q355" s="330"/>
      <c r="R355" s="330"/>
      <c r="S355" s="330"/>
      <c r="T355" s="330"/>
      <c r="U355" s="330"/>
    </row>
    <row r="356" spans="2:21" ht="15" hidden="1" customHeight="1">
      <c r="B356" s="508"/>
      <c r="C356" s="310"/>
      <c r="D356" s="1444"/>
      <c r="E356" s="1444"/>
      <c r="F356" s="1444"/>
      <c r="G356" s="1444"/>
      <c r="H356" s="1444"/>
      <c r="I356" s="1444"/>
      <c r="J356" s="1444"/>
      <c r="K356" s="1444"/>
      <c r="L356" s="1444"/>
      <c r="M356" s="330"/>
      <c r="N356" s="330"/>
      <c r="O356" s="330"/>
      <c r="P356" s="330"/>
      <c r="Q356" s="330"/>
      <c r="R356" s="330"/>
      <c r="S356" s="330"/>
      <c r="T356" s="330"/>
      <c r="U356" s="330"/>
    </row>
    <row r="357" spans="2:21" ht="15" hidden="1" customHeight="1">
      <c r="B357" s="508"/>
      <c r="C357" s="310"/>
      <c r="D357" s="1444"/>
      <c r="E357" s="1444"/>
      <c r="F357" s="1444"/>
      <c r="G357" s="1444"/>
      <c r="H357" s="1444"/>
      <c r="I357" s="1444"/>
      <c r="J357" s="1444"/>
      <c r="K357" s="1444"/>
      <c r="L357" s="1444"/>
      <c r="M357" s="330"/>
      <c r="N357" s="330"/>
      <c r="O357" s="330"/>
      <c r="P357" s="330"/>
      <c r="Q357" s="330"/>
      <c r="R357" s="330"/>
      <c r="S357" s="330"/>
      <c r="T357" s="330"/>
      <c r="U357" s="330"/>
    </row>
    <row r="358" spans="2:21" s="310" customFormat="1">
      <c r="B358" s="344" t="s">
        <v>426</v>
      </c>
      <c r="C358" s="345"/>
      <c r="D358" s="516" t="s">
        <v>34</v>
      </c>
      <c r="E358" s="516"/>
      <c r="F358" s="516"/>
      <c r="G358" s="516"/>
      <c r="H358" s="516"/>
      <c r="I358" s="516"/>
      <c r="J358" s="516"/>
      <c r="M358" s="330"/>
      <c r="N358" s="330"/>
      <c r="O358" s="330"/>
      <c r="P358" s="330"/>
      <c r="Q358" s="330"/>
      <c r="R358" s="330"/>
      <c r="S358" s="330"/>
      <c r="T358" s="330"/>
      <c r="U358" s="330"/>
    </row>
    <row r="359" spans="2:21" s="310" customFormat="1">
      <c r="B359" s="344"/>
      <c r="C359" s="345"/>
      <c r="D359" s="516" t="str">
        <f>"This total balance of $265,249,280 at 12/31/12 is not included in the balance in line "&amp;B255&amp;" above."</f>
        <v>This total balance of $265,249,280 at 12/31/12 is not included in the balance in line 154 above.</v>
      </c>
      <c r="E359" s="516"/>
      <c r="F359" s="516"/>
      <c r="G359" s="516"/>
      <c r="H359" s="516"/>
      <c r="I359" s="516"/>
      <c r="J359" s="516"/>
      <c r="M359" s="330"/>
      <c r="N359" s="330"/>
      <c r="O359" s="330"/>
      <c r="P359" s="330"/>
      <c r="Q359" s="330"/>
      <c r="R359" s="330"/>
      <c r="S359" s="330"/>
      <c r="T359" s="330"/>
      <c r="U359" s="330"/>
    </row>
    <row r="360" spans="2:21" s="310" customFormat="1">
      <c r="B360" s="344"/>
      <c r="C360" s="345"/>
      <c r="D360" s="1445" t="s">
        <v>583</v>
      </c>
      <c r="E360" s="1445"/>
      <c r="F360" s="1445"/>
      <c r="G360" s="1445"/>
      <c r="H360" s="1445"/>
      <c r="I360" s="1445"/>
      <c r="J360" s="1445"/>
      <c r="K360" s="1445"/>
      <c r="L360" s="1445"/>
      <c r="M360" s="330"/>
      <c r="N360" s="330"/>
      <c r="O360" s="330"/>
      <c r="P360" s="330"/>
      <c r="Q360" s="330"/>
      <c r="R360" s="330"/>
      <c r="S360" s="330"/>
      <c r="T360" s="330"/>
      <c r="U360" s="330"/>
    </row>
    <row r="361" spans="2:21" s="310" customFormat="1">
      <c r="B361" s="344"/>
      <c r="C361" s="345"/>
      <c r="D361" s="1445"/>
      <c r="E361" s="1445"/>
      <c r="F361" s="1445"/>
      <c r="G361" s="1445"/>
      <c r="H361" s="1445"/>
      <c r="I361" s="1445"/>
      <c r="J361" s="1445"/>
      <c r="K361" s="1445"/>
      <c r="L361" s="1445"/>
      <c r="M361" s="330"/>
      <c r="N361" s="330"/>
      <c r="O361" s="330"/>
      <c r="P361" s="330"/>
      <c r="Q361" s="330"/>
      <c r="R361" s="330"/>
      <c r="S361" s="330"/>
      <c r="T361" s="330"/>
      <c r="U361" s="330"/>
    </row>
    <row r="362" spans="2:21" s="310" customFormat="1">
      <c r="B362" s="344"/>
      <c r="C362" s="345"/>
      <c r="D362" s="1445"/>
      <c r="E362" s="1445"/>
      <c r="F362" s="1445"/>
      <c r="G362" s="1445"/>
      <c r="H362" s="1445"/>
      <c r="I362" s="1445"/>
      <c r="J362" s="1445"/>
      <c r="K362" s="1445"/>
      <c r="L362" s="1445"/>
      <c r="M362" s="330"/>
      <c r="N362" s="330"/>
      <c r="O362" s="330"/>
      <c r="P362" s="330"/>
      <c r="Q362" s="330"/>
      <c r="R362" s="330"/>
      <c r="S362" s="330"/>
      <c r="T362" s="330"/>
      <c r="U362" s="330"/>
    </row>
    <row r="363" spans="2:21">
      <c r="B363" s="344" t="s">
        <v>494</v>
      </c>
      <c r="C363" s="521"/>
      <c r="D363" s="1445" t="s">
        <v>757</v>
      </c>
      <c r="E363" s="1445"/>
      <c r="F363" s="1445"/>
      <c r="G363" s="1445"/>
      <c r="H363" s="1445"/>
      <c r="I363" s="1445"/>
      <c r="J363" s="1445"/>
      <c r="K363" s="1445"/>
      <c r="L363" s="1445"/>
      <c r="M363" s="330"/>
      <c r="N363" s="330"/>
      <c r="O363" s="330"/>
      <c r="P363" s="330"/>
      <c r="Q363" s="330"/>
      <c r="R363" s="330"/>
      <c r="S363" s="330"/>
      <c r="T363" s="330"/>
      <c r="U363" s="330"/>
    </row>
    <row r="364" spans="2:21" ht="64.5" customHeight="1">
      <c r="B364" s="344"/>
      <c r="C364" s="345"/>
      <c r="D364" s="1445"/>
      <c r="E364" s="1445"/>
      <c r="F364" s="1445"/>
      <c r="G364" s="1445"/>
      <c r="H364" s="1445"/>
      <c r="I364" s="1445"/>
      <c r="J364" s="1445"/>
      <c r="K364" s="1445"/>
      <c r="L364" s="1445"/>
      <c r="M364" s="330"/>
      <c r="N364" s="330"/>
      <c r="O364" s="330"/>
      <c r="P364" s="330"/>
      <c r="Q364" s="330"/>
      <c r="R364" s="330"/>
      <c r="S364" s="330"/>
      <c r="T364" s="330"/>
      <c r="U364" s="330"/>
    </row>
    <row r="365" spans="2:21">
      <c r="B365" s="344" t="s">
        <v>585</v>
      </c>
      <c r="C365" s="345"/>
      <c r="D365" s="1429" t="s">
        <v>584</v>
      </c>
      <c r="E365" s="1429"/>
      <c r="F365" s="1429"/>
      <c r="G365" s="1429"/>
      <c r="H365" s="1429"/>
      <c r="I365" s="1429"/>
      <c r="J365" s="1429"/>
      <c r="K365" s="1429"/>
      <c r="L365" s="1429"/>
      <c r="M365" s="330"/>
      <c r="N365" s="330"/>
      <c r="O365" s="330"/>
      <c r="P365" s="330"/>
      <c r="Q365" s="330"/>
      <c r="R365" s="330"/>
      <c r="S365" s="330"/>
      <c r="T365" s="330"/>
      <c r="U365" s="330"/>
    </row>
    <row r="366" spans="2:21">
      <c r="B366" s="344"/>
      <c r="C366" s="345"/>
      <c r="D366" s="1429"/>
      <c r="E366" s="1429"/>
      <c r="F366" s="1429"/>
      <c r="G366" s="1429"/>
      <c r="H366" s="1429"/>
      <c r="I366" s="1429"/>
      <c r="J366" s="1429"/>
      <c r="K366" s="1429"/>
      <c r="L366" s="1429"/>
      <c r="M366" s="330"/>
      <c r="N366" s="330"/>
      <c r="O366" s="330"/>
      <c r="P366" s="330"/>
      <c r="Q366" s="330"/>
      <c r="R366" s="330"/>
      <c r="S366" s="330"/>
      <c r="T366" s="330"/>
      <c r="U366" s="330"/>
    </row>
    <row r="367" spans="2:21">
      <c r="B367" s="344" t="s">
        <v>587</v>
      </c>
      <c r="C367" s="345"/>
      <c r="D367" s="1425" t="s">
        <v>588</v>
      </c>
      <c r="E367" s="1425"/>
      <c r="F367" s="1425"/>
      <c r="G367" s="1425"/>
      <c r="H367" s="1425"/>
      <c r="I367" s="1425"/>
      <c r="J367" s="1425"/>
      <c r="K367" s="1425"/>
      <c r="L367" s="1425"/>
      <c r="M367" s="330"/>
      <c r="N367" s="330"/>
      <c r="O367" s="330"/>
      <c r="P367" s="330"/>
      <c r="Q367" s="330"/>
      <c r="R367" s="330"/>
      <c r="S367" s="330"/>
      <c r="T367" s="330"/>
      <c r="U367" s="330"/>
    </row>
    <row r="368" spans="2:21">
      <c r="B368" s="344" t="s">
        <v>586</v>
      </c>
      <c r="C368" s="345"/>
      <c r="D368" s="1429" t="s">
        <v>589</v>
      </c>
      <c r="E368" s="1429"/>
      <c r="F368" s="1429"/>
      <c r="G368" s="1429"/>
      <c r="H368" s="1429"/>
      <c r="I368" s="1429"/>
      <c r="J368" s="1429"/>
      <c r="K368" s="1429"/>
      <c r="L368" s="1429"/>
      <c r="M368" s="330"/>
      <c r="N368" s="330"/>
      <c r="O368" s="330"/>
      <c r="P368" s="330"/>
      <c r="Q368" s="330"/>
      <c r="R368" s="330"/>
      <c r="S368" s="330"/>
      <c r="T368" s="330"/>
      <c r="U368" s="330"/>
    </row>
    <row r="369" spans="2:21">
      <c r="B369" s="344"/>
      <c r="C369" s="345"/>
      <c r="D369" s="1429"/>
      <c r="E369" s="1429"/>
      <c r="F369" s="1429"/>
      <c r="G369" s="1429"/>
      <c r="H369" s="1429"/>
      <c r="I369" s="1429"/>
      <c r="J369" s="1429"/>
      <c r="K369" s="1429"/>
      <c r="L369" s="1429"/>
      <c r="M369" s="330"/>
      <c r="N369" s="330"/>
      <c r="O369" s="330"/>
      <c r="P369" s="330"/>
      <c r="Q369" s="330"/>
      <c r="R369" s="330"/>
      <c r="S369" s="330"/>
      <c r="T369" s="330"/>
      <c r="U369" s="330"/>
    </row>
    <row r="370" spans="2:21">
      <c r="B370" s="322"/>
      <c r="C370" s="322"/>
      <c r="D370" s="1429"/>
      <c r="E370" s="1429"/>
      <c r="F370" s="1429"/>
      <c r="G370" s="1429"/>
      <c r="H370" s="1429"/>
      <c r="I370" s="1429"/>
      <c r="J370" s="1429"/>
      <c r="K370" s="1429"/>
      <c r="L370" s="1429"/>
      <c r="M370" s="330"/>
      <c r="N370" s="330"/>
      <c r="O370" s="330"/>
      <c r="P370" s="330"/>
      <c r="Q370" s="330"/>
      <c r="R370" s="330"/>
      <c r="S370" s="330"/>
      <c r="T370" s="330"/>
      <c r="U370" s="330"/>
    </row>
    <row r="371" spans="2:21" ht="18" customHeight="1">
      <c r="B371" s="1099" t="s">
        <v>629</v>
      </c>
      <c r="C371" s="1100"/>
      <c r="D371" s="510" t="s">
        <v>865</v>
      </c>
      <c r="E371" s="569"/>
      <c r="F371" s="569"/>
      <c r="G371" s="569"/>
      <c r="H371" s="322"/>
      <c r="M371" s="330"/>
      <c r="N371" s="330"/>
      <c r="O371" s="330"/>
      <c r="P371" s="330"/>
      <c r="Q371" s="330"/>
      <c r="R371" s="330"/>
      <c r="S371" s="330"/>
      <c r="T371" s="330"/>
      <c r="U371" s="330"/>
    </row>
    <row r="372" spans="2:21">
      <c r="B372" s="322"/>
      <c r="C372" s="322"/>
      <c r="D372" s="322"/>
      <c r="E372" s="322"/>
      <c r="F372" s="322"/>
      <c r="G372" s="322"/>
      <c r="H372" s="322"/>
      <c r="M372" s="330"/>
      <c r="N372" s="330"/>
      <c r="O372" s="330"/>
      <c r="P372" s="330"/>
      <c r="Q372" s="330"/>
      <c r="R372" s="330"/>
      <c r="S372" s="330"/>
      <c r="T372" s="330"/>
      <c r="U372" s="330"/>
    </row>
    <row r="373" spans="2:21">
      <c r="B373" s="1099" t="s">
        <v>917</v>
      </c>
      <c r="C373" s="404"/>
      <c r="D373" s="1437" t="s">
        <v>918</v>
      </c>
      <c r="E373" s="1437"/>
      <c r="F373" s="1437"/>
      <c r="G373" s="1437"/>
      <c r="H373" s="1437"/>
      <c r="I373" s="1437"/>
      <c r="J373" s="1437"/>
      <c r="K373" s="1437"/>
      <c r="L373" s="1437"/>
      <c r="M373" s="310"/>
    </row>
    <row r="374" spans="2:21">
      <c r="B374" s="404"/>
      <c r="C374" s="404"/>
      <c r="D374" s="1437"/>
      <c r="E374" s="1437"/>
      <c r="F374" s="1437"/>
      <c r="G374" s="1437"/>
      <c r="H374" s="1437"/>
      <c r="I374" s="1437"/>
      <c r="J374" s="1437"/>
      <c r="K374" s="1437"/>
      <c r="L374" s="1437"/>
      <c r="M374" s="310"/>
    </row>
    <row r="375" spans="2:21">
      <c r="B375" s="508"/>
      <c r="C375" s="310"/>
      <c r="D375" s="310"/>
      <c r="E375" s="310"/>
      <c r="F375" s="310"/>
      <c r="G375" s="310"/>
      <c r="H375" s="310"/>
      <c r="I375" s="310"/>
      <c r="J375" s="310"/>
      <c r="K375" s="310"/>
      <c r="L375" s="310"/>
      <c r="M375" s="310"/>
    </row>
    <row r="376" spans="2:21">
      <c r="B376" s="508"/>
      <c r="C376" s="310"/>
      <c r="D376" s="310"/>
      <c r="E376" s="310"/>
      <c r="F376" s="310"/>
      <c r="G376" s="310"/>
      <c r="H376" s="310"/>
      <c r="I376" s="310"/>
      <c r="J376" s="310"/>
      <c r="K376" s="310"/>
      <c r="L376" s="310"/>
      <c r="M376" s="310"/>
    </row>
    <row r="377" spans="2:21">
      <c r="B377" s="508"/>
      <c r="C377" s="310"/>
      <c r="D377" s="310"/>
      <c r="E377" s="310"/>
      <c r="F377" s="310"/>
      <c r="G377" s="310"/>
      <c r="H377" s="310"/>
      <c r="I377" s="310"/>
      <c r="J377" s="310"/>
      <c r="K377" s="310"/>
      <c r="L377" s="310"/>
      <c r="M377" s="310"/>
    </row>
    <row r="378" spans="2:21">
      <c r="B378" s="508"/>
      <c r="C378" s="310"/>
      <c r="D378" s="310"/>
      <c r="E378" s="310"/>
      <c r="F378" s="310"/>
      <c r="G378" s="310"/>
      <c r="H378" s="310"/>
      <c r="I378" s="310"/>
      <c r="J378" s="310"/>
      <c r="K378" s="310"/>
      <c r="L378" s="310"/>
      <c r="M378" s="310"/>
    </row>
    <row r="379" spans="2:21">
      <c r="B379" s="508"/>
      <c r="C379" s="310"/>
      <c r="D379" s="310"/>
      <c r="E379" s="310"/>
      <c r="F379" s="310"/>
      <c r="G379" s="310"/>
      <c r="H379" s="310"/>
      <c r="I379" s="310"/>
      <c r="J379" s="310"/>
      <c r="K379" s="310"/>
      <c r="L379" s="310"/>
      <c r="M379" s="310"/>
    </row>
    <row r="380" spans="2:21">
      <c r="B380" s="508"/>
      <c r="C380" s="310"/>
      <c r="D380" s="310"/>
      <c r="E380" s="310"/>
      <c r="F380" s="310"/>
      <c r="G380" s="310"/>
      <c r="H380" s="310"/>
      <c r="I380" s="310"/>
      <c r="J380" s="310"/>
      <c r="K380" s="310"/>
      <c r="L380" s="310"/>
      <c r="M380" s="310"/>
    </row>
    <row r="381" spans="2:21">
      <c r="B381" s="508"/>
      <c r="C381" s="310"/>
      <c r="D381" s="310"/>
      <c r="E381" s="310"/>
      <c r="F381" s="310"/>
      <c r="G381" s="310"/>
      <c r="H381" s="310"/>
      <c r="I381" s="310"/>
      <c r="J381" s="310"/>
      <c r="K381" s="310"/>
      <c r="L381" s="310"/>
      <c r="M381" s="310"/>
    </row>
    <row r="382" spans="2:21">
      <c r="B382" s="508"/>
      <c r="C382" s="310"/>
      <c r="D382" s="310"/>
      <c r="E382" s="310"/>
      <c r="F382" s="310"/>
      <c r="G382" s="310"/>
      <c r="H382" s="310"/>
      <c r="I382" s="310"/>
      <c r="J382" s="310"/>
      <c r="K382" s="310"/>
      <c r="L382" s="310"/>
      <c r="M382" s="310"/>
    </row>
    <row r="383" spans="2:21">
      <c r="B383" s="508"/>
      <c r="C383" s="310"/>
      <c r="D383" s="310"/>
      <c r="E383" s="310"/>
      <c r="F383" s="310"/>
      <c r="G383" s="310"/>
      <c r="H383" s="310"/>
      <c r="I383" s="310"/>
      <c r="J383" s="310"/>
      <c r="K383" s="310"/>
      <c r="L383" s="310"/>
      <c r="M383" s="310"/>
    </row>
    <row r="384" spans="2:21">
      <c r="B384" s="508"/>
      <c r="C384" s="310"/>
      <c r="D384" s="310"/>
      <c r="E384" s="310"/>
      <c r="F384" s="310"/>
      <c r="G384" s="310"/>
      <c r="H384" s="310"/>
      <c r="I384" s="310"/>
      <c r="J384" s="310"/>
      <c r="K384" s="310"/>
      <c r="L384" s="310"/>
      <c r="M384" s="310"/>
    </row>
    <row r="385" spans="2:13">
      <c r="B385" s="508"/>
      <c r="C385" s="310"/>
      <c r="D385" s="310"/>
      <c r="E385" s="310"/>
      <c r="F385" s="310"/>
      <c r="G385" s="310"/>
      <c r="H385" s="310"/>
      <c r="I385" s="310"/>
      <c r="J385" s="310"/>
      <c r="K385" s="310"/>
      <c r="L385" s="310"/>
      <c r="M385" s="310"/>
    </row>
    <row r="386" spans="2:13">
      <c r="B386" s="508"/>
      <c r="C386" s="310"/>
      <c r="D386" s="310"/>
      <c r="E386" s="310"/>
      <c r="F386" s="310"/>
      <c r="G386" s="310"/>
      <c r="H386" s="310"/>
      <c r="I386" s="310"/>
      <c r="J386" s="310"/>
      <c r="K386" s="310"/>
      <c r="L386" s="310"/>
      <c r="M386" s="310"/>
    </row>
    <row r="387" spans="2:13">
      <c r="B387" s="508"/>
      <c r="C387" s="310"/>
      <c r="D387" s="310"/>
      <c r="E387" s="310"/>
      <c r="F387" s="310"/>
      <c r="G387" s="310"/>
      <c r="H387" s="310"/>
      <c r="I387" s="310"/>
      <c r="J387" s="310"/>
      <c r="K387" s="310"/>
      <c r="L387" s="310"/>
      <c r="M387" s="310"/>
    </row>
    <row r="388" spans="2:13">
      <c r="B388" s="508"/>
      <c r="C388" s="310"/>
      <c r="D388" s="310"/>
      <c r="E388" s="310"/>
      <c r="F388" s="310"/>
      <c r="G388" s="310"/>
      <c r="H388" s="310"/>
      <c r="I388" s="310"/>
      <c r="J388" s="310"/>
      <c r="K388" s="310"/>
      <c r="L388" s="310"/>
      <c r="M388" s="310"/>
    </row>
    <row r="389" spans="2:13">
      <c r="B389" s="508"/>
      <c r="C389" s="310"/>
      <c r="D389" s="310"/>
      <c r="E389" s="310"/>
      <c r="F389" s="310"/>
      <c r="G389" s="310"/>
      <c r="H389" s="310"/>
      <c r="I389" s="310"/>
      <c r="J389" s="310"/>
      <c r="K389" s="310"/>
      <c r="L389" s="310"/>
      <c r="M389" s="310"/>
    </row>
    <row r="390" spans="2:13">
      <c r="B390" s="508"/>
      <c r="C390" s="310"/>
      <c r="D390" s="310"/>
      <c r="E390" s="310"/>
      <c r="F390" s="310"/>
      <c r="G390" s="310"/>
      <c r="H390" s="310"/>
      <c r="I390" s="310"/>
      <c r="J390" s="310"/>
      <c r="K390" s="310"/>
      <c r="L390" s="310"/>
      <c r="M390" s="310"/>
    </row>
    <row r="391" spans="2:13">
      <c r="B391" s="508"/>
      <c r="C391" s="310"/>
      <c r="D391" s="310"/>
      <c r="E391" s="310"/>
      <c r="F391" s="310"/>
      <c r="G391" s="310"/>
      <c r="H391" s="310"/>
      <c r="I391" s="310"/>
      <c r="J391" s="310"/>
      <c r="K391" s="310"/>
      <c r="L391" s="310"/>
      <c r="M391" s="310"/>
    </row>
    <row r="392" spans="2:13">
      <c r="B392" s="508"/>
      <c r="C392" s="310"/>
      <c r="D392" s="310"/>
      <c r="E392" s="310"/>
      <c r="F392" s="310"/>
      <c r="G392" s="310"/>
      <c r="H392" s="310"/>
      <c r="I392" s="310"/>
      <c r="J392" s="310"/>
      <c r="K392" s="310"/>
      <c r="L392" s="310"/>
      <c r="M392" s="310"/>
    </row>
    <row r="393" spans="2:13">
      <c r="B393" s="508"/>
      <c r="C393" s="310"/>
      <c r="D393" s="310"/>
      <c r="E393" s="310"/>
      <c r="F393" s="310"/>
      <c r="G393" s="310"/>
      <c r="H393" s="310"/>
      <c r="I393" s="310"/>
      <c r="J393" s="310"/>
      <c r="K393" s="310"/>
      <c r="L393" s="310"/>
      <c r="M393" s="310"/>
    </row>
    <row r="394" spans="2:13">
      <c r="B394" s="508"/>
      <c r="C394" s="310"/>
      <c r="D394" s="310"/>
      <c r="E394" s="310"/>
      <c r="F394" s="310"/>
      <c r="G394" s="310"/>
      <c r="H394" s="310"/>
      <c r="I394" s="310"/>
      <c r="J394" s="310"/>
      <c r="K394" s="310"/>
      <c r="L394" s="310"/>
      <c r="M394" s="310"/>
    </row>
    <row r="395" spans="2:13">
      <c r="B395" s="508"/>
      <c r="C395" s="310"/>
      <c r="D395" s="310"/>
      <c r="E395" s="310"/>
      <c r="F395" s="310"/>
      <c r="G395" s="310"/>
      <c r="H395" s="310"/>
      <c r="I395" s="310"/>
      <c r="J395" s="310"/>
      <c r="K395" s="310"/>
      <c r="L395" s="310"/>
      <c r="M395" s="310"/>
    </row>
    <row r="396" spans="2:13">
      <c r="B396" s="508"/>
      <c r="C396" s="310"/>
      <c r="D396" s="310"/>
      <c r="E396" s="310"/>
      <c r="F396" s="310"/>
      <c r="G396" s="310"/>
      <c r="H396" s="310"/>
      <c r="I396" s="310"/>
      <c r="J396" s="310"/>
      <c r="K396" s="310"/>
      <c r="L396" s="310"/>
      <c r="M396" s="310"/>
    </row>
    <row r="397" spans="2:13">
      <c r="B397" s="508"/>
      <c r="C397" s="310"/>
      <c r="D397" s="310"/>
      <c r="E397" s="310"/>
      <c r="F397" s="310"/>
      <c r="G397" s="310"/>
      <c r="H397" s="310"/>
      <c r="I397" s="310"/>
      <c r="J397" s="310"/>
      <c r="K397" s="310"/>
      <c r="L397" s="310"/>
      <c r="M397" s="310"/>
    </row>
    <row r="398" spans="2:13">
      <c r="B398" s="508"/>
      <c r="C398" s="310"/>
      <c r="D398" s="310"/>
      <c r="E398" s="310"/>
      <c r="F398" s="310"/>
      <c r="G398" s="310"/>
      <c r="H398" s="310"/>
      <c r="I398" s="310"/>
      <c r="J398" s="310"/>
      <c r="K398" s="310"/>
      <c r="L398" s="310"/>
      <c r="M398" s="310"/>
    </row>
    <row r="399" spans="2:13">
      <c r="B399" s="508"/>
      <c r="C399" s="310"/>
      <c r="D399" s="310"/>
      <c r="E399" s="310"/>
      <c r="F399" s="310"/>
      <c r="G399" s="310"/>
      <c r="H399" s="310"/>
      <c r="I399" s="310"/>
      <c r="J399" s="310"/>
      <c r="K399" s="310"/>
      <c r="L399" s="310"/>
      <c r="M399" s="310"/>
    </row>
    <row r="400" spans="2:13">
      <c r="B400" s="508"/>
      <c r="C400" s="310"/>
      <c r="D400" s="310"/>
      <c r="E400" s="310"/>
      <c r="F400" s="310"/>
      <c r="G400" s="310"/>
      <c r="H400" s="310"/>
      <c r="I400" s="310"/>
      <c r="J400" s="310"/>
      <c r="K400" s="310"/>
      <c r="L400" s="310"/>
      <c r="M400" s="310"/>
    </row>
    <row r="401" spans="2:13">
      <c r="B401" s="508"/>
      <c r="C401" s="310"/>
      <c r="D401" s="310"/>
      <c r="E401" s="310"/>
      <c r="F401" s="310"/>
      <c r="G401" s="310"/>
      <c r="H401" s="310"/>
      <c r="I401" s="310"/>
      <c r="J401" s="310"/>
      <c r="K401" s="310"/>
      <c r="L401" s="310"/>
      <c r="M401" s="310"/>
    </row>
    <row r="402" spans="2:13">
      <c r="B402" s="508"/>
      <c r="C402" s="310"/>
      <c r="D402" s="310"/>
      <c r="E402" s="310"/>
      <c r="F402" s="310"/>
      <c r="G402" s="310"/>
      <c r="H402" s="310"/>
      <c r="I402" s="310"/>
      <c r="J402" s="310"/>
      <c r="K402" s="310"/>
      <c r="L402" s="310"/>
      <c r="M402" s="310"/>
    </row>
    <row r="403" spans="2:13">
      <c r="B403" s="508"/>
      <c r="C403" s="310"/>
      <c r="D403" s="310"/>
      <c r="E403" s="310"/>
      <c r="F403" s="310"/>
      <c r="G403" s="310"/>
      <c r="H403" s="310"/>
      <c r="I403" s="310"/>
      <c r="J403" s="310"/>
      <c r="K403" s="310"/>
      <c r="L403" s="310"/>
      <c r="M403" s="310"/>
    </row>
    <row r="404" spans="2:13">
      <c r="B404" s="508"/>
      <c r="C404" s="310"/>
      <c r="D404" s="310"/>
      <c r="E404" s="310"/>
      <c r="F404" s="310"/>
      <c r="G404" s="310"/>
      <c r="H404" s="310"/>
      <c r="I404" s="310"/>
      <c r="J404" s="310"/>
      <c r="K404" s="310"/>
      <c r="L404" s="310"/>
      <c r="M404" s="310"/>
    </row>
    <row r="405" spans="2:13">
      <c r="B405" s="508"/>
      <c r="C405" s="310"/>
      <c r="D405" s="310"/>
      <c r="E405" s="310"/>
      <c r="F405" s="310"/>
      <c r="G405" s="310"/>
      <c r="H405" s="310"/>
      <c r="I405" s="310"/>
      <c r="J405" s="310"/>
      <c r="K405" s="310"/>
      <c r="L405" s="310"/>
      <c r="M405" s="310"/>
    </row>
    <row r="406" spans="2:13">
      <c r="B406" s="508"/>
      <c r="C406" s="310"/>
      <c r="D406" s="310"/>
      <c r="E406" s="310"/>
      <c r="F406" s="310"/>
      <c r="G406" s="310"/>
      <c r="H406" s="310"/>
      <c r="I406" s="310"/>
      <c r="J406" s="310"/>
      <c r="K406" s="310"/>
      <c r="L406" s="310"/>
      <c r="M406" s="310"/>
    </row>
    <row r="407" spans="2:13">
      <c r="B407" s="508"/>
      <c r="C407" s="310"/>
      <c r="D407" s="310"/>
      <c r="E407" s="310"/>
      <c r="F407" s="310"/>
      <c r="G407" s="310"/>
      <c r="H407" s="310"/>
      <c r="I407" s="310"/>
      <c r="J407" s="310"/>
      <c r="K407" s="310"/>
      <c r="L407" s="310"/>
      <c r="M407" s="310"/>
    </row>
    <row r="408" spans="2:13">
      <c r="B408" s="508"/>
      <c r="C408" s="310"/>
      <c r="D408" s="310"/>
      <c r="E408" s="310"/>
      <c r="F408" s="310"/>
      <c r="G408" s="310"/>
      <c r="H408" s="310"/>
      <c r="I408" s="310"/>
      <c r="J408" s="310"/>
      <c r="K408" s="310"/>
      <c r="L408" s="310"/>
      <c r="M408" s="310"/>
    </row>
    <row r="409" spans="2:13">
      <c r="B409" s="508"/>
      <c r="C409" s="310"/>
      <c r="D409" s="310"/>
      <c r="E409" s="310"/>
      <c r="F409" s="310"/>
      <c r="G409" s="310"/>
      <c r="H409" s="310"/>
      <c r="I409" s="310"/>
      <c r="J409" s="310"/>
      <c r="K409" s="310"/>
      <c r="L409" s="310"/>
      <c r="M409" s="310"/>
    </row>
    <row r="410" spans="2:13">
      <c r="B410" s="508"/>
      <c r="C410" s="310"/>
      <c r="D410" s="310"/>
      <c r="E410" s="310"/>
      <c r="F410" s="310"/>
      <c r="G410" s="310"/>
      <c r="H410" s="310"/>
      <c r="I410" s="310"/>
      <c r="J410" s="310"/>
      <c r="K410" s="310"/>
      <c r="L410" s="310"/>
      <c r="M410" s="310"/>
    </row>
    <row r="411" spans="2:13">
      <c r="B411" s="508"/>
      <c r="C411" s="310"/>
      <c r="D411" s="310"/>
      <c r="E411" s="310"/>
      <c r="F411" s="310"/>
      <c r="G411" s="310"/>
      <c r="H411" s="310"/>
      <c r="I411" s="310"/>
      <c r="J411" s="310"/>
      <c r="K411" s="310"/>
      <c r="L411" s="310"/>
      <c r="M411" s="310"/>
    </row>
    <row r="412" spans="2:13">
      <c r="B412" s="508"/>
      <c r="C412" s="310"/>
      <c r="D412" s="310"/>
      <c r="E412" s="310"/>
      <c r="F412" s="310"/>
      <c r="G412" s="310"/>
      <c r="H412" s="310"/>
      <c r="I412" s="310"/>
      <c r="J412" s="310"/>
      <c r="K412" s="310"/>
      <c r="L412" s="310"/>
      <c r="M412" s="310"/>
    </row>
    <row r="413" spans="2:13">
      <c r="B413" s="508"/>
      <c r="C413" s="310"/>
      <c r="D413" s="310"/>
      <c r="E413" s="310"/>
      <c r="F413" s="310"/>
      <c r="G413" s="310"/>
      <c r="H413" s="310"/>
      <c r="I413" s="310"/>
      <c r="J413" s="310"/>
      <c r="K413" s="310"/>
      <c r="L413" s="310"/>
      <c r="M413" s="310"/>
    </row>
    <row r="414" spans="2:13">
      <c r="B414" s="508"/>
      <c r="C414" s="310"/>
      <c r="D414" s="310"/>
      <c r="E414" s="310"/>
      <c r="F414" s="310"/>
      <c r="G414" s="310"/>
      <c r="H414" s="310"/>
      <c r="I414" s="310"/>
      <c r="J414" s="310"/>
      <c r="K414" s="310"/>
      <c r="L414" s="310"/>
      <c r="M414" s="310"/>
    </row>
    <row r="415" spans="2:13">
      <c r="B415" s="508"/>
      <c r="C415" s="310"/>
      <c r="D415" s="310"/>
      <c r="E415" s="310"/>
      <c r="F415" s="310"/>
      <c r="G415" s="310"/>
      <c r="H415" s="310"/>
      <c r="I415" s="310"/>
      <c r="J415" s="310"/>
      <c r="K415" s="310"/>
      <c r="L415" s="310"/>
      <c r="M415" s="310"/>
    </row>
    <row r="416" spans="2:13">
      <c r="B416" s="508"/>
      <c r="C416" s="310"/>
      <c r="D416" s="310"/>
      <c r="E416" s="310"/>
      <c r="F416" s="310"/>
      <c r="G416" s="310"/>
      <c r="H416" s="310"/>
      <c r="I416" s="310"/>
      <c r="J416" s="310"/>
      <c r="K416" s="310"/>
      <c r="L416" s="310"/>
      <c r="M416" s="310"/>
    </row>
    <row r="417" spans="2:13">
      <c r="B417" s="508"/>
      <c r="C417" s="310"/>
      <c r="D417" s="310"/>
      <c r="E417" s="310"/>
      <c r="F417" s="310"/>
      <c r="G417" s="310"/>
      <c r="H417" s="310"/>
      <c r="I417" s="310"/>
      <c r="J417" s="310"/>
      <c r="K417" s="310"/>
      <c r="L417" s="310"/>
      <c r="M417" s="310"/>
    </row>
    <row r="418" spans="2:13">
      <c r="B418" s="508"/>
      <c r="C418" s="310"/>
      <c r="D418" s="310"/>
      <c r="E418" s="310"/>
      <c r="F418" s="310"/>
      <c r="G418" s="310"/>
      <c r="H418" s="310"/>
      <c r="I418" s="310"/>
      <c r="J418" s="310"/>
      <c r="K418" s="310"/>
      <c r="L418" s="310"/>
      <c r="M418" s="310"/>
    </row>
    <row r="419" spans="2:13">
      <c r="B419" s="508"/>
      <c r="C419" s="310"/>
      <c r="D419" s="310"/>
      <c r="E419" s="310"/>
      <c r="F419" s="310"/>
      <c r="G419" s="310"/>
      <c r="H419" s="310"/>
      <c r="I419" s="310"/>
      <c r="J419" s="310"/>
      <c r="K419" s="310"/>
      <c r="L419" s="310"/>
      <c r="M419" s="310"/>
    </row>
    <row r="420" spans="2:13">
      <c r="B420" s="508"/>
      <c r="C420" s="310"/>
      <c r="D420" s="310"/>
      <c r="E420" s="310"/>
      <c r="F420" s="310"/>
      <c r="G420" s="310"/>
      <c r="H420" s="310"/>
      <c r="I420" s="310"/>
      <c r="J420" s="310"/>
      <c r="K420" s="310"/>
      <c r="L420" s="310"/>
      <c r="M420" s="310"/>
    </row>
    <row r="421" spans="2:13">
      <c r="B421" s="508"/>
      <c r="C421" s="310"/>
      <c r="D421" s="310"/>
      <c r="E421" s="310"/>
      <c r="F421" s="310"/>
      <c r="G421" s="310"/>
      <c r="H421" s="310"/>
      <c r="I421" s="310"/>
      <c r="J421" s="310"/>
      <c r="K421" s="310"/>
      <c r="L421" s="310"/>
      <c r="M421" s="310"/>
    </row>
    <row r="422" spans="2:13">
      <c r="B422" s="508"/>
      <c r="C422" s="310"/>
      <c r="D422" s="310"/>
      <c r="E422" s="310"/>
      <c r="F422" s="310"/>
      <c r="G422" s="310"/>
      <c r="H422" s="310"/>
      <c r="I422" s="310"/>
      <c r="J422" s="310"/>
      <c r="K422" s="310"/>
      <c r="L422" s="310"/>
      <c r="M422" s="310"/>
    </row>
    <row r="423" spans="2:13">
      <c r="B423" s="508"/>
      <c r="C423" s="310"/>
      <c r="D423" s="310"/>
      <c r="E423" s="310"/>
      <c r="F423" s="310"/>
      <c r="G423" s="310"/>
      <c r="H423" s="310"/>
      <c r="I423" s="310"/>
      <c r="J423" s="310"/>
      <c r="K423" s="310"/>
      <c r="L423" s="310"/>
      <c r="M423" s="310"/>
    </row>
    <row r="424" spans="2:13">
      <c r="B424" s="508"/>
      <c r="C424" s="310"/>
      <c r="D424" s="310"/>
      <c r="E424" s="310"/>
      <c r="F424" s="310"/>
      <c r="G424" s="310"/>
      <c r="H424" s="310"/>
      <c r="I424" s="310"/>
      <c r="J424" s="310"/>
      <c r="K424" s="310"/>
      <c r="L424" s="310"/>
      <c r="M424" s="310"/>
    </row>
    <row r="425" spans="2:13">
      <c r="B425" s="508"/>
      <c r="C425" s="310"/>
      <c r="D425" s="310"/>
      <c r="E425" s="310"/>
      <c r="F425" s="310"/>
      <c r="G425" s="310"/>
      <c r="H425" s="310"/>
      <c r="I425" s="310"/>
      <c r="J425" s="310"/>
      <c r="K425" s="310"/>
      <c r="L425" s="310"/>
      <c r="M425" s="310"/>
    </row>
    <row r="426" spans="2:13">
      <c r="B426" s="508"/>
      <c r="C426" s="310"/>
      <c r="D426" s="310"/>
      <c r="E426" s="310"/>
      <c r="F426" s="310"/>
      <c r="G426" s="310"/>
      <c r="H426" s="310"/>
      <c r="I426" s="310"/>
      <c r="J426" s="310"/>
      <c r="K426" s="310"/>
      <c r="L426" s="310"/>
      <c r="M426" s="310"/>
    </row>
    <row r="427" spans="2:13">
      <c r="B427" s="508"/>
      <c r="C427" s="310"/>
      <c r="D427" s="310"/>
      <c r="E427" s="310"/>
      <c r="F427" s="310"/>
      <c r="G427" s="310"/>
      <c r="H427" s="310"/>
      <c r="I427" s="310"/>
      <c r="J427" s="310"/>
      <c r="K427" s="310"/>
      <c r="L427" s="310"/>
      <c r="M427" s="310"/>
    </row>
    <row r="428" spans="2:13">
      <c r="B428" s="508"/>
      <c r="C428" s="310"/>
      <c r="D428" s="310"/>
      <c r="E428" s="310"/>
      <c r="F428" s="310"/>
      <c r="G428" s="310"/>
      <c r="H428" s="310"/>
      <c r="I428" s="310"/>
      <c r="J428" s="310"/>
      <c r="K428" s="310"/>
      <c r="L428" s="310"/>
      <c r="M428" s="310"/>
    </row>
    <row r="429" spans="2:13">
      <c r="B429" s="508"/>
      <c r="C429" s="310"/>
      <c r="D429" s="310"/>
      <c r="E429" s="310"/>
      <c r="F429" s="310"/>
      <c r="G429" s="310"/>
      <c r="H429" s="310"/>
      <c r="I429" s="310"/>
      <c r="J429" s="310"/>
      <c r="K429" s="310"/>
      <c r="L429" s="310"/>
      <c r="M429" s="310"/>
    </row>
    <row r="430" spans="2:13">
      <c r="B430" s="508"/>
      <c r="C430" s="310"/>
      <c r="D430" s="310"/>
      <c r="E430" s="310"/>
      <c r="F430" s="310"/>
      <c r="G430" s="310"/>
      <c r="H430" s="310"/>
      <c r="I430" s="310"/>
      <c r="J430" s="310"/>
      <c r="K430" s="310"/>
      <c r="L430" s="310"/>
      <c r="M430" s="310"/>
    </row>
    <row r="431" spans="2:13">
      <c r="B431" s="508"/>
      <c r="C431" s="310"/>
      <c r="D431" s="310"/>
      <c r="E431" s="310"/>
      <c r="F431" s="310"/>
      <c r="G431" s="310"/>
      <c r="H431" s="310"/>
      <c r="I431" s="310"/>
      <c r="J431" s="310"/>
      <c r="K431" s="310"/>
      <c r="L431" s="310"/>
      <c r="M431" s="310"/>
    </row>
    <row r="432" spans="2:13">
      <c r="B432" s="508"/>
      <c r="C432" s="310"/>
      <c r="D432" s="310"/>
      <c r="E432" s="310"/>
      <c r="F432" s="310"/>
      <c r="G432" s="310"/>
      <c r="H432" s="310"/>
      <c r="I432" s="310"/>
      <c r="J432" s="310"/>
      <c r="K432" s="310"/>
      <c r="L432" s="310"/>
      <c r="M432" s="310"/>
    </row>
    <row r="433" spans="2:13">
      <c r="B433" s="508"/>
      <c r="C433" s="310"/>
      <c r="D433" s="310"/>
      <c r="E433" s="310"/>
      <c r="F433" s="310"/>
      <c r="G433" s="310"/>
      <c r="H433" s="310"/>
      <c r="I433" s="310"/>
      <c r="J433" s="310"/>
      <c r="K433" s="310"/>
      <c r="L433" s="310"/>
      <c r="M433" s="310"/>
    </row>
    <row r="434" spans="2:13">
      <c r="B434" s="508"/>
      <c r="C434" s="310"/>
      <c r="D434" s="310"/>
      <c r="E434" s="310"/>
      <c r="F434" s="310"/>
      <c r="G434" s="310"/>
      <c r="H434" s="310"/>
      <c r="I434" s="310"/>
      <c r="J434" s="310"/>
      <c r="K434" s="310"/>
      <c r="L434" s="310"/>
      <c r="M434" s="310"/>
    </row>
    <row r="435" spans="2:13">
      <c r="B435" s="508"/>
      <c r="C435" s="310"/>
      <c r="D435" s="310"/>
      <c r="E435" s="310"/>
      <c r="F435" s="310"/>
      <c r="G435" s="310"/>
      <c r="H435" s="310"/>
      <c r="I435" s="310"/>
      <c r="J435" s="310"/>
      <c r="K435" s="310"/>
      <c r="L435" s="310"/>
      <c r="M435" s="310"/>
    </row>
    <row r="436" spans="2:13">
      <c r="B436" s="508"/>
      <c r="C436" s="310"/>
      <c r="D436" s="310"/>
      <c r="E436" s="310"/>
      <c r="F436" s="310"/>
      <c r="G436" s="310"/>
      <c r="H436" s="310"/>
      <c r="I436" s="310"/>
      <c r="J436" s="310"/>
      <c r="K436" s="310"/>
      <c r="L436" s="310"/>
      <c r="M436" s="310"/>
    </row>
    <row r="437" spans="2:13">
      <c r="B437" s="508"/>
      <c r="C437" s="310"/>
      <c r="D437" s="310"/>
      <c r="E437" s="310"/>
      <c r="F437" s="310"/>
      <c r="G437" s="310"/>
      <c r="H437" s="310"/>
      <c r="I437" s="310"/>
      <c r="J437" s="310"/>
      <c r="K437" s="310"/>
      <c r="L437" s="310"/>
      <c r="M437" s="310"/>
    </row>
    <row r="438" spans="2:13">
      <c r="B438" s="508"/>
      <c r="C438" s="310"/>
      <c r="D438" s="310"/>
      <c r="E438" s="310"/>
      <c r="F438" s="310"/>
      <c r="G438" s="310"/>
      <c r="H438" s="310"/>
      <c r="I438" s="310"/>
      <c r="J438" s="310"/>
      <c r="K438" s="310"/>
      <c r="L438" s="310"/>
      <c r="M438" s="310"/>
    </row>
    <row r="439" spans="2:13">
      <c r="B439" s="508"/>
      <c r="C439" s="310"/>
      <c r="D439" s="310"/>
      <c r="E439" s="310"/>
      <c r="F439" s="310"/>
      <c r="G439" s="310"/>
      <c r="H439" s="310"/>
      <c r="I439" s="310"/>
      <c r="J439" s="310"/>
      <c r="K439" s="310"/>
      <c r="L439" s="310"/>
      <c r="M439" s="310"/>
    </row>
    <row r="440" spans="2:13">
      <c r="B440" s="508"/>
      <c r="C440" s="310"/>
      <c r="D440" s="310"/>
      <c r="E440" s="310"/>
      <c r="F440" s="310"/>
      <c r="G440" s="310"/>
      <c r="H440" s="310"/>
      <c r="I440" s="310"/>
      <c r="J440" s="310"/>
      <c r="K440" s="310"/>
      <c r="L440" s="310"/>
      <c r="M440" s="310"/>
    </row>
    <row r="441" spans="2:13">
      <c r="B441" s="508"/>
      <c r="C441" s="310"/>
      <c r="D441" s="310"/>
      <c r="E441" s="310"/>
      <c r="F441" s="310"/>
      <c r="G441" s="310"/>
      <c r="H441" s="310"/>
      <c r="I441" s="310"/>
      <c r="J441" s="310"/>
      <c r="K441" s="310"/>
      <c r="L441" s="310"/>
      <c r="M441" s="310"/>
    </row>
    <row r="442" spans="2:13">
      <c r="B442" s="508"/>
      <c r="C442" s="310"/>
      <c r="D442" s="310"/>
      <c r="E442" s="310"/>
      <c r="F442" s="310"/>
      <c r="G442" s="310"/>
      <c r="H442" s="310"/>
      <c r="I442" s="310"/>
      <c r="J442" s="310"/>
      <c r="K442" s="310"/>
      <c r="L442" s="310"/>
      <c r="M442" s="310"/>
    </row>
    <row r="443" spans="2:13">
      <c r="B443" s="508"/>
      <c r="C443" s="310"/>
      <c r="D443" s="310"/>
      <c r="E443" s="310"/>
      <c r="F443" s="310"/>
      <c r="G443" s="310"/>
      <c r="H443" s="310"/>
      <c r="I443" s="310"/>
      <c r="J443" s="310"/>
      <c r="K443" s="310"/>
      <c r="L443" s="310"/>
      <c r="M443" s="310"/>
    </row>
    <row r="444" spans="2:13">
      <c r="B444" s="508"/>
      <c r="C444" s="310"/>
      <c r="D444" s="310"/>
      <c r="E444" s="310"/>
      <c r="F444" s="310"/>
      <c r="G444" s="310"/>
      <c r="H444" s="310"/>
      <c r="I444" s="310"/>
      <c r="J444" s="310"/>
      <c r="K444" s="310"/>
      <c r="L444" s="310"/>
      <c r="M444" s="310"/>
    </row>
    <row r="445" spans="2:13">
      <c r="B445" s="508"/>
      <c r="C445" s="310"/>
      <c r="D445" s="310"/>
      <c r="E445" s="310"/>
      <c r="F445" s="310"/>
      <c r="G445" s="310"/>
      <c r="H445" s="310"/>
      <c r="I445" s="310"/>
      <c r="J445" s="310"/>
      <c r="K445" s="310"/>
      <c r="L445" s="310"/>
      <c r="M445" s="310"/>
    </row>
    <row r="446" spans="2:13">
      <c r="B446" s="508"/>
      <c r="C446" s="310"/>
      <c r="D446" s="310"/>
      <c r="E446" s="310"/>
      <c r="F446" s="310"/>
      <c r="G446" s="310"/>
      <c r="H446" s="310"/>
      <c r="I446" s="310"/>
      <c r="J446" s="310"/>
      <c r="K446" s="310"/>
      <c r="L446" s="310"/>
      <c r="M446" s="310"/>
    </row>
    <row r="447" spans="2:13">
      <c r="B447" s="508"/>
      <c r="C447" s="310"/>
      <c r="D447" s="310"/>
      <c r="E447" s="310"/>
      <c r="F447" s="310"/>
      <c r="G447" s="310"/>
      <c r="H447" s="310"/>
      <c r="I447" s="310"/>
      <c r="J447" s="310"/>
      <c r="K447" s="310"/>
      <c r="L447" s="310"/>
      <c r="M447" s="310"/>
    </row>
    <row r="448" spans="2:13">
      <c r="B448" s="508"/>
      <c r="C448" s="310"/>
      <c r="D448" s="310"/>
      <c r="E448" s="310"/>
      <c r="F448" s="310"/>
      <c r="G448" s="310"/>
      <c r="H448" s="310"/>
      <c r="I448" s="310"/>
      <c r="J448" s="310"/>
      <c r="K448" s="310"/>
      <c r="L448" s="310"/>
      <c r="M448" s="310"/>
    </row>
    <row r="449" spans="2:13">
      <c r="B449" s="508"/>
      <c r="C449" s="310"/>
      <c r="D449" s="310"/>
      <c r="E449" s="310"/>
      <c r="F449" s="310"/>
      <c r="G449" s="310"/>
      <c r="H449" s="310"/>
      <c r="I449" s="310"/>
      <c r="J449" s="310"/>
      <c r="K449" s="310"/>
      <c r="L449" s="310"/>
      <c r="M449" s="310"/>
    </row>
    <row r="450" spans="2:13">
      <c r="B450" s="508"/>
      <c r="C450" s="310"/>
      <c r="D450" s="310"/>
      <c r="E450" s="310"/>
      <c r="F450" s="310"/>
      <c r="G450" s="310"/>
      <c r="H450" s="310"/>
      <c r="I450" s="310"/>
      <c r="J450" s="310"/>
      <c r="K450" s="310"/>
      <c r="L450" s="310"/>
      <c r="M450" s="310"/>
    </row>
    <row r="451" spans="2:13">
      <c r="B451" s="508"/>
      <c r="C451" s="310"/>
      <c r="D451" s="310"/>
      <c r="E451" s="310"/>
      <c r="F451" s="310"/>
      <c r="G451" s="310"/>
      <c r="H451" s="310"/>
      <c r="I451" s="310"/>
      <c r="J451" s="310"/>
      <c r="K451" s="310"/>
      <c r="L451" s="310"/>
      <c r="M451" s="310"/>
    </row>
    <row r="452" spans="2:13">
      <c r="B452" s="508"/>
      <c r="C452" s="310"/>
      <c r="D452" s="310"/>
      <c r="E452" s="310"/>
      <c r="F452" s="310"/>
      <c r="G452" s="310"/>
      <c r="H452" s="310"/>
      <c r="I452" s="310"/>
      <c r="J452" s="310"/>
      <c r="K452" s="310"/>
      <c r="L452" s="310"/>
      <c r="M452" s="310"/>
    </row>
    <row r="453" spans="2:13">
      <c r="B453" s="508"/>
      <c r="C453" s="310"/>
      <c r="D453" s="310"/>
      <c r="E453" s="310"/>
      <c r="F453" s="310"/>
      <c r="G453" s="310"/>
      <c r="H453" s="310"/>
      <c r="I453" s="310"/>
      <c r="J453" s="310"/>
      <c r="K453" s="310"/>
      <c r="L453" s="310"/>
      <c r="M453" s="310"/>
    </row>
    <row r="454" spans="2:13">
      <c r="B454" s="508"/>
      <c r="C454" s="310"/>
      <c r="D454" s="310"/>
      <c r="E454" s="310"/>
      <c r="F454" s="310"/>
      <c r="G454" s="310"/>
      <c r="H454" s="310"/>
      <c r="I454" s="310"/>
      <c r="J454" s="310"/>
      <c r="K454" s="310"/>
      <c r="L454" s="310"/>
      <c r="M454" s="310"/>
    </row>
    <row r="455" spans="2:13">
      <c r="B455" s="508"/>
      <c r="C455" s="310"/>
      <c r="D455" s="310"/>
      <c r="E455" s="310"/>
      <c r="F455" s="310"/>
      <c r="G455" s="310"/>
      <c r="H455" s="310"/>
      <c r="I455" s="310"/>
      <c r="J455" s="310"/>
      <c r="K455" s="310"/>
      <c r="L455" s="310"/>
      <c r="M455" s="310"/>
    </row>
    <row r="456" spans="2:13">
      <c r="B456" s="508"/>
      <c r="C456" s="310"/>
      <c r="D456" s="310"/>
      <c r="E456" s="310"/>
      <c r="F456" s="310"/>
      <c r="G456" s="310"/>
      <c r="H456" s="310"/>
      <c r="I456" s="310"/>
      <c r="J456" s="310"/>
      <c r="K456" s="310"/>
      <c r="L456" s="310"/>
      <c r="M456" s="310"/>
    </row>
    <row r="457" spans="2:13">
      <c r="B457" s="508"/>
      <c r="C457" s="310"/>
      <c r="D457" s="310"/>
      <c r="E457" s="310"/>
      <c r="F457" s="310"/>
      <c r="G457" s="310"/>
      <c r="H457" s="310"/>
      <c r="I457" s="310"/>
      <c r="J457" s="310"/>
      <c r="K457" s="310"/>
      <c r="L457" s="310"/>
      <c r="M457" s="310"/>
    </row>
    <row r="458" spans="2:13">
      <c r="B458" s="508"/>
      <c r="C458" s="310"/>
      <c r="D458" s="310"/>
      <c r="E458" s="310"/>
      <c r="F458" s="310"/>
      <c r="G458" s="310"/>
      <c r="H458" s="310"/>
      <c r="I458" s="310"/>
      <c r="J458" s="310"/>
      <c r="K458" s="310"/>
      <c r="L458" s="310"/>
      <c r="M458" s="310"/>
    </row>
    <row r="459" spans="2:13">
      <c r="B459" s="508"/>
      <c r="C459" s="310"/>
      <c r="D459" s="310"/>
      <c r="E459" s="310"/>
      <c r="F459" s="310"/>
      <c r="G459" s="310"/>
      <c r="H459" s="310"/>
      <c r="I459" s="310"/>
      <c r="J459" s="310"/>
      <c r="K459" s="310"/>
      <c r="L459" s="310"/>
      <c r="M459" s="310"/>
    </row>
    <row r="460" spans="2:13">
      <c r="B460" s="508"/>
      <c r="C460" s="310"/>
      <c r="D460" s="310"/>
      <c r="E460" s="310"/>
      <c r="F460" s="310"/>
      <c r="G460" s="310"/>
      <c r="H460" s="310"/>
      <c r="I460" s="310"/>
      <c r="J460" s="310"/>
      <c r="K460" s="310"/>
      <c r="L460" s="310"/>
      <c r="M460" s="310"/>
    </row>
    <row r="461" spans="2:13">
      <c r="B461" s="508"/>
      <c r="C461" s="310"/>
      <c r="D461" s="310"/>
      <c r="E461" s="310"/>
      <c r="F461" s="310"/>
      <c r="G461" s="310"/>
      <c r="H461" s="310"/>
      <c r="I461" s="310"/>
      <c r="J461" s="310"/>
      <c r="K461" s="310"/>
      <c r="L461" s="310"/>
      <c r="M461" s="310"/>
    </row>
    <row r="462" spans="2:13">
      <c r="B462" s="508"/>
      <c r="C462" s="310"/>
      <c r="D462" s="310"/>
      <c r="E462" s="310"/>
      <c r="F462" s="310"/>
      <c r="G462" s="310"/>
      <c r="H462" s="310"/>
      <c r="I462" s="310"/>
      <c r="J462" s="310"/>
      <c r="K462" s="310"/>
      <c r="L462" s="310"/>
      <c r="M462" s="310"/>
    </row>
    <row r="463" spans="2:13">
      <c r="B463" s="508"/>
      <c r="C463" s="310"/>
      <c r="D463" s="310"/>
      <c r="E463" s="310"/>
      <c r="F463" s="310"/>
      <c r="G463" s="310"/>
      <c r="H463" s="310"/>
      <c r="I463" s="310"/>
      <c r="J463" s="310"/>
      <c r="K463" s="310"/>
      <c r="L463" s="310"/>
      <c r="M463" s="310"/>
    </row>
    <row r="464" spans="2:13">
      <c r="B464" s="508"/>
      <c r="C464" s="310"/>
      <c r="D464" s="310"/>
      <c r="E464" s="310"/>
      <c r="F464" s="310"/>
      <c r="G464" s="310"/>
      <c r="H464" s="310"/>
      <c r="I464" s="310"/>
      <c r="J464" s="310"/>
      <c r="K464" s="310"/>
      <c r="L464" s="310"/>
      <c r="M464" s="310"/>
    </row>
    <row r="465" spans="2:13">
      <c r="B465" s="508"/>
      <c r="C465" s="310"/>
      <c r="D465" s="310"/>
      <c r="E465" s="310"/>
      <c r="F465" s="310"/>
      <c r="G465" s="310"/>
      <c r="H465" s="310"/>
      <c r="I465" s="310"/>
      <c r="J465" s="310"/>
      <c r="K465" s="310"/>
      <c r="L465" s="310"/>
      <c r="M465" s="310"/>
    </row>
    <row r="466" spans="2:13">
      <c r="B466" s="508"/>
      <c r="C466" s="310"/>
      <c r="D466" s="310"/>
      <c r="E466" s="310"/>
      <c r="F466" s="310"/>
      <c r="G466" s="310"/>
      <c r="H466" s="310"/>
      <c r="I466" s="310"/>
      <c r="J466" s="310"/>
      <c r="K466" s="310"/>
      <c r="L466" s="310"/>
      <c r="M466" s="310"/>
    </row>
    <row r="467" spans="2:13">
      <c r="B467" s="508"/>
      <c r="C467" s="310"/>
      <c r="D467" s="310"/>
      <c r="E467" s="310"/>
      <c r="F467" s="310"/>
      <c r="G467" s="310"/>
      <c r="H467" s="310"/>
      <c r="I467" s="310"/>
      <c r="J467" s="310"/>
      <c r="K467" s="310"/>
      <c r="L467" s="310"/>
      <c r="M467" s="310"/>
    </row>
    <row r="468" spans="2:13">
      <c r="B468" s="508"/>
      <c r="C468" s="310"/>
      <c r="D468" s="310"/>
      <c r="E468" s="310"/>
      <c r="F468" s="310"/>
      <c r="G468" s="310"/>
      <c r="H468" s="310"/>
      <c r="I468" s="310"/>
      <c r="J468" s="310"/>
      <c r="K468" s="310"/>
      <c r="L468" s="310"/>
      <c r="M468" s="310"/>
    </row>
    <row r="469" spans="2:13">
      <c r="B469" s="508"/>
      <c r="C469" s="310"/>
      <c r="D469" s="310"/>
      <c r="E469" s="310"/>
      <c r="F469" s="310"/>
      <c r="G469" s="310"/>
      <c r="H469" s="310"/>
      <c r="I469" s="310"/>
      <c r="J469" s="310"/>
      <c r="K469" s="310"/>
      <c r="L469" s="310"/>
      <c r="M469" s="310"/>
    </row>
    <row r="470" spans="2:13">
      <c r="B470" s="508"/>
      <c r="C470" s="310"/>
      <c r="D470" s="310"/>
      <c r="E470" s="310"/>
      <c r="F470" s="310"/>
      <c r="G470" s="310"/>
      <c r="H470" s="310"/>
      <c r="I470" s="310"/>
      <c r="J470" s="310"/>
      <c r="K470" s="310"/>
      <c r="L470" s="310"/>
      <c r="M470" s="310"/>
    </row>
    <row r="471" spans="2:13">
      <c r="B471" s="508"/>
      <c r="C471" s="310"/>
      <c r="D471" s="310"/>
      <c r="E471" s="310"/>
      <c r="F471" s="310"/>
      <c r="G471" s="310"/>
      <c r="H471" s="310"/>
      <c r="I471" s="310"/>
      <c r="J471" s="310"/>
      <c r="K471" s="310"/>
      <c r="L471" s="310"/>
      <c r="M471" s="310"/>
    </row>
    <row r="472" spans="2:13">
      <c r="B472" s="508"/>
      <c r="C472" s="310"/>
      <c r="D472" s="310"/>
      <c r="E472" s="310"/>
      <c r="F472" s="310"/>
      <c r="G472" s="310"/>
      <c r="H472" s="310"/>
      <c r="I472" s="310"/>
      <c r="J472" s="310"/>
      <c r="K472" s="310"/>
      <c r="L472" s="310"/>
      <c r="M472" s="310"/>
    </row>
    <row r="473" spans="2:13">
      <c r="B473" s="508"/>
      <c r="C473" s="310"/>
      <c r="D473" s="310"/>
      <c r="E473" s="310"/>
      <c r="F473" s="310"/>
      <c r="G473" s="310"/>
      <c r="H473" s="310"/>
      <c r="I473" s="310"/>
      <c r="J473" s="310"/>
      <c r="K473" s="310"/>
      <c r="L473" s="310"/>
      <c r="M473" s="310"/>
    </row>
    <row r="474" spans="2:13">
      <c r="B474" s="508"/>
      <c r="C474" s="310"/>
      <c r="D474" s="310"/>
      <c r="E474" s="310"/>
      <c r="F474" s="310"/>
      <c r="G474" s="310"/>
      <c r="H474" s="310"/>
      <c r="I474" s="310"/>
      <c r="J474" s="310"/>
      <c r="K474" s="310"/>
      <c r="L474" s="310"/>
      <c r="M474" s="310"/>
    </row>
    <row r="475" spans="2:13">
      <c r="B475" s="508"/>
      <c r="C475" s="310"/>
      <c r="D475" s="310"/>
      <c r="E475" s="310"/>
      <c r="F475" s="310"/>
      <c r="G475" s="310"/>
      <c r="H475" s="310"/>
      <c r="I475" s="310"/>
      <c r="J475" s="310"/>
      <c r="K475" s="310"/>
      <c r="L475" s="310"/>
      <c r="M475" s="310"/>
    </row>
    <row r="476" spans="2:13">
      <c r="B476" s="508"/>
      <c r="C476" s="310"/>
      <c r="D476" s="310"/>
      <c r="E476" s="310"/>
      <c r="F476" s="310"/>
      <c r="G476" s="310"/>
      <c r="H476" s="310"/>
      <c r="I476" s="310"/>
      <c r="J476" s="310"/>
      <c r="K476" s="310"/>
      <c r="L476" s="310"/>
      <c r="M476" s="310"/>
    </row>
    <row r="477" spans="2:13">
      <c r="B477" s="508"/>
      <c r="C477" s="310"/>
      <c r="D477" s="310"/>
      <c r="E477" s="310"/>
      <c r="F477" s="310"/>
      <c r="G477" s="310"/>
      <c r="H477" s="310"/>
      <c r="I477" s="310"/>
      <c r="J477" s="310"/>
      <c r="K477" s="310"/>
      <c r="L477" s="310"/>
      <c r="M477" s="310"/>
    </row>
    <row r="478" spans="2:13">
      <c r="B478" s="508"/>
      <c r="C478" s="310"/>
      <c r="D478" s="310"/>
      <c r="E478" s="310"/>
      <c r="F478" s="310"/>
      <c r="G478" s="310"/>
      <c r="H478" s="310"/>
      <c r="I478" s="310"/>
      <c r="J478" s="310"/>
      <c r="K478" s="310"/>
      <c r="L478" s="310"/>
      <c r="M478" s="310"/>
    </row>
    <row r="479" spans="2:13">
      <c r="B479" s="508"/>
      <c r="C479" s="310"/>
      <c r="D479" s="310"/>
      <c r="E479" s="310"/>
      <c r="F479" s="310"/>
      <c r="G479" s="310"/>
      <c r="H479" s="310"/>
      <c r="I479" s="310"/>
      <c r="J479" s="310"/>
      <c r="K479" s="310"/>
      <c r="L479" s="310"/>
      <c r="M479" s="310"/>
    </row>
    <row r="480" spans="2:13">
      <c r="B480" s="508"/>
      <c r="C480" s="310"/>
      <c r="D480" s="310"/>
      <c r="E480" s="310"/>
      <c r="F480" s="310"/>
      <c r="G480" s="310"/>
      <c r="H480" s="310"/>
      <c r="I480" s="310"/>
      <c r="J480" s="310"/>
      <c r="K480" s="310"/>
      <c r="L480" s="310"/>
      <c r="M480" s="310"/>
    </row>
    <row r="481" spans="2:13">
      <c r="B481" s="508"/>
      <c r="C481" s="310"/>
      <c r="D481" s="310"/>
      <c r="E481" s="310"/>
      <c r="F481" s="310"/>
      <c r="G481" s="310"/>
      <c r="H481" s="310"/>
      <c r="I481" s="310"/>
      <c r="J481" s="310"/>
      <c r="K481" s="310"/>
      <c r="L481" s="310"/>
      <c r="M481" s="310"/>
    </row>
    <row r="482" spans="2:13">
      <c r="B482" s="508"/>
      <c r="C482" s="310"/>
      <c r="D482" s="310"/>
      <c r="E482" s="310"/>
      <c r="F482" s="310"/>
      <c r="G482" s="310"/>
      <c r="H482" s="310"/>
      <c r="I482" s="310"/>
      <c r="J482" s="310"/>
      <c r="K482" s="310"/>
      <c r="L482" s="310"/>
      <c r="M482" s="310"/>
    </row>
    <row r="483" spans="2:13">
      <c r="B483" s="508"/>
      <c r="C483" s="310"/>
      <c r="D483" s="310"/>
      <c r="E483" s="310"/>
      <c r="F483" s="310"/>
      <c r="G483" s="310"/>
      <c r="H483" s="310"/>
      <c r="I483" s="310"/>
      <c r="J483" s="310"/>
      <c r="K483" s="310"/>
      <c r="L483" s="310"/>
      <c r="M483" s="310"/>
    </row>
    <row r="484" spans="2:13">
      <c r="B484" s="508"/>
      <c r="C484" s="310"/>
      <c r="D484" s="310"/>
      <c r="E484" s="310"/>
      <c r="F484" s="310"/>
      <c r="G484" s="310"/>
      <c r="H484" s="310"/>
      <c r="I484" s="310"/>
      <c r="J484" s="310"/>
      <c r="K484" s="310"/>
      <c r="L484" s="310"/>
      <c r="M484" s="310"/>
    </row>
    <row r="485" spans="2:13">
      <c r="B485" s="508"/>
      <c r="C485" s="310"/>
      <c r="D485" s="310"/>
      <c r="E485" s="310"/>
      <c r="F485" s="310"/>
      <c r="G485" s="310"/>
      <c r="H485" s="310"/>
      <c r="I485" s="310"/>
      <c r="J485" s="310"/>
      <c r="K485" s="310"/>
      <c r="L485" s="310"/>
      <c r="M485" s="310"/>
    </row>
    <row r="486" spans="2:13">
      <c r="B486" s="508"/>
      <c r="C486" s="310"/>
      <c r="D486" s="310"/>
      <c r="E486" s="310"/>
      <c r="F486" s="310"/>
      <c r="G486" s="310"/>
      <c r="H486" s="310"/>
      <c r="I486" s="310"/>
      <c r="J486" s="310"/>
      <c r="K486" s="310"/>
      <c r="L486" s="310"/>
      <c r="M486" s="310"/>
    </row>
    <row r="487" spans="2:13">
      <c r="B487" s="508"/>
      <c r="C487" s="310"/>
      <c r="D487" s="310"/>
      <c r="E487" s="310"/>
      <c r="F487" s="310"/>
      <c r="G487" s="310"/>
      <c r="H487" s="310"/>
      <c r="I487" s="310"/>
      <c r="J487" s="310"/>
      <c r="K487" s="310"/>
      <c r="L487" s="310"/>
      <c r="M487" s="310"/>
    </row>
    <row r="488" spans="2:13">
      <c r="B488" s="508"/>
      <c r="C488" s="310"/>
      <c r="D488" s="310"/>
      <c r="E488" s="310"/>
      <c r="F488" s="310"/>
      <c r="G488" s="310"/>
      <c r="H488" s="310"/>
      <c r="I488" s="310"/>
      <c r="J488" s="310"/>
      <c r="K488" s="310"/>
      <c r="L488" s="310"/>
      <c r="M488" s="310"/>
    </row>
    <row r="489" spans="2:13">
      <c r="B489" s="508"/>
      <c r="C489" s="310"/>
      <c r="D489" s="310"/>
      <c r="E489" s="310"/>
      <c r="F489" s="310"/>
      <c r="G489" s="310"/>
      <c r="H489" s="310"/>
      <c r="I489" s="310"/>
      <c r="J489" s="310"/>
      <c r="K489" s="310"/>
      <c r="L489" s="310"/>
      <c r="M489" s="310"/>
    </row>
    <row r="490" spans="2:13">
      <c r="B490" s="508"/>
      <c r="C490" s="310"/>
      <c r="D490" s="310"/>
      <c r="E490" s="310"/>
      <c r="F490" s="310"/>
      <c r="G490" s="310"/>
      <c r="H490" s="310"/>
      <c r="I490" s="310"/>
      <c r="J490" s="310"/>
      <c r="K490" s="310"/>
      <c r="L490" s="310"/>
      <c r="M490" s="310"/>
    </row>
    <row r="491" spans="2:13">
      <c r="B491" s="508"/>
      <c r="C491" s="310"/>
      <c r="D491" s="310"/>
      <c r="E491" s="310"/>
      <c r="F491" s="310"/>
      <c r="G491" s="310"/>
      <c r="H491" s="310"/>
      <c r="I491" s="310"/>
      <c r="J491" s="310"/>
      <c r="K491" s="310"/>
      <c r="L491" s="310"/>
      <c r="M491" s="310"/>
    </row>
    <row r="492" spans="2:13">
      <c r="B492" s="508"/>
      <c r="C492" s="310"/>
      <c r="D492" s="310"/>
      <c r="E492" s="310"/>
      <c r="F492" s="310"/>
      <c r="G492" s="310"/>
      <c r="H492" s="310"/>
      <c r="I492" s="310"/>
      <c r="J492" s="310"/>
      <c r="K492" s="310"/>
      <c r="L492" s="310"/>
      <c r="M492" s="310"/>
    </row>
    <row r="493" spans="2:13">
      <c r="B493" s="508"/>
      <c r="C493" s="310"/>
      <c r="D493" s="310"/>
      <c r="E493" s="310"/>
      <c r="F493" s="310"/>
      <c r="G493" s="310"/>
      <c r="H493" s="310"/>
      <c r="I493" s="310"/>
      <c r="J493" s="310"/>
      <c r="K493" s="310"/>
      <c r="L493" s="310"/>
      <c r="M493" s="310"/>
    </row>
    <row r="494" spans="2:13">
      <c r="B494" s="508"/>
      <c r="C494" s="310"/>
      <c r="D494" s="310"/>
      <c r="E494" s="310"/>
      <c r="F494" s="310"/>
      <c r="G494" s="310"/>
      <c r="H494" s="310"/>
      <c r="I494" s="310"/>
      <c r="J494" s="310"/>
      <c r="K494" s="310"/>
      <c r="L494" s="310"/>
      <c r="M494" s="310"/>
    </row>
    <row r="495" spans="2:13">
      <c r="B495" s="508"/>
      <c r="C495" s="310"/>
      <c r="D495" s="310"/>
      <c r="E495" s="310"/>
      <c r="F495" s="310"/>
      <c r="G495" s="310"/>
      <c r="H495" s="310"/>
      <c r="I495" s="310"/>
      <c r="J495" s="310"/>
      <c r="K495" s="310"/>
      <c r="L495" s="310"/>
      <c r="M495" s="310"/>
    </row>
    <row r="496" spans="2:13">
      <c r="B496" s="508"/>
      <c r="C496" s="310"/>
      <c r="D496" s="310"/>
      <c r="E496" s="310"/>
      <c r="F496" s="310"/>
      <c r="G496" s="310"/>
      <c r="H496" s="310"/>
      <c r="I496" s="310"/>
      <c r="J496" s="310"/>
      <c r="K496" s="310"/>
      <c r="L496" s="310"/>
      <c r="M496" s="310"/>
    </row>
    <row r="497" spans="2:13">
      <c r="B497" s="508"/>
      <c r="C497" s="310"/>
      <c r="D497" s="310"/>
      <c r="E497" s="310"/>
      <c r="F497" s="310"/>
      <c r="G497" s="310"/>
      <c r="H497" s="310"/>
      <c r="I497" s="310"/>
      <c r="J497" s="310"/>
      <c r="K497" s="310"/>
      <c r="L497" s="310"/>
      <c r="M497" s="310"/>
    </row>
    <row r="498" spans="2:13">
      <c r="B498" s="508"/>
      <c r="C498" s="310"/>
      <c r="D498" s="310"/>
      <c r="E498" s="310"/>
      <c r="F498" s="310"/>
      <c r="G498" s="310"/>
      <c r="H498" s="310"/>
      <c r="I498" s="310"/>
      <c r="J498" s="310"/>
      <c r="K498" s="310"/>
      <c r="L498" s="310"/>
      <c r="M498" s="310"/>
    </row>
    <row r="499" spans="2:13">
      <c r="B499" s="508"/>
      <c r="C499" s="310"/>
      <c r="D499" s="310"/>
      <c r="E499" s="310"/>
      <c r="F499" s="310"/>
      <c r="G499" s="310"/>
      <c r="H499" s="310"/>
      <c r="I499" s="310"/>
      <c r="J499" s="310"/>
      <c r="K499" s="310"/>
      <c r="L499" s="310"/>
      <c r="M499" s="310"/>
    </row>
    <row r="500" spans="2:13">
      <c r="B500" s="508"/>
      <c r="C500" s="310"/>
      <c r="D500" s="310"/>
      <c r="E500" s="310"/>
      <c r="F500" s="310"/>
      <c r="G500" s="310"/>
      <c r="H500" s="310"/>
      <c r="I500" s="310"/>
      <c r="J500" s="310"/>
      <c r="K500" s="310"/>
      <c r="L500" s="310"/>
      <c r="M500" s="310"/>
    </row>
    <row r="501" spans="2:13">
      <c r="B501" s="508"/>
      <c r="C501" s="310"/>
      <c r="D501" s="310"/>
      <c r="E501" s="310"/>
      <c r="F501" s="310"/>
      <c r="G501" s="310"/>
      <c r="H501" s="310"/>
      <c r="I501" s="310"/>
      <c r="J501" s="310"/>
      <c r="K501" s="310"/>
      <c r="L501" s="310"/>
      <c r="M501" s="310"/>
    </row>
    <row r="502" spans="2:13">
      <c r="B502" s="508"/>
      <c r="C502" s="310"/>
      <c r="D502" s="310"/>
      <c r="E502" s="310"/>
      <c r="F502" s="310"/>
      <c r="G502" s="310"/>
      <c r="H502" s="310"/>
      <c r="I502" s="310"/>
      <c r="J502" s="310"/>
      <c r="K502" s="310"/>
      <c r="L502" s="310"/>
      <c r="M502" s="310"/>
    </row>
    <row r="503" spans="2:13">
      <c r="B503" s="508"/>
      <c r="C503" s="310"/>
      <c r="D503" s="310"/>
      <c r="E503" s="310"/>
      <c r="F503" s="310"/>
      <c r="G503" s="310"/>
      <c r="H503" s="310"/>
      <c r="I503" s="310"/>
      <c r="J503" s="310"/>
      <c r="K503" s="310"/>
      <c r="L503" s="310"/>
      <c r="M503" s="310"/>
    </row>
    <row r="504" spans="2:13">
      <c r="B504" s="508"/>
      <c r="C504" s="310"/>
      <c r="D504" s="310"/>
      <c r="E504" s="310"/>
      <c r="F504" s="310"/>
      <c r="G504" s="310"/>
      <c r="H504" s="310"/>
      <c r="I504" s="310"/>
      <c r="J504" s="310"/>
      <c r="K504" s="310"/>
      <c r="L504" s="310"/>
      <c r="M504" s="310"/>
    </row>
    <row r="505" spans="2:13">
      <c r="B505" s="508"/>
      <c r="C505" s="310"/>
      <c r="D505" s="310"/>
      <c r="E505" s="310"/>
      <c r="F505" s="310"/>
      <c r="G505" s="310"/>
      <c r="H505" s="310"/>
      <c r="I505" s="310"/>
      <c r="J505" s="310"/>
      <c r="K505" s="310"/>
      <c r="L505" s="310"/>
      <c r="M505" s="310"/>
    </row>
    <row r="506" spans="2:13">
      <c r="B506" s="508"/>
      <c r="C506" s="310"/>
      <c r="D506" s="310"/>
      <c r="E506" s="310"/>
      <c r="F506" s="310"/>
      <c r="G506" s="310"/>
      <c r="H506" s="310"/>
      <c r="I506" s="310"/>
      <c r="J506" s="310"/>
      <c r="K506" s="310"/>
      <c r="L506" s="310"/>
      <c r="M506" s="310"/>
    </row>
    <row r="507" spans="2:13">
      <c r="B507" s="508"/>
      <c r="C507" s="310"/>
      <c r="D507" s="310"/>
      <c r="E507" s="310"/>
      <c r="F507" s="310"/>
      <c r="G507" s="310"/>
      <c r="H507" s="310"/>
      <c r="I507" s="310"/>
      <c r="J507" s="310"/>
      <c r="K507" s="310"/>
      <c r="L507" s="310"/>
      <c r="M507" s="310"/>
    </row>
    <row r="508" spans="2:13">
      <c r="B508" s="508"/>
      <c r="C508" s="310"/>
      <c r="D508" s="310"/>
      <c r="E508" s="310"/>
      <c r="F508" s="310"/>
      <c r="G508" s="310"/>
      <c r="H508" s="310"/>
      <c r="I508" s="310"/>
      <c r="J508" s="310"/>
      <c r="K508" s="310"/>
      <c r="L508" s="310"/>
      <c r="M508" s="310"/>
    </row>
    <row r="509" spans="2:13">
      <c r="B509" s="508"/>
      <c r="C509" s="310"/>
      <c r="D509" s="310"/>
      <c r="E509" s="310"/>
      <c r="F509" s="310"/>
      <c r="G509" s="310"/>
      <c r="H509" s="310"/>
      <c r="I509" s="310"/>
      <c r="J509" s="310"/>
      <c r="K509" s="310"/>
      <c r="L509" s="310"/>
      <c r="M509" s="310"/>
    </row>
    <row r="510" spans="2:13">
      <c r="B510" s="508"/>
      <c r="C510" s="310"/>
      <c r="D510" s="310"/>
      <c r="E510" s="310"/>
      <c r="F510" s="310"/>
      <c r="G510" s="310"/>
      <c r="H510" s="310"/>
      <c r="I510" s="310"/>
      <c r="J510" s="310"/>
      <c r="K510" s="310"/>
      <c r="L510" s="310"/>
      <c r="M510" s="310"/>
    </row>
    <row r="511" spans="2:13">
      <c r="B511" s="508"/>
      <c r="C511" s="310"/>
      <c r="D511" s="310"/>
      <c r="E511" s="310"/>
      <c r="F511" s="310"/>
      <c r="G511" s="310"/>
      <c r="H511" s="310"/>
      <c r="I511" s="310"/>
      <c r="J511" s="310"/>
      <c r="K511" s="310"/>
      <c r="L511" s="310"/>
      <c r="M511" s="310"/>
    </row>
    <row r="512" spans="2:13">
      <c r="B512" s="508"/>
      <c r="C512" s="310"/>
      <c r="D512" s="310"/>
      <c r="E512" s="310"/>
      <c r="F512" s="310"/>
      <c r="G512" s="310"/>
      <c r="H512" s="310"/>
      <c r="I512" s="310"/>
      <c r="J512" s="310"/>
      <c r="K512" s="310"/>
      <c r="L512" s="310"/>
      <c r="M512" s="310"/>
    </row>
    <row r="513" spans="2:13">
      <c r="B513" s="508"/>
      <c r="C513" s="310"/>
      <c r="D513" s="310"/>
      <c r="E513" s="310"/>
      <c r="F513" s="310"/>
      <c r="G513" s="310"/>
      <c r="H513" s="310"/>
      <c r="I513" s="310"/>
      <c r="J513" s="310"/>
      <c r="K513" s="310"/>
      <c r="L513" s="310"/>
      <c r="M513" s="310"/>
    </row>
    <row r="514" spans="2:13">
      <c r="B514" s="508"/>
      <c r="C514" s="310"/>
      <c r="D514" s="310"/>
      <c r="E514" s="310"/>
      <c r="F514" s="310"/>
      <c r="G514" s="310"/>
      <c r="H514" s="310"/>
      <c r="I514" s="310"/>
      <c r="J514" s="310"/>
      <c r="K514" s="310"/>
      <c r="L514" s="310"/>
      <c r="M514" s="310"/>
    </row>
    <row r="515" spans="2:13">
      <c r="B515" s="508"/>
      <c r="C515" s="310"/>
      <c r="D515" s="310"/>
      <c r="E515" s="310"/>
      <c r="F515" s="310"/>
      <c r="G515" s="310"/>
      <c r="H515" s="310"/>
      <c r="I515" s="310"/>
      <c r="J515" s="310"/>
      <c r="K515" s="310"/>
      <c r="L515" s="310"/>
      <c r="M515" s="310"/>
    </row>
    <row r="516" spans="2:13">
      <c r="B516" s="508"/>
      <c r="C516" s="310"/>
      <c r="D516" s="310"/>
      <c r="E516" s="310"/>
      <c r="F516" s="310"/>
      <c r="G516" s="310"/>
      <c r="H516" s="310"/>
      <c r="I516" s="310"/>
      <c r="J516" s="310"/>
      <c r="K516" s="310"/>
      <c r="L516" s="310"/>
      <c r="M516" s="310"/>
    </row>
    <row r="517" spans="2:13">
      <c r="B517" s="508"/>
      <c r="C517" s="310"/>
      <c r="D517" s="310"/>
      <c r="E517" s="310"/>
      <c r="F517" s="310"/>
      <c r="G517" s="310"/>
      <c r="H517" s="310"/>
      <c r="I517" s="310"/>
      <c r="J517" s="310"/>
      <c r="K517" s="310"/>
      <c r="L517" s="310"/>
      <c r="M517" s="310"/>
    </row>
    <row r="518" spans="2:13">
      <c r="B518" s="508"/>
      <c r="C518" s="310"/>
      <c r="D518" s="310"/>
      <c r="E518" s="310"/>
      <c r="F518" s="310"/>
      <c r="G518" s="310"/>
      <c r="H518" s="310"/>
      <c r="I518" s="310"/>
      <c r="J518" s="310"/>
      <c r="K518" s="310"/>
      <c r="L518" s="310"/>
      <c r="M518" s="310"/>
    </row>
    <row r="519" spans="2:13">
      <c r="B519" s="508"/>
      <c r="C519" s="310"/>
      <c r="D519" s="310"/>
      <c r="E519" s="310"/>
      <c r="F519" s="310"/>
      <c r="G519" s="310"/>
      <c r="H519" s="310"/>
      <c r="I519" s="310"/>
      <c r="J519" s="310"/>
      <c r="K519" s="310"/>
      <c r="L519" s="310"/>
      <c r="M519" s="310"/>
    </row>
    <row r="520" spans="2:13">
      <c r="B520" s="508"/>
      <c r="C520" s="310"/>
      <c r="D520" s="310"/>
      <c r="E520" s="310"/>
      <c r="F520" s="310"/>
      <c r="G520" s="310"/>
      <c r="H520" s="310"/>
      <c r="I520" s="310"/>
      <c r="J520" s="310"/>
      <c r="K520" s="310"/>
      <c r="L520" s="310"/>
      <c r="M520" s="310"/>
    </row>
    <row r="521" spans="2:13">
      <c r="B521" s="508"/>
      <c r="C521" s="310"/>
      <c r="D521" s="310"/>
      <c r="E521" s="310"/>
      <c r="F521" s="310"/>
      <c r="G521" s="310"/>
      <c r="H521" s="310"/>
      <c r="I521" s="310"/>
      <c r="J521" s="310"/>
      <c r="K521" s="310"/>
      <c r="L521" s="310"/>
      <c r="M521" s="310"/>
    </row>
    <row r="522" spans="2:13">
      <c r="B522" s="508"/>
      <c r="C522" s="310"/>
      <c r="D522" s="310"/>
      <c r="E522" s="310"/>
      <c r="F522" s="310"/>
      <c r="G522" s="310"/>
      <c r="H522" s="310"/>
      <c r="I522" s="310"/>
      <c r="J522" s="310"/>
      <c r="K522" s="310"/>
      <c r="L522" s="310"/>
      <c r="M522" s="310"/>
    </row>
    <row r="523" spans="2:13">
      <c r="B523" s="508"/>
      <c r="C523" s="310"/>
      <c r="D523" s="310"/>
      <c r="E523" s="310"/>
      <c r="F523" s="310"/>
      <c r="G523" s="310"/>
      <c r="H523" s="310"/>
      <c r="I523" s="310"/>
      <c r="J523" s="310"/>
      <c r="K523" s="310"/>
      <c r="L523" s="310"/>
      <c r="M523" s="310"/>
    </row>
    <row r="524" spans="2:13">
      <c r="B524" s="508"/>
      <c r="C524" s="310"/>
      <c r="D524" s="310"/>
      <c r="E524" s="310"/>
      <c r="F524" s="310"/>
      <c r="G524" s="310"/>
      <c r="H524" s="310"/>
      <c r="I524" s="310"/>
      <c r="J524" s="310"/>
      <c r="K524" s="310"/>
      <c r="L524" s="310"/>
      <c r="M524" s="310"/>
    </row>
    <row r="525" spans="2:13">
      <c r="B525" s="508"/>
      <c r="C525" s="310"/>
      <c r="D525" s="310"/>
      <c r="E525" s="310"/>
      <c r="F525" s="310"/>
      <c r="G525" s="310"/>
      <c r="H525" s="310"/>
      <c r="I525" s="310"/>
      <c r="J525" s="310"/>
      <c r="K525" s="310"/>
      <c r="L525" s="310"/>
      <c r="M525" s="310"/>
    </row>
    <row r="526" spans="2:13">
      <c r="B526" s="508"/>
      <c r="C526" s="310"/>
      <c r="D526" s="310"/>
      <c r="E526" s="310"/>
      <c r="F526" s="310"/>
      <c r="G526" s="310"/>
      <c r="H526" s="310"/>
      <c r="I526" s="310"/>
      <c r="J526" s="310"/>
      <c r="K526" s="310"/>
      <c r="L526" s="310"/>
      <c r="M526" s="310"/>
    </row>
    <row r="527" spans="2:13">
      <c r="B527" s="508"/>
      <c r="C527" s="310"/>
      <c r="D527" s="310"/>
      <c r="E527" s="310"/>
      <c r="F527" s="310"/>
      <c r="G527" s="310"/>
      <c r="H527" s="310"/>
      <c r="I527" s="310"/>
      <c r="J527" s="310"/>
      <c r="K527" s="310"/>
      <c r="L527" s="310"/>
      <c r="M527" s="310"/>
    </row>
    <row r="528" spans="2:13">
      <c r="B528" s="508"/>
      <c r="C528" s="310"/>
      <c r="D528" s="310"/>
      <c r="E528" s="310"/>
      <c r="F528" s="310"/>
      <c r="G528" s="310"/>
      <c r="H528" s="310"/>
      <c r="I528" s="310"/>
      <c r="J528" s="310"/>
      <c r="K528" s="310"/>
      <c r="L528" s="310"/>
      <c r="M528" s="310"/>
    </row>
    <row r="529" spans="2:13">
      <c r="B529" s="508"/>
      <c r="C529" s="310"/>
      <c r="D529" s="310"/>
      <c r="E529" s="310"/>
      <c r="F529" s="310"/>
      <c r="G529" s="310"/>
      <c r="H529" s="310"/>
      <c r="I529" s="310"/>
      <c r="J529" s="310"/>
      <c r="K529" s="310"/>
      <c r="L529" s="310"/>
      <c r="M529" s="310"/>
    </row>
    <row r="530" spans="2:13">
      <c r="B530" s="508"/>
      <c r="C530" s="310"/>
      <c r="D530" s="310"/>
      <c r="E530" s="310"/>
      <c r="F530" s="310"/>
      <c r="G530" s="310"/>
      <c r="H530" s="310"/>
      <c r="I530" s="310"/>
      <c r="J530" s="310"/>
      <c r="K530" s="310"/>
      <c r="L530" s="310"/>
      <c r="M530" s="310"/>
    </row>
    <row r="531" spans="2:13">
      <c r="B531" s="508"/>
      <c r="C531" s="310"/>
      <c r="D531" s="310"/>
      <c r="E531" s="310"/>
      <c r="F531" s="310"/>
      <c r="G531" s="310"/>
      <c r="H531" s="310"/>
      <c r="I531" s="310"/>
      <c r="J531" s="310"/>
      <c r="K531" s="310"/>
      <c r="L531" s="310"/>
      <c r="M531" s="310"/>
    </row>
    <row r="532" spans="2:13">
      <c r="B532" s="508"/>
      <c r="C532" s="310"/>
      <c r="D532" s="310"/>
      <c r="E532" s="310"/>
      <c r="F532" s="310"/>
      <c r="G532" s="310"/>
      <c r="H532" s="310"/>
      <c r="I532" s="310"/>
      <c r="J532" s="310"/>
      <c r="K532" s="310"/>
      <c r="L532" s="310"/>
      <c r="M532" s="310"/>
    </row>
    <row r="533" spans="2:13">
      <c r="B533" s="508"/>
      <c r="C533" s="310"/>
      <c r="D533" s="310"/>
      <c r="E533" s="310"/>
      <c r="F533" s="310"/>
      <c r="G533" s="310"/>
      <c r="H533" s="310"/>
      <c r="I533" s="310"/>
      <c r="J533" s="310"/>
      <c r="K533" s="310"/>
      <c r="L533" s="310"/>
      <c r="M533" s="310"/>
    </row>
    <row r="534" spans="2:13">
      <c r="B534" s="508"/>
      <c r="C534" s="310"/>
      <c r="D534" s="310"/>
      <c r="E534" s="310"/>
      <c r="F534" s="310"/>
      <c r="G534" s="310"/>
      <c r="H534" s="310"/>
      <c r="I534" s="310"/>
      <c r="J534" s="310"/>
      <c r="K534" s="310"/>
      <c r="L534" s="310"/>
      <c r="M534" s="310"/>
    </row>
    <row r="535" spans="2:13">
      <c r="B535" s="508"/>
      <c r="C535" s="310"/>
      <c r="D535" s="310"/>
      <c r="E535" s="310"/>
      <c r="F535" s="310"/>
      <c r="G535" s="310"/>
      <c r="H535" s="310"/>
      <c r="I535" s="310"/>
      <c r="J535" s="310"/>
      <c r="K535" s="310"/>
      <c r="L535" s="310"/>
      <c r="M535" s="310"/>
    </row>
    <row r="536" spans="2:13">
      <c r="B536" s="508"/>
      <c r="C536" s="310"/>
      <c r="D536" s="310"/>
      <c r="E536" s="310"/>
      <c r="F536" s="310"/>
      <c r="G536" s="310"/>
      <c r="H536" s="310"/>
      <c r="I536" s="310"/>
      <c r="J536" s="310"/>
      <c r="K536" s="310"/>
      <c r="L536" s="310"/>
      <c r="M536" s="310"/>
    </row>
    <row r="537" spans="2:13">
      <c r="B537" s="508"/>
      <c r="C537" s="310"/>
      <c r="D537" s="310"/>
      <c r="E537" s="310"/>
      <c r="F537" s="310"/>
      <c r="G537" s="310"/>
      <c r="H537" s="310"/>
      <c r="I537" s="310"/>
      <c r="J537" s="310"/>
      <c r="K537" s="310"/>
      <c r="L537" s="310"/>
      <c r="M537" s="310"/>
    </row>
    <row r="538" spans="2:13">
      <c r="B538" s="508"/>
      <c r="C538" s="310"/>
      <c r="D538" s="310"/>
      <c r="E538" s="310"/>
      <c r="F538" s="310"/>
      <c r="G538" s="310"/>
      <c r="H538" s="310"/>
      <c r="I538" s="310"/>
      <c r="J538" s="310"/>
      <c r="K538" s="310"/>
      <c r="L538" s="310"/>
      <c r="M538" s="310"/>
    </row>
    <row r="539" spans="2:13">
      <c r="B539" s="508"/>
      <c r="C539" s="310"/>
      <c r="D539" s="310"/>
      <c r="E539" s="310"/>
      <c r="F539" s="310"/>
      <c r="G539" s="310"/>
      <c r="H539" s="310"/>
      <c r="I539" s="310"/>
      <c r="J539" s="310"/>
      <c r="K539" s="310"/>
      <c r="L539" s="310"/>
      <c r="M539" s="310"/>
    </row>
    <row r="540" spans="2:13">
      <c r="B540" s="508"/>
      <c r="C540" s="310"/>
      <c r="D540" s="310"/>
      <c r="E540" s="310"/>
      <c r="F540" s="310"/>
      <c r="G540" s="310"/>
      <c r="H540" s="310"/>
      <c r="I540" s="310"/>
      <c r="J540" s="310"/>
      <c r="K540" s="310"/>
      <c r="L540" s="310"/>
      <c r="M540" s="310"/>
    </row>
    <row r="541" spans="2:13">
      <c r="B541" s="508"/>
      <c r="C541" s="310"/>
      <c r="D541" s="310"/>
      <c r="E541" s="310"/>
      <c r="F541" s="310"/>
      <c r="G541" s="310"/>
      <c r="H541" s="310"/>
      <c r="I541" s="310"/>
      <c r="J541" s="310"/>
      <c r="K541" s="310"/>
      <c r="L541" s="310"/>
      <c r="M541" s="310"/>
    </row>
    <row r="542" spans="2:13">
      <c r="B542" s="508"/>
      <c r="C542" s="310"/>
      <c r="D542" s="310"/>
      <c r="E542" s="310"/>
      <c r="F542" s="310"/>
      <c r="G542" s="310"/>
      <c r="H542" s="310"/>
      <c r="I542" s="310"/>
      <c r="J542" s="310"/>
      <c r="K542" s="310"/>
      <c r="L542" s="310"/>
      <c r="M542" s="310"/>
    </row>
    <row r="543" spans="2:13">
      <c r="B543" s="508"/>
      <c r="C543" s="310"/>
      <c r="D543" s="310"/>
      <c r="E543" s="310"/>
      <c r="F543" s="310"/>
      <c r="G543" s="310"/>
      <c r="H543" s="310"/>
      <c r="I543" s="310"/>
      <c r="J543" s="310"/>
      <c r="K543" s="310"/>
      <c r="L543" s="310"/>
      <c r="M543" s="310"/>
    </row>
    <row r="544" spans="2:13">
      <c r="B544" s="508"/>
      <c r="C544" s="310"/>
      <c r="D544" s="310"/>
      <c r="E544" s="310"/>
      <c r="F544" s="310"/>
      <c r="G544" s="310"/>
      <c r="H544" s="310"/>
      <c r="I544" s="310"/>
      <c r="J544" s="310"/>
      <c r="K544" s="310"/>
      <c r="L544" s="310"/>
      <c r="M544" s="310"/>
    </row>
    <row r="545" spans="2:13">
      <c r="B545" s="508"/>
      <c r="C545" s="310"/>
      <c r="D545" s="310"/>
      <c r="E545" s="310"/>
      <c r="F545" s="310"/>
      <c r="G545" s="310"/>
      <c r="H545" s="310"/>
      <c r="I545" s="310"/>
      <c r="J545" s="310"/>
      <c r="K545" s="310"/>
      <c r="L545" s="310"/>
      <c r="M545" s="310"/>
    </row>
    <row r="546" spans="2:13">
      <c r="B546" s="508"/>
      <c r="C546" s="310"/>
      <c r="D546" s="310"/>
      <c r="E546" s="310"/>
      <c r="F546" s="310"/>
      <c r="G546" s="310"/>
      <c r="H546" s="310"/>
      <c r="I546" s="310"/>
      <c r="J546" s="310"/>
      <c r="K546" s="310"/>
      <c r="L546" s="310"/>
      <c r="M546" s="310"/>
    </row>
    <row r="547" spans="2:13">
      <c r="B547" s="508"/>
      <c r="C547" s="310"/>
      <c r="D547" s="310"/>
      <c r="E547" s="310"/>
      <c r="F547" s="310"/>
      <c r="G547" s="310"/>
      <c r="H547" s="310"/>
      <c r="I547" s="310"/>
      <c r="J547" s="310"/>
      <c r="K547" s="310"/>
      <c r="L547" s="310"/>
      <c r="M547" s="310"/>
    </row>
    <row r="548" spans="2:13">
      <c r="B548" s="508"/>
      <c r="C548" s="310"/>
      <c r="D548" s="310"/>
      <c r="E548" s="310"/>
      <c r="F548" s="310"/>
      <c r="G548" s="310"/>
      <c r="H548" s="310"/>
      <c r="I548" s="310"/>
      <c r="J548" s="310"/>
      <c r="K548" s="310"/>
      <c r="L548" s="310"/>
      <c r="M548" s="310"/>
    </row>
    <row r="549" spans="2:13">
      <c r="B549" s="508"/>
      <c r="C549" s="310"/>
      <c r="D549" s="310"/>
      <c r="E549" s="310"/>
      <c r="F549" s="310"/>
      <c r="G549" s="310"/>
      <c r="H549" s="310"/>
      <c r="I549" s="310"/>
      <c r="J549" s="310"/>
      <c r="K549" s="310"/>
      <c r="L549" s="310"/>
      <c r="M549" s="310"/>
    </row>
    <row r="550" spans="2:13">
      <c r="B550" s="508"/>
      <c r="C550" s="310"/>
      <c r="D550" s="310"/>
      <c r="E550" s="310"/>
      <c r="F550" s="310"/>
      <c r="G550" s="310"/>
      <c r="H550" s="310"/>
      <c r="I550" s="310"/>
      <c r="J550" s="310"/>
      <c r="K550" s="310"/>
      <c r="L550" s="310"/>
      <c r="M550" s="310"/>
    </row>
    <row r="551" spans="2:13">
      <c r="B551" s="508"/>
      <c r="C551" s="310"/>
      <c r="D551" s="310"/>
      <c r="E551" s="310"/>
      <c r="F551" s="310"/>
      <c r="G551" s="310"/>
      <c r="H551" s="310"/>
      <c r="I551" s="310"/>
      <c r="J551" s="310"/>
      <c r="K551" s="310"/>
      <c r="L551" s="310"/>
      <c r="M551" s="310"/>
    </row>
    <row r="552" spans="2:13">
      <c r="B552" s="508"/>
      <c r="C552" s="310"/>
      <c r="D552" s="310"/>
      <c r="E552" s="310"/>
      <c r="F552" s="310"/>
      <c r="G552" s="310"/>
      <c r="H552" s="310"/>
      <c r="I552" s="310"/>
      <c r="J552" s="310"/>
      <c r="K552" s="310"/>
      <c r="L552" s="310"/>
      <c r="M552" s="310"/>
    </row>
    <row r="553" spans="2:13">
      <c r="B553" s="508"/>
      <c r="C553" s="310"/>
      <c r="D553" s="310"/>
      <c r="E553" s="310"/>
      <c r="F553" s="310"/>
      <c r="G553" s="310"/>
      <c r="H553" s="310"/>
      <c r="I553" s="310"/>
      <c r="J553" s="310"/>
      <c r="K553" s="310"/>
      <c r="L553" s="310"/>
      <c r="M553" s="310"/>
    </row>
    <row r="554" spans="2:13">
      <c r="B554" s="508"/>
      <c r="C554" s="310"/>
      <c r="D554" s="310"/>
      <c r="E554" s="310"/>
      <c r="F554" s="310"/>
      <c r="G554" s="310"/>
      <c r="H554" s="310"/>
      <c r="I554" s="310"/>
      <c r="J554" s="310"/>
      <c r="K554" s="310"/>
      <c r="L554" s="310"/>
      <c r="M554" s="310"/>
    </row>
    <row r="555" spans="2:13">
      <c r="B555" s="508"/>
      <c r="C555" s="310"/>
      <c r="D555" s="310"/>
      <c r="E555" s="310"/>
      <c r="F555" s="310"/>
      <c r="G555" s="310"/>
      <c r="H555" s="310"/>
      <c r="I555" s="310"/>
      <c r="J555" s="310"/>
      <c r="K555" s="310"/>
      <c r="L555" s="310"/>
      <c r="M555" s="310"/>
    </row>
    <row r="556" spans="2:13">
      <c r="B556" s="508"/>
      <c r="C556" s="310"/>
      <c r="D556" s="310"/>
      <c r="E556" s="310"/>
      <c r="F556" s="310"/>
      <c r="G556" s="310"/>
      <c r="H556" s="310"/>
      <c r="I556" s="310"/>
      <c r="J556" s="310"/>
      <c r="K556" s="310"/>
      <c r="L556" s="310"/>
      <c r="M556" s="310"/>
    </row>
    <row r="557" spans="2:13">
      <c r="B557" s="508"/>
      <c r="C557" s="310"/>
      <c r="D557" s="310"/>
      <c r="E557" s="310"/>
      <c r="F557" s="310"/>
      <c r="G557" s="310"/>
      <c r="H557" s="310"/>
      <c r="I557" s="310"/>
      <c r="J557" s="310"/>
      <c r="K557" s="310"/>
      <c r="L557" s="310"/>
      <c r="M557" s="310"/>
    </row>
    <row r="558" spans="2:13">
      <c r="B558" s="508"/>
      <c r="C558" s="310"/>
      <c r="D558" s="310"/>
      <c r="E558" s="310"/>
      <c r="F558" s="310"/>
      <c r="G558" s="310"/>
      <c r="H558" s="310"/>
      <c r="I558" s="310"/>
      <c r="J558" s="310"/>
      <c r="K558" s="310"/>
      <c r="L558" s="310"/>
      <c r="M558" s="310"/>
    </row>
    <row r="559" spans="2:13">
      <c r="B559" s="508"/>
      <c r="C559" s="310"/>
      <c r="D559" s="310"/>
      <c r="E559" s="310"/>
      <c r="F559" s="310"/>
      <c r="G559" s="310"/>
      <c r="H559" s="310"/>
      <c r="I559" s="310"/>
      <c r="J559" s="310"/>
      <c r="K559" s="310"/>
      <c r="L559" s="310"/>
      <c r="M559" s="310"/>
    </row>
    <row r="560" spans="2:13">
      <c r="B560" s="508"/>
      <c r="C560" s="310"/>
      <c r="D560" s="310"/>
      <c r="E560" s="310"/>
      <c r="F560" s="310"/>
      <c r="G560" s="310"/>
      <c r="H560" s="310"/>
      <c r="I560" s="310"/>
      <c r="J560" s="310"/>
      <c r="K560" s="310"/>
      <c r="L560" s="310"/>
      <c r="M560" s="310"/>
    </row>
    <row r="561" spans="2:13">
      <c r="B561" s="508"/>
      <c r="C561" s="310"/>
      <c r="D561" s="310"/>
      <c r="E561" s="310"/>
      <c r="F561" s="310"/>
      <c r="G561" s="310"/>
      <c r="H561" s="310"/>
      <c r="I561" s="310"/>
      <c r="J561" s="310"/>
      <c r="K561" s="310"/>
      <c r="L561" s="310"/>
      <c r="M561" s="310"/>
    </row>
    <row r="562" spans="2:13">
      <c r="B562" s="508"/>
      <c r="C562" s="310"/>
      <c r="D562" s="310"/>
      <c r="E562" s="310"/>
      <c r="F562" s="310"/>
      <c r="G562" s="310"/>
      <c r="H562" s="310"/>
      <c r="I562" s="310"/>
      <c r="J562" s="310"/>
      <c r="K562" s="310"/>
      <c r="L562" s="310"/>
      <c r="M562" s="310"/>
    </row>
    <row r="563" spans="2:13">
      <c r="B563" s="508"/>
      <c r="C563" s="310"/>
      <c r="D563" s="310"/>
      <c r="E563" s="310"/>
      <c r="F563" s="310"/>
      <c r="G563" s="310"/>
      <c r="H563" s="310"/>
      <c r="I563" s="310"/>
      <c r="J563" s="310"/>
      <c r="K563" s="310"/>
      <c r="L563" s="310"/>
      <c r="M563" s="310"/>
    </row>
    <row r="564" spans="2:13">
      <c r="B564" s="508"/>
      <c r="C564" s="310"/>
      <c r="D564" s="310"/>
      <c r="E564" s="310"/>
      <c r="F564" s="310"/>
      <c r="G564" s="310"/>
      <c r="H564" s="310"/>
      <c r="I564" s="310"/>
      <c r="J564" s="310"/>
      <c r="K564" s="310"/>
      <c r="L564" s="310"/>
      <c r="M564" s="310"/>
    </row>
    <row r="565" spans="2:13">
      <c r="B565" s="508"/>
      <c r="C565" s="310"/>
      <c r="D565" s="310"/>
      <c r="E565" s="310"/>
      <c r="F565" s="310"/>
      <c r="G565" s="310"/>
      <c r="H565" s="310"/>
      <c r="I565" s="310"/>
      <c r="J565" s="310"/>
      <c r="K565" s="310"/>
      <c r="L565" s="310"/>
      <c r="M565" s="310"/>
    </row>
    <row r="566" spans="2:13">
      <c r="B566" s="508"/>
      <c r="C566" s="310"/>
      <c r="D566" s="310"/>
      <c r="E566" s="310"/>
      <c r="F566" s="310"/>
      <c r="G566" s="310"/>
      <c r="H566" s="310"/>
      <c r="I566" s="310"/>
      <c r="J566" s="310"/>
      <c r="K566" s="310"/>
      <c r="L566" s="310"/>
      <c r="M566" s="310"/>
    </row>
    <row r="567" spans="2:13">
      <c r="B567" s="508"/>
      <c r="C567" s="310"/>
      <c r="D567" s="310"/>
      <c r="E567" s="310"/>
      <c r="F567" s="310"/>
      <c r="G567" s="310"/>
      <c r="H567" s="310"/>
      <c r="I567" s="310"/>
      <c r="J567" s="310"/>
      <c r="K567" s="310"/>
      <c r="L567" s="310"/>
      <c r="M567" s="310"/>
    </row>
    <row r="568" spans="2:13">
      <c r="B568" s="508"/>
      <c r="C568" s="310"/>
      <c r="D568" s="310"/>
      <c r="E568" s="310"/>
      <c r="F568" s="310"/>
      <c r="G568" s="310"/>
      <c r="H568" s="310"/>
      <c r="I568" s="310"/>
      <c r="J568" s="310"/>
      <c r="K568" s="310"/>
      <c r="L568" s="310"/>
      <c r="M568" s="310"/>
    </row>
    <row r="569" spans="2:13">
      <c r="B569" s="508"/>
      <c r="C569" s="310"/>
      <c r="D569" s="310"/>
      <c r="E569" s="310"/>
      <c r="F569" s="310"/>
      <c r="G569" s="310"/>
      <c r="H569" s="310"/>
      <c r="I569" s="310"/>
      <c r="J569" s="310"/>
      <c r="K569" s="310"/>
      <c r="L569" s="310"/>
      <c r="M569" s="310"/>
    </row>
    <row r="570" spans="2:13">
      <c r="B570" s="508"/>
      <c r="C570" s="310"/>
      <c r="D570" s="310"/>
      <c r="E570" s="310"/>
      <c r="F570" s="310"/>
      <c r="G570" s="310"/>
      <c r="H570" s="310"/>
      <c r="I570" s="310"/>
      <c r="J570" s="310"/>
      <c r="K570" s="310"/>
      <c r="L570" s="310"/>
      <c r="M570" s="310"/>
    </row>
    <row r="571" spans="2:13">
      <c r="B571" s="508"/>
      <c r="C571" s="310"/>
      <c r="D571" s="310"/>
      <c r="E571" s="310"/>
      <c r="F571" s="310"/>
      <c r="G571" s="310"/>
      <c r="H571" s="310"/>
      <c r="I571" s="310"/>
      <c r="J571" s="310"/>
      <c r="K571" s="310"/>
      <c r="L571" s="310"/>
      <c r="M571" s="310"/>
    </row>
    <row r="572" spans="2:13">
      <c r="B572" s="508"/>
      <c r="C572" s="310"/>
      <c r="D572" s="310"/>
      <c r="E572" s="310"/>
      <c r="F572" s="310"/>
      <c r="G572" s="310"/>
      <c r="H572" s="310"/>
      <c r="I572" s="310"/>
      <c r="J572" s="310"/>
      <c r="K572" s="310"/>
      <c r="L572" s="310"/>
      <c r="M572" s="310"/>
    </row>
    <row r="573" spans="2:13">
      <c r="B573" s="508"/>
      <c r="C573" s="310"/>
      <c r="D573" s="310"/>
      <c r="E573" s="310"/>
      <c r="F573" s="310"/>
      <c r="G573" s="310"/>
      <c r="H573" s="310"/>
      <c r="I573" s="310"/>
      <c r="J573" s="310"/>
      <c r="K573" s="310"/>
      <c r="L573" s="310"/>
      <c r="M573" s="310"/>
    </row>
    <row r="574" spans="2:13">
      <c r="B574" s="508"/>
      <c r="C574" s="310"/>
      <c r="D574" s="310"/>
      <c r="E574" s="310"/>
      <c r="F574" s="310"/>
      <c r="G574" s="310"/>
      <c r="H574" s="310"/>
      <c r="I574" s="310"/>
      <c r="J574" s="310"/>
      <c r="K574" s="310"/>
      <c r="L574" s="310"/>
      <c r="M574" s="310"/>
    </row>
    <row r="575" spans="2:13">
      <c r="B575" s="508"/>
      <c r="C575" s="310"/>
      <c r="D575" s="310"/>
      <c r="E575" s="310"/>
      <c r="F575" s="310"/>
      <c r="G575" s="310"/>
      <c r="H575" s="310"/>
      <c r="I575" s="310"/>
      <c r="J575" s="310"/>
      <c r="K575" s="310"/>
      <c r="L575" s="310"/>
      <c r="M575" s="310"/>
    </row>
    <row r="576" spans="2:13">
      <c r="B576" s="508"/>
      <c r="C576" s="310"/>
      <c r="D576" s="310"/>
      <c r="E576" s="310"/>
      <c r="F576" s="310"/>
      <c r="G576" s="310"/>
      <c r="H576" s="310"/>
      <c r="I576" s="310"/>
      <c r="J576" s="310"/>
      <c r="K576" s="310"/>
      <c r="L576" s="310"/>
      <c r="M576" s="310"/>
    </row>
    <row r="577" spans="2:13">
      <c r="B577" s="508"/>
      <c r="C577" s="310"/>
      <c r="D577" s="310"/>
      <c r="E577" s="310"/>
      <c r="F577" s="310"/>
      <c r="G577" s="310"/>
      <c r="H577" s="310"/>
      <c r="I577" s="310"/>
      <c r="J577" s="310"/>
      <c r="K577" s="310"/>
      <c r="L577" s="310"/>
      <c r="M577" s="310"/>
    </row>
    <row r="578" spans="2:13">
      <c r="B578" s="508"/>
      <c r="C578" s="310"/>
      <c r="D578" s="310"/>
      <c r="E578" s="310"/>
      <c r="F578" s="310"/>
      <c r="G578" s="310"/>
      <c r="H578" s="310"/>
      <c r="I578" s="310"/>
      <c r="J578" s="310"/>
      <c r="K578" s="310"/>
      <c r="L578" s="310"/>
      <c r="M578" s="310"/>
    </row>
    <row r="579" spans="2:13">
      <c r="B579" s="508"/>
      <c r="C579" s="310"/>
      <c r="D579" s="310"/>
      <c r="E579" s="310"/>
      <c r="F579" s="310"/>
      <c r="G579" s="310"/>
      <c r="H579" s="310"/>
      <c r="I579" s="310"/>
      <c r="J579" s="310"/>
      <c r="K579" s="310"/>
      <c r="L579" s="310"/>
      <c r="M579" s="310"/>
    </row>
    <row r="580" spans="2:13">
      <c r="B580" s="508"/>
      <c r="C580" s="310"/>
      <c r="D580" s="310"/>
      <c r="E580" s="310"/>
      <c r="F580" s="310"/>
      <c r="G580" s="310"/>
      <c r="H580" s="310"/>
      <c r="I580" s="310"/>
      <c r="J580" s="310"/>
      <c r="K580" s="310"/>
      <c r="L580" s="310"/>
      <c r="M580" s="310"/>
    </row>
    <row r="581" spans="2:13">
      <c r="B581" s="508"/>
      <c r="C581" s="310"/>
      <c r="D581" s="310"/>
      <c r="E581" s="310"/>
      <c r="F581" s="310"/>
      <c r="G581" s="310"/>
      <c r="H581" s="310"/>
      <c r="I581" s="310"/>
      <c r="J581" s="310"/>
      <c r="K581" s="310"/>
      <c r="L581" s="310"/>
      <c r="M581" s="310"/>
    </row>
    <row r="582" spans="2:13">
      <c r="B582" s="508"/>
      <c r="C582" s="310"/>
      <c r="D582" s="310"/>
      <c r="E582" s="310"/>
      <c r="F582" s="310"/>
      <c r="G582" s="310"/>
      <c r="H582" s="310"/>
      <c r="I582" s="310"/>
      <c r="J582" s="310"/>
      <c r="K582" s="310"/>
      <c r="L582" s="310"/>
      <c r="M582" s="310"/>
    </row>
    <row r="583" spans="2:13">
      <c r="B583" s="508"/>
      <c r="C583" s="310"/>
      <c r="D583" s="310"/>
      <c r="E583" s="310"/>
      <c r="F583" s="310"/>
      <c r="G583" s="310"/>
      <c r="H583" s="310"/>
      <c r="I583" s="310"/>
      <c r="J583" s="310"/>
      <c r="K583" s="310"/>
      <c r="L583" s="310"/>
      <c r="M583" s="310"/>
    </row>
    <row r="584" spans="2:13">
      <c r="B584" s="508"/>
      <c r="C584" s="310"/>
      <c r="D584" s="310"/>
      <c r="E584" s="310"/>
      <c r="F584" s="310"/>
      <c r="G584" s="310"/>
      <c r="H584" s="310"/>
      <c r="I584" s="310"/>
      <c r="J584" s="310"/>
      <c r="K584" s="310"/>
      <c r="L584" s="310"/>
      <c r="M584" s="310"/>
    </row>
    <row r="585" spans="2:13">
      <c r="B585" s="508"/>
      <c r="C585" s="310"/>
      <c r="D585" s="310"/>
      <c r="E585" s="310"/>
      <c r="F585" s="310"/>
      <c r="G585" s="310"/>
      <c r="H585" s="310"/>
      <c r="I585" s="310"/>
      <c r="J585" s="310"/>
      <c r="K585" s="310"/>
      <c r="L585" s="310"/>
      <c r="M585" s="310"/>
    </row>
    <row r="586" spans="2:13">
      <c r="B586" s="508"/>
      <c r="C586" s="310"/>
      <c r="D586" s="310"/>
      <c r="E586" s="310"/>
      <c r="F586" s="310"/>
      <c r="G586" s="310"/>
      <c r="H586" s="310"/>
      <c r="I586" s="310"/>
      <c r="J586" s="310"/>
      <c r="K586" s="310"/>
      <c r="L586" s="310"/>
      <c r="M586" s="310"/>
    </row>
    <row r="587" spans="2:13">
      <c r="B587" s="508"/>
      <c r="C587" s="310"/>
      <c r="D587" s="310"/>
      <c r="E587" s="310"/>
      <c r="F587" s="310"/>
      <c r="G587" s="310"/>
      <c r="H587" s="310"/>
      <c r="I587" s="310"/>
      <c r="J587" s="310"/>
      <c r="K587" s="310"/>
      <c r="L587" s="310"/>
      <c r="M587" s="310"/>
    </row>
    <row r="588" spans="2:13">
      <c r="B588" s="508"/>
      <c r="C588" s="310"/>
      <c r="D588" s="310"/>
      <c r="E588" s="310"/>
      <c r="F588" s="310"/>
      <c r="G588" s="310"/>
      <c r="H588" s="310"/>
      <c r="I588" s="310"/>
      <c r="J588" s="310"/>
      <c r="K588" s="310"/>
      <c r="L588" s="310"/>
      <c r="M588" s="310"/>
    </row>
    <row r="589" spans="2:13">
      <c r="B589" s="508"/>
      <c r="C589" s="310"/>
      <c r="D589" s="310"/>
      <c r="E589" s="310"/>
      <c r="F589" s="310"/>
      <c r="G589" s="310"/>
      <c r="H589" s="310"/>
      <c r="I589" s="310"/>
      <c r="J589" s="310"/>
      <c r="K589" s="310"/>
      <c r="L589" s="310"/>
      <c r="M589" s="310"/>
    </row>
    <row r="590" spans="2:13">
      <c r="B590" s="508"/>
      <c r="C590" s="310"/>
      <c r="D590" s="310"/>
      <c r="E590" s="310"/>
      <c r="F590" s="310"/>
      <c r="G590" s="310"/>
      <c r="H590" s="310"/>
      <c r="I590" s="310"/>
      <c r="J590" s="310"/>
      <c r="K590" s="310"/>
      <c r="L590" s="310"/>
      <c r="M590" s="310"/>
    </row>
    <row r="591" spans="2:13">
      <c r="B591" s="508"/>
      <c r="C591" s="310"/>
      <c r="D591" s="310"/>
      <c r="E591" s="310"/>
      <c r="F591" s="310"/>
      <c r="G591" s="310"/>
      <c r="H591" s="310"/>
      <c r="I591" s="310"/>
      <c r="J591" s="310"/>
      <c r="K591" s="310"/>
      <c r="L591" s="310"/>
      <c r="M591" s="310"/>
    </row>
    <row r="592" spans="2:13">
      <c r="B592" s="508"/>
      <c r="C592" s="310"/>
      <c r="D592" s="310"/>
      <c r="E592" s="310"/>
      <c r="F592" s="310"/>
      <c r="G592" s="310"/>
      <c r="H592" s="310"/>
      <c r="I592" s="310"/>
      <c r="J592" s="310"/>
      <c r="K592" s="310"/>
      <c r="L592" s="310"/>
      <c r="M592" s="310"/>
    </row>
    <row r="593" spans="2:13">
      <c r="B593" s="508"/>
      <c r="C593" s="310"/>
      <c r="D593" s="310"/>
      <c r="E593" s="310"/>
      <c r="F593" s="310"/>
      <c r="G593" s="310"/>
      <c r="H593" s="310"/>
      <c r="I593" s="310"/>
      <c r="J593" s="310"/>
      <c r="K593" s="310"/>
      <c r="L593" s="310"/>
      <c r="M593" s="310"/>
    </row>
    <row r="594" spans="2:13">
      <c r="B594" s="508"/>
      <c r="C594" s="310"/>
      <c r="D594" s="310"/>
      <c r="E594" s="310"/>
      <c r="F594" s="310"/>
      <c r="G594" s="310"/>
      <c r="H594" s="310"/>
      <c r="I594" s="310"/>
      <c r="J594" s="310"/>
      <c r="K594" s="310"/>
      <c r="L594" s="310"/>
      <c r="M594" s="310"/>
    </row>
    <row r="595" spans="2:13">
      <c r="B595" s="508"/>
      <c r="C595" s="310"/>
      <c r="D595" s="310"/>
      <c r="E595" s="310"/>
      <c r="F595" s="310"/>
      <c r="G595" s="310"/>
      <c r="H595" s="310"/>
      <c r="I595" s="310"/>
      <c r="J595" s="310"/>
      <c r="K595" s="310"/>
      <c r="L595" s="310"/>
      <c r="M595" s="310"/>
    </row>
    <row r="596" spans="2:13">
      <c r="B596" s="508"/>
      <c r="C596" s="310"/>
      <c r="D596" s="310"/>
      <c r="E596" s="310"/>
      <c r="F596" s="310"/>
      <c r="G596" s="310"/>
      <c r="H596" s="310"/>
      <c r="I596" s="310"/>
      <c r="J596" s="310"/>
      <c r="K596" s="310"/>
      <c r="L596" s="310"/>
      <c r="M596" s="310"/>
    </row>
    <row r="597" spans="2:13">
      <c r="B597" s="508"/>
      <c r="C597" s="310"/>
      <c r="D597" s="310"/>
      <c r="E597" s="310"/>
      <c r="F597" s="310"/>
      <c r="G597" s="310"/>
      <c r="H597" s="310"/>
      <c r="I597" s="310"/>
      <c r="J597" s="310"/>
      <c r="K597" s="310"/>
      <c r="L597" s="310"/>
      <c r="M597" s="310"/>
    </row>
    <row r="598" spans="2:13">
      <c r="B598" s="508"/>
      <c r="C598" s="310"/>
      <c r="D598" s="310"/>
      <c r="E598" s="310"/>
      <c r="F598" s="310"/>
      <c r="G598" s="310"/>
      <c r="H598" s="310"/>
      <c r="I598" s="310"/>
      <c r="J598" s="310"/>
      <c r="K598" s="310"/>
      <c r="L598" s="310"/>
      <c r="M598" s="310"/>
    </row>
    <row r="599" spans="2:13">
      <c r="B599" s="508"/>
      <c r="C599" s="310"/>
      <c r="D599" s="310"/>
      <c r="E599" s="310"/>
      <c r="F599" s="310"/>
      <c r="G599" s="310"/>
      <c r="H599" s="310"/>
      <c r="I599" s="310"/>
      <c r="J599" s="310"/>
      <c r="K599" s="310"/>
      <c r="L599" s="310"/>
      <c r="M599" s="310"/>
    </row>
    <row r="600" spans="2:13">
      <c r="B600" s="508"/>
      <c r="C600" s="310"/>
      <c r="D600" s="310"/>
      <c r="E600" s="310"/>
      <c r="F600" s="310"/>
      <c r="G600" s="310"/>
      <c r="H600" s="310"/>
      <c r="I600" s="310"/>
      <c r="J600" s="310"/>
      <c r="K600" s="310"/>
      <c r="L600" s="310"/>
      <c r="M600" s="310"/>
    </row>
    <row r="601" spans="2:13">
      <c r="B601" s="508"/>
      <c r="C601" s="310"/>
      <c r="D601" s="310"/>
      <c r="E601" s="310"/>
      <c r="F601" s="310"/>
      <c r="G601" s="310"/>
      <c r="H601" s="310"/>
      <c r="I601" s="310"/>
      <c r="J601" s="310"/>
      <c r="K601" s="310"/>
      <c r="L601" s="310"/>
      <c r="M601" s="310"/>
    </row>
    <row r="602" spans="2:13">
      <c r="B602" s="508"/>
      <c r="C602" s="310"/>
      <c r="D602" s="310"/>
      <c r="E602" s="310"/>
      <c r="F602" s="310"/>
      <c r="G602" s="310"/>
      <c r="H602" s="310"/>
      <c r="I602" s="310"/>
      <c r="J602" s="310"/>
      <c r="K602" s="310"/>
      <c r="L602" s="310"/>
      <c r="M602" s="310"/>
    </row>
    <row r="603" spans="2:13">
      <c r="B603" s="508"/>
      <c r="C603" s="310"/>
      <c r="D603" s="310"/>
      <c r="E603" s="310"/>
      <c r="F603" s="310"/>
      <c r="G603" s="310"/>
      <c r="H603" s="310"/>
      <c r="I603" s="310"/>
      <c r="J603" s="310"/>
      <c r="K603" s="310"/>
      <c r="L603" s="310"/>
      <c r="M603" s="310"/>
    </row>
    <row r="604" spans="2:13">
      <c r="B604" s="508"/>
      <c r="C604" s="310"/>
      <c r="D604" s="310"/>
      <c r="E604" s="310"/>
      <c r="F604" s="310"/>
      <c r="G604" s="310"/>
      <c r="H604" s="310"/>
      <c r="I604" s="310"/>
      <c r="J604" s="310"/>
      <c r="K604" s="310"/>
      <c r="L604" s="310"/>
      <c r="M604" s="310"/>
    </row>
    <row r="605" spans="2:13">
      <c r="B605" s="508"/>
      <c r="C605" s="310"/>
      <c r="D605" s="310"/>
      <c r="E605" s="310"/>
      <c r="F605" s="310"/>
      <c r="G605" s="310"/>
      <c r="H605" s="310"/>
      <c r="I605" s="310"/>
      <c r="J605" s="310"/>
      <c r="K605" s="310"/>
      <c r="L605" s="310"/>
      <c r="M605" s="310"/>
    </row>
    <row r="606" spans="2:13">
      <c r="B606" s="508"/>
      <c r="C606" s="310"/>
      <c r="D606" s="310"/>
      <c r="E606" s="310"/>
      <c r="F606" s="310"/>
      <c r="G606" s="310"/>
      <c r="H606" s="310"/>
      <c r="I606" s="310"/>
      <c r="J606" s="310"/>
      <c r="K606" s="310"/>
      <c r="L606" s="310"/>
      <c r="M606" s="310"/>
    </row>
    <row r="607" spans="2:13">
      <c r="B607" s="508"/>
      <c r="C607" s="310"/>
      <c r="D607" s="310"/>
      <c r="E607" s="310"/>
      <c r="F607" s="310"/>
      <c r="G607" s="310"/>
      <c r="H607" s="310"/>
      <c r="I607" s="310"/>
      <c r="J607" s="310"/>
      <c r="K607" s="310"/>
      <c r="L607" s="310"/>
      <c r="M607" s="310"/>
    </row>
    <row r="608" spans="2:13">
      <c r="B608" s="508"/>
      <c r="C608" s="310"/>
      <c r="D608" s="310"/>
      <c r="E608" s="310"/>
      <c r="F608" s="310"/>
      <c r="G608" s="310"/>
      <c r="H608" s="310"/>
      <c r="I608" s="310"/>
      <c r="J608" s="310"/>
      <c r="K608" s="310"/>
      <c r="L608" s="310"/>
      <c r="M608" s="310"/>
    </row>
    <row r="609" spans="2:13">
      <c r="B609" s="508"/>
      <c r="C609" s="310"/>
      <c r="D609" s="310"/>
      <c r="E609" s="310"/>
      <c r="F609" s="310"/>
      <c r="G609" s="310"/>
      <c r="H609" s="310"/>
      <c r="I609" s="310"/>
      <c r="J609" s="310"/>
      <c r="K609" s="310"/>
      <c r="L609" s="310"/>
      <c r="M609" s="310"/>
    </row>
    <row r="610" spans="2:13">
      <c r="B610" s="508"/>
      <c r="C610" s="310"/>
      <c r="D610" s="310"/>
      <c r="E610" s="310"/>
      <c r="F610" s="310"/>
      <c r="G610" s="310"/>
      <c r="H610" s="310"/>
      <c r="I610" s="310"/>
      <c r="J610" s="310"/>
      <c r="K610" s="310"/>
      <c r="L610" s="310"/>
      <c r="M610" s="310"/>
    </row>
    <row r="611" spans="2:13">
      <c r="B611" s="508"/>
      <c r="C611" s="310"/>
      <c r="D611" s="310"/>
      <c r="E611" s="310"/>
      <c r="F611" s="310"/>
      <c r="G611" s="310"/>
      <c r="H611" s="310"/>
      <c r="I611" s="310"/>
      <c r="J611" s="310"/>
      <c r="K611" s="310"/>
      <c r="L611" s="310"/>
      <c r="M611" s="310"/>
    </row>
    <row r="612" spans="2:13">
      <c r="B612" s="508"/>
      <c r="C612" s="310"/>
      <c r="D612" s="310"/>
      <c r="E612" s="310"/>
      <c r="F612" s="310"/>
      <c r="G612" s="310"/>
      <c r="H612" s="310"/>
      <c r="I612" s="310"/>
      <c r="J612" s="310"/>
      <c r="K612" s="310"/>
      <c r="L612" s="310"/>
      <c r="M612" s="310"/>
    </row>
    <row r="613" spans="2:13">
      <c r="B613" s="508"/>
      <c r="C613" s="310"/>
      <c r="D613" s="310"/>
      <c r="E613" s="310"/>
      <c r="F613" s="310"/>
      <c r="G613" s="310"/>
      <c r="H613" s="310"/>
      <c r="I613" s="310"/>
      <c r="J613" s="310"/>
      <c r="K613" s="310"/>
      <c r="L613" s="310"/>
      <c r="M613" s="310"/>
    </row>
    <row r="614" spans="2:13">
      <c r="B614" s="508"/>
      <c r="C614" s="310"/>
      <c r="D614" s="310"/>
      <c r="E614" s="310"/>
      <c r="F614" s="310"/>
      <c r="G614" s="310"/>
      <c r="H614" s="310"/>
      <c r="I614" s="310"/>
      <c r="J614" s="310"/>
      <c r="K614" s="310"/>
      <c r="L614" s="310"/>
      <c r="M614" s="310"/>
    </row>
    <row r="615" spans="2:13">
      <c r="B615" s="508"/>
      <c r="C615" s="310"/>
      <c r="D615" s="310"/>
      <c r="E615" s="310"/>
      <c r="F615" s="310"/>
      <c r="G615" s="310"/>
      <c r="H615" s="310"/>
      <c r="I615" s="310"/>
      <c r="J615" s="310"/>
      <c r="K615" s="310"/>
      <c r="L615" s="310"/>
      <c r="M615" s="310"/>
    </row>
    <row r="616" spans="2:13">
      <c r="B616" s="508"/>
      <c r="C616" s="310"/>
      <c r="D616" s="310"/>
      <c r="E616" s="310"/>
      <c r="F616" s="310"/>
      <c r="G616" s="310"/>
      <c r="H616" s="310"/>
      <c r="I616" s="310"/>
      <c r="J616" s="310"/>
      <c r="K616" s="310"/>
      <c r="L616" s="310"/>
      <c r="M616" s="310"/>
    </row>
    <row r="617" spans="2:13">
      <c r="B617" s="508"/>
      <c r="C617" s="310"/>
      <c r="D617" s="310"/>
      <c r="E617" s="310"/>
      <c r="F617" s="310"/>
      <c r="G617" s="310"/>
      <c r="H617" s="310"/>
      <c r="I617" s="310"/>
      <c r="J617" s="310"/>
      <c r="K617" s="310"/>
      <c r="L617" s="310"/>
      <c r="M617" s="310"/>
    </row>
    <row r="618" spans="2:13">
      <c r="B618" s="508"/>
      <c r="C618" s="310"/>
      <c r="D618" s="310"/>
      <c r="E618" s="310"/>
      <c r="F618" s="310"/>
      <c r="G618" s="310"/>
      <c r="H618" s="310"/>
      <c r="I618" s="310"/>
      <c r="J618" s="310"/>
      <c r="K618" s="310"/>
      <c r="L618" s="310"/>
      <c r="M618" s="310"/>
    </row>
    <row r="619" spans="2:13">
      <c r="B619" s="508"/>
      <c r="C619" s="310"/>
      <c r="D619" s="310"/>
      <c r="E619" s="310"/>
      <c r="F619" s="310"/>
      <c r="G619" s="310"/>
      <c r="H619" s="310"/>
      <c r="I619" s="310"/>
      <c r="J619" s="310"/>
      <c r="K619" s="310"/>
      <c r="L619" s="310"/>
      <c r="M619" s="310"/>
    </row>
    <row r="620" spans="2:13">
      <c r="B620" s="508"/>
      <c r="C620" s="310"/>
      <c r="D620" s="310"/>
      <c r="E620" s="310"/>
      <c r="F620" s="310"/>
      <c r="G620" s="310"/>
      <c r="H620" s="310"/>
      <c r="I620" s="310"/>
      <c r="J620" s="310"/>
      <c r="K620" s="310"/>
      <c r="L620" s="310"/>
      <c r="M620" s="310"/>
    </row>
    <row r="621" spans="2:13">
      <c r="B621" s="508"/>
      <c r="C621" s="310"/>
      <c r="D621" s="310"/>
      <c r="E621" s="310"/>
      <c r="F621" s="310"/>
      <c r="G621" s="310"/>
      <c r="H621" s="310"/>
      <c r="I621" s="310"/>
      <c r="J621" s="310"/>
      <c r="K621" s="310"/>
      <c r="L621" s="310"/>
      <c r="M621" s="310"/>
    </row>
    <row r="622" spans="2:13">
      <c r="B622" s="508"/>
      <c r="C622" s="310"/>
      <c r="D622" s="310"/>
      <c r="E622" s="310"/>
      <c r="F622" s="310"/>
      <c r="G622" s="310"/>
      <c r="H622" s="310"/>
      <c r="I622" s="310"/>
      <c r="J622" s="310"/>
      <c r="K622" s="310"/>
      <c r="L622" s="310"/>
      <c r="M622" s="310"/>
    </row>
    <row r="623" spans="2:13">
      <c r="B623" s="508"/>
      <c r="C623" s="310"/>
      <c r="D623" s="310"/>
      <c r="E623" s="310"/>
      <c r="F623" s="310"/>
      <c r="G623" s="310"/>
      <c r="H623" s="310"/>
      <c r="I623" s="310"/>
      <c r="J623" s="310"/>
      <c r="K623" s="310"/>
      <c r="L623" s="310"/>
      <c r="M623" s="310"/>
    </row>
    <row r="624" spans="2:13">
      <c r="B624" s="508"/>
      <c r="C624" s="310"/>
      <c r="D624" s="310"/>
      <c r="E624" s="310"/>
      <c r="F624" s="310"/>
      <c r="G624" s="310"/>
      <c r="H624" s="310"/>
      <c r="I624" s="310"/>
      <c r="J624" s="310"/>
      <c r="K624" s="310"/>
      <c r="L624" s="310"/>
      <c r="M624" s="310"/>
    </row>
    <row r="625" spans="2:13">
      <c r="B625" s="508"/>
      <c r="C625" s="310"/>
      <c r="D625" s="310"/>
      <c r="E625" s="310"/>
      <c r="F625" s="310"/>
      <c r="G625" s="310"/>
      <c r="H625" s="310"/>
      <c r="I625" s="310"/>
      <c r="J625" s="310"/>
      <c r="K625" s="310"/>
      <c r="L625" s="310"/>
      <c r="M625" s="310"/>
    </row>
    <row r="626" spans="2:13">
      <c r="B626" s="508"/>
      <c r="C626" s="310"/>
      <c r="D626" s="310"/>
      <c r="E626" s="310"/>
      <c r="F626" s="310"/>
      <c r="G626" s="310"/>
      <c r="H626" s="310"/>
      <c r="I626" s="310"/>
      <c r="J626" s="310"/>
      <c r="K626" s="310"/>
      <c r="L626" s="310"/>
      <c r="M626" s="310"/>
    </row>
    <row r="627" spans="2:13">
      <c r="B627" s="508"/>
      <c r="C627" s="310"/>
      <c r="D627" s="310"/>
      <c r="E627" s="310"/>
      <c r="F627" s="310"/>
      <c r="G627" s="310"/>
      <c r="H627" s="310"/>
      <c r="I627" s="310"/>
      <c r="J627" s="310"/>
      <c r="K627" s="310"/>
      <c r="L627" s="310"/>
      <c r="M627" s="310"/>
    </row>
    <row r="628" spans="2:13">
      <c r="B628" s="508"/>
      <c r="C628" s="310"/>
      <c r="D628" s="310"/>
      <c r="E628" s="310"/>
      <c r="F628" s="310"/>
      <c r="G628" s="310"/>
      <c r="H628" s="310"/>
      <c r="I628" s="310"/>
      <c r="J628" s="310"/>
      <c r="K628" s="310"/>
      <c r="L628" s="310"/>
      <c r="M628" s="310"/>
    </row>
    <row r="629" spans="2:13">
      <c r="B629" s="508"/>
      <c r="C629" s="310"/>
      <c r="D629" s="310"/>
      <c r="E629" s="310"/>
      <c r="F629" s="310"/>
      <c r="G629" s="310"/>
      <c r="H629" s="310"/>
      <c r="I629" s="310"/>
      <c r="J629" s="310"/>
      <c r="K629" s="310"/>
      <c r="L629" s="310"/>
      <c r="M629" s="310"/>
    </row>
    <row r="630" spans="2:13">
      <c r="B630" s="508"/>
      <c r="C630" s="310"/>
      <c r="D630" s="310"/>
      <c r="E630" s="310"/>
      <c r="F630" s="310"/>
      <c r="G630" s="310"/>
      <c r="H630" s="310"/>
      <c r="I630" s="310"/>
      <c r="J630" s="310"/>
      <c r="K630" s="310"/>
      <c r="L630" s="310"/>
      <c r="M630" s="310"/>
    </row>
    <row r="631" spans="2:13">
      <c r="B631" s="508"/>
      <c r="C631" s="310"/>
      <c r="D631" s="310"/>
      <c r="E631" s="310"/>
      <c r="F631" s="310"/>
      <c r="G631" s="310"/>
      <c r="H631" s="310"/>
      <c r="I631" s="310"/>
      <c r="J631" s="310"/>
      <c r="K631" s="310"/>
      <c r="L631" s="310"/>
      <c r="M631" s="310"/>
    </row>
    <row r="632" spans="2:13">
      <c r="B632" s="508"/>
      <c r="C632" s="310"/>
      <c r="D632" s="310"/>
      <c r="E632" s="310"/>
      <c r="F632" s="310"/>
      <c r="G632" s="310"/>
      <c r="H632" s="310"/>
      <c r="I632" s="310"/>
      <c r="J632" s="310"/>
      <c r="K632" s="310"/>
      <c r="L632" s="310"/>
      <c r="M632" s="310"/>
    </row>
    <row r="633" spans="2:13">
      <c r="B633" s="508"/>
      <c r="C633" s="310"/>
      <c r="D633" s="310"/>
      <c r="E633" s="310"/>
      <c r="F633" s="310"/>
      <c r="G633" s="310"/>
      <c r="H633" s="310"/>
      <c r="I633" s="310"/>
      <c r="J633" s="310"/>
      <c r="K633" s="310"/>
      <c r="L633" s="310"/>
      <c r="M633" s="310"/>
    </row>
    <row r="634" spans="2:13">
      <c r="B634" s="508"/>
      <c r="C634" s="310"/>
      <c r="D634" s="310"/>
      <c r="E634" s="310"/>
      <c r="F634" s="310"/>
      <c r="G634" s="310"/>
      <c r="H634" s="310"/>
      <c r="I634" s="310"/>
      <c r="J634" s="310"/>
      <c r="K634" s="310"/>
      <c r="L634" s="310"/>
      <c r="M634" s="310"/>
    </row>
    <row r="635" spans="2:13">
      <c r="B635" s="508"/>
      <c r="C635" s="310"/>
      <c r="D635" s="310"/>
      <c r="E635" s="310"/>
      <c r="F635" s="310"/>
      <c r="G635" s="310"/>
      <c r="H635" s="310"/>
      <c r="I635" s="310"/>
      <c r="J635" s="310"/>
      <c r="K635" s="310"/>
      <c r="L635" s="310"/>
      <c r="M635" s="310"/>
    </row>
    <row r="636" spans="2:13">
      <c r="B636" s="508"/>
      <c r="C636" s="310"/>
      <c r="D636" s="310"/>
      <c r="E636" s="310"/>
      <c r="F636" s="310"/>
      <c r="G636" s="310"/>
      <c r="H636" s="310"/>
      <c r="I636" s="310"/>
      <c r="J636" s="310"/>
      <c r="K636" s="310"/>
      <c r="L636" s="310"/>
      <c r="M636" s="310"/>
    </row>
    <row r="637" spans="2:13">
      <c r="B637" s="508"/>
      <c r="C637" s="310"/>
      <c r="D637" s="310"/>
      <c r="E637" s="310"/>
      <c r="F637" s="310"/>
      <c r="G637" s="310"/>
      <c r="H637" s="310"/>
      <c r="I637" s="310"/>
      <c r="J637" s="310"/>
      <c r="K637" s="310"/>
      <c r="L637" s="310"/>
      <c r="M637" s="310"/>
    </row>
    <row r="638" spans="2:13">
      <c r="B638" s="508"/>
      <c r="C638" s="310"/>
      <c r="D638" s="310"/>
      <c r="E638" s="310"/>
      <c r="F638" s="310"/>
      <c r="G638" s="310"/>
      <c r="H638" s="310"/>
      <c r="I638" s="310"/>
      <c r="J638" s="310"/>
      <c r="K638" s="310"/>
      <c r="L638" s="310"/>
      <c r="M638" s="310"/>
    </row>
    <row r="639" spans="2:13">
      <c r="B639" s="508"/>
      <c r="C639" s="310"/>
      <c r="D639" s="310"/>
      <c r="E639" s="310"/>
      <c r="F639" s="310"/>
      <c r="G639" s="310"/>
      <c r="H639" s="310"/>
      <c r="I639" s="310"/>
      <c r="J639" s="310"/>
      <c r="K639" s="310"/>
      <c r="L639" s="310"/>
      <c r="M639" s="310"/>
    </row>
    <row r="640" spans="2:13">
      <c r="B640" s="508"/>
      <c r="C640" s="310"/>
      <c r="D640" s="310"/>
      <c r="E640" s="310"/>
      <c r="F640" s="310"/>
      <c r="G640" s="310"/>
      <c r="H640" s="310"/>
      <c r="I640" s="310"/>
      <c r="J640" s="310"/>
      <c r="K640" s="310"/>
      <c r="L640" s="310"/>
      <c r="M640" s="310"/>
    </row>
    <row r="641" spans="2:13">
      <c r="B641" s="508"/>
      <c r="C641" s="310"/>
      <c r="D641" s="310"/>
      <c r="E641" s="310"/>
      <c r="F641" s="310"/>
      <c r="G641" s="310"/>
      <c r="H641" s="310"/>
      <c r="I641" s="310"/>
      <c r="J641" s="310"/>
      <c r="K641" s="310"/>
      <c r="L641" s="310"/>
      <c r="M641" s="310"/>
    </row>
    <row r="642" spans="2:13">
      <c r="B642" s="508"/>
      <c r="C642" s="310"/>
      <c r="D642" s="310"/>
      <c r="E642" s="310"/>
      <c r="F642" s="310"/>
      <c r="G642" s="310"/>
      <c r="H642" s="310"/>
      <c r="I642" s="310"/>
      <c r="J642" s="310"/>
      <c r="K642" s="310"/>
      <c r="L642" s="310"/>
      <c r="M642" s="310"/>
    </row>
    <row r="643" spans="2:13">
      <c r="B643" s="508"/>
      <c r="C643" s="310"/>
      <c r="D643" s="310"/>
      <c r="E643" s="310"/>
      <c r="F643" s="310"/>
      <c r="G643" s="310"/>
      <c r="H643" s="310"/>
      <c r="I643" s="310"/>
      <c r="J643" s="310"/>
      <c r="K643" s="310"/>
      <c r="L643" s="310"/>
      <c r="M643" s="310"/>
    </row>
    <row r="644" spans="2:13">
      <c r="B644" s="508"/>
      <c r="C644" s="310"/>
      <c r="D644" s="310"/>
      <c r="E644" s="310"/>
      <c r="F644" s="310"/>
      <c r="G644" s="310"/>
      <c r="H644" s="310"/>
      <c r="I644" s="310"/>
      <c r="J644" s="310"/>
      <c r="K644" s="310"/>
      <c r="L644" s="310"/>
      <c r="M644" s="310"/>
    </row>
    <row r="645" spans="2:13">
      <c r="B645" s="508"/>
      <c r="C645" s="310"/>
      <c r="D645" s="310"/>
      <c r="E645" s="310"/>
      <c r="F645" s="310"/>
      <c r="G645" s="310"/>
      <c r="H645" s="310"/>
      <c r="I645" s="310"/>
      <c r="J645" s="310"/>
      <c r="K645" s="310"/>
      <c r="L645" s="310"/>
      <c r="M645" s="310"/>
    </row>
    <row r="646" spans="2:13">
      <c r="B646" s="508"/>
      <c r="C646" s="310"/>
      <c r="D646" s="310"/>
      <c r="E646" s="310"/>
      <c r="F646" s="310"/>
      <c r="G646" s="310"/>
      <c r="H646" s="310"/>
      <c r="I646" s="310"/>
      <c r="J646" s="310"/>
      <c r="K646" s="310"/>
      <c r="L646" s="310"/>
      <c r="M646" s="310"/>
    </row>
    <row r="647" spans="2:13">
      <c r="B647" s="508"/>
      <c r="C647" s="310"/>
      <c r="D647" s="310"/>
      <c r="E647" s="310"/>
      <c r="F647" s="310"/>
      <c r="G647" s="310"/>
      <c r="H647" s="310"/>
      <c r="I647" s="310"/>
      <c r="J647" s="310"/>
      <c r="K647" s="310"/>
      <c r="L647" s="310"/>
      <c r="M647" s="310"/>
    </row>
    <row r="648" spans="2:13">
      <c r="B648" s="508"/>
      <c r="C648" s="310"/>
      <c r="D648" s="310"/>
      <c r="E648" s="310"/>
      <c r="F648" s="310"/>
      <c r="G648" s="310"/>
      <c r="H648" s="310"/>
      <c r="I648" s="310"/>
      <c r="J648" s="310"/>
      <c r="K648" s="310"/>
      <c r="L648" s="310"/>
      <c r="M648" s="310"/>
    </row>
    <row r="649" spans="2:13">
      <c r="B649" s="508"/>
      <c r="C649" s="310"/>
      <c r="D649" s="310"/>
      <c r="E649" s="310"/>
      <c r="F649" s="310"/>
      <c r="G649" s="310"/>
      <c r="H649" s="310"/>
      <c r="I649" s="310"/>
      <c r="J649" s="310"/>
      <c r="K649" s="310"/>
      <c r="L649" s="310"/>
      <c r="M649" s="310"/>
    </row>
    <row r="650" spans="2:13">
      <c r="B650" s="508"/>
      <c r="C650" s="310"/>
      <c r="D650" s="310"/>
      <c r="E650" s="310"/>
      <c r="F650" s="310"/>
      <c r="G650" s="310"/>
      <c r="H650" s="310"/>
      <c r="I650" s="310"/>
      <c r="J650" s="310"/>
      <c r="K650" s="310"/>
      <c r="L650" s="310"/>
      <c r="M650" s="310"/>
    </row>
    <row r="651" spans="2:13">
      <c r="B651" s="508"/>
      <c r="C651" s="310"/>
      <c r="D651" s="310"/>
      <c r="E651" s="310"/>
      <c r="F651" s="310"/>
      <c r="G651" s="310"/>
      <c r="H651" s="310"/>
      <c r="I651" s="310"/>
      <c r="J651" s="310"/>
      <c r="K651" s="310"/>
      <c r="L651" s="310"/>
      <c r="M651" s="310"/>
    </row>
    <row r="652" spans="2:13">
      <c r="B652" s="508"/>
      <c r="C652" s="310"/>
      <c r="D652" s="310"/>
      <c r="E652" s="310"/>
      <c r="F652" s="310"/>
      <c r="G652" s="310"/>
      <c r="H652" s="310"/>
      <c r="I652" s="310"/>
      <c r="J652" s="310"/>
      <c r="K652" s="310"/>
      <c r="L652" s="310"/>
      <c r="M652" s="310"/>
    </row>
    <row r="653" spans="2:13">
      <c r="B653" s="508"/>
      <c r="C653" s="310"/>
      <c r="D653" s="310"/>
      <c r="E653" s="310"/>
      <c r="F653" s="310"/>
      <c r="G653" s="310"/>
      <c r="H653" s="310"/>
      <c r="I653" s="310"/>
      <c r="J653" s="310"/>
      <c r="K653" s="310"/>
      <c r="L653" s="310"/>
      <c r="M653" s="310"/>
    </row>
    <row r="654" spans="2:13">
      <c r="B654" s="508"/>
      <c r="C654" s="310"/>
      <c r="D654" s="310"/>
      <c r="E654" s="310"/>
      <c r="F654" s="310"/>
      <c r="G654" s="310"/>
      <c r="H654" s="310"/>
      <c r="I654" s="310"/>
      <c r="J654" s="310"/>
      <c r="K654" s="310"/>
      <c r="L654" s="310"/>
      <c r="M654" s="310"/>
    </row>
    <row r="655" spans="2:13">
      <c r="B655" s="508"/>
      <c r="C655" s="310"/>
      <c r="D655" s="310"/>
      <c r="E655" s="310"/>
      <c r="F655" s="310"/>
      <c r="G655" s="310"/>
      <c r="H655" s="310"/>
      <c r="I655" s="310"/>
      <c r="J655" s="310"/>
      <c r="K655" s="310"/>
      <c r="L655" s="310"/>
      <c r="M655" s="310"/>
    </row>
    <row r="656" spans="2:13">
      <c r="B656" s="508"/>
      <c r="C656" s="310"/>
      <c r="D656" s="310"/>
      <c r="E656" s="310"/>
      <c r="F656" s="310"/>
      <c r="G656" s="310"/>
      <c r="H656" s="310"/>
      <c r="I656" s="310"/>
      <c r="J656" s="310"/>
      <c r="K656" s="310"/>
      <c r="L656" s="310"/>
      <c r="M656" s="310"/>
    </row>
    <row r="657" spans="2:13">
      <c r="B657" s="508"/>
      <c r="C657" s="310"/>
      <c r="D657" s="310"/>
      <c r="E657" s="310"/>
      <c r="F657" s="310"/>
      <c r="G657" s="310"/>
      <c r="H657" s="310"/>
      <c r="I657" s="310"/>
      <c r="J657" s="310"/>
      <c r="K657" s="310"/>
      <c r="L657" s="310"/>
      <c r="M657" s="310"/>
    </row>
    <row r="658" spans="2:13">
      <c r="B658" s="508"/>
      <c r="C658" s="310"/>
      <c r="D658" s="310"/>
      <c r="E658" s="310"/>
      <c r="F658" s="310"/>
      <c r="G658" s="310"/>
      <c r="H658" s="310"/>
      <c r="I658" s="310"/>
      <c r="J658" s="310"/>
      <c r="K658" s="310"/>
      <c r="L658" s="310"/>
      <c r="M658" s="310"/>
    </row>
    <row r="659" spans="2:13">
      <c r="B659" s="508"/>
      <c r="C659" s="310"/>
      <c r="D659" s="310"/>
      <c r="E659" s="310"/>
      <c r="F659" s="310"/>
      <c r="G659" s="310"/>
      <c r="H659" s="310"/>
      <c r="I659" s="310"/>
      <c r="J659" s="310"/>
      <c r="K659" s="310"/>
      <c r="L659" s="310"/>
      <c r="M659" s="310"/>
    </row>
    <row r="660" spans="2:13">
      <c r="B660" s="508"/>
      <c r="C660" s="310"/>
      <c r="D660" s="310"/>
      <c r="E660" s="310"/>
      <c r="F660" s="310"/>
      <c r="G660" s="310"/>
      <c r="H660" s="310"/>
      <c r="I660" s="310"/>
      <c r="J660" s="310"/>
      <c r="K660" s="310"/>
      <c r="L660" s="310"/>
      <c r="M660" s="310"/>
    </row>
    <row r="661" spans="2:13">
      <c r="B661" s="508"/>
      <c r="C661" s="310"/>
      <c r="D661" s="310"/>
      <c r="E661" s="310"/>
      <c r="F661" s="310"/>
      <c r="G661" s="310"/>
      <c r="H661" s="310"/>
      <c r="I661" s="310"/>
      <c r="J661" s="310"/>
      <c r="K661" s="310"/>
      <c r="L661" s="310"/>
      <c r="M661" s="310"/>
    </row>
    <row r="662" spans="2:13">
      <c r="B662" s="508"/>
      <c r="C662" s="310"/>
      <c r="D662" s="310"/>
      <c r="E662" s="310"/>
      <c r="F662" s="310"/>
      <c r="G662" s="310"/>
      <c r="H662" s="310"/>
      <c r="I662" s="310"/>
      <c r="J662" s="310"/>
      <c r="K662" s="310"/>
      <c r="L662" s="310"/>
      <c r="M662" s="310"/>
    </row>
    <row r="663" spans="2:13">
      <c r="B663" s="508"/>
      <c r="C663" s="310"/>
      <c r="D663" s="310"/>
      <c r="E663" s="310"/>
      <c r="F663" s="310"/>
      <c r="G663" s="310"/>
      <c r="H663" s="310"/>
      <c r="I663" s="310"/>
      <c r="J663" s="310"/>
      <c r="K663" s="310"/>
      <c r="L663" s="310"/>
      <c r="M663" s="310"/>
    </row>
    <row r="664" spans="2:13">
      <c r="B664" s="508"/>
      <c r="C664" s="310"/>
      <c r="D664" s="310"/>
      <c r="E664" s="310"/>
      <c r="F664" s="310"/>
      <c r="G664" s="310"/>
      <c r="H664" s="310"/>
      <c r="I664" s="310"/>
      <c r="J664" s="310"/>
      <c r="K664" s="310"/>
      <c r="L664" s="310"/>
      <c r="M664" s="310"/>
    </row>
    <row r="665" spans="2:13">
      <c r="B665" s="508"/>
      <c r="C665" s="310"/>
      <c r="D665" s="310"/>
      <c r="E665" s="310"/>
      <c r="F665" s="310"/>
      <c r="G665" s="310"/>
      <c r="H665" s="310"/>
      <c r="I665" s="310"/>
      <c r="J665" s="310"/>
      <c r="K665" s="310"/>
      <c r="L665" s="310"/>
      <c r="M665" s="310"/>
    </row>
    <row r="666" spans="2:13">
      <c r="B666" s="508"/>
      <c r="C666" s="310"/>
      <c r="D666" s="310"/>
      <c r="E666" s="310"/>
      <c r="F666" s="310"/>
      <c r="G666" s="310"/>
      <c r="H666" s="310"/>
      <c r="I666" s="310"/>
      <c r="J666" s="310"/>
      <c r="K666" s="310"/>
      <c r="L666" s="310"/>
      <c r="M666" s="310"/>
    </row>
    <row r="667" spans="2:13">
      <c r="B667" s="508"/>
      <c r="C667" s="310"/>
      <c r="D667" s="310"/>
      <c r="E667" s="310"/>
      <c r="F667" s="310"/>
      <c r="G667" s="310"/>
      <c r="H667" s="310"/>
      <c r="I667" s="310"/>
      <c r="J667" s="310"/>
      <c r="K667" s="310"/>
      <c r="L667" s="310"/>
      <c r="M667" s="310"/>
    </row>
    <row r="668" spans="2:13">
      <c r="B668" s="508"/>
      <c r="C668" s="310"/>
      <c r="D668" s="310"/>
      <c r="E668" s="310"/>
      <c r="F668" s="310"/>
      <c r="G668" s="310"/>
      <c r="H668" s="310"/>
      <c r="I668" s="310"/>
      <c r="J668" s="310"/>
      <c r="K668" s="310"/>
      <c r="L668" s="310"/>
      <c r="M668" s="310"/>
    </row>
    <row r="669" spans="2:13">
      <c r="B669" s="508"/>
      <c r="C669" s="310"/>
      <c r="D669" s="310"/>
      <c r="E669" s="310"/>
      <c r="F669" s="310"/>
      <c r="G669" s="310"/>
      <c r="H669" s="310"/>
      <c r="I669" s="310"/>
      <c r="J669" s="310"/>
      <c r="K669" s="310"/>
      <c r="L669" s="310"/>
      <c r="M669" s="310"/>
    </row>
    <row r="670" spans="2:13">
      <c r="B670" s="508"/>
      <c r="C670" s="310"/>
      <c r="D670" s="310"/>
      <c r="E670" s="310"/>
      <c r="F670" s="310"/>
      <c r="G670" s="310"/>
      <c r="H670" s="310"/>
      <c r="I670" s="310"/>
      <c r="J670" s="310"/>
      <c r="K670" s="310"/>
      <c r="L670" s="310"/>
      <c r="M670" s="310"/>
    </row>
    <row r="671" spans="2:13">
      <c r="B671" s="508"/>
      <c r="C671" s="310"/>
      <c r="D671" s="310"/>
      <c r="E671" s="310"/>
      <c r="F671" s="310"/>
      <c r="G671" s="310"/>
      <c r="H671" s="310"/>
      <c r="I671" s="310"/>
      <c r="J671" s="310"/>
      <c r="K671" s="310"/>
      <c r="L671" s="310"/>
      <c r="M671" s="310"/>
    </row>
    <row r="672" spans="2:13">
      <c r="B672" s="508"/>
      <c r="C672" s="310"/>
      <c r="D672" s="310"/>
      <c r="E672" s="310"/>
      <c r="F672" s="310"/>
      <c r="G672" s="310"/>
      <c r="H672" s="310"/>
      <c r="I672" s="310"/>
      <c r="J672" s="310"/>
      <c r="K672" s="310"/>
      <c r="L672" s="310"/>
      <c r="M672" s="310"/>
    </row>
    <row r="673" spans="2:13">
      <c r="B673" s="508"/>
      <c r="C673" s="310"/>
      <c r="D673" s="310"/>
      <c r="E673" s="310"/>
      <c r="F673" s="310"/>
      <c r="G673" s="310"/>
      <c r="H673" s="310"/>
      <c r="I673" s="310"/>
      <c r="J673" s="310"/>
      <c r="K673" s="310"/>
      <c r="L673" s="310"/>
      <c r="M673" s="310"/>
    </row>
    <row r="674" spans="2:13">
      <c r="B674" s="508"/>
      <c r="C674" s="310"/>
      <c r="D674" s="310"/>
      <c r="E674" s="310"/>
      <c r="F674" s="310"/>
      <c r="G674" s="310"/>
      <c r="H674" s="310"/>
      <c r="I674" s="310"/>
      <c r="J674" s="310"/>
      <c r="K674" s="310"/>
      <c r="L674" s="310"/>
      <c r="M674" s="310"/>
    </row>
    <row r="675" spans="2:13">
      <c r="B675" s="508"/>
      <c r="C675" s="310"/>
      <c r="D675" s="310"/>
      <c r="E675" s="310"/>
      <c r="F675" s="310"/>
      <c r="G675" s="310"/>
      <c r="H675" s="310"/>
      <c r="I675" s="310"/>
      <c r="J675" s="310"/>
      <c r="K675" s="310"/>
      <c r="L675" s="310"/>
      <c r="M675" s="310"/>
    </row>
    <row r="676" spans="2:13">
      <c r="B676" s="508"/>
      <c r="C676" s="310"/>
      <c r="D676" s="310"/>
      <c r="E676" s="310"/>
      <c r="F676" s="310"/>
      <c r="G676" s="310"/>
      <c r="H676" s="310"/>
      <c r="I676" s="310"/>
      <c r="J676" s="310"/>
      <c r="K676" s="310"/>
      <c r="L676" s="310"/>
      <c r="M676" s="310"/>
    </row>
    <row r="677" spans="2:13">
      <c r="B677" s="508"/>
      <c r="C677" s="310"/>
      <c r="D677" s="310"/>
      <c r="E677" s="310"/>
      <c r="F677" s="310"/>
      <c r="G677" s="310"/>
      <c r="H677" s="310"/>
      <c r="I677" s="310"/>
      <c r="J677" s="310"/>
      <c r="K677" s="310"/>
      <c r="L677" s="310"/>
      <c r="M677" s="310"/>
    </row>
    <row r="678" spans="2:13">
      <c r="B678" s="508"/>
      <c r="C678" s="310"/>
      <c r="D678" s="310"/>
      <c r="E678" s="310"/>
      <c r="F678" s="310"/>
      <c r="G678" s="310"/>
      <c r="H678" s="310"/>
      <c r="I678" s="310"/>
      <c r="J678" s="310"/>
      <c r="K678" s="310"/>
      <c r="L678" s="310"/>
      <c r="M678" s="310"/>
    </row>
    <row r="679" spans="2:13">
      <c r="B679" s="508"/>
      <c r="C679" s="310"/>
      <c r="D679" s="310"/>
      <c r="E679" s="310"/>
      <c r="F679" s="310"/>
      <c r="G679" s="310"/>
      <c r="H679" s="310"/>
      <c r="I679" s="310"/>
      <c r="J679" s="310"/>
      <c r="K679" s="310"/>
      <c r="L679" s="310"/>
      <c r="M679" s="310"/>
    </row>
    <row r="680" spans="2:13">
      <c r="B680" s="508"/>
      <c r="C680" s="310"/>
      <c r="D680" s="310"/>
      <c r="E680" s="310"/>
      <c r="F680" s="310"/>
      <c r="G680" s="310"/>
      <c r="H680" s="310"/>
      <c r="I680" s="310"/>
      <c r="J680" s="310"/>
      <c r="K680" s="310"/>
      <c r="L680" s="310"/>
      <c r="M680" s="310"/>
    </row>
    <row r="681" spans="2:13">
      <c r="B681" s="508"/>
      <c r="C681" s="310"/>
      <c r="D681" s="310"/>
      <c r="E681" s="310"/>
      <c r="F681" s="310"/>
      <c r="G681" s="310"/>
      <c r="H681" s="310"/>
      <c r="I681" s="310"/>
      <c r="J681" s="310"/>
      <c r="K681" s="310"/>
      <c r="L681" s="310"/>
      <c r="M681" s="310"/>
    </row>
    <row r="682" spans="2:13">
      <c r="B682" s="508"/>
      <c r="C682" s="310"/>
      <c r="D682" s="310"/>
      <c r="E682" s="310"/>
      <c r="F682" s="310"/>
      <c r="G682" s="310"/>
      <c r="H682" s="310"/>
      <c r="I682" s="310"/>
      <c r="J682" s="310"/>
      <c r="K682" s="310"/>
      <c r="L682" s="310"/>
      <c r="M682" s="310"/>
    </row>
    <row r="683" spans="2:13">
      <c r="B683" s="508"/>
      <c r="C683" s="310"/>
      <c r="D683" s="310"/>
      <c r="E683" s="310"/>
      <c r="F683" s="310"/>
      <c r="G683" s="310"/>
      <c r="H683" s="310"/>
      <c r="I683" s="310"/>
      <c r="J683" s="310"/>
      <c r="K683" s="310"/>
      <c r="L683" s="310"/>
      <c r="M683" s="310"/>
    </row>
    <row r="684" spans="2:13">
      <c r="B684" s="508"/>
      <c r="C684" s="310"/>
      <c r="D684" s="310"/>
      <c r="E684" s="310"/>
      <c r="F684" s="310"/>
      <c r="G684" s="310"/>
      <c r="H684" s="310"/>
      <c r="I684" s="310"/>
      <c r="J684" s="310"/>
      <c r="K684" s="310"/>
      <c r="L684" s="310"/>
      <c r="M684" s="310"/>
    </row>
    <row r="685" spans="2:13">
      <c r="B685" s="508"/>
      <c r="C685" s="310"/>
      <c r="D685" s="310"/>
      <c r="E685" s="310"/>
      <c r="F685" s="310"/>
      <c r="G685" s="310"/>
      <c r="H685" s="310"/>
      <c r="I685" s="310"/>
      <c r="J685" s="310"/>
      <c r="K685" s="310"/>
      <c r="L685" s="310"/>
      <c r="M685" s="310"/>
    </row>
    <row r="686" spans="2:13">
      <c r="B686" s="508"/>
      <c r="C686" s="310"/>
      <c r="D686" s="310"/>
      <c r="E686" s="310"/>
      <c r="F686" s="310"/>
      <c r="G686" s="310"/>
      <c r="H686" s="310"/>
      <c r="I686" s="310"/>
      <c r="J686" s="310"/>
      <c r="K686" s="310"/>
      <c r="L686" s="310"/>
      <c r="M686" s="310"/>
    </row>
    <row r="687" spans="2:13">
      <c r="B687" s="508"/>
      <c r="C687" s="310"/>
      <c r="D687" s="310"/>
      <c r="E687" s="310"/>
      <c r="F687" s="310"/>
      <c r="G687" s="310"/>
      <c r="H687" s="310"/>
      <c r="I687" s="310"/>
      <c r="J687" s="310"/>
      <c r="K687" s="310"/>
      <c r="L687" s="310"/>
      <c r="M687" s="310"/>
    </row>
    <row r="688" spans="2:13">
      <c r="B688" s="508"/>
      <c r="C688" s="310"/>
      <c r="D688" s="310"/>
      <c r="E688" s="310"/>
      <c r="F688" s="310"/>
      <c r="G688" s="310"/>
      <c r="H688" s="310"/>
      <c r="I688" s="310"/>
      <c r="J688" s="310"/>
      <c r="K688" s="310"/>
      <c r="L688" s="310"/>
      <c r="M688" s="310"/>
    </row>
    <row r="689" spans="2:13">
      <c r="B689" s="508"/>
      <c r="C689" s="310"/>
      <c r="D689" s="310"/>
      <c r="E689" s="310"/>
      <c r="F689" s="310"/>
      <c r="G689" s="310"/>
      <c r="H689" s="310"/>
      <c r="I689" s="310"/>
      <c r="J689" s="310"/>
      <c r="K689" s="310"/>
      <c r="L689" s="310"/>
      <c r="M689" s="310"/>
    </row>
    <row r="690" spans="2:13">
      <c r="B690" s="508"/>
      <c r="C690" s="310"/>
      <c r="D690" s="310"/>
      <c r="E690" s="310"/>
      <c r="F690" s="310"/>
      <c r="G690" s="310"/>
      <c r="H690" s="310"/>
      <c r="I690" s="310"/>
      <c r="J690" s="310"/>
      <c r="K690" s="310"/>
      <c r="L690" s="310"/>
      <c r="M690" s="310"/>
    </row>
    <row r="691" spans="2:13">
      <c r="B691" s="508"/>
      <c r="C691" s="310"/>
      <c r="D691" s="310"/>
      <c r="E691" s="310"/>
      <c r="F691" s="310"/>
      <c r="G691" s="310"/>
      <c r="H691" s="310"/>
      <c r="I691" s="310"/>
      <c r="J691" s="310"/>
      <c r="K691" s="310"/>
      <c r="L691" s="310"/>
      <c r="M691" s="310"/>
    </row>
    <row r="692" spans="2:13">
      <c r="B692" s="508"/>
      <c r="C692" s="310"/>
      <c r="D692" s="310"/>
      <c r="E692" s="310"/>
      <c r="F692" s="310"/>
      <c r="G692" s="310"/>
      <c r="H692" s="310"/>
      <c r="I692" s="310"/>
      <c r="J692" s="310"/>
      <c r="K692" s="310"/>
      <c r="L692" s="310"/>
      <c r="M692" s="310"/>
    </row>
    <row r="693" spans="2:13">
      <c r="B693" s="508"/>
      <c r="C693" s="310"/>
      <c r="D693" s="310"/>
      <c r="E693" s="310"/>
      <c r="F693" s="310"/>
      <c r="G693" s="310"/>
      <c r="H693" s="310"/>
      <c r="I693" s="310"/>
      <c r="J693" s="310"/>
      <c r="K693" s="310"/>
      <c r="L693" s="310"/>
      <c r="M693" s="310"/>
    </row>
    <row r="694" spans="2:13">
      <c r="B694" s="508"/>
      <c r="C694" s="310"/>
      <c r="D694" s="310"/>
      <c r="E694" s="310"/>
      <c r="F694" s="310"/>
      <c r="G694" s="310"/>
      <c r="H694" s="310"/>
      <c r="I694" s="310"/>
      <c r="J694" s="310"/>
      <c r="K694" s="310"/>
      <c r="L694" s="310"/>
      <c r="M694" s="310"/>
    </row>
    <row r="695" spans="2:13">
      <c r="B695" s="508"/>
      <c r="C695" s="310"/>
      <c r="D695" s="310"/>
      <c r="E695" s="310"/>
      <c r="F695" s="310"/>
      <c r="G695" s="310"/>
      <c r="H695" s="310"/>
      <c r="I695" s="310"/>
      <c r="J695" s="310"/>
      <c r="K695" s="310"/>
      <c r="L695" s="310"/>
      <c r="M695" s="310"/>
    </row>
    <row r="696" spans="2:13">
      <c r="B696" s="508"/>
      <c r="C696" s="310"/>
      <c r="D696" s="310"/>
      <c r="E696" s="310"/>
      <c r="F696" s="310"/>
      <c r="G696" s="310"/>
      <c r="H696" s="310"/>
      <c r="I696" s="310"/>
      <c r="J696" s="310"/>
      <c r="K696" s="310"/>
      <c r="L696" s="310"/>
      <c r="M696" s="310"/>
    </row>
    <row r="697" spans="2:13">
      <c r="B697" s="508"/>
      <c r="C697" s="310"/>
      <c r="D697" s="310"/>
      <c r="E697" s="310"/>
      <c r="F697" s="310"/>
      <c r="G697" s="310"/>
      <c r="H697" s="310"/>
      <c r="I697" s="310"/>
      <c r="J697" s="310"/>
      <c r="K697" s="310"/>
      <c r="L697" s="310"/>
      <c r="M697" s="310"/>
    </row>
    <row r="698" spans="2:13">
      <c r="B698" s="508"/>
      <c r="C698" s="310"/>
      <c r="D698" s="310"/>
      <c r="E698" s="310"/>
      <c r="F698" s="310"/>
      <c r="G698" s="310"/>
      <c r="H698" s="310"/>
      <c r="I698" s="310"/>
      <c r="J698" s="310"/>
      <c r="K698" s="310"/>
      <c r="L698" s="310"/>
      <c r="M698" s="310"/>
    </row>
    <row r="699" spans="2:13">
      <c r="B699" s="508"/>
      <c r="C699" s="310"/>
      <c r="D699" s="310"/>
      <c r="E699" s="310"/>
      <c r="F699" s="310"/>
      <c r="G699" s="310"/>
      <c r="H699" s="310"/>
      <c r="I699" s="310"/>
      <c r="J699" s="310"/>
      <c r="K699" s="310"/>
      <c r="L699" s="310"/>
      <c r="M699" s="310"/>
    </row>
    <row r="700" spans="2:13">
      <c r="B700" s="508"/>
      <c r="C700" s="310"/>
      <c r="D700" s="310"/>
      <c r="E700" s="310"/>
      <c r="F700" s="310"/>
      <c r="G700" s="310"/>
      <c r="H700" s="310"/>
      <c r="I700" s="310"/>
      <c r="J700" s="310"/>
      <c r="K700" s="310"/>
      <c r="L700" s="310"/>
      <c r="M700" s="310"/>
    </row>
    <row r="701" spans="2:13">
      <c r="B701" s="508"/>
      <c r="C701" s="310"/>
      <c r="D701" s="310"/>
      <c r="E701" s="310"/>
      <c r="F701" s="310"/>
      <c r="G701" s="310"/>
      <c r="H701" s="310"/>
      <c r="I701" s="310"/>
      <c r="J701" s="310"/>
      <c r="K701" s="310"/>
      <c r="L701" s="310"/>
      <c r="M701" s="310"/>
    </row>
    <row r="702" spans="2:13">
      <c r="B702" s="508"/>
      <c r="C702" s="310"/>
      <c r="D702" s="310"/>
      <c r="E702" s="310"/>
      <c r="F702" s="310"/>
      <c r="G702" s="310"/>
      <c r="H702" s="310"/>
      <c r="I702" s="310"/>
      <c r="J702" s="310"/>
      <c r="K702" s="310"/>
      <c r="L702" s="310"/>
      <c r="M702" s="310"/>
    </row>
    <row r="703" spans="2:13">
      <c r="B703" s="508"/>
      <c r="C703" s="310"/>
      <c r="D703" s="310"/>
      <c r="E703" s="310"/>
      <c r="F703" s="310"/>
      <c r="G703" s="310"/>
      <c r="H703" s="310"/>
      <c r="I703" s="310"/>
      <c r="J703" s="310"/>
      <c r="K703" s="310"/>
      <c r="L703" s="310"/>
      <c r="M703" s="310"/>
    </row>
    <row r="704" spans="2:13">
      <c r="B704" s="508"/>
      <c r="C704" s="310"/>
      <c r="D704" s="310"/>
      <c r="E704" s="310"/>
      <c r="F704" s="310"/>
      <c r="G704" s="310"/>
      <c r="H704" s="310"/>
      <c r="I704" s="310"/>
      <c r="J704" s="310"/>
      <c r="K704" s="310"/>
      <c r="L704" s="310"/>
      <c r="M704" s="310"/>
    </row>
    <row r="705" spans="2:13">
      <c r="B705" s="508"/>
      <c r="C705" s="310"/>
      <c r="D705" s="310"/>
      <c r="E705" s="310"/>
      <c r="F705" s="310"/>
      <c r="G705" s="310"/>
      <c r="H705" s="310"/>
      <c r="I705" s="310"/>
      <c r="J705" s="310"/>
      <c r="K705" s="310"/>
      <c r="L705" s="310"/>
      <c r="M705" s="310"/>
    </row>
    <row r="706" spans="2:13">
      <c r="B706" s="508"/>
      <c r="C706" s="310"/>
      <c r="D706" s="310"/>
      <c r="E706" s="310"/>
      <c r="F706" s="310"/>
      <c r="G706" s="310"/>
      <c r="H706" s="310"/>
      <c r="I706" s="310"/>
      <c r="J706" s="310"/>
      <c r="K706" s="310"/>
      <c r="L706" s="310"/>
      <c r="M706" s="310"/>
    </row>
    <row r="707" spans="2:13">
      <c r="B707" s="508"/>
      <c r="C707" s="310"/>
      <c r="D707" s="310"/>
      <c r="E707" s="310"/>
      <c r="F707" s="310"/>
      <c r="G707" s="310"/>
      <c r="H707" s="310"/>
      <c r="I707" s="310"/>
      <c r="J707" s="310"/>
      <c r="K707" s="310"/>
      <c r="L707" s="310"/>
      <c r="M707" s="310"/>
    </row>
    <row r="708" spans="2:13">
      <c r="B708" s="508"/>
      <c r="C708" s="310"/>
      <c r="D708" s="310"/>
      <c r="E708" s="310"/>
      <c r="F708" s="310"/>
      <c r="G708" s="310"/>
      <c r="H708" s="310"/>
      <c r="I708" s="310"/>
      <c r="J708" s="310"/>
      <c r="K708" s="310"/>
      <c r="L708" s="310"/>
      <c r="M708" s="310"/>
    </row>
    <row r="709" spans="2:13">
      <c r="B709" s="508"/>
      <c r="C709" s="310"/>
      <c r="D709" s="310"/>
      <c r="E709" s="310"/>
      <c r="F709" s="310"/>
      <c r="G709" s="310"/>
      <c r="H709" s="310"/>
      <c r="I709" s="310"/>
      <c r="J709" s="310"/>
      <c r="K709" s="310"/>
      <c r="L709" s="310"/>
      <c r="M709" s="310"/>
    </row>
    <row r="710" spans="2:13">
      <c r="B710" s="508"/>
      <c r="C710" s="310"/>
      <c r="D710" s="310"/>
      <c r="E710" s="310"/>
      <c r="F710" s="310"/>
      <c r="G710" s="310"/>
      <c r="H710" s="310"/>
      <c r="I710" s="310"/>
      <c r="J710" s="310"/>
      <c r="K710" s="310"/>
      <c r="L710" s="310"/>
      <c r="M710" s="310"/>
    </row>
    <row r="711" spans="2:13">
      <c r="B711" s="508"/>
      <c r="C711" s="310"/>
      <c r="D711" s="310"/>
      <c r="E711" s="310"/>
      <c r="F711" s="310"/>
      <c r="G711" s="310"/>
      <c r="H711" s="310"/>
      <c r="I711" s="310"/>
      <c r="J711" s="310"/>
      <c r="K711" s="310"/>
      <c r="L711" s="310"/>
      <c r="M711" s="310"/>
    </row>
    <row r="712" spans="2:13">
      <c r="B712" s="508"/>
      <c r="C712" s="310"/>
      <c r="D712" s="310"/>
      <c r="E712" s="310"/>
      <c r="F712" s="310"/>
      <c r="G712" s="310"/>
      <c r="H712" s="310"/>
      <c r="I712" s="310"/>
      <c r="J712" s="310"/>
      <c r="K712" s="310"/>
      <c r="L712" s="310"/>
      <c r="M712" s="310"/>
    </row>
    <row r="713" spans="2:13">
      <c r="B713" s="508"/>
      <c r="C713" s="310"/>
      <c r="D713" s="310"/>
      <c r="E713" s="310"/>
      <c r="F713" s="310"/>
      <c r="G713" s="310"/>
      <c r="H713" s="310"/>
      <c r="I713" s="310"/>
      <c r="J713" s="310"/>
      <c r="K713" s="310"/>
      <c r="L713" s="310"/>
      <c r="M713" s="310"/>
    </row>
    <row r="714" spans="2:13">
      <c r="B714" s="508"/>
      <c r="C714" s="310"/>
      <c r="D714" s="310"/>
      <c r="E714" s="310"/>
      <c r="F714" s="310"/>
      <c r="G714" s="310"/>
      <c r="H714" s="310"/>
      <c r="I714" s="310"/>
      <c r="J714" s="310"/>
      <c r="K714" s="310"/>
      <c r="L714" s="310"/>
      <c r="M714" s="310"/>
    </row>
    <row r="715" spans="2:13">
      <c r="B715" s="508"/>
      <c r="C715" s="310"/>
      <c r="D715" s="310"/>
      <c r="E715" s="310"/>
      <c r="F715" s="310"/>
      <c r="G715" s="310"/>
      <c r="H715" s="310"/>
      <c r="I715" s="310"/>
      <c r="J715" s="310"/>
      <c r="K715" s="310"/>
      <c r="L715" s="310"/>
      <c r="M715" s="310"/>
    </row>
    <row r="716" spans="2:13">
      <c r="B716" s="508"/>
      <c r="C716" s="310"/>
      <c r="D716" s="310"/>
      <c r="E716" s="310"/>
      <c r="F716" s="310"/>
      <c r="G716" s="310"/>
      <c r="H716" s="310"/>
      <c r="I716" s="310"/>
      <c r="J716" s="310"/>
      <c r="K716" s="310"/>
      <c r="L716" s="310"/>
      <c r="M716" s="310"/>
    </row>
    <row r="717" spans="2:13">
      <c r="B717" s="508"/>
      <c r="C717" s="310"/>
      <c r="D717" s="310"/>
      <c r="E717" s="310"/>
      <c r="F717" s="310"/>
      <c r="G717" s="310"/>
      <c r="H717" s="310"/>
      <c r="I717" s="310"/>
      <c r="J717" s="310"/>
      <c r="K717" s="310"/>
      <c r="L717" s="310"/>
      <c r="M717" s="310"/>
    </row>
    <row r="718" spans="2:13">
      <c r="B718" s="508"/>
      <c r="C718" s="310"/>
      <c r="D718" s="310"/>
      <c r="E718" s="310"/>
      <c r="F718" s="310"/>
      <c r="G718" s="310"/>
      <c r="H718" s="310"/>
      <c r="I718" s="310"/>
      <c r="J718" s="310"/>
      <c r="K718" s="310"/>
      <c r="L718" s="310"/>
      <c r="M718" s="310"/>
    </row>
    <row r="719" spans="2:13">
      <c r="B719" s="508"/>
      <c r="C719" s="310"/>
      <c r="D719" s="310"/>
      <c r="E719" s="310"/>
      <c r="F719" s="310"/>
      <c r="G719" s="310"/>
      <c r="H719" s="310"/>
      <c r="I719" s="310"/>
      <c r="J719" s="310"/>
      <c r="K719" s="310"/>
      <c r="L719" s="310"/>
      <c r="M719" s="310"/>
    </row>
    <row r="720" spans="2:13">
      <c r="B720" s="508"/>
      <c r="C720" s="310"/>
      <c r="D720" s="310"/>
      <c r="E720" s="310"/>
      <c r="F720" s="310"/>
      <c r="G720" s="310"/>
      <c r="H720" s="310"/>
      <c r="I720" s="310"/>
      <c r="J720" s="310"/>
      <c r="K720" s="310"/>
      <c r="L720" s="310"/>
      <c r="M720" s="310"/>
    </row>
    <row r="721" spans="2:13">
      <c r="B721" s="508"/>
      <c r="C721" s="310"/>
      <c r="D721" s="310"/>
      <c r="E721" s="310"/>
      <c r="F721" s="310"/>
      <c r="G721" s="310"/>
      <c r="H721" s="310"/>
      <c r="I721" s="310"/>
      <c r="J721" s="310"/>
      <c r="K721" s="310"/>
      <c r="L721" s="310"/>
      <c r="M721" s="310"/>
    </row>
    <row r="722" spans="2:13">
      <c r="B722" s="508"/>
      <c r="C722" s="310"/>
      <c r="D722" s="310"/>
      <c r="E722" s="310"/>
      <c r="F722" s="310"/>
      <c r="G722" s="310"/>
      <c r="H722" s="310"/>
      <c r="I722" s="310"/>
      <c r="J722" s="310"/>
      <c r="K722" s="310"/>
      <c r="L722" s="310"/>
      <c r="M722" s="310"/>
    </row>
    <row r="723" spans="2:13">
      <c r="B723" s="508"/>
      <c r="C723" s="310"/>
      <c r="D723" s="310"/>
      <c r="E723" s="310"/>
      <c r="F723" s="310"/>
      <c r="G723" s="310"/>
      <c r="H723" s="310"/>
      <c r="I723" s="310"/>
      <c r="J723" s="310"/>
      <c r="K723" s="310"/>
      <c r="L723" s="310"/>
      <c r="M723" s="310"/>
    </row>
    <row r="724" spans="2:13">
      <c r="B724" s="508"/>
      <c r="C724" s="310"/>
      <c r="D724" s="310"/>
      <c r="E724" s="310"/>
      <c r="F724" s="310"/>
      <c r="G724" s="310"/>
      <c r="H724" s="310"/>
      <c r="I724" s="310"/>
      <c r="J724" s="310"/>
      <c r="K724" s="310"/>
      <c r="L724" s="310"/>
      <c r="M724" s="310"/>
    </row>
    <row r="725" spans="2:13">
      <c r="B725" s="508"/>
      <c r="C725" s="310"/>
      <c r="D725" s="310"/>
      <c r="E725" s="310"/>
      <c r="F725" s="310"/>
      <c r="G725" s="310"/>
      <c r="H725" s="310"/>
      <c r="I725" s="310"/>
      <c r="J725" s="310"/>
      <c r="K725" s="310"/>
      <c r="L725" s="310"/>
      <c r="M725" s="310"/>
    </row>
    <row r="726" spans="2:13">
      <c r="B726" s="508"/>
      <c r="C726" s="310"/>
      <c r="D726" s="310"/>
      <c r="E726" s="310"/>
      <c r="F726" s="310"/>
      <c r="G726" s="310"/>
      <c r="H726" s="310"/>
      <c r="I726" s="310"/>
      <c r="J726" s="310"/>
      <c r="K726" s="310"/>
      <c r="L726" s="310"/>
      <c r="M726" s="310"/>
    </row>
    <row r="727" spans="2:13">
      <c r="B727" s="508"/>
      <c r="C727" s="310"/>
      <c r="D727" s="310"/>
      <c r="E727" s="310"/>
      <c r="F727" s="310"/>
      <c r="G727" s="310"/>
      <c r="H727" s="310"/>
      <c r="I727" s="310"/>
      <c r="J727" s="310"/>
      <c r="K727" s="310"/>
      <c r="L727" s="310"/>
      <c r="M727" s="310"/>
    </row>
    <row r="728" spans="2:13">
      <c r="B728" s="508"/>
      <c r="C728" s="310"/>
      <c r="D728" s="310"/>
      <c r="E728" s="310"/>
      <c r="F728" s="310"/>
      <c r="G728" s="310"/>
      <c r="H728" s="310"/>
      <c r="I728" s="310"/>
      <c r="J728" s="310"/>
      <c r="K728" s="310"/>
      <c r="L728" s="310"/>
      <c r="M728" s="310"/>
    </row>
    <row r="729" spans="2:13">
      <c r="B729" s="508"/>
      <c r="C729" s="310"/>
      <c r="D729" s="310"/>
      <c r="E729" s="310"/>
      <c r="F729" s="310"/>
      <c r="G729" s="310"/>
      <c r="H729" s="310"/>
      <c r="I729" s="310"/>
      <c r="J729" s="310"/>
      <c r="K729" s="310"/>
      <c r="L729" s="310"/>
      <c r="M729" s="310"/>
    </row>
    <row r="730" spans="2:13">
      <c r="B730" s="508"/>
      <c r="C730" s="310"/>
      <c r="D730" s="310"/>
      <c r="E730" s="310"/>
      <c r="F730" s="310"/>
      <c r="G730" s="310"/>
      <c r="H730" s="310"/>
      <c r="I730" s="310"/>
      <c r="J730" s="310"/>
      <c r="K730" s="310"/>
      <c r="L730" s="310"/>
      <c r="M730" s="310"/>
    </row>
    <row r="731" spans="2:13">
      <c r="B731" s="508"/>
      <c r="C731" s="310"/>
      <c r="D731" s="310"/>
      <c r="E731" s="310"/>
      <c r="F731" s="310"/>
      <c r="G731" s="310"/>
      <c r="H731" s="310"/>
      <c r="I731" s="310"/>
      <c r="J731" s="310"/>
      <c r="K731" s="310"/>
      <c r="L731" s="310"/>
      <c r="M731" s="310"/>
    </row>
    <row r="732" spans="2:13">
      <c r="B732" s="508"/>
      <c r="C732" s="310"/>
      <c r="D732" s="310"/>
      <c r="E732" s="310"/>
      <c r="F732" s="310"/>
      <c r="G732" s="310"/>
      <c r="H732" s="310"/>
      <c r="I732" s="310"/>
      <c r="J732" s="310"/>
      <c r="K732" s="310"/>
      <c r="L732" s="310"/>
      <c r="M732" s="310"/>
    </row>
    <row r="733" spans="2:13">
      <c r="B733" s="508"/>
      <c r="C733" s="310"/>
      <c r="D733" s="310"/>
      <c r="E733" s="310"/>
      <c r="F733" s="310"/>
      <c r="G733" s="310"/>
      <c r="H733" s="310"/>
      <c r="I733" s="310"/>
      <c r="J733" s="310"/>
      <c r="K733" s="310"/>
      <c r="L733" s="310"/>
      <c r="M733" s="310"/>
    </row>
    <row r="734" spans="2:13">
      <c r="B734" s="508"/>
      <c r="C734" s="310"/>
      <c r="D734" s="310"/>
      <c r="E734" s="310"/>
      <c r="F734" s="310"/>
      <c r="G734" s="310"/>
      <c r="H734" s="310"/>
      <c r="I734" s="310"/>
      <c r="J734" s="310"/>
      <c r="K734" s="310"/>
      <c r="L734" s="310"/>
      <c r="M734" s="310"/>
    </row>
    <row r="735" spans="2:13">
      <c r="B735" s="508"/>
      <c r="C735" s="310"/>
      <c r="D735" s="310"/>
      <c r="E735" s="310"/>
      <c r="F735" s="310"/>
      <c r="G735" s="310"/>
      <c r="H735" s="310"/>
      <c r="I735" s="310"/>
      <c r="J735" s="310"/>
      <c r="K735" s="310"/>
      <c r="L735" s="310"/>
      <c r="M735" s="310"/>
    </row>
    <row r="736" spans="2:13">
      <c r="B736" s="508"/>
      <c r="C736" s="310"/>
      <c r="D736" s="310"/>
      <c r="E736" s="310"/>
      <c r="F736" s="310"/>
      <c r="G736" s="310"/>
      <c r="H736" s="310"/>
      <c r="I736" s="310"/>
      <c r="J736" s="310"/>
      <c r="K736" s="310"/>
      <c r="L736" s="310"/>
      <c r="M736" s="310"/>
    </row>
    <row r="737" spans="2:13">
      <c r="B737" s="508"/>
      <c r="C737" s="310"/>
      <c r="D737" s="310"/>
      <c r="E737" s="310"/>
      <c r="F737" s="310"/>
      <c r="G737" s="310"/>
      <c r="H737" s="310"/>
      <c r="I737" s="310"/>
      <c r="J737" s="310"/>
      <c r="K737" s="310"/>
      <c r="L737" s="310"/>
      <c r="M737" s="310"/>
    </row>
    <row r="738" spans="2:13">
      <c r="B738" s="508"/>
      <c r="C738" s="310"/>
      <c r="D738" s="310"/>
      <c r="E738" s="310"/>
      <c r="F738" s="310"/>
      <c r="G738" s="310"/>
      <c r="H738" s="310"/>
      <c r="I738" s="310"/>
      <c r="J738" s="310"/>
      <c r="K738" s="310"/>
      <c r="L738" s="310"/>
      <c r="M738" s="310"/>
    </row>
    <row r="739" spans="2:13">
      <c r="B739" s="508"/>
      <c r="C739" s="310"/>
      <c r="D739" s="310"/>
      <c r="E739" s="310"/>
      <c r="F739" s="310"/>
      <c r="G739" s="310"/>
      <c r="H739" s="310"/>
      <c r="I739" s="310"/>
      <c r="J739" s="310"/>
      <c r="K739" s="310"/>
      <c r="L739" s="310"/>
      <c r="M739" s="310"/>
    </row>
    <row r="740" spans="2:13">
      <c r="B740" s="508"/>
      <c r="C740" s="310"/>
      <c r="D740" s="310"/>
      <c r="E740" s="310"/>
      <c r="F740" s="310"/>
      <c r="G740" s="310"/>
      <c r="H740" s="310"/>
      <c r="I740" s="310"/>
      <c r="J740" s="310"/>
      <c r="K740" s="310"/>
      <c r="L740" s="310"/>
      <c r="M740" s="310"/>
    </row>
    <row r="741" spans="2:13">
      <c r="B741" s="508"/>
      <c r="C741" s="310"/>
      <c r="D741" s="310"/>
      <c r="E741" s="310"/>
      <c r="F741" s="310"/>
      <c r="G741" s="310"/>
      <c r="H741" s="310"/>
      <c r="I741" s="310"/>
      <c r="J741" s="310"/>
      <c r="K741" s="310"/>
      <c r="L741" s="310"/>
      <c r="M741" s="310"/>
    </row>
    <row r="742" spans="2:13">
      <c r="B742" s="508"/>
      <c r="C742" s="310"/>
      <c r="D742" s="310"/>
      <c r="E742" s="310"/>
      <c r="F742" s="310"/>
      <c r="G742" s="310"/>
      <c r="H742" s="310"/>
      <c r="I742" s="310"/>
      <c r="J742" s="310"/>
      <c r="K742" s="310"/>
      <c r="L742" s="310"/>
      <c r="M742" s="310"/>
    </row>
    <row r="743" spans="2:13">
      <c r="B743" s="508"/>
      <c r="C743" s="310"/>
      <c r="D743" s="310"/>
      <c r="E743" s="310"/>
      <c r="F743" s="310"/>
      <c r="G743" s="310"/>
      <c r="H743" s="310"/>
      <c r="I743" s="310"/>
      <c r="J743" s="310"/>
      <c r="K743" s="310"/>
      <c r="L743" s="310"/>
      <c r="M743" s="310"/>
    </row>
    <row r="744" spans="2:13">
      <c r="B744" s="508"/>
      <c r="C744" s="310"/>
      <c r="D744" s="310"/>
      <c r="E744" s="310"/>
      <c r="F744" s="310"/>
      <c r="G744" s="310"/>
      <c r="H744" s="310"/>
      <c r="I744" s="310"/>
      <c r="J744" s="310"/>
      <c r="K744" s="310"/>
      <c r="L744" s="310"/>
      <c r="M744" s="310"/>
    </row>
    <row r="745" spans="2:13">
      <c r="B745" s="508"/>
      <c r="C745" s="310"/>
      <c r="D745" s="310"/>
      <c r="E745" s="310"/>
      <c r="F745" s="310"/>
      <c r="G745" s="310"/>
      <c r="H745" s="310"/>
      <c r="I745" s="310"/>
      <c r="J745" s="310"/>
      <c r="K745" s="310"/>
      <c r="L745" s="310"/>
      <c r="M745" s="310"/>
    </row>
    <row r="746" spans="2:13">
      <c r="B746" s="508"/>
      <c r="C746" s="310"/>
      <c r="D746" s="310"/>
      <c r="E746" s="310"/>
      <c r="F746" s="310"/>
      <c r="G746" s="310"/>
      <c r="H746" s="310"/>
      <c r="I746" s="310"/>
      <c r="J746" s="310"/>
      <c r="K746" s="310"/>
      <c r="L746" s="310"/>
      <c r="M746" s="310"/>
    </row>
    <row r="747" spans="2:13">
      <c r="B747" s="508"/>
      <c r="C747" s="310"/>
      <c r="D747" s="310"/>
      <c r="E747" s="310"/>
      <c r="F747" s="310"/>
      <c r="G747" s="310"/>
      <c r="H747" s="310"/>
      <c r="I747" s="310"/>
      <c r="J747" s="310"/>
      <c r="K747" s="310"/>
      <c r="L747" s="310"/>
      <c r="M747" s="310"/>
    </row>
    <row r="748" spans="2:13">
      <c r="B748" s="508"/>
      <c r="C748" s="310"/>
      <c r="D748" s="310"/>
      <c r="E748" s="310"/>
      <c r="F748" s="310"/>
      <c r="G748" s="310"/>
      <c r="H748" s="310"/>
      <c r="I748" s="310"/>
      <c r="J748" s="310"/>
      <c r="K748" s="310"/>
      <c r="L748" s="310"/>
      <c r="M748" s="310"/>
    </row>
    <row r="749" spans="2:13">
      <c r="B749" s="508"/>
      <c r="C749" s="310"/>
      <c r="D749" s="310"/>
      <c r="E749" s="310"/>
      <c r="F749" s="310"/>
      <c r="G749" s="310"/>
      <c r="H749" s="310"/>
      <c r="I749" s="310"/>
      <c r="J749" s="310"/>
      <c r="K749" s="310"/>
      <c r="L749" s="310"/>
      <c r="M749" s="310"/>
    </row>
    <row r="750" spans="2:13">
      <c r="B750" s="508"/>
      <c r="C750" s="310"/>
      <c r="D750" s="310"/>
      <c r="E750" s="310"/>
      <c r="F750" s="310"/>
      <c r="G750" s="310"/>
      <c r="H750" s="310"/>
      <c r="I750" s="310"/>
      <c r="J750" s="310"/>
      <c r="K750" s="310"/>
      <c r="L750" s="310"/>
      <c r="M750" s="310"/>
    </row>
    <row r="751" spans="2:13">
      <c r="B751" s="508"/>
      <c r="C751" s="310"/>
      <c r="D751" s="310"/>
      <c r="E751" s="310"/>
      <c r="F751" s="310"/>
      <c r="G751" s="310"/>
      <c r="H751" s="310"/>
      <c r="I751" s="310"/>
      <c r="J751" s="310"/>
      <c r="K751" s="310"/>
      <c r="L751" s="310"/>
      <c r="M751" s="310"/>
    </row>
    <row r="752" spans="2:13">
      <c r="B752" s="508"/>
      <c r="C752" s="310"/>
      <c r="D752" s="310"/>
      <c r="E752" s="310"/>
      <c r="F752" s="310"/>
      <c r="G752" s="310"/>
      <c r="H752" s="310"/>
      <c r="I752" s="310"/>
      <c r="J752" s="310"/>
      <c r="K752" s="310"/>
      <c r="L752" s="310"/>
      <c r="M752" s="310"/>
    </row>
    <row r="753" spans="2:13">
      <c r="B753" s="508"/>
      <c r="C753" s="310"/>
      <c r="D753" s="310"/>
      <c r="E753" s="310"/>
      <c r="F753" s="310"/>
      <c r="G753" s="310"/>
      <c r="H753" s="310"/>
      <c r="I753" s="310"/>
      <c r="J753" s="310"/>
      <c r="K753" s="310"/>
      <c r="L753" s="310"/>
      <c r="M753" s="310"/>
    </row>
    <row r="754" spans="2:13">
      <c r="B754" s="508"/>
      <c r="C754" s="310"/>
      <c r="D754" s="310"/>
      <c r="E754" s="310"/>
      <c r="F754" s="310"/>
      <c r="G754" s="310"/>
      <c r="H754" s="310"/>
      <c r="I754" s="310"/>
      <c r="J754" s="310"/>
      <c r="K754" s="310"/>
      <c r="L754" s="310"/>
      <c r="M754" s="310"/>
    </row>
    <row r="755" spans="2:13">
      <c r="B755" s="508"/>
      <c r="C755" s="310"/>
      <c r="D755" s="310"/>
      <c r="E755" s="310"/>
      <c r="F755" s="310"/>
      <c r="G755" s="310"/>
      <c r="H755" s="310"/>
      <c r="I755" s="310"/>
      <c r="J755" s="310"/>
      <c r="K755" s="310"/>
      <c r="L755" s="310"/>
      <c r="M755" s="310"/>
    </row>
    <row r="756" spans="2:13">
      <c r="B756" s="508"/>
      <c r="C756" s="310"/>
      <c r="D756" s="310"/>
      <c r="E756" s="310"/>
      <c r="F756" s="310"/>
      <c r="G756" s="310"/>
      <c r="H756" s="310"/>
      <c r="I756" s="310"/>
      <c r="J756" s="310"/>
      <c r="K756" s="310"/>
      <c r="L756" s="310"/>
      <c r="M756" s="310"/>
    </row>
    <row r="757" spans="2:13">
      <c r="B757" s="508"/>
      <c r="C757" s="310"/>
      <c r="D757" s="310"/>
      <c r="E757" s="310"/>
      <c r="F757" s="310"/>
      <c r="G757" s="310"/>
      <c r="H757" s="310"/>
      <c r="I757" s="310"/>
      <c r="J757" s="310"/>
      <c r="K757" s="310"/>
      <c r="L757" s="310"/>
      <c r="M757" s="310"/>
    </row>
    <row r="758" spans="2:13">
      <c r="B758" s="508"/>
      <c r="C758" s="310"/>
      <c r="D758" s="310"/>
      <c r="E758" s="310"/>
      <c r="F758" s="310"/>
      <c r="G758" s="310"/>
      <c r="H758" s="310"/>
      <c r="I758" s="310"/>
      <c r="J758" s="310"/>
      <c r="K758" s="310"/>
      <c r="L758" s="310"/>
      <c r="M758" s="310"/>
    </row>
    <row r="759" spans="2:13">
      <c r="B759" s="508"/>
      <c r="C759" s="310"/>
      <c r="D759" s="310"/>
      <c r="E759" s="310"/>
      <c r="F759" s="310"/>
      <c r="G759" s="310"/>
      <c r="H759" s="310"/>
      <c r="I759" s="310"/>
      <c r="J759" s="310"/>
      <c r="K759" s="310"/>
      <c r="L759" s="310"/>
      <c r="M759" s="310"/>
    </row>
    <row r="760" spans="2:13">
      <c r="B760" s="508"/>
      <c r="C760" s="310"/>
      <c r="D760" s="310"/>
      <c r="E760" s="310"/>
      <c r="F760" s="310"/>
      <c r="G760" s="310"/>
      <c r="H760" s="310"/>
      <c r="I760" s="310"/>
      <c r="J760" s="310"/>
      <c r="K760" s="310"/>
      <c r="L760" s="310"/>
      <c r="M760" s="310"/>
    </row>
    <row r="761" spans="2:13">
      <c r="B761" s="508"/>
      <c r="C761" s="310"/>
      <c r="D761" s="310"/>
      <c r="E761" s="310"/>
      <c r="F761" s="310"/>
      <c r="G761" s="310"/>
      <c r="H761" s="310"/>
      <c r="I761" s="310"/>
      <c r="J761" s="310"/>
      <c r="K761" s="310"/>
      <c r="L761" s="310"/>
      <c r="M761" s="310"/>
    </row>
    <row r="762" spans="2:13">
      <c r="B762" s="508"/>
      <c r="C762" s="310"/>
      <c r="D762" s="310"/>
      <c r="E762" s="310"/>
      <c r="F762" s="310"/>
      <c r="G762" s="310"/>
      <c r="H762" s="310"/>
      <c r="I762" s="310"/>
      <c r="J762" s="310"/>
      <c r="K762" s="310"/>
      <c r="L762" s="310"/>
      <c r="M762" s="310"/>
    </row>
    <row r="763" spans="2:13">
      <c r="B763" s="508"/>
      <c r="C763" s="310"/>
      <c r="D763" s="310"/>
      <c r="E763" s="310"/>
      <c r="F763" s="310"/>
      <c r="G763" s="310"/>
      <c r="H763" s="310"/>
      <c r="I763" s="310"/>
      <c r="J763" s="310"/>
      <c r="K763" s="310"/>
      <c r="L763" s="310"/>
      <c r="M763" s="310"/>
    </row>
    <row r="764" spans="2:13">
      <c r="B764" s="508"/>
      <c r="C764" s="310"/>
      <c r="D764" s="310"/>
      <c r="E764" s="310"/>
      <c r="F764" s="310"/>
      <c r="G764" s="310"/>
      <c r="H764" s="310"/>
      <c r="I764" s="310"/>
      <c r="J764" s="310"/>
      <c r="K764" s="310"/>
      <c r="L764" s="310"/>
      <c r="M764" s="310"/>
    </row>
    <row r="765" spans="2:13">
      <c r="B765" s="508"/>
      <c r="C765" s="310"/>
      <c r="D765" s="310"/>
      <c r="E765" s="310"/>
      <c r="F765" s="310"/>
      <c r="G765" s="310"/>
      <c r="H765" s="310"/>
      <c r="I765" s="310"/>
      <c r="J765" s="310"/>
      <c r="K765" s="310"/>
      <c r="L765" s="310"/>
      <c r="M765" s="310"/>
    </row>
    <row r="766" spans="2:13">
      <c r="B766" s="508"/>
      <c r="C766" s="310"/>
      <c r="D766" s="310"/>
      <c r="E766" s="310"/>
      <c r="F766" s="310"/>
      <c r="G766" s="310"/>
      <c r="H766" s="310"/>
      <c r="I766" s="310"/>
      <c r="J766" s="310"/>
      <c r="K766" s="310"/>
      <c r="L766" s="310"/>
      <c r="M766" s="310"/>
    </row>
    <row r="767" spans="2:13">
      <c r="B767" s="508"/>
      <c r="C767" s="310"/>
      <c r="D767" s="310"/>
      <c r="E767" s="310"/>
      <c r="F767" s="310"/>
      <c r="G767" s="310"/>
      <c r="H767" s="310"/>
      <c r="I767" s="310"/>
      <c r="J767" s="310"/>
      <c r="K767" s="310"/>
      <c r="L767" s="310"/>
      <c r="M767" s="310"/>
    </row>
    <row r="768" spans="2:13">
      <c r="B768" s="508"/>
      <c r="C768" s="310"/>
      <c r="D768" s="310"/>
      <c r="E768" s="310"/>
      <c r="F768" s="310"/>
      <c r="G768" s="310"/>
      <c r="H768" s="310"/>
      <c r="I768" s="310"/>
      <c r="J768" s="310"/>
      <c r="K768" s="310"/>
      <c r="L768" s="310"/>
      <c r="M768" s="310"/>
    </row>
    <row r="769" spans="2:13">
      <c r="B769" s="508"/>
      <c r="C769" s="310"/>
      <c r="D769" s="310"/>
      <c r="E769" s="310"/>
      <c r="F769" s="310"/>
      <c r="G769" s="310"/>
      <c r="H769" s="310"/>
      <c r="I769" s="310"/>
      <c r="J769" s="310"/>
      <c r="K769" s="310"/>
      <c r="L769" s="310"/>
      <c r="M769" s="310"/>
    </row>
    <row r="770" spans="2:13">
      <c r="B770" s="508"/>
      <c r="C770" s="310"/>
      <c r="D770" s="310"/>
      <c r="E770" s="310"/>
      <c r="F770" s="310"/>
      <c r="G770" s="310"/>
      <c r="H770" s="310"/>
      <c r="I770" s="310"/>
      <c r="J770" s="310"/>
      <c r="K770" s="310"/>
      <c r="L770" s="310"/>
      <c r="M770" s="310"/>
    </row>
    <row r="771" spans="2:13">
      <c r="B771" s="508"/>
      <c r="C771" s="310"/>
      <c r="D771" s="310"/>
      <c r="E771" s="310"/>
      <c r="F771" s="310"/>
      <c r="G771" s="310"/>
      <c r="H771" s="310"/>
      <c r="I771" s="310"/>
      <c r="J771" s="310"/>
      <c r="K771" s="310"/>
      <c r="L771" s="310"/>
      <c r="M771" s="310"/>
    </row>
    <row r="772" spans="2:13">
      <c r="B772" s="508"/>
      <c r="C772" s="310"/>
      <c r="D772" s="310"/>
      <c r="E772" s="310"/>
      <c r="F772" s="310"/>
      <c r="G772" s="310"/>
      <c r="H772" s="310"/>
      <c r="I772" s="310"/>
      <c r="J772" s="310"/>
      <c r="K772" s="310"/>
      <c r="L772" s="310"/>
      <c r="M772" s="310"/>
    </row>
    <row r="773" spans="2:13">
      <c r="B773" s="508"/>
      <c r="C773" s="310"/>
      <c r="D773" s="310"/>
      <c r="E773" s="310"/>
      <c r="F773" s="310"/>
      <c r="G773" s="310"/>
      <c r="H773" s="310"/>
      <c r="I773" s="310"/>
      <c r="J773" s="310"/>
      <c r="K773" s="310"/>
      <c r="L773" s="310"/>
      <c r="M773" s="310"/>
    </row>
    <row r="774" spans="2:13">
      <c r="B774" s="508"/>
      <c r="C774" s="310"/>
      <c r="D774" s="310"/>
      <c r="E774" s="310"/>
      <c r="F774" s="310"/>
      <c r="G774" s="310"/>
      <c r="H774" s="310"/>
      <c r="I774" s="310"/>
      <c r="J774" s="310"/>
      <c r="K774" s="310"/>
      <c r="L774" s="310"/>
      <c r="M774" s="310"/>
    </row>
    <row r="775" spans="2:13">
      <c r="B775" s="508"/>
      <c r="C775" s="310"/>
      <c r="D775" s="310"/>
      <c r="E775" s="310"/>
      <c r="F775" s="310"/>
      <c r="G775" s="310"/>
      <c r="H775" s="310"/>
      <c r="I775" s="310"/>
      <c r="J775" s="310"/>
      <c r="K775" s="310"/>
      <c r="L775" s="310"/>
      <c r="M775" s="310"/>
    </row>
    <row r="776" spans="2:13">
      <c r="B776" s="508"/>
      <c r="C776" s="310"/>
      <c r="D776" s="310"/>
      <c r="E776" s="310"/>
      <c r="F776" s="310"/>
      <c r="G776" s="310"/>
      <c r="H776" s="310"/>
      <c r="I776" s="310"/>
      <c r="J776" s="310"/>
      <c r="K776" s="310"/>
      <c r="L776" s="310"/>
      <c r="M776" s="310"/>
    </row>
    <row r="777" spans="2:13">
      <c r="B777" s="508"/>
      <c r="C777" s="310"/>
      <c r="D777" s="310"/>
      <c r="E777" s="310"/>
      <c r="F777" s="310"/>
      <c r="G777" s="310"/>
      <c r="H777" s="310"/>
      <c r="I777" s="310"/>
      <c r="J777" s="310"/>
      <c r="K777" s="310"/>
      <c r="L777" s="310"/>
      <c r="M777" s="310"/>
    </row>
    <row r="778" spans="2:13">
      <c r="B778" s="508"/>
      <c r="C778" s="310"/>
      <c r="D778" s="310"/>
      <c r="E778" s="310"/>
      <c r="F778" s="310"/>
      <c r="G778" s="310"/>
      <c r="H778" s="310"/>
      <c r="I778" s="310"/>
      <c r="J778" s="310"/>
      <c r="K778" s="310"/>
      <c r="L778" s="310"/>
      <c r="M778" s="310"/>
    </row>
    <row r="779" spans="2:13">
      <c r="B779" s="508"/>
      <c r="C779" s="310"/>
      <c r="D779" s="310"/>
      <c r="E779" s="310"/>
      <c r="F779" s="310"/>
      <c r="G779" s="310"/>
      <c r="H779" s="310"/>
      <c r="I779" s="310"/>
      <c r="J779" s="310"/>
      <c r="K779" s="310"/>
      <c r="L779" s="310"/>
      <c r="M779" s="310"/>
    </row>
    <row r="780" spans="2:13">
      <c r="B780" s="508"/>
      <c r="C780" s="310"/>
      <c r="D780" s="310"/>
      <c r="E780" s="310"/>
      <c r="F780" s="310"/>
      <c r="G780" s="310"/>
      <c r="H780" s="310"/>
      <c r="I780" s="310"/>
      <c r="J780" s="310"/>
      <c r="K780" s="310"/>
      <c r="L780" s="310"/>
      <c r="M780" s="310"/>
    </row>
    <row r="781" spans="2:13">
      <c r="B781" s="508"/>
      <c r="C781" s="310"/>
      <c r="D781" s="310"/>
      <c r="E781" s="310"/>
      <c r="F781" s="310"/>
      <c r="G781" s="310"/>
      <c r="H781" s="310"/>
      <c r="I781" s="310"/>
      <c r="J781" s="310"/>
      <c r="K781" s="310"/>
      <c r="L781" s="310"/>
      <c r="M781" s="310"/>
    </row>
    <row r="782" spans="2:13">
      <c r="B782" s="508"/>
      <c r="C782" s="310"/>
      <c r="D782" s="310"/>
      <c r="E782" s="310"/>
      <c r="F782" s="310"/>
      <c r="G782" s="310"/>
      <c r="H782" s="310"/>
      <c r="I782" s="310"/>
      <c r="J782" s="310"/>
      <c r="K782" s="310"/>
      <c r="L782" s="310"/>
      <c r="M782" s="310"/>
    </row>
    <row r="783" spans="2:13">
      <c r="B783" s="508"/>
      <c r="C783" s="310"/>
      <c r="D783" s="310"/>
      <c r="E783" s="310"/>
      <c r="F783" s="310"/>
      <c r="G783" s="310"/>
      <c r="H783" s="310"/>
      <c r="I783" s="310"/>
      <c r="J783" s="310"/>
      <c r="K783" s="310"/>
      <c r="L783" s="310"/>
      <c r="M783" s="310"/>
    </row>
    <row r="784" spans="2:13">
      <c r="B784" s="508"/>
      <c r="C784" s="310"/>
      <c r="D784" s="310"/>
      <c r="E784" s="310"/>
      <c r="F784" s="310"/>
      <c r="G784" s="310"/>
      <c r="H784" s="310"/>
      <c r="I784" s="310"/>
      <c r="J784" s="310"/>
      <c r="K784" s="310"/>
      <c r="L784" s="310"/>
      <c r="M784" s="310"/>
    </row>
    <row r="785" spans="2:13">
      <c r="B785" s="508"/>
      <c r="C785" s="310"/>
      <c r="D785" s="310"/>
      <c r="E785" s="310"/>
      <c r="F785" s="310"/>
      <c r="G785" s="310"/>
      <c r="H785" s="310"/>
      <c r="I785" s="310"/>
      <c r="J785" s="310"/>
      <c r="K785" s="310"/>
      <c r="L785" s="310"/>
      <c r="M785" s="310"/>
    </row>
    <row r="786" spans="2:13">
      <c r="B786" s="508"/>
      <c r="C786" s="310"/>
      <c r="D786" s="310"/>
      <c r="E786" s="310"/>
      <c r="F786" s="310"/>
      <c r="G786" s="310"/>
      <c r="H786" s="310"/>
      <c r="I786" s="310"/>
      <c r="J786" s="310"/>
      <c r="K786" s="310"/>
      <c r="L786" s="310"/>
      <c r="M786" s="310"/>
    </row>
    <row r="787" spans="2:13">
      <c r="B787" s="508"/>
      <c r="C787" s="310"/>
      <c r="D787" s="310"/>
      <c r="E787" s="310"/>
      <c r="F787" s="310"/>
      <c r="G787" s="310"/>
      <c r="H787" s="310"/>
      <c r="I787" s="310"/>
      <c r="J787" s="310"/>
      <c r="K787" s="310"/>
      <c r="L787" s="310"/>
      <c r="M787" s="310"/>
    </row>
    <row r="788" spans="2:13">
      <c r="B788" s="508"/>
      <c r="C788" s="310"/>
      <c r="D788" s="310"/>
      <c r="E788" s="310"/>
      <c r="F788" s="310"/>
      <c r="G788" s="310"/>
      <c r="H788" s="310"/>
      <c r="I788" s="310"/>
      <c r="J788" s="310"/>
      <c r="K788" s="310"/>
      <c r="L788" s="310"/>
      <c r="M788" s="310"/>
    </row>
    <row r="789" spans="2:13">
      <c r="B789" s="508"/>
      <c r="C789" s="310"/>
      <c r="D789" s="310"/>
      <c r="E789" s="310"/>
      <c r="F789" s="310"/>
      <c r="G789" s="310"/>
      <c r="H789" s="310"/>
      <c r="I789" s="310"/>
      <c r="J789" s="310"/>
      <c r="K789" s="310"/>
      <c r="L789" s="310"/>
      <c r="M789" s="310"/>
    </row>
    <row r="790" spans="2:13">
      <c r="B790" s="508"/>
      <c r="C790" s="310"/>
      <c r="D790" s="310"/>
      <c r="E790" s="310"/>
      <c r="F790" s="310"/>
      <c r="G790" s="310"/>
      <c r="H790" s="310"/>
      <c r="I790" s="310"/>
      <c r="J790" s="310"/>
      <c r="K790" s="310"/>
      <c r="L790" s="310"/>
      <c r="M790" s="310"/>
    </row>
    <row r="791" spans="2:13">
      <c r="B791" s="508"/>
      <c r="C791" s="310"/>
      <c r="D791" s="310"/>
      <c r="E791" s="310"/>
      <c r="F791" s="310"/>
      <c r="G791" s="310"/>
      <c r="H791" s="310"/>
      <c r="I791" s="310"/>
      <c r="J791" s="310"/>
      <c r="K791" s="310"/>
      <c r="L791" s="310"/>
      <c r="M791" s="310"/>
    </row>
    <row r="792" spans="2:13">
      <c r="B792" s="508"/>
      <c r="C792" s="310"/>
      <c r="D792" s="310"/>
      <c r="E792" s="310"/>
      <c r="F792" s="310"/>
      <c r="G792" s="310"/>
      <c r="H792" s="310"/>
      <c r="I792" s="310"/>
      <c r="J792" s="310"/>
      <c r="K792" s="310"/>
      <c r="L792" s="310"/>
      <c r="M792" s="310"/>
    </row>
    <row r="793" spans="2:13">
      <c r="B793" s="508"/>
      <c r="C793" s="310"/>
      <c r="D793" s="310"/>
      <c r="E793" s="310"/>
      <c r="F793" s="310"/>
      <c r="G793" s="310"/>
      <c r="H793" s="310"/>
      <c r="I793" s="310"/>
      <c r="J793" s="310"/>
      <c r="K793" s="310"/>
      <c r="L793" s="310"/>
      <c r="M793" s="310"/>
    </row>
    <row r="794" spans="2:13">
      <c r="B794" s="508"/>
      <c r="C794" s="310"/>
      <c r="D794" s="310"/>
      <c r="E794" s="310"/>
      <c r="F794" s="310"/>
      <c r="G794" s="310"/>
      <c r="H794" s="310"/>
      <c r="I794" s="310"/>
      <c r="J794" s="310"/>
      <c r="K794" s="310"/>
      <c r="L794" s="310"/>
      <c r="M794" s="310"/>
    </row>
    <row r="795" spans="2:13">
      <c r="B795" s="508"/>
      <c r="C795" s="310"/>
      <c r="D795" s="310"/>
      <c r="E795" s="310"/>
      <c r="F795" s="310"/>
      <c r="G795" s="310"/>
      <c r="H795" s="310"/>
      <c r="I795" s="310"/>
      <c r="J795" s="310"/>
      <c r="K795" s="310"/>
      <c r="L795" s="310"/>
      <c r="M795" s="310"/>
    </row>
    <row r="796" spans="2:13">
      <c r="B796" s="508"/>
      <c r="C796" s="310"/>
      <c r="D796" s="310"/>
      <c r="E796" s="310"/>
      <c r="F796" s="310"/>
      <c r="G796" s="310"/>
      <c r="H796" s="310"/>
      <c r="I796" s="310"/>
      <c r="J796" s="310"/>
      <c r="K796" s="310"/>
      <c r="L796" s="310"/>
      <c r="M796" s="310"/>
    </row>
    <row r="797" spans="2:13">
      <c r="B797" s="508"/>
      <c r="C797" s="310"/>
      <c r="D797" s="310"/>
      <c r="E797" s="310"/>
      <c r="F797" s="310"/>
      <c r="G797" s="310"/>
      <c r="H797" s="310"/>
      <c r="I797" s="310"/>
      <c r="J797" s="310"/>
      <c r="K797" s="310"/>
      <c r="L797" s="310"/>
      <c r="M797" s="310"/>
    </row>
    <row r="798" spans="2:13">
      <c r="B798" s="508"/>
      <c r="C798" s="310"/>
      <c r="D798" s="310"/>
      <c r="E798" s="310"/>
      <c r="F798" s="310"/>
      <c r="G798" s="310"/>
      <c r="H798" s="310"/>
      <c r="I798" s="310"/>
      <c r="J798" s="310"/>
      <c r="K798" s="310"/>
      <c r="L798" s="310"/>
      <c r="M798" s="310"/>
    </row>
    <row r="799" spans="2:13">
      <c r="B799" s="508"/>
      <c r="C799" s="310"/>
      <c r="D799" s="310"/>
      <c r="E799" s="310"/>
      <c r="F799" s="310"/>
      <c r="G799" s="310"/>
      <c r="H799" s="310"/>
      <c r="I799" s="310"/>
      <c r="J799" s="310"/>
      <c r="K799" s="310"/>
      <c r="L799" s="310"/>
      <c r="M799" s="310"/>
    </row>
    <row r="800" spans="2:13">
      <c r="B800" s="508"/>
      <c r="C800" s="310"/>
      <c r="D800" s="310"/>
      <c r="E800" s="310"/>
      <c r="F800" s="310"/>
      <c r="G800" s="310"/>
      <c r="H800" s="310"/>
      <c r="I800" s="310"/>
      <c r="J800" s="310"/>
      <c r="K800" s="310"/>
      <c r="L800" s="310"/>
      <c r="M800" s="310"/>
    </row>
    <row r="801" spans="2:13">
      <c r="B801" s="508"/>
      <c r="C801" s="310"/>
      <c r="D801" s="310"/>
      <c r="E801" s="310"/>
      <c r="F801" s="310"/>
      <c r="G801" s="310"/>
      <c r="H801" s="310"/>
      <c r="I801" s="310"/>
      <c r="J801" s="310"/>
      <c r="K801" s="310"/>
      <c r="L801" s="310"/>
      <c r="M801" s="310"/>
    </row>
    <row r="802" spans="2:13">
      <c r="B802" s="508"/>
      <c r="C802" s="310"/>
      <c r="D802" s="310"/>
      <c r="E802" s="310"/>
      <c r="F802" s="310"/>
      <c r="G802" s="310"/>
      <c r="H802" s="310"/>
      <c r="I802" s="310"/>
      <c r="J802" s="310"/>
      <c r="K802" s="310"/>
      <c r="L802" s="310"/>
      <c r="M802" s="310"/>
    </row>
    <row r="803" spans="2:13">
      <c r="B803" s="508"/>
      <c r="C803" s="310"/>
      <c r="D803" s="310"/>
      <c r="E803" s="310"/>
      <c r="F803" s="310"/>
      <c r="G803" s="310"/>
      <c r="H803" s="310"/>
      <c r="I803" s="310"/>
      <c r="J803" s="310"/>
      <c r="K803" s="310"/>
      <c r="L803" s="310"/>
      <c r="M803" s="310"/>
    </row>
    <row r="804" spans="2:13">
      <c r="B804" s="508"/>
      <c r="C804" s="310"/>
      <c r="D804" s="310"/>
      <c r="E804" s="310"/>
      <c r="F804" s="310"/>
      <c r="G804" s="310"/>
      <c r="H804" s="310"/>
      <c r="I804" s="310"/>
      <c r="J804" s="310"/>
      <c r="K804" s="310"/>
      <c r="L804" s="310"/>
      <c r="M804" s="310"/>
    </row>
    <row r="805" spans="2:13">
      <c r="B805" s="508"/>
      <c r="C805" s="310"/>
      <c r="D805" s="310"/>
      <c r="E805" s="310"/>
      <c r="F805" s="310"/>
      <c r="G805" s="310"/>
      <c r="H805" s="310"/>
      <c r="I805" s="310"/>
      <c r="J805" s="310"/>
      <c r="K805" s="310"/>
      <c r="L805" s="310"/>
      <c r="M805" s="310"/>
    </row>
    <row r="806" spans="2:13">
      <c r="B806" s="508"/>
      <c r="C806" s="310"/>
      <c r="D806" s="310"/>
      <c r="E806" s="310"/>
      <c r="F806" s="310"/>
      <c r="G806" s="310"/>
      <c r="H806" s="310"/>
      <c r="I806" s="310"/>
      <c r="J806" s="310"/>
      <c r="K806" s="310"/>
      <c r="L806" s="310"/>
      <c r="M806" s="310"/>
    </row>
    <row r="807" spans="2:13">
      <c r="B807" s="508"/>
      <c r="C807" s="310"/>
      <c r="D807" s="310"/>
      <c r="E807" s="310"/>
      <c r="F807" s="310"/>
      <c r="G807" s="310"/>
      <c r="H807" s="310"/>
      <c r="I807" s="310"/>
      <c r="J807" s="310"/>
      <c r="K807" s="310"/>
      <c r="L807" s="310"/>
      <c r="M807" s="310"/>
    </row>
    <row r="808" spans="2:13">
      <c r="B808" s="508"/>
      <c r="C808" s="310"/>
      <c r="D808" s="310"/>
      <c r="E808" s="310"/>
      <c r="F808" s="310"/>
      <c r="G808" s="310"/>
      <c r="H808" s="310"/>
      <c r="I808" s="310"/>
      <c r="J808" s="310"/>
      <c r="K808" s="310"/>
      <c r="L808" s="310"/>
      <c r="M808" s="310"/>
    </row>
    <row r="809" spans="2:13">
      <c r="B809" s="508"/>
      <c r="C809" s="310"/>
      <c r="D809" s="310"/>
      <c r="E809" s="310"/>
      <c r="F809" s="310"/>
      <c r="G809" s="310"/>
      <c r="H809" s="310"/>
      <c r="I809" s="310"/>
      <c r="J809" s="310"/>
      <c r="K809" s="310"/>
      <c r="L809" s="310"/>
      <c r="M809" s="310"/>
    </row>
    <row r="810" spans="2:13">
      <c r="B810" s="508"/>
      <c r="C810" s="310"/>
      <c r="D810" s="310"/>
      <c r="E810" s="310"/>
      <c r="F810" s="310"/>
      <c r="G810" s="310"/>
      <c r="H810" s="310"/>
      <c r="I810" s="310"/>
      <c r="J810" s="310"/>
      <c r="K810" s="310"/>
      <c r="L810" s="310"/>
      <c r="M810" s="310"/>
    </row>
    <row r="811" spans="2:13">
      <c r="B811" s="508"/>
      <c r="C811" s="310"/>
      <c r="D811" s="310"/>
      <c r="E811" s="310"/>
      <c r="F811" s="310"/>
      <c r="G811" s="310"/>
      <c r="H811" s="310"/>
      <c r="I811" s="310"/>
      <c r="J811" s="310"/>
      <c r="K811" s="310"/>
      <c r="L811" s="310"/>
      <c r="M811" s="310"/>
    </row>
    <row r="812" spans="2:13">
      <c r="B812" s="508"/>
      <c r="C812" s="310"/>
      <c r="D812" s="310"/>
      <c r="E812" s="310"/>
      <c r="F812" s="310"/>
      <c r="G812" s="310"/>
      <c r="H812" s="310"/>
      <c r="I812" s="310"/>
      <c r="J812" s="310"/>
      <c r="K812" s="310"/>
      <c r="L812" s="310"/>
      <c r="M812" s="310"/>
    </row>
    <row r="813" spans="2:13">
      <c r="B813" s="508"/>
      <c r="C813" s="310"/>
      <c r="D813" s="310"/>
      <c r="E813" s="310"/>
      <c r="F813" s="310"/>
      <c r="G813" s="310"/>
      <c r="H813" s="310"/>
      <c r="I813" s="310"/>
      <c r="J813" s="310"/>
      <c r="K813" s="310"/>
      <c r="L813" s="310"/>
      <c r="M813" s="310"/>
    </row>
    <row r="814" spans="2:13">
      <c r="B814" s="508"/>
      <c r="C814" s="310"/>
      <c r="D814" s="310"/>
      <c r="E814" s="310"/>
      <c r="F814" s="310"/>
      <c r="G814" s="310"/>
      <c r="H814" s="310"/>
      <c r="I814" s="310"/>
      <c r="J814" s="310"/>
      <c r="K814" s="310"/>
      <c r="L814" s="310"/>
      <c r="M814" s="310"/>
    </row>
    <row r="815" spans="2:13">
      <c r="B815" s="508"/>
      <c r="C815" s="310"/>
      <c r="D815" s="310"/>
      <c r="E815" s="310"/>
      <c r="F815" s="310"/>
      <c r="G815" s="310"/>
      <c r="H815" s="310"/>
      <c r="I815" s="310"/>
      <c r="J815" s="310"/>
      <c r="K815" s="310"/>
      <c r="L815" s="310"/>
      <c r="M815" s="310"/>
    </row>
    <row r="816" spans="2:13">
      <c r="B816" s="508"/>
      <c r="C816" s="310"/>
      <c r="D816" s="310"/>
      <c r="E816" s="310"/>
      <c r="F816" s="310"/>
      <c r="G816" s="310"/>
      <c r="H816" s="310"/>
      <c r="I816" s="310"/>
      <c r="J816" s="310"/>
      <c r="K816" s="310"/>
      <c r="L816" s="310"/>
      <c r="M816" s="310"/>
    </row>
    <row r="817" spans="2:13">
      <c r="B817" s="508"/>
      <c r="C817" s="310"/>
      <c r="D817" s="310"/>
      <c r="E817" s="310"/>
      <c r="F817" s="310"/>
      <c r="G817" s="310"/>
      <c r="H817" s="310"/>
      <c r="I817" s="310"/>
      <c r="J817" s="310"/>
      <c r="K817" s="310"/>
      <c r="L817" s="310"/>
      <c r="M817" s="310"/>
    </row>
    <row r="818" spans="2:13">
      <c r="B818" s="508"/>
      <c r="C818" s="310"/>
      <c r="D818" s="310"/>
      <c r="E818" s="310"/>
      <c r="F818" s="310"/>
      <c r="G818" s="310"/>
      <c r="H818" s="310"/>
      <c r="I818" s="310"/>
      <c r="J818" s="310"/>
      <c r="K818" s="310"/>
      <c r="L818" s="310"/>
      <c r="M818" s="310"/>
    </row>
    <row r="819" spans="2:13">
      <c r="B819" s="508"/>
      <c r="C819" s="310"/>
      <c r="D819" s="310"/>
      <c r="E819" s="310"/>
      <c r="F819" s="310"/>
      <c r="G819" s="310"/>
      <c r="H819" s="310"/>
      <c r="I819" s="310"/>
      <c r="J819" s="310"/>
      <c r="K819" s="310"/>
      <c r="L819" s="310"/>
      <c r="M819" s="310"/>
    </row>
    <row r="820" spans="2:13">
      <c r="B820" s="508"/>
      <c r="C820" s="310"/>
      <c r="D820" s="310"/>
      <c r="E820" s="310"/>
      <c r="F820" s="310"/>
      <c r="G820" s="310"/>
      <c r="H820" s="310"/>
      <c r="I820" s="310"/>
      <c r="J820" s="310"/>
      <c r="K820" s="310"/>
      <c r="L820" s="310"/>
      <c r="M820" s="310"/>
    </row>
    <row r="821" spans="2:13">
      <c r="B821" s="508"/>
      <c r="C821" s="310"/>
      <c r="D821" s="310"/>
      <c r="E821" s="310"/>
      <c r="F821" s="310"/>
      <c r="G821" s="310"/>
      <c r="H821" s="310"/>
      <c r="I821" s="310"/>
      <c r="J821" s="310"/>
      <c r="K821" s="310"/>
      <c r="L821" s="310"/>
      <c r="M821" s="310"/>
    </row>
    <row r="822" spans="2:13">
      <c r="B822" s="508"/>
      <c r="C822" s="310"/>
      <c r="D822" s="310"/>
      <c r="E822" s="310"/>
      <c r="F822" s="310"/>
      <c r="G822" s="310"/>
      <c r="H822" s="310"/>
      <c r="I822" s="310"/>
      <c r="J822" s="310"/>
      <c r="K822" s="310"/>
      <c r="L822" s="310"/>
      <c r="M822" s="310"/>
    </row>
    <row r="823" spans="2:13">
      <c r="B823" s="508"/>
      <c r="C823" s="310"/>
      <c r="D823" s="310"/>
      <c r="E823" s="310"/>
      <c r="F823" s="310"/>
      <c r="G823" s="310"/>
      <c r="H823" s="310"/>
      <c r="I823" s="310"/>
      <c r="J823" s="310"/>
      <c r="K823" s="310"/>
      <c r="L823" s="310"/>
      <c r="M823" s="310"/>
    </row>
    <row r="824" spans="2:13">
      <c r="B824" s="508"/>
      <c r="C824" s="310"/>
      <c r="D824" s="310"/>
      <c r="E824" s="310"/>
      <c r="F824" s="310"/>
      <c r="G824" s="310"/>
      <c r="H824" s="310"/>
      <c r="I824" s="310"/>
      <c r="J824" s="310"/>
      <c r="K824" s="310"/>
      <c r="L824" s="310"/>
      <c r="M824" s="310"/>
    </row>
    <row r="825" spans="2:13">
      <c r="B825" s="508"/>
      <c r="C825" s="310"/>
      <c r="D825" s="310"/>
      <c r="E825" s="310"/>
      <c r="F825" s="310"/>
      <c r="G825" s="310"/>
      <c r="H825" s="310"/>
      <c r="I825" s="310"/>
      <c r="J825" s="310"/>
      <c r="K825" s="310"/>
      <c r="L825" s="310"/>
      <c r="M825" s="310"/>
    </row>
    <row r="826" spans="2:13">
      <c r="B826" s="508"/>
      <c r="C826" s="310"/>
      <c r="D826" s="310"/>
      <c r="E826" s="310"/>
      <c r="F826" s="310"/>
      <c r="G826" s="310"/>
      <c r="H826" s="310"/>
      <c r="I826" s="310"/>
      <c r="J826" s="310"/>
      <c r="K826" s="310"/>
      <c r="L826" s="310"/>
      <c r="M826" s="310"/>
    </row>
    <row r="827" spans="2:13">
      <c r="B827" s="508"/>
      <c r="C827" s="310"/>
      <c r="D827" s="310"/>
      <c r="E827" s="310"/>
      <c r="F827" s="310"/>
      <c r="G827" s="310"/>
      <c r="H827" s="310"/>
      <c r="I827" s="310"/>
      <c r="J827" s="310"/>
      <c r="K827" s="310"/>
      <c r="L827" s="310"/>
      <c r="M827" s="310"/>
    </row>
    <row r="828" spans="2:13">
      <c r="B828" s="508"/>
      <c r="C828" s="310"/>
      <c r="D828" s="310"/>
      <c r="E828" s="310"/>
      <c r="F828" s="310"/>
      <c r="G828" s="310"/>
      <c r="H828" s="310"/>
      <c r="I828" s="310"/>
      <c r="J828" s="310"/>
      <c r="K828" s="310"/>
      <c r="L828" s="310"/>
      <c r="M828" s="310"/>
    </row>
    <row r="829" spans="2:13">
      <c r="B829" s="508"/>
      <c r="C829" s="310"/>
      <c r="D829" s="310"/>
      <c r="E829" s="310"/>
      <c r="F829" s="310"/>
      <c r="G829" s="310"/>
      <c r="H829" s="310"/>
      <c r="I829" s="310"/>
      <c r="J829" s="310"/>
      <c r="K829" s="310"/>
      <c r="L829" s="310"/>
      <c r="M829" s="310"/>
    </row>
    <row r="830" spans="2:13">
      <c r="B830" s="508"/>
      <c r="C830" s="310"/>
      <c r="D830" s="310"/>
      <c r="E830" s="310"/>
      <c r="F830" s="310"/>
      <c r="G830" s="310"/>
      <c r="H830" s="310"/>
      <c r="I830" s="310"/>
      <c r="J830" s="310"/>
      <c r="K830" s="310"/>
      <c r="L830" s="310"/>
      <c r="M830" s="310"/>
    </row>
    <row r="831" spans="2:13">
      <c r="B831" s="508"/>
      <c r="C831" s="310"/>
      <c r="D831" s="310"/>
      <c r="E831" s="310"/>
      <c r="F831" s="310"/>
      <c r="G831" s="310"/>
      <c r="H831" s="310"/>
      <c r="I831" s="310"/>
      <c r="J831" s="310"/>
      <c r="K831" s="310"/>
      <c r="L831" s="310"/>
      <c r="M831" s="310"/>
    </row>
    <row r="832" spans="2:13">
      <c r="B832" s="508"/>
      <c r="C832" s="310"/>
      <c r="D832" s="310"/>
      <c r="E832" s="310"/>
      <c r="F832" s="310"/>
      <c r="G832" s="310"/>
      <c r="H832" s="310"/>
      <c r="I832" s="310"/>
      <c r="J832" s="310"/>
      <c r="K832" s="310"/>
      <c r="L832" s="310"/>
      <c r="M832" s="310"/>
    </row>
    <row r="833" spans="2:13">
      <c r="B833" s="508"/>
      <c r="C833" s="310"/>
      <c r="D833" s="310"/>
      <c r="E833" s="310"/>
      <c r="F833" s="310"/>
      <c r="G833" s="310"/>
      <c r="H833" s="310"/>
      <c r="I833" s="310"/>
      <c r="J833" s="310"/>
      <c r="K833" s="310"/>
      <c r="L833" s="310"/>
      <c r="M833" s="310"/>
    </row>
    <row r="834" spans="2:13">
      <c r="B834" s="508"/>
      <c r="C834" s="310"/>
      <c r="D834" s="310"/>
      <c r="E834" s="310"/>
      <c r="F834" s="310"/>
      <c r="G834" s="310"/>
      <c r="H834" s="310"/>
      <c r="I834" s="310"/>
      <c r="J834" s="310"/>
      <c r="K834" s="310"/>
      <c r="L834" s="310"/>
      <c r="M834" s="310"/>
    </row>
    <row r="835" spans="2:13">
      <c r="B835" s="508"/>
      <c r="C835" s="310"/>
      <c r="D835" s="310"/>
      <c r="E835" s="310"/>
      <c r="F835" s="310"/>
      <c r="G835" s="310"/>
      <c r="H835" s="310"/>
      <c r="I835" s="310"/>
      <c r="J835" s="310"/>
      <c r="K835" s="310"/>
      <c r="L835" s="310"/>
      <c r="M835" s="310"/>
    </row>
    <row r="836" spans="2:13">
      <c r="B836" s="508"/>
      <c r="C836" s="310"/>
      <c r="D836" s="310"/>
      <c r="E836" s="310"/>
      <c r="F836" s="310"/>
      <c r="G836" s="310"/>
      <c r="H836" s="310"/>
      <c r="I836" s="310"/>
      <c r="J836" s="310"/>
      <c r="K836" s="310"/>
      <c r="L836" s="310"/>
      <c r="M836" s="310"/>
    </row>
    <row r="837" spans="2:13">
      <c r="B837" s="508"/>
      <c r="C837" s="310"/>
      <c r="D837" s="310"/>
      <c r="E837" s="310"/>
      <c r="F837" s="310"/>
      <c r="G837" s="310"/>
      <c r="H837" s="310"/>
      <c r="I837" s="310"/>
      <c r="J837" s="310"/>
      <c r="K837" s="310"/>
      <c r="L837" s="310"/>
      <c r="M837" s="310"/>
    </row>
    <row r="838" spans="2:13">
      <c r="B838" s="508"/>
      <c r="C838" s="310"/>
      <c r="D838" s="310"/>
      <c r="E838" s="310"/>
      <c r="F838" s="310"/>
      <c r="G838" s="310"/>
      <c r="H838" s="310"/>
      <c r="I838" s="310"/>
      <c r="J838" s="310"/>
      <c r="K838" s="310"/>
      <c r="L838" s="310"/>
      <c r="M838" s="310"/>
    </row>
    <row r="839" spans="2:13">
      <c r="B839" s="508"/>
      <c r="C839" s="310"/>
      <c r="D839" s="310"/>
      <c r="E839" s="310"/>
      <c r="F839" s="310"/>
      <c r="G839" s="310"/>
      <c r="H839" s="310"/>
      <c r="I839" s="310"/>
      <c r="J839" s="310"/>
      <c r="K839" s="310"/>
      <c r="L839" s="310"/>
      <c r="M839" s="310"/>
    </row>
    <row r="840" spans="2:13">
      <c r="B840" s="508"/>
      <c r="C840" s="310"/>
      <c r="D840" s="310"/>
      <c r="E840" s="310"/>
      <c r="F840" s="310"/>
      <c r="G840" s="310"/>
      <c r="H840" s="310"/>
      <c r="I840" s="310"/>
      <c r="J840" s="310"/>
      <c r="K840" s="310"/>
      <c r="L840" s="310"/>
      <c r="M840" s="310"/>
    </row>
    <row r="841" spans="2:13">
      <c r="B841" s="508"/>
      <c r="C841" s="310"/>
      <c r="D841" s="310"/>
      <c r="E841" s="310"/>
      <c r="F841" s="310"/>
      <c r="G841" s="310"/>
      <c r="H841" s="310"/>
      <c r="I841" s="310"/>
      <c r="J841" s="310"/>
      <c r="K841" s="310"/>
      <c r="L841" s="310"/>
      <c r="M841" s="310"/>
    </row>
    <row r="842" spans="2:13">
      <c r="B842" s="508"/>
      <c r="C842" s="310"/>
      <c r="D842" s="310"/>
      <c r="E842" s="310"/>
      <c r="F842" s="310"/>
      <c r="G842" s="310"/>
      <c r="H842" s="310"/>
      <c r="I842" s="310"/>
      <c r="J842" s="310"/>
      <c r="K842" s="310"/>
      <c r="L842" s="310"/>
      <c r="M842" s="310"/>
    </row>
    <row r="843" spans="2:13">
      <c r="B843" s="508"/>
      <c r="C843" s="310"/>
      <c r="D843" s="310"/>
      <c r="E843" s="310"/>
      <c r="F843" s="310"/>
      <c r="G843" s="310"/>
      <c r="H843" s="310"/>
      <c r="I843" s="310"/>
      <c r="J843" s="310"/>
      <c r="K843" s="310"/>
      <c r="L843" s="310"/>
      <c r="M843" s="310"/>
    </row>
    <row r="844" spans="2:13">
      <c r="B844" s="508"/>
      <c r="C844" s="310"/>
      <c r="D844" s="310"/>
      <c r="E844" s="310"/>
      <c r="F844" s="310"/>
      <c r="G844" s="310"/>
      <c r="H844" s="310"/>
      <c r="I844" s="310"/>
      <c r="J844" s="310"/>
      <c r="K844" s="310"/>
      <c r="L844" s="310"/>
      <c r="M844" s="310"/>
    </row>
    <row r="845" spans="2:13">
      <c r="B845" s="508"/>
      <c r="C845" s="310"/>
      <c r="D845" s="310"/>
      <c r="E845" s="310"/>
      <c r="F845" s="310"/>
      <c r="G845" s="310"/>
      <c r="H845" s="310"/>
      <c r="I845" s="310"/>
      <c r="J845" s="310"/>
      <c r="K845" s="310"/>
      <c r="L845" s="310"/>
      <c r="M845" s="310"/>
    </row>
    <row r="846" spans="2:13">
      <c r="B846" s="508"/>
      <c r="C846" s="310"/>
      <c r="D846" s="310"/>
      <c r="E846" s="310"/>
      <c r="F846" s="310"/>
      <c r="G846" s="310"/>
      <c r="H846" s="310"/>
      <c r="I846" s="310"/>
      <c r="J846" s="310"/>
      <c r="K846" s="310"/>
      <c r="L846" s="310"/>
      <c r="M846" s="310"/>
    </row>
    <row r="847" spans="2:13">
      <c r="B847" s="508"/>
      <c r="C847" s="310"/>
      <c r="D847" s="310"/>
      <c r="E847" s="310"/>
      <c r="F847" s="310"/>
      <c r="G847" s="310"/>
      <c r="H847" s="310"/>
      <c r="I847" s="310"/>
      <c r="J847" s="310"/>
      <c r="K847" s="310"/>
      <c r="L847" s="310"/>
      <c r="M847" s="310"/>
    </row>
    <row r="848" spans="2:13">
      <c r="B848" s="508"/>
      <c r="C848" s="310"/>
      <c r="D848" s="310"/>
      <c r="E848" s="310"/>
      <c r="F848" s="310"/>
      <c r="G848" s="310"/>
      <c r="H848" s="310"/>
      <c r="I848" s="310"/>
      <c r="J848" s="310"/>
      <c r="K848" s="310"/>
      <c r="L848" s="310"/>
      <c r="M848" s="310"/>
    </row>
    <row r="849" spans="2:13">
      <c r="B849" s="508"/>
      <c r="C849" s="310"/>
      <c r="D849" s="310"/>
      <c r="E849" s="310"/>
      <c r="F849" s="310"/>
      <c r="G849" s="310"/>
      <c r="H849" s="310"/>
      <c r="I849" s="310"/>
      <c r="J849" s="310"/>
      <c r="K849" s="310"/>
      <c r="L849" s="310"/>
      <c r="M849" s="310"/>
    </row>
    <row r="850" spans="2:13">
      <c r="B850" s="508"/>
      <c r="C850" s="310"/>
      <c r="D850" s="310"/>
      <c r="E850" s="310"/>
      <c r="F850" s="310"/>
      <c r="G850" s="310"/>
      <c r="H850" s="310"/>
      <c r="I850" s="310"/>
      <c r="J850" s="310"/>
      <c r="K850" s="310"/>
      <c r="L850" s="310"/>
      <c r="M850" s="310"/>
    </row>
    <row r="851" spans="2:13">
      <c r="B851" s="508"/>
      <c r="C851" s="310"/>
      <c r="D851" s="310"/>
      <c r="E851" s="310"/>
      <c r="F851" s="310"/>
      <c r="G851" s="310"/>
      <c r="H851" s="310"/>
      <c r="I851" s="310"/>
      <c r="J851" s="310"/>
      <c r="K851" s="310"/>
      <c r="L851" s="310"/>
      <c r="M851" s="310"/>
    </row>
    <row r="852" spans="2:13">
      <c r="B852" s="508"/>
      <c r="C852" s="310"/>
      <c r="D852" s="310"/>
      <c r="E852" s="310"/>
      <c r="F852" s="310"/>
      <c r="G852" s="310"/>
      <c r="H852" s="310"/>
      <c r="I852" s="310"/>
      <c r="J852" s="310"/>
      <c r="K852" s="310"/>
      <c r="L852" s="310"/>
      <c r="M852" s="310"/>
    </row>
    <row r="853" spans="2:13">
      <c r="B853" s="508"/>
      <c r="C853" s="310"/>
      <c r="D853" s="310"/>
      <c r="E853" s="310"/>
      <c r="F853" s="310"/>
      <c r="G853" s="310"/>
      <c r="H853" s="310"/>
      <c r="I853" s="310"/>
      <c r="J853" s="310"/>
      <c r="K853" s="310"/>
      <c r="L853" s="310"/>
      <c r="M853" s="310"/>
    </row>
    <row r="854" spans="2:13">
      <c r="B854" s="508"/>
      <c r="C854" s="310"/>
      <c r="D854" s="310"/>
      <c r="E854" s="310"/>
      <c r="F854" s="310"/>
      <c r="G854" s="310"/>
      <c r="H854" s="310"/>
      <c r="I854" s="310"/>
      <c r="J854" s="310"/>
      <c r="K854" s="310"/>
      <c r="L854" s="310"/>
      <c r="M854" s="310"/>
    </row>
    <row r="855" spans="2:13">
      <c r="B855" s="508"/>
      <c r="C855" s="310"/>
      <c r="D855" s="310"/>
      <c r="E855" s="310"/>
      <c r="F855" s="310"/>
      <c r="G855" s="310"/>
      <c r="H855" s="310"/>
      <c r="I855" s="310"/>
      <c r="J855" s="310"/>
      <c r="K855" s="310"/>
      <c r="L855" s="310"/>
      <c r="M855" s="310"/>
    </row>
    <row r="856" spans="2:13">
      <c r="B856" s="508"/>
      <c r="C856" s="310"/>
      <c r="D856" s="310"/>
      <c r="E856" s="310"/>
      <c r="F856" s="310"/>
      <c r="G856" s="310"/>
      <c r="H856" s="310"/>
      <c r="I856" s="310"/>
      <c r="J856" s="310"/>
      <c r="K856" s="310"/>
      <c r="L856" s="310"/>
      <c r="M856" s="310"/>
    </row>
    <row r="857" spans="2:13">
      <c r="B857" s="508"/>
      <c r="C857" s="310"/>
      <c r="D857" s="310"/>
      <c r="E857" s="310"/>
      <c r="F857" s="310"/>
      <c r="G857" s="310"/>
      <c r="H857" s="310"/>
      <c r="I857" s="310"/>
      <c r="J857" s="310"/>
      <c r="K857" s="310"/>
      <c r="L857" s="310"/>
      <c r="M857" s="310"/>
    </row>
    <row r="858" spans="2:13">
      <c r="B858" s="508"/>
      <c r="C858" s="310"/>
      <c r="D858" s="310"/>
      <c r="E858" s="310"/>
      <c r="F858" s="310"/>
      <c r="G858" s="310"/>
      <c r="H858" s="310"/>
      <c r="I858" s="310"/>
      <c r="J858" s="310"/>
      <c r="K858" s="310"/>
      <c r="L858" s="310"/>
      <c r="M858" s="310"/>
    </row>
    <row r="859" spans="2:13">
      <c r="B859" s="508"/>
      <c r="C859" s="310"/>
      <c r="D859" s="310"/>
      <c r="E859" s="310"/>
      <c r="F859" s="310"/>
      <c r="G859" s="310"/>
      <c r="H859" s="310"/>
      <c r="I859" s="310"/>
      <c r="J859" s="310"/>
      <c r="K859" s="310"/>
      <c r="L859" s="310"/>
      <c r="M859" s="310"/>
    </row>
    <row r="860" spans="2:13">
      <c r="B860" s="508"/>
      <c r="C860" s="310"/>
      <c r="D860" s="310"/>
      <c r="E860" s="310"/>
      <c r="F860" s="310"/>
      <c r="G860" s="310"/>
      <c r="H860" s="310"/>
      <c r="I860" s="310"/>
      <c r="J860" s="310"/>
      <c r="K860" s="310"/>
      <c r="L860" s="310"/>
      <c r="M860" s="310"/>
    </row>
    <row r="861" spans="2:13">
      <c r="B861" s="508"/>
      <c r="C861" s="310"/>
      <c r="D861" s="310"/>
      <c r="E861" s="310"/>
      <c r="F861" s="310"/>
      <c r="G861" s="310"/>
      <c r="H861" s="310"/>
      <c r="I861" s="310"/>
      <c r="J861" s="310"/>
      <c r="K861" s="310"/>
      <c r="L861" s="310"/>
      <c r="M861" s="310"/>
    </row>
    <row r="862" spans="2:13">
      <c r="B862" s="508"/>
      <c r="C862" s="310"/>
      <c r="D862" s="310"/>
      <c r="E862" s="310"/>
      <c r="F862" s="310"/>
      <c r="G862" s="310"/>
      <c r="H862" s="310"/>
      <c r="I862" s="310"/>
      <c r="J862" s="310"/>
      <c r="K862" s="310"/>
      <c r="L862" s="310"/>
      <c r="M862" s="310"/>
    </row>
    <row r="863" spans="2:13">
      <c r="B863" s="508"/>
      <c r="C863" s="310"/>
      <c r="D863" s="310"/>
      <c r="E863" s="310"/>
      <c r="F863" s="310"/>
      <c r="G863" s="310"/>
      <c r="H863" s="310"/>
      <c r="I863" s="310"/>
      <c r="J863" s="310"/>
      <c r="K863" s="310"/>
      <c r="L863" s="310"/>
      <c r="M863" s="310"/>
    </row>
    <row r="864" spans="2:13">
      <c r="B864" s="508"/>
      <c r="C864" s="310"/>
      <c r="D864" s="310"/>
      <c r="E864" s="310"/>
      <c r="F864" s="310"/>
      <c r="G864" s="310"/>
      <c r="H864" s="310"/>
      <c r="I864" s="310"/>
      <c r="J864" s="310"/>
      <c r="K864" s="310"/>
      <c r="L864" s="310"/>
      <c r="M864" s="310"/>
    </row>
    <row r="865" spans="2:13">
      <c r="B865" s="508"/>
      <c r="C865" s="310"/>
      <c r="D865" s="310"/>
      <c r="E865" s="310"/>
      <c r="F865" s="310"/>
      <c r="G865" s="310"/>
      <c r="H865" s="310"/>
      <c r="I865" s="310"/>
      <c r="J865" s="310"/>
      <c r="K865" s="310"/>
      <c r="L865" s="310"/>
      <c r="M865" s="310"/>
    </row>
    <row r="866" spans="2:13">
      <c r="B866" s="508"/>
      <c r="C866" s="310"/>
      <c r="D866" s="310"/>
      <c r="E866" s="310"/>
      <c r="F866" s="310"/>
      <c r="G866" s="310"/>
      <c r="H866" s="310"/>
      <c r="I866" s="310"/>
      <c r="J866" s="310"/>
      <c r="K866" s="310"/>
      <c r="L866" s="310"/>
      <c r="M866" s="310"/>
    </row>
    <row r="867" spans="2:13">
      <c r="B867" s="508"/>
      <c r="C867" s="310"/>
      <c r="D867" s="310"/>
      <c r="E867" s="310"/>
      <c r="F867" s="310"/>
      <c r="G867" s="310"/>
      <c r="H867" s="310"/>
      <c r="I867" s="310"/>
      <c r="J867" s="310"/>
      <c r="K867" s="310"/>
      <c r="L867" s="310"/>
      <c r="M867" s="310"/>
    </row>
    <row r="868" spans="2:13">
      <c r="B868" s="508"/>
      <c r="C868" s="310"/>
      <c r="D868" s="310"/>
      <c r="E868" s="310"/>
      <c r="F868" s="310"/>
      <c r="G868" s="310"/>
      <c r="H868" s="310"/>
      <c r="I868" s="310"/>
      <c r="J868" s="310"/>
      <c r="K868" s="310"/>
      <c r="L868" s="310"/>
      <c r="M868" s="310"/>
    </row>
    <row r="869" spans="2:13">
      <c r="B869" s="508"/>
      <c r="C869" s="310"/>
      <c r="D869" s="310"/>
      <c r="E869" s="310"/>
      <c r="F869" s="310"/>
      <c r="G869" s="310"/>
      <c r="H869" s="310"/>
      <c r="I869" s="310"/>
      <c r="J869" s="310"/>
      <c r="K869" s="310"/>
      <c r="L869" s="310"/>
      <c r="M869" s="310"/>
    </row>
    <row r="870" spans="2:13">
      <c r="B870" s="508"/>
      <c r="C870" s="310"/>
      <c r="D870" s="310"/>
      <c r="E870" s="310"/>
      <c r="F870" s="310"/>
      <c r="G870" s="310"/>
      <c r="H870" s="310"/>
      <c r="I870" s="310"/>
      <c r="J870" s="310"/>
      <c r="K870" s="310"/>
      <c r="L870" s="310"/>
      <c r="M870" s="310"/>
    </row>
    <row r="871" spans="2:13">
      <c r="B871" s="508"/>
      <c r="C871" s="310"/>
      <c r="D871" s="310"/>
      <c r="E871" s="310"/>
      <c r="F871" s="310"/>
      <c r="G871" s="310"/>
      <c r="H871" s="310"/>
      <c r="I871" s="310"/>
      <c r="J871" s="310"/>
      <c r="K871" s="310"/>
      <c r="L871" s="310"/>
      <c r="M871" s="310"/>
    </row>
    <row r="872" spans="2:13">
      <c r="B872" s="508"/>
      <c r="C872" s="310"/>
      <c r="D872" s="310"/>
      <c r="E872" s="310"/>
      <c r="F872" s="310"/>
      <c r="G872" s="310"/>
      <c r="H872" s="310"/>
      <c r="I872" s="310"/>
      <c r="J872" s="310"/>
      <c r="K872" s="310"/>
      <c r="L872" s="310"/>
      <c r="M872" s="310"/>
    </row>
    <row r="873" spans="2:13">
      <c r="B873" s="508"/>
      <c r="C873" s="310"/>
      <c r="D873" s="310"/>
      <c r="E873" s="310"/>
      <c r="F873" s="310"/>
      <c r="G873" s="310"/>
      <c r="H873" s="310"/>
      <c r="I873" s="310"/>
      <c r="J873" s="310"/>
      <c r="K873" s="310"/>
      <c r="L873" s="310"/>
      <c r="M873" s="310"/>
    </row>
    <row r="874" spans="2:13">
      <c r="B874" s="508"/>
      <c r="C874" s="310"/>
      <c r="D874" s="310"/>
      <c r="E874" s="310"/>
      <c r="F874" s="310"/>
      <c r="G874" s="310"/>
      <c r="H874" s="310"/>
      <c r="I874" s="310"/>
      <c r="J874" s="310"/>
      <c r="K874" s="310"/>
      <c r="L874" s="310"/>
      <c r="M874" s="310"/>
    </row>
    <row r="875" spans="2:13">
      <c r="B875" s="508"/>
      <c r="C875" s="310"/>
      <c r="D875" s="310"/>
      <c r="E875" s="310"/>
      <c r="F875" s="310"/>
      <c r="G875" s="310"/>
      <c r="H875" s="310"/>
      <c r="I875" s="310"/>
      <c r="J875" s="310"/>
      <c r="K875" s="310"/>
      <c r="L875" s="310"/>
      <c r="M875" s="310"/>
    </row>
    <row r="876" spans="2:13">
      <c r="B876" s="508"/>
      <c r="C876" s="310"/>
      <c r="D876" s="310"/>
      <c r="E876" s="310"/>
      <c r="F876" s="310"/>
      <c r="G876" s="310"/>
      <c r="H876" s="310"/>
      <c r="I876" s="310"/>
      <c r="J876" s="310"/>
      <c r="K876" s="310"/>
      <c r="L876" s="310"/>
      <c r="M876" s="310"/>
    </row>
    <row r="877" spans="2:13">
      <c r="B877" s="508"/>
      <c r="C877" s="310"/>
      <c r="D877" s="310"/>
      <c r="E877" s="310"/>
      <c r="F877" s="310"/>
      <c r="G877" s="310"/>
      <c r="H877" s="310"/>
      <c r="I877" s="310"/>
      <c r="J877" s="310"/>
      <c r="K877" s="310"/>
      <c r="L877" s="310"/>
      <c r="M877" s="310"/>
    </row>
    <row r="878" spans="2:13">
      <c r="B878" s="508"/>
      <c r="C878" s="310"/>
      <c r="D878" s="310"/>
      <c r="E878" s="310"/>
      <c r="F878" s="310"/>
      <c r="G878" s="310"/>
      <c r="H878" s="310"/>
      <c r="I878" s="310"/>
      <c r="J878" s="310"/>
      <c r="K878" s="310"/>
      <c r="L878" s="310"/>
      <c r="M878" s="310"/>
    </row>
    <row r="879" spans="2:13">
      <c r="B879" s="508"/>
      <c r="C879" s="310"/>
      <c r="D879" s="310"/>
      <c r="E879" s="310"/>
      <c r="F879" s="310"/>
      <c r="G879" s="310"/>
      <c r="H879" s="310"/>
      <c r="I879" s="310"/>
      <c r="J879" s="310"/>
      <c r="K879" s="310"/>
      <c r="L879" s="310"/>
      <c r="M879" s="310"/>
    </row>
    <row r="880" spans="2:13">
      <c r="B880" s="508"/>
      <c r="C880" s="310"/>
      <c r="D880" s="310"/>
      <c r="E880" s="310"/>
      <c r="F880" s="310"/>
      <c r="G880" s="310"/>
      <c r="H880" s="310"/>
      <c r="I880" s="310"/>
      <c r="J880" s="310"/>
      <c r="K880" s="310"/>
      <c r="L880" s="310"/>
      <c r="M880" s="310"/>
    </row>
    <row r="881" spans="2:13">
      <c r="B881" s="508"/>
      <c r="C881" s="310"/>
      <c r="D881" s="310"/>
      <c r="E881" s="310"/>
      <c r="F881" s="310"/>
      <c r="G881" s="310"/>
      <c r="H881" s="310"/>
      <c r="I881" s="310"/>
      <c r="J881" s="310"/>
      <c r="K881" s="310"/>
      <c r="L881" s="310"/>
      <c r="M881" s="310"/>
    </row>
    <row r="882" spans="2:13">
      <c r="B882" s="508"/>
      <c r="C882" s="310"/>
      <c r="D882" s="310"/>
      <c r="E882" s="310"/>
      <c r="F882" s="310"/>
      <c r="G882" s="310"/>
      <c r="H882" s="310"/>
      <c r="I882" s="310"/>
      <c r="J882" s="310"/>
      <c r="K882" s="310"/>
      <c r="L882" s="310"/>
      <c r="M882" s="310"/>
    </row>
    <row r="883" spans="2:13">
      <c r="B883" s="508"/>
      <c r="C883" s="310"/>
      <c r="D883" s="310"/>
      <c r="E883" s="310"/>
      <c r="F883" s="310"/>
      <c r="G883" s="310"/>
      <c r="H883" s="310"/>
      <c r="I883" s="310"/>
      <c r="J883" s="310"/>
      <c r="K883" s="310"/>
      <c r="L883" s="310"/>
      <c r="M883" s="310"/>
    </row>
    <row r="884" spans="2:13">
      <c r="B884" s="508"/>
      <c r="C884" s="310"/>
      <c r="D884" s="310"/>
      <c r="E884" s="310"/>
      <c r="F884" s="310"/>
      <c r="G884" s="310"/>
      <c r="H884" s="310"/>
      <c r="I884" s="310"/>
      <c r="J884" s="310"/>
      <c r="K884" s="310"/>
      <c r="L884" s="310"/>
      <c r="M884" s="310"/>
    </row>
    <row r="885" spans="2:13">
      <c r="B885" s="508"/>
      <c r="C885" s="310"/>
      <c r="D885" s="310"/>
      <c r="E885" s="310"/>
      <c r="F885" s="310"/>
      <c r="G885" s="310"/>
      <c r="H885" s="310"/>
      <c r="I885" s="310"/>
      <c r="J885" s="310"/>
      <c r="K885" s="310"/>
      <c r="L885" s="310"/>
      <c r="M885" s="310"/>
    </row>
    <row r="886" spans="2:13">
      <c r="B886" s="508"/>
      <c r="C886" s="310"/>
      <c r="D886" s="310"/>
      <c r="E886" s="310"/>
      <c r="F886" s="310"/>
      <c r="G886" s="310"/>
      <c r="H886" s="310"/>
      <c r="I886" s="310"/>
      <c r="J886" s="310"/>
      <c r="K886" s="310"/>
      <c r="L886" s="310"/>
      <c r="M886" s="310"/>
    </row>
    <row r="887" spans="2:13">
      <c r="B887" s="508"/>
      <c r="C887" s="310"/>
      <c r="D887" s="310"/>
      <c r="E887" s="310"/>
      <c r="F887" s="310"/>
      <c r="G887" s="310"/>
      <c r="H887" s="310"/>
      <c r="I887" s="310"/>
      <c r="J887" s="310"/>
      <c r="K887" s="310"/>
      <c r="L887" s="310"/>
      <c r="M887" s="310"/>
    </row>
    <row r="888" spans="2:13">
      <c r="B888" s="508"/>
      <c r="C888" s="310"/>
      <c r="D888" s="310"/>
      <c r="E888" s="310"/>
      <c r="F888" s="310"/>
      <c r="G888" s="310"/>
      <c r="H888" s="310"/>
      <c r="I888" s="310"/>
      <c r="J888" s="310"/>
      <c r="K888" s="310"/>
      <c r="L888" s="310"/>
      <c r="M888" s="310"/>
    </row>
    <row r="889" spans="2:13">
      <c r="B889" s="508"/>
      <c r="C889" s="310"/>
      <c r="D889" s="310"/>
      <c r="E889" s="310"/>
      <c r="F889" s="310"/>
      <c r="G889" s="310"/>
      <c r="H889" s="310"/>
      <c r="I889" s="310"/>
      <c r="J889" s="310"/>
      <c r="K889" s="310"/>
      <c r="L889" s="310"/>
      <c r="M889" s="310"/>
    </row>
    <row r="890" spans="2:13">
      <c r="B890" s="508"/>
      <c r="C890" s="310"/>
      <c r="D890" s="310"/>
      <c r="E890" s="310"/>
      <c r="F890" s="310"/>
      <c r="G890" s="310"/>
      <c r="H890" s="310"/>
      <c r="I890" s="310"/>
      <c r="J890" s="310"/>
      <c r="K890" s="310"/>
      <c r="L890" s="310"/>
      <c r="M890" s="310"/>
    </row>
    <row r="891" spans="2:13">
      <c r="B891" s="508"/>
      <c r="C891" s="310"/>
      <c r="D891" s="310"/>
      <c r="E891" s="310"/>
      <c r="F891" s="310"/>
      <c r="G891" s="310"/>
      <c r="H891" s="310"/>
      <c r="I891" s="310"/>
      <c r="J891" s="310"/>
      <c r="K891" s="310"/>
      <c r="L891" s="310"/>
      <c r="M891" s="310"/>
    </row>
    <row r="892" spans="2:13">
      <c r="B892" s="508"/>
      <c r="C892" s="310"/>
      <c r="D892" s="310"/>
      <c r="E892" s="310"/>
      <c r="F892" s="310"/>
      <c r="G892" s="310"/>
      <c r="H892" s="310"/>
      <c r="I892" s="310"/>
      <c r="J892" s="310"/>
      <c r="K892" s="310"/>
      <c r="L892" s="310"/>
      <c r="M892" s="310"/>
    </row>
    <row r="893" spans="2:13">
      <c r="B893" s="508"/>
      <c r="C893" s="310"/>
      <c r="D893" s="310"/>
      <c r="E893" s="310"/>
      <c r="F893" s="310"/>
      <c r="G893" s="310"/>
      <c r="H893" s="310"/>
      <c r="I893" s="310"/>
      <c r="J893" s="310"/>
      <c r="K893" s="310"/>
      <c r="L893" s="310"/>
      <c r="M893" s="310"/>
    </row>
    <row r="894" spans="2:13">
      <c r="B894" s="508"/>
      <c r="C894" s="310"/>
      <c r="D894" s="310"/>
      <c r="E894" s="310"/>
      <c r="F894" s="310"/>
      <c r="G894" s="310"/>
      <c r="H894" s="310"/>
      <c r="I894" s="310"/>
      <c r="J894" s="310"/>
      <c r="K894" s="310"/>
      <c r="L894" s="310"/>
      <c r="M894" s="310"/>
    </row>
    <row r="895" spans="2:13">
      <c r="B895" s="508"/>
      <c r="C895" s="310"/>
      <c r="D895" s="310"/>
      <c r="E895" s="310"/>
      <c r="F895" s="310"/>
      <c r="G895" s="310"/>
      <c r="H895" s="310"/>
      <c r="I895" s="310"/>
      <c r="J895" s="310"/>
      <c r="K895" s="310"/>
      <c r="L895" s="310"/>
      <c r="M895" s="310"/>
    </row>
    <row r="896" spans="2:13">
      <c r="B896" s="508"/>
      <c r="C896" s="310"/>
      <c r="D896" s="310"/>
      <c r="E896" s="310"/>
      <c r="F896" s="310"/>
      <c r="G896" s="310"/>
      <c r="H896" s="310"/>
      <c r="I896" s="310"/>
      <c r="J896" s="310"/>
      <c r="K896" s="310"/>
      <c r="L896" s="310"/>
      <c r="M896" s="310"/>
    </row>
    <row r="897" spans="2:13">
      <c r="B897" s="508"/>
      <c r="C897" s="310"/>
      <c r="D897" s="310"/>
      <c r="E897" s="310"/>
      <c r="F897" s="310"/>
      <c r="G897" s="310"/>
      <c r="H897" s="310"/>
      <c r="I897" s="310"/>
      <c r="J897" s="310"/>
      <c r="K897" s="310"/>
      <c r="L897" s="310"/>
      <c r="M897" s="310"/>
    </row>
    <row r="898" spans="2:13">
      <c r="B898" s="508"/>
      <c r="C898" s="310"/>
      <c r="D898" s="310"/>
      <c r="E898" s="310"/>
      <c r="F898" s="310"/>
      <c r="G898" s="310"/>
      <c r="H898" s="310"/>
      <c r="I898" s="310"/>
      <c r="J898" s="310"/>
      <c r="K898" s="310"/>
      <c r="L898" s="310"/>
      <c r="M898" s="310"/>
    </row>
    <row r="899" spans="2:13">
      <c r="B899" s="508"/>
      <c r="C899" s="310"/>
      <c r="D899" s="310"/>
      <c r="E899" s="310"/>
      <c r="F899" s="310"/>
      <c r="G899" s="310"/>
      <c r="H899" s="310"/>
      <c r="I899" s="310"/>
      <c r="J899" s="310"/>
      <c r="K899" s="310"/>
      <c r="L899" s="310"/>
      <c r="M899" s="310"/>
    </row>
    <row r="900" spans="2:13">
      <c r="B900" s="508"/>
      <c r="C900" s="310"/>
      <c r="D900" s="310"/>
      <c r="E900" s="310"/>
      <c r="F900" s="310"/>
      <c r="G900" s="310"/>
      <c r="H900" s="310"/>
      <c r="I900" s="310"/>
      <c r="J900" s="310"/>
      <c r="K900" s="310"/>
      <c r="L900" s="310"/>
      <c r="M900" s="310"/>
    </row>
    <row r="901" spans="2:13">
      <c r="B901" s="508"/>
      <c r="C901" s="310"/>
      <c r="D901" s="310"/>
      <c r="E901" s="310"/>
      <c r="F901" s="310"/>
      <c r="G901" s="310"/>
      <c r="H901" s="310"/>
      <c r="I901" s="310"/>
      <c r="J901" s="310"/>
      <c r="K901" s="310"/>
      <c r="L901" s="310"/>
      <c r="M901" s="310"/>
    </row>
    <row r="902" spans="2:13">
      <c r="B902" s="508"/>
      <c r="C902" s="310"/>
      <c r="D902" s="310"/>
      <c r="E902" s="310"/>
      <c r="F902" s="310"/>
      <c r="G902" s="310"/>
      <c r="H902" s="310"/>
      <c r="I902" s="310"/>
      <c r="J902" s="310"/>
      <c r="K902" s="310"/>
      <c r="L902" s="310"/>
      <c r="M902" s="310"/>
    </row>
    <row r="903" spans="2:13">
      <c r="B903" s="508"/>
      <c r="C903" s="310"/>
      <c r="D903" s="310"/>
      <c r="E903" s="310"/>
      <c r="F903" s="310"/>
      <c r="G903" s="310"/>
      <c r="H903" s="310"/>
      <c r="I903" s="310"/>
      <c r="J903" s="310"/>
      <c r="K903" s="310"/>
      <c r="L903" s="310"/>
      <c r="M903" s="310"/>
    </row>
    <row r="904" spans="2:13">
      <c r="B904" s="508"/>
      <c r="C904" s="310"/>
      <c r="D904" s="310"/>
      <c r="E904" s="310"/>
      <c r="F904" s="310"/>
      <c r="G904" s="310"/>
      <c r="H904" s="310"/>
      <c r="I904" s="310"/>
      <c r="J904" s="310"/>
      <c r="K904" s="310"/>
      <c r="L904" s="310"/>
      <c r="M904" s="310"/>
    </row>
    <row r="905" spans="2:13">
      <c r="B905" s="508"/>
      <c r="C905" s="310"/>
      <c r="D905" s="310"/>
      <c r="E905" s="310"/>
      <c r="F905" s="310"/>
      <c r="G905" s="310"/>
      <c r="H905" s="310"/>
      <c r="I905" s="310"/>
      <c r="J905" s="310"/>
      <c r="K905" s="310"/>
      <c r="L905" s="310"/>
      <c r="M905" s="310"/>
    </row>
    <row r="906" spans="2:13">
      <c r="B906" s="508"/>
      <c r="C906" s="310"/>
      <c r="D906" s="310"/>
      <c r="E906" s="310"/>
      <c r="F906" s="310"/>
      <c r="G906" s="310"/>
      <c r="H906" s="310"/>
      <c r="I906" s="310"/>
      <c r="J906" s="310"/>
      <c r="K906" s="310"/>
      <c r="L906" s="310"/>
      <c r="M906" s="310"/>
    </row>
    <row r="907" spans="2:13">
      <c r="B907" s="508"/>
      <c r="C907" s="310"/>
      <c r="D907" s="310"/>
      <c r="E907" s="310"/>
      <c r="F907" s="310"/>
      <c r="G907" s="310"/>
      <c r="H907" s="310"/>
      <c r="I907" s="310"/>
      <c r="J907" s="310"/>
      <c r="K907" s="310"/>
      <c r="L907" s="310"/>
      <c r="M907" s="310"/>
    </row>
    <row r="908" spans="2:13">
      <c r="B908" s="508"/>
      <c r="C908" s="310"/>
      <c r="D908" s="310"/>
      <c r="E908" s="310"/>
      <c r="F908" s="310"/>
      <c r="G908" s="310"/>
      <c r="H908" s="310"/>
      <c r="I908" s="310"/>
      <c r="J908" s="310"/>
      <c r="K908" s="310"/>
      <c r="L908" s="310"/>
      <c r="M908" s="310"/>
    </row>
    <row r="909" spans="2:13">
      <c r="B909" s="508"/>
      <c r="C909" s="310"/>
      <c r="D909" s="310"/>
      <c r="E909" s="310"/>
      <c r="F909" s="310"/>
      <c r="G909" s="310"/>
      <c r="H909" s="310"/>
      <c r="I909" s="310"/>
      <c r="J909" s="310"/>
      <c r="K909" s="310"/>
      <c r="L909" s="310"/>
      <c r="M909" s="310"/>
    </row>
    <row r="910" spans="2:13">
      <c r="B910" s="508"/>
      <c r="C910" s="310"/>
      <c r="D910" s="310"/>
      <c r="E910" s="310"/>
      <c r="F910" s="310"/>
      <c r="G910" s="310"/>
      <c r="H910" s="310"/>
      <c r="I910" s="310"/>
      <c r="J910" s="310"/>
      <c r="K910" s="310"/>
      <c r="L910" s="310"/>
      <c r="M910" s="310"/>
    </row>
    <row r="911" spans="2:13">
      <c r="B911" s="508"/>
      <c r="C911" s="310"/>
      <c r="D911" s="310"/>
      <c r="E911" s="310"/>
      <c r="F911" s="310"/>
      <c r="G911" s="310"/>
      <c r="H911" s="310"/>
      <c r="I911" s="310"/>
      <c r="J911" s="310"/>
      <c r="K911" s="310"/>
      <c r="L911" s="310"/>
      <c r="M911" s="310"/>
    </row>
    <row r="912" spans="2:13">
      <c r="B912" s="508"/>
      <c r="C912" s="310"/>
      <c r="D912" s="310"/>
      <c r="E912" s="310"/>
      <c r="F912" s="310"/>
      <c r="G912" s="310"/>
      <c r="H912" s="310"/>
      <c r="I912" s="310"/>
      <c r="J912" s="310"/>
      <c r="K912" s="310"/>
      <c r="L912" s="310"/>
      <c r="M912" s="310"/>
    </row>
    <row r="913" spans="2:13">
      <c r="B913" s="508"/>
      <c r="C913" s="310"/>
      <c r="D913" s="310"/>
      <c r="E913" s="310"/>
      <c r="F913" s="310"/>
      <c r="G913" s="310"/>
      <c r="H913" s="310"/>
      <c r="I913" s="310"/>
      <c r="J913" s="310"/>
      <c r="K913" s="310"/>
      <c r="L913" s="310"/>
      <c r="M913" s="310"/>
    </row>
    <row r="914" spans="2:13">
      <c r="B914" s="508"/>
      <c r="C914" s="310"/>
      <c r="D914" s="310"/>
      <c r="E914" s="310"/>
      <c r="F914" s="310"/>
      <c r="G914" s="310"/>
      <c r="H914" s="310"/>
      <c r="I914" s="310"/>
      <c r="J914" s="310"/>
      <c r="K914" s="310"/>
      <c r="L914" s="310"/>
      <c r="M914" s="310"/>
    </row>
    <row r="915" spans="2:13">
      <c r="B915" s="508"/>
      <c r="C915" s="310"/>
      <c r="D915" s="310"/>
      <c r="E915" s="310"/>
      <c r="F915" s="310"/>
      <c r="G915" s="310"/>
      <c r="H915" s="310"/>
      <c r="I915" s="310"/>
      <c r="J915" s="310"/>
      <c r="K915" s="310"/>
      <c r="L915" s="310"/>
      <c r="M915" s="310"/>
    </row>
    <row r="916" spans="2:13">
      <c r="B916" s="508"/>
      <c r="C916" s="310"/>
      <c r="D916" s="310"/>
      <c r="E916" s="310"/>
      <c r="F916" s="310"/>
      <c r="G916" s="310"/>
      <c r="H916" s="310"/>
      <c r="I916" s="310"/>
      <c r="J916" s="310"/>
      <c r="K916" s="310"/>
      <c r="L916" s="310"/>
      <c r="M916" s="310"/>
    </row>
    <row r="917" spans="2:13">
      <c r="B917" s="508"/>
      <c r="C917" s="310"/>
      <c r="D917" s="310"/>
      <c r="E917" s="310"/>
      <c r="F917" s="310"/>
      <c r="G917" s="310"/>
      <c r="H917" s="310"/>
      <c r="I917" s="310"/>
      <c r="J917" s="310"/>
      <c r="K917" s="310"/>
      <c r="L917" s="310"/>
      <c r="M917" s="310"/>
    </row>
    <row r="918" spans="2:13">
      <c r="B918" s="508"/>
      <c r="C918" s="310"/>
      <c r="D918" s="310"/>
      <c r="E918" s="310"/>
      <c r="F918" s="310"/>
      <c r="G918" s="310"/>
      <c r="H918" s="310"/>
      <c r="I918" s="310"/>
      <c r="J918" s="310"/>
      <c r="K918" s="310"/>
      <c r="L918" s="310"/>
      <c r="M918" s="310"/>
    </row>
    <row r="919" spans="2:13">
      <c r="B919" s="508"/>
      <c r="C919" s="310"/>
      <c r="D919" s="310"/>
      <c r="E919" s="310"/>
      <c r="F919" s="310"/>
      <c r="G919" s="310"/>
      <c r="H919" s="310"/>
      <c r="I919" s="310"/>
      <c r="J919" s="310"/>
      <c r="K919" s="310"/>
      <c r="L919" s="310"/>
      <c r="M919" s="310"/>
    </row>
    <row r="920" spans="2:13">
      <c r="B920" s="508"/>
      <c r="C920" s="310"/>
      <c r="D920" s="310"/>
      <c r="E920" s="310"/>
      <c r="F920" s="310"/>
      <c r="G920" s="310"/>
      <c r="H920" s="310"/>
      <c r="I920" s="310"/>
      <c r="J920" s="310"/>
      <c r="K920" s="310"/>
      <c r="L920" s="310"/>
      <c r="M920" s="310"/>
    </row>
    <row r="921" spans="2:13">
      <c r="B921" s="508"/>
      <c r="C921" s="310"/>
      <c r="D921" s="310"/>
      <c r="E921" s="310"/>
      <c r="F921" s="310"/>
      <c r="G921" s="310"/>
      <c r="H921" s="310"/>
      <c r="I921" s="310"/>
      <c r="J921" s="310"/>
      <c r="K921" s="310"/>
      <c r="L921" s="310"/>
      <c r="M921" s="310"/>
    </row>
    <row r="922" spans="2:13">
      <c r="B922" s="508"/>
      <c r="C922" s="310"/>
      <c r="D922" s="310"/>
      <c r="E922" s="310"/>
      <c r="F922" s="310"/>
      <c r="G922" s="310"/>
      <c r="H922" s="310"/>
      <c r="I922" s="310"/>
      <c r="J922" s="310"/>
      <c r="K922" s="310"/>
      <c r="L922" s="310"/>
      <c r="M922" s="310"/>
    </row>
    <row r="923" spans="2:13">
      <c r="B923" s="508"/>
      <c r="C923" s="310"/>
      <c r="D923" s="310"/>
      <c r="E923" s="310"/>
      <c r="F923" s="310"/>
      <c r="G923" s="310"/>
      <c r="H923" s="310"/>
      <c r="I923" s="310"/>
      <c r="J923" s="310"/>
      <c r="K923" s="310"/>
      <c r="L923" s="310"/>
      <c r="M923" s="310"/>
    </row>
    <row r="924" spans="2:13">
      <c r="B924" s="508"/>
      <c r="C924" s="310"/>
      <c r="D924" s="310"/>
      <c r="E924" s="310"/>
      <c r="F924" s="310"/>
      <c r="G924" s="310"/>
      <c r="H924" s="310"/>
      <c r="I924" s="310"/>
      <c r="J924" s="310"/>
      <c r="K924" s="310"/>
      <c r="L924" s="310"/>
      <c r="M924" s="310"/>
    </row>
    <row r="925" spans="2:13">
      <c r="B925" s="508"/>
      <c r="C925" s="310"/>
      <c r="D925" s="310"/>
      <c r="E925" s="310"/>
      <c r="F925" s="310"/>
      <c r="G925" s="310"/>
      <c r="H925" s="310"/>
      <c r="I925" s="310"/>
      <c r="J925" s="310"/>
      <c r="K925" s="310"/>
      <c r="L925" s="310"/>
      <c r="M925" s="310"/>
    </row>
    <row r="926" spans="2:13">
      <c r="B926" s="508"/>
      <c r="C926" s="310"/>
      <c r="D926" s="310"/>
      <c r="E926" s="310"/>
      <c r="F926" s="310"/>
      <c r="G926" s="310"/>
      <c r="H926" s="310"/>
      <c r="I926" s="310"/>
      <c r="J926" s="310"/>
      <c r="K926" s="310"/>
      <c r="L926" s="310"/>
      <c r="M926" s="310"/>
    </row>
    <row r="927" spans="2:13">
      <c r="B927" s="508"/>
      <c r="C927" s="310"/>
      <c r="D927" s="310"/>
      <c r="E927" s="310"/>
      <c r="F927" s="310"/>
      <c r="G927" s="310"/>
      <c r="H927" s="310"/>
      <c r="I927" s="310"/>
      <c r="J927" s="310"/>
      <c r="K927" s="310"/>
      <c r="L927" s="310"/>
      <c r="M927" s="310"/>
    </row>
    <row r="928" spans="2:13">
      <c r="B928" s="508"/>
      <c r="C928" s="310"/>
      <c r="D928" s="310"/>
      <c r="E928" s="310"/>
      <c r="F928" s="310"/>
      <c r="G928" s="310"/>
      <c r="H928" s="310"/>
      <c r="I928" s="310"/>
      <c r="J928" s="310"/>
      <c r="K928" s="310"/>
      <c r="L928" s="310"/>
      <c r="M928" s="310"/>
    </row>
    <row r="929" spans="2:13">
      <c r="B929" s="508"/>
      <c r="C929" s="310"/>
      <c r="D929" s="310"/>
      <c r="E929" s="310"/>
      <c r="F929" s="310"/>
      <c r="G929" s="310"/>
      <c r="H929" s="310"/>
      <c r="I929" s="310"/>
      <c r="J929" s="310"/>
      <c r="K929" s="310"/>
      <c r="L929" s="310"/>
      <c r="M929" s="310"/>
    </row>
    <row r="930" spans="2:13">
      <c r="B930" s="508"/>
      <c r="C930" s="310"/>
      <c r="D930" s="310"/>
      <c r="E930" s="310"/>
      <c r="F930" s="310"/>
      <c r="G930" s="310"/>
      <c r="H930" s="310"/>
      <c r="I930" s="310"/>
      <c r="J930" s="310"/>
      <c r="K930" s="310"/>
      <c r="L930" s="310"/>
      <c r="M930" s="310"/>
    </row>
    <row r="931" spans="2:13">
      <c r="B931" s="508"/>
      <c r="C931" s="310"/>
      <c r="D931" s="310"/>
      <c r="E931" s="310"/>
      <c r="F931" s="310"/>
      <c r="G931" s="310"/>
      <c r="H931" s="310"/>
      <c r="I931" s="310"/>
      <c r="J931" s="310"/>
      <c r="K931" s="310"/>
      <c r="L931" s="310"/>
      <c r="M931" s="310"/>
    </row>
    <row r="932" spans="2:13">
      <c r="B932" s="508"/>
      <c r="C932" s="310"/>
      <c r="D932" s="310"/>
      <c r="E932" s="310"/>
      <c r="F932" s="310"/>
      <c r="G932" s="310"/>
      <c r="H932" s="310"/>
      <c r="I932" s="310"/>
      <c r="J932" s="310"/>
      <c r="K932" s="310"/>
      <c r="L932" s="310"/>
      <c r="M932" s="310"/>
    </row>
    <row r="933" spans="2:13">
      <c r="B933" s="508"/>
      <c r="C933" s="310"/>
      <c r="D933" s="310"/>
      <c r="E933" s="310"/>
      <c r="F933" s="310"/>
      <c r="G933" s="310"/>
      <c r="H933" s="310"/>
      <c r="I933" s="310"/>
      <c r="J933" s="310"/>
      <c r="K933" s="310"/>
      <c r="L933" s="310"/>
      <c r="M933" s="310"/>
    </row>
    <row r="934" spans="2:13">
      <c r="B934" s="508"/>
      <c r="C934" s="310"/>
      <c r="D934" s="310"/>
      <c r="E934" s="310"/>
      <c r="F934" s="310"/>
      <c r="G934" s="310"/>
      <c r="H934" s="310"/>
      <c r="I934" s="310"/>
      <c r="J934" s="310"/>
      <c r="K934" s="310"/>
      <c r="L934" s="310"/>
      <c r="M934" s="310"/>
    </row>
    <row r="935" spans="2:13">
      <c r="B935" s="508"/>
      <c r="C935" s="310"/>
      <c r="D935" s="310"/>
      <c r="E935" s="310"/>
      <c r="F935" s="310"/>
      <c r="G935" s="310"/>
      <c r="H935" s="310"/>
      <c r="I935" s="310"/>
      <c r="J935" s="310"/>
      <c r="K935" s="310"/>
      <c r="L935" s="310"/>
      <c r="M935" s="310"/>
    </row>
    <row r="936" spans="2:13">
      <c r="B936" s="508"/>
      <c r="C936" s="310"/>
      <c r="D936" s="310"/>
      <c r="E936" s="310"/>
      <c r="F936" s="310"/>
      <c r="G936" s="310"/>
      <c r="H936" s="310"/>
      <c r="I936" s="310"/>
      <c r="J936" s="310"/>
      <c r="K936" s="310"/>
      <c r="L936" s="310"/>
      <c r="M936" s="310"/>
    </row>
    <row r="937" spans="2:13">
      <c r="B937" s="508"/>
      <c r="C937" s="310"/>
      <c r="D937" s="310"/>
      <c r="E937" s="310"/>
      <c r="F937" s="310"/>
      <c r="G937" s="310"/>
      <c r="H937" s="310"/>
      <c r="I937" s="310"/>
      <c r="J937" s="310"/>
      <c r="K937" s="310"/>
      <c r="L937" s="310"/>
      <c r="M937" s="310"/>
    </row>
    <row r="938" spans="2:13">
      <c r="B938" s="508"/>
      <c r="C938" s="310"/>
      <c r="D938" s="310"/>
      <c r="E938" s="310"/>
      <c r="F938" s="310"/>
      <c r="G938" s="310"/>
      <c r="H938" s="310"/>
      <c r="I938" s="310"/>
      <c r="J938" s="310"/>
      <c r="K938" s="310"/>
      <c r="L938" s="310"/>
      <c r="M938" s="310"/>
    </row>
    <row r="939" spans="2:13">
      <c r="B939" s="508"/>
      <c r="C939" s="310"/>
      <c r="D939" s="310"/>
      <c r="E939" s="310"/>
      <c r="F939" s="310"/>
      <c r="G939" s="310"/>
      <c r="H939" s="310"/>
      <c r="I939" s="310"/>
      <c r="J939" s="310"/>
      <c r="K939" s="310"/>
      <c r="L939" s="310"/>
      <c r="M939" s="310"/>
    </row>
    <row r="940" spans="2:13">
      <c r="B940" s="508"/>
      <c r="C940" s="310"/>
      <c r="D940" s="310"/>
      <c r="E940" s="310"/>
      <c r="F940" s="310"/>
      <c r="G940" s="310"/>
      <c r="H940" s="310"/>
      <c r="I940" s="310"/>
      <c r="J940" s="310"/>
      <c r="K940" s="310"/>
      <c r="L940" s="310"/>
      <c r="M940" s="310"/>
    </row>
    <row r="941" spans="2:13">
      <c r="B941" s="508"/>
      <c r="C941" s="310"/>
      <c r="D941" s="310"/>
      <c r="E941" s="310"/>
      <c r="F941" s="310"/>
      <c r="G941" s="310"/>
      <c r="H941" s="310"/>
      <c r="I941" s="310"/>
      <c r="J941" s="310"/>
      <c r="K941" s="310"/>
      <c r="L941" s="310"/>
      <c r="M941" s="310"/>
    </row>
    <row r="942" spans="2:13">
      <c r="B942" s="508"/>
      <c r="C942" s="310"/>
      <c r="D942" s="310"/>
      <c r="E942" s="310"/>
      <c r="F942" s="310"/>
      <c r="G942" s="310"/>
      <c r="H942" s="310"/>
      <c r="I942" s="310"/>
      <c r="J942" s="310"/>
      <c r="K942" s="310"/>
      <c r="L942" s="310"/>
      <c r="M942" s="310"/>
    </row>
    <row r="943" spans="2:13">
      <c r="B943" s="508"/>
      <c r="C943" s="310"/>
      <c r="D943" s="310"/>
      <c r="E943" s="310"/>
      <c r="F943" s="310"/>
      <c r="G943" s="310"/>
      <c r="H943" s="310"/>
      <c r="I943" s="310"/>
      <c r="J943" s="310"/>
      <c r="K943" s="310"/>
      <c r="L943" s="310"/>
      <c r="M943" s="310"/>
    </row>
    <row r="944" spans="2:13">
      <c r="B944" s="508"/>
      <c r="C944" s="310"/>
      <c r="D944" s="310"/>
      <c r="E944" s="310"/>
      <c r="F944" s="310"/>
      <c r="G944" s="310"/>
      <c r="H944" s="310"/>
      <c r="I944" s="310"/>
      <c r="J944" s="310"/>
      <c r="K944" s="310"/>
      <c r="L944" s="310"/>
      <c r="M944" s="310"/>
    </row>
    <row r="945" spans="2:13">
      <c r="B945" s="508"/>
      <c r="C945" s="310"/>
      <c r="D945" s="310"/>
      <c r="E945" s="310"/>
      <c r="F945" s="310"/>
      <c r="G945" s="310"/>
      <c r="H945" s="310"/>
      <c r="I945" s="310"/>
      <c r="J945" s="310"/>
      <c r="K945" s="310"/>
      <c r="L945" s="310"/>
      <c r="M945" s="310"/>
    </row>
    <row r="946" spans="2:13">
      <c r="B946" s="508"/>
      <c r="C946" s="310"/>
      <c r="D946" s="310"/>
      <c r="E946" s="310"/>
      <c r="F946" s="310"/>
      <c r="G946" s="310"/>
      <c r="H946" s="310"/>
      <c r="I946" s="310"/>
      <c r="J946" s="310"/>
      <c r="K946" s="310"/>
      <c r="L946" s="310"/>
      <c r="M946" s="310"/>
    </row>
    <row r="947" spans="2:13">
      <c r="B947" s="508"/>
      <c r="C947" s="310"/>
      <c r="D947" s="310"/>
      <c r="E947" s="310"/>
      <c r="F947" s="310"/>
      <c r="G947" s="310"/>
      <c r="H947" s="310"/>
      <c r="I947" s="310"/>
      <c r="J947" s="310"/>
      <c r="K947" s="310"/>
      <c r="L947" s="310"/>
      <c r="M947" s="310"/>
    </row>
    <row r="948" spans="2:13">
      <c r="B948" s="508"/>
      <c r="C948" s="310"/>
      <c r="D948" s="310"/>
      <c r="E948" s="310"/>
      <c r="F948" s="310"/>
      <c r="G948" s="310"/>
      <c r="H948" s="310"/>
      <c r="I948" s="310"/>
      <c r="J948" s="310"/>
      <c r="K948" s="310"/>
      <c r="L948" s="310"/>
      <c r="M948" s="310"/>
    </row>
    <row r="949" spans="2:13">
      <c r="B949" s="508"/>
      <c r="C949" s="310"/>
      <c r="D949" s="310"/>
      <c r="E949" s="310"/>
      <c r="F949" s="310"/>
      <c r="G949" s="310"/>
      <c r="H949" s="310"/>
      <c r="I949" s="310"/>
      <c r="J949" s="310"/>
      <c r="K949" s="310"/>
      <c r="L949" s="310"/>
      <c r="M949" s="310"/>
    </row>
    <row r="950" spans="2:13">
      <c r="B950" s="508"/>
      <c r="C950" s="310"/>
      <c r="D950" s="310"/>
      <c r="E950" s="310"/>
      <c r="F950" s="310"/>
      <c r="G950" s="310"/>
      <c r="H950" s="310"/>
      <c r="I950" s="310"/>
      <c r="J950" s="310"/>
      <c r="K950" s="310"/>
      <c r="L950" s="310"/>
      <c r="M950" s="310"/>
    </row>
    <row r="951" spans="2:13">
      <c r="B951" s="508"/>
      <c r="C951" s="310"/>
      <c r="D951" s="310"/>
      <c r="E951" s="310"/>
      <c r="F951" s="310"/>
      <c r="G951" s="310"/>
      <c r="H951" s="310"/>
      <c r="I951" s="310"/>
      <c r="J951" s="310"/>
      <c r="K951" s="310"/>
      <c r="L951" s="310"/>
      <c r="M951" s="310"/>
    </row>
    <row r="952" spans="2:13">
      <c r="B952" s="508"/>
      <c r="C952" s="310"/>
      <c r="D952" s="310"/>
      <c r="E952" s="310"/>
      <c r="F952" s="310"/>
      <c r="G952" s="310"/>
      <c r="H952" s="310"/>
      <c r="I952" s="310"/>
      <c r="J952" s="310"/>
      <c r="K952" s="310"/>
      <c r="L952" s="310"/>
      <c r="M952" s="310"/>
    </row>
    <row r="953" spans="2:13">
      <c r="B953" s="508"/>
      <c r="C953" s="310"/>
      <c r="D953" s="310"/>
      <c r="E953" s="310"/>
      <c r="F953" s="310"/>
      <c r="G953" s="310"/>
      <c r="H953" s="310"/>
      <c r="I953" s="310"/>
      <c r="J953" s="310"/>
      <c r="K953" s="310"/>
      <c r="L953" s="310"/>
      <c r="M953" s="310"/>
    </row>
    <row r="954" spans="2:13">
      <c r="B954" s="508"/>
      <c r="C954" s="310"/>
      <c r="D954" s="310"/>
      <c r="E954" s="310"/>
      <c r="F954" s="310"/>
      <c r="G954" s="310"/>
      <c r="H954" s="310"/>
      <c r="I954" s="310"/>
      <c r="J954" s="310"/>
      <c r="K954" s="310"/>
      <c r="L954" s="310"/>
      <c r="M954" s="310"/>
    </row>
    <row r="955" spans="2:13">
      <c r="B955" s="508"/>
      <c r="C955" s="310"/>
      <c r="D955" s="310"/>
      <c r="E955" s="310"/>
      <c r="F955" s="310"/>
      <c r="G955" s="310"/>
      <c r="H955" s="310"/>
      <c r="I955" s="310"/>
      <c r="J955" s="310"/>
      <c r="K955" s="310"/>
      <c r="L955" s="310"/>
      <c r="M955" s="310"/>
    </row>
    <row r="956" spans="2:13">
      <c r="B956" s="508"/>
      <c r="C956" s="310"/>
      <c r="D956" s="310"/>
      <c r="E956" s="310"/>
      <c r="F956" s="310"/>
      <c r="G956" s="310"/>
      <c r="H956" s="310"/>
      <c r="I956" s="310"/>
      <c r="J956" s="310"/>
      <c r="K956" s="310"/>
      <c r="L956" s="310"/>
      <c r="M956" s="310"/>
    </row>
    <row r="957" spans="2:13">
      <c r="B957" s="508"/>
      <c r="C957" s="310"/>
      <c r="D957" s="310"/>
      <c r="E957" s="310"/>
      <c r="F957" s="310"/>
      <c r="G957" s="310"/>
      <c r="H957" s="310"/>
      <c r="I957" s="310"/>
      <c r="J957" s="310"/>
      <c r="K957" s="310"/>
      <c r="L957" s="310"/>
      <c r="M957" s="310"/>
    </row>
    <row r="958" spans="2:13">
      <c r="B958" s="508"/>
      <c r="C958" s="310"/>
      <c r="D958" s="310"/>
      <c r="E958" s="310"/>
      <c r="F958" s="310"/>
      <c r="G958" s="310"/>
      <c r="H958" s="310"/>
      <c r="I958" s="310"/>
      <c r="J958" s="310"/>
      <c r="K958" s="310"/>
      <c r="L958" s="310"/>
      <c r="M958" s="310"/>
    </row>
    <row r="959" spans="2:13">
      <c r="B959" s="508"/>
      <c r="C959" s="310"/>
      <c r="D959" s="310"/>
      <c r="E959" s="310"/>
      <c r="F959" s="310"/>
      <c r="G959" s="310"/>
      <c r="H959" s="310"/>
      <c r="I959" s="310"/>
      <c r="J959" s="310"/>
      <c r="K959" s="310"/>
      <c r="L959" s="310"/>
      <c r="M959" s="310"/>
    </row>
    <row r="960" spans="2:13">
      <c r="B960" s="508"/>
      <c r="C960" s="310"/>
      <c r="D960" s="310"/>
      <c r="E960" s="310"/>
      <c r="F960" s="310"/>
      <c r="G960" s="310"/>
      <c r="H960" s="310"/>
      <c r="I960" s="310"/>
      <c r="J960" s="310"/>
      <c r="K960" s="310"/>
      <c r="L960" s="310"/>
      <c r="M960" s="310"/>
    </row>
    <row r="961" spans="2:13">
      <c r="B961" s="508"/>
      <c r="C961" s="310"/>
      <c r="D961" s="310"/>
      <c r="E961" s="310"/>
      <c r="F961" s="310"/>
      <c r="G961" s="310"/>
      <c r="H961" s="310"/>
      <c r="I961" s="310"/>
      <c r="J961" s="310"/>
      <c r="K961" s="310"/>
      <c r="L961" s="310"/>
      <c r="M961" s="310"/>
    </row>
    <row r="962" spans="2:13">
      <c r="B962" s="508"/>
      <c r="C962" s="310"/>
      <c r="D962" s="310"/>
      <c r="E962" s="310"/>
      <c r="F962" s="310"/>
      <c r="G962" s="310"/>
      <c r="H962" s="310"/>
      <c r="I962" s="310"/>
      <c r="J962" s="310"/>
      <c r="K962" s="310"/>
      <c r="L962" s="310"/>
      <c r="M962" s="310"/>
    </row>
    <row r="963" spans="2:13">
      <c r="B963" s="508"/>
      <c r="C963" s="310"/>
      <c r="D963" s="310"/>
      <c r="E963" s="310"/>
      <c r="F963" s="310"/>
      <c r="G963" s="310"/>
      <c r="H963" s="310"/>
      <c r="I963" s="310"/>
      <c r="J963" s="310"/>
      <c r="K963" s="310"/>
      <c r="L963" s="310"/>
      <c r="M963" s="310"/>
    </row>
    <row r="964" spans="2:13">
      <c r="B964" s="508"/>
      <c r="C964" s="310"/>
      <c r="D964" s="310"/>
      <c r="E964" s="310"/>
      <c r="F964" s="310"/>
      <c r="G964" s="310"/>
      <c r="H964" s="310"/>
      <c r="I964" s="310"/>
      <c r="J964" s="310"/>
      <c r="K964" s="310"/>
      <c r="L964" s="310"/>
      <c r="M964" s="310"/>
    </row>
    <row r="965" spans="2:13">
      <c r="B965" s="508"/>
      <c r="C965" s="310"/>
      <c r="D965" s="310"/>
      <c r="E965" s="310"/>
      <c r="F965" s="310"/>
      <c r="G965" s="310"/>
      <c r="H965" s="310"/>
      <c r="I965" s="310"/>
      <c r="J965" s="310"/>
      <c r="K965" s="310"/>
      <c r="L965" s="310"/>
      <c r="M965" s="310"/>
    </row>
    <row r="966" spans="2:13">
      <c r="B966" s="508"/>
      <c r="C966" s="310"/>
      <c r="D966" s="310"/>
      <c r="E966" s="310"/>
      <c r="F966" s="310"/>
      <c r="G966" s="310"/>
      <c r="H966" s="310"/>
      <c r="I966" s="310"/>
      <c r="J966" s="310"/>
      <c r="K966" s="310"/>
      <c r="L966" s="310"/>
      <c r="M966" s="310"/>
    </row>
    <row r="967" spans="2:13">
      <c r="B967" s="508"/>
      <c r="C967" s="310"/>
      <c r="D967" s="310"/>
      <c r="E967" s="310"/>
      <c r="F967" s="310"/>
      <c r="G967" s="310"/>
      <c r="H967" s="310"/>
      <c r="I967" s="310"/>
      <c r="J967" s="310"/>
      <c r="K967" s="310"/>
      <c r="L967" s="310"/>
      <c r="M967" s="310"/>
    </row>
    <row r="968" spans="2:13">
      <c r="B968" s="508"/>
      <c r="C968" s="310"/>
      <c r="D968" s="310"/>
      <c r="E968" s="310"/>
      <c r="F968" s="310"/>
      <c r="G968" s="310"/>
      <c r="H968" s="310"/>
      <c r="I968" s="310"/>
      <c r="J968" s="310"/>
      <c r="K968" s="310"/>
      <c r="L968" s="310"/>
      <c r="M968" s="310"/>
    </row>
    <row r="969" spans="2:13">
      <c r="B969" s="508"/>
      <c r="C969" s="310"/>
      <c r="D969" s="310"/>
      <c r="E969" s="310"/>
      <c r="F969" s="310"/>
      <c r="G969" s="310"/>
      <c r="H969" s="310"/>
      <c r="I969" s="310"/>
      <c r="J969" s="310"/>
      <c r="K969" s="310"/>
      <c r="L969" s="310"/>
      <c r="M969" s="310"/>
    </row>
    <row r="970" spans="2:13">
      <c r="B970" s="508"/>
      <c r="C970" s="310"/>
      <c r="D970" s="310"/>
      <c r="E970" s="310"/>
      <c r="F970" s="310"/>
      <c r="G970" s="310"/>
      <c r="H970" s="310"/>
      <c r="I970" s="310"/>
      <c r="J970" s="310"/>
      <c r="K970" s="310"/>
      <c r="L970" s="310"/>
      <c r="M970" s="310"/>
    </row>
    <row r="971" spans="2:13">
      <c r="B971" s="508"/>
      <c r="C971" s="310"/>
      <c r="D971" s="310"/>
      <c r="E971" s="310"/>
      <c r="F971" s="310"/>
      <c r="G971" s="310"/>
      <c r="H971" s="310"/>
      <c r="I971" s="310"/>
      <c r="J971" s="310"/>
      <c r="K971" s="310"/>
      <c r="L971" s="310"/>
      <c r="M971" s="310"/>
    </row>
    <row r="972" spans="2:13">
      <c r="B972" s="508"/>
      <c r="C972" s="310"/>
      <c r="D972" s="310"/>
      <c r="E972" s="310"/>
      <c r="F972" s="310"/>
      <c r="G972" s="310"/>
      <c r="H972" s="310"/>
      <c r="I972" s="310"/>
      <c r="J972" s="310"/>
      <c r="K972" s="310"/>
      <c r="L972" s="310"/>
      <c r="M972" s="310"/>
    </row>
    <row r="973" spans="2:13">
      <c r="B973" s="508"/>
      <c r="C973" s="310"/>
      <c r="D973" s="310"/>
      <c r="E973" s="310"/>
      <c r="F973" s="310"/>
      <c r="G973" s="310"/>
      <c r="H973" s="310"/>
      <c r="I973" s="310"/>
      <c r="J973" s="310"/>
      <c r="K973" s="310"/>
      <c r="L973" s="310"/>
      <c r="M973" s="310"/>
    </row>
    <row r="974" spans="2:13">
      <c r="B974" s="508"/>
      <c r="C974" s="310"/>
      <c r="D974" s="310"/>
      <c r="E974" s="310"/>
      <c r="F974" s="310"/>
      <c r="G974" s="310"/>
      <c r="H974" s="310"/>
      <c r="I974" s="310"/>
      <c r="J974" s="310"/>
      <c r="K974" s="310"/>
      <c r="L974" s="310"/>
      <c r="M974" s="310"/>
    </row>
    <row r="975" spans="2:13">
      <c r="B975" s="508"/>
      <c r="C975" s="310"/>
      <c r="D975" s="310"/>
      <c r="E975" s="310"/>
      <c r="F975" s="310"/>
      <c r="G975" s="310"/>
      <c r="H975" s="310"/>
      <c r="I975" s="310"/>
      <c r="J975" s="310"/>
      <c r="K975" s="310"/>
      <c r="L975" s="310"/>
      <c r="M975" s="310"/>
    </row>
    <row r="976" spans="2:13">
      <c r="B976" s="508"/>
      <c r="C976" s="310"/>
      <c r="D976" s="310"/>
      <c r="E976" s="310"/>
      <c r="F976" s="310"/>
      <c r="G976" s="310"/>
      <c r="H976" s="310"/>
      <c r="I976" s="310"/>
      <c r="J976" s="310"/>
      <c r="K976" s="310"/>
      <c r="L976" s="310"/>
      <c r="M976" s="310"/>
    </row>
    <row r="977" spans="2:13">
      <c r="B977" s="508"/>
      <c r="C977" s="310"/>
      <c r="D977" s="310"/>
      <c r="E977" s="310"/>
      <c r="F977" s="310"/>
      <c r="G977" s="310"/>
      <c r="H977" s="310"/>
      <c r="I977" s="310"/>
      <c r="J977" s="310"/>
      <c r="K977" s="310"/>
      <c r="L977" s="310"/>
      <c r="M977" s="310"/>
    </row>
    <row r="978" spans="2:13">
      <c r="B978" s="508"/>
      <c r="C978" s="310"/>
      <c r="D978" s="310"/>
      <c r="E978" s="310"/>
      <c r="F978" s="310"/>
      <c r="G978" s="310"/>
      <c r="H978" s="310"/>
      <c r="I978" s="310"/>
      <c r="J978" s="310"/>
      <c r="K978" s="310"/>
      <c r="L978" s="310"/>
      <c r="M978" s="310"/>
    </row>
    <row r="979" spans="2:13">
      <c r="B979" s="508"/>
      <c r="C979" s="310"/>
      <c r="D979" s="310"/>
      <c r="E979" s="310"/>
      <c r="F979" s="310"/>
      <c r="G979" s="310"/>
      <c r="H979" s="310"/>
      <c r="I979" s="310"/>
      <c r="J979" s="310"/>
      <c r="K979" s="310"/>
      <c r="L979" s="310"/>
      <c r="M979" s="310"/>
    </row>
    <row r="980" spans="2:13">
      <c r="B980" s="508"/>
      <c r="C980" s="310"/>
      <c r="D980" s="310"/>
      <c r="E980" s="310"/>
      <c r="F980" s="310"/>
      <c r="G980" s="310"/>
      <c r="H980" s="310"/>
      <c r="I980" s="310"/>
      <c r="J980" s="310"/>
      <c r="K980" s="310"/>
      <c r="L980" s="310"/>
      <c r="M980" s="310"/>
    </row>
    <row r="981" spans="2:13">
      <c r="B981" s="508"/>
      <c r="C981" s="310"/>
      <c r="D981" s="310"/>
      <c r="E981" s="310"/>
      <c r="F981" s="310"/>
      <c r="G981" s="310"/>
      <c r="H981" s="310"/>
      <c r="I981" s="310"/>
      <c r="J981" s="310"/>
      <c r="K981" s="310"/>
      <c r="L981" s="310"/>
      <c r="M981" s="310"/>
    </row>
    <row r="982" spans="2:13">
      <c r="B982" s="508"/>
      <c r="C982" s="310"/>
      <c r="D982" s="310"/>
      <c r="E982" s="310"/>
      <c r="F982" s="310"/>
      <c r="G982" s="310"/>
      <c r="H982" s="310"/>
      <c r="I982" s="310"/>
      <c r="J982" s="310"/>
      <c r="K982" s="310"/>
      <c r="L982" s="310"/>
      <c r="M982" s="310"/>
    </row>
    <row r="983" spans="2:13">
      <c r="B983" s="508"/>
      <c r="C983" s="310"/>
      <c r="D983" s="310"/>
      <c r="E983" s="310"/>
      <c r="F983" s="310"/>
      <c r="G983" s="310"/>
      <c r="H983" s="310"/>
      <c r="I983" s="310"/>
      <c r="J983" s="310"/>
      <c r="K983" s="310"/>
      <c r="L983" s="310"/>
      <c r="M983" s="310"/>
    </row>
    <row r="984" spans="2:13">
      <c r="B984" s="508"/>
      <c r="C984" s="310"/>
      <c r="D984" s="310"/>
      <c r="E984" s="310"/>
      <c r="F984" s="310"/>
      <c r="G984" s="310"/>
      <c r="H984" s="310"/>
      <c r="I984" s="310"/>
      <c r="J984" s="310"/>
      <c r="K984" s="310"/>
      <c r="L984" s="310"/>
      <c r="M984" s="310"/>
    </row>
    <row r="985" spans="2:13">
      <c r="B985" s="508"/>
      <c r="C985" s="310"/>
      <c r="D985" s="310"/>
      <c r="E985" s="310"/>
      <c r="F985" s="310"/>
      <c r="G985" s="310"/>
      <c r="H985" s="310"/>
      <c r="I985" s="310"/>
      <c r="J985" s="310"/>
      <c r="K985" s="310"/>
      <c r="L985" s="310"/>
      <c r="M985" s="310"/>
    </row>
    <row r="986" spans="2:13">
      <c r="B986" s="508"/>
      <c r="C986" s="310"/>
      <c r="D986" s="310"/>
      <c r="E986" s="310"/>
      <c r="F986" s="310"/>
      <c r="G986" s="310"/>
      <c r="H986" s="310"/>
      <c r="I986" s="310"/>
      <c r="J986" s="310"/>
      <c r="K986" s="310"/>
      <c r="L986" s="310"/>
      <c r="M986" s="310"/>
    </row>
    <row r="987" spans="2:13">
      <c r="B987" s="508"/>
      <c r="C987" s="310"/>
      <c r="D987" s="310"/>
      <c r="E987" s="310"/>
      <c r="F987" s="310"/>
      <c r="G987" s="310"/>
      <c r="H987" s="310"/>
      <c r="I987" s="310"/>
      <c r="J987" s="310"/>
      <c r="K987" s="310"/>
      <c r="L987" s="310"/>
      <c r="M987" s="310"/>
    </row>
    <row r="988" spans="2:13">
      <c r="B988" s="508"/>
      <c r="C988" s="310"/>
      <c r="D988" s="310"/>
      <c r="E988" s="310"/>
      <c r="F988" s="310"/>
      <c r="G988" s="310"/>
      <c r="H988" s="310"/>
      <c r="I988" s="310"/>
      <c r="J988" s="310"/>
      <c r="K988" s="310"/>
      <c r="L988" s="310"/>
      <c r="M988" s="310"/>
    </row>
    <row r="989" spans="2:13">
      <c r="B989" s="508"/>
      <c r="C989" s="310"/>
      <c r="D989" s="310"/>
      <c r="E989" s="310"/>
      <c r="F989" s="310"/>
      <c r="G989" s="310"/>
      <c r="H989" s="310"/>
      <c r="I989" s="310"/>
      <c r="J989" s="310"/>
      <c r="K989" s="310"/>
      <c r="L989" s="310"/>
      <c r="M989" s="310"/>
    </row>
    <row r="990" spans="2:13">
      <c r="B990" s="508"/>
      <c r="C990" s="310"/>
      <c r="D990" s="310"/>
      <c r="E990" s="310"/>
      <c r="F990" s="310"/>
      <c r="G990" s="310"/>
      <c r="H990" s="310"/>
      <c r="I990" s="310"/>
      <c r="J990" s="310"/>
      <c r="K990" s="310"/>
      <c r="L990" s="310"/>
      <c r="M990" s="310"/>
    </row>
    <row r="991" spans="2:13">
      <c r="B991" s="508"/>
      <c r="C991" s="310"/>
      <c r="D991" s="310"/>
      <c r="E991" s="310"/>
      <c r="F991" s="310"/>
      <c r="G991" s="310"/>
      <c r="H991" s="310"/>
      <c r="I991" s="310"/>
      <c r="J991" s="310"/>
      <c r="K991" s="310"/>
      <c r="L991" s="310"/>
      <c r="M991" s="310"/>
    </row>
    <row r="992" spans="2:13">
      <c r="B992" s="508"/>
      <c r="C992" s="310"/>
      <c r="D992" s="310"/>
      <c r="E992" s="310"/>
      <c r="F992" s="310"/>
      <c r="G992" s="310"/>
      <c r="H992" s="310"/>
      <c r="I992" s="310"/>
      <c r="J992" s="310"/>
      <c r="K992" s="310"/>
      <c r="L992" s="310"/>
      <c r="M992" s="310"/>
    </row>
    <row r="993" spans="2:13">
      <c r="B993" s="508"/>
      <c r="C993" s="310"/>
      <c r="D993" s="310"/>
      <c r="E993" s="310"/>
      <c r="F993" s="310"/>
      <c r="G993" s="310"/>
      <c r="H993" s="310"/>
      <c r="I993" s="310"/>
      <c r="J993" s="310"/>
      <c r="K993" s="310"/>
      <c r="L993" s="310"/>
      <c r="M993" s="310"/>
    </row>
    <row r="994" spans="2:13">
      <c r="B994" s="508"/>
      <c r="C994" s="310"/>
      <c r="D994" s="310"/>
      <c r="E994" s="310"/>
      <c r="F994" s="310"/>
      <c r="G994" s="310"/>
      <c r="H994" s="310"/>
      <c r="I994" s="310"/>
      <c r="J994" s="310"/>
      <c r="K994" s="310"/>
      <c r="L994" s="310"/>
      <c r="M994" s="310"/>
    </row>
    <row r="995" spans="2:13">
      <c r="B995" s="508"/>
      <c r="C995" s="310"/>
      <c r="D995" s="310"/>
      <c r="E995" s="310"/>
      <c r="F995" s="310"/>
      <c r="G995" s="310"/>
      <c r="H995" s="310"/>
      <c r="I995" s="310"/>
      <c r="J995" s="310"/>
      <c r="K995" s="310"/>
      <c r="L995" s="310"/>
      <c r="M995" s="310"/>
    </row>
    <row r="996" spans="2:13">
      <c r="B996" s="508"/>
      <c r="C996" s="310"/>
      <c r="D996" s="310"/>
      <c r="E996" s="310"/>
      <c r="F996" s="310"/>
      <c r="G996" s="310"/>
      <c r="H996" s="310"/>
      <c r="I996" s="310"/>
      <c r="J996" s="310"/>
      <c r="K996" s="310"/>
      <c r="L996" s="310"/>
      <c r="M996" s="310"/>
    </row>
    <row r="997" spans="2:13">
      <c r="B997" s="508"/>
      <c r="C997" s="310"/>
      <c r="D997" s="310"/>
      <c r="E997" s="310"/>
      <c r="F997" s="310"/>
      <c r="G997" s="310"/>
      <c r="H997" s="310"/>
      <c r="I997" s="310"/>
      <c r="J997" s="310"/>
      <c r="K997" s="310"/>
      <c r="L997" s="310"/>
      <c r="M997" s="310"/>
    </row>
    <row r="998" spans="2:13">
      <c r="B998" s="508"/>
      <c r="C998" s="310"/>
      <c r="D998" s="310"/>
      <c r="E998" s="310"/>
      <c r="F998" s="310"/>
      <c r="G998" s="310"/>
      <c r="H998" s="310"/>
      <c r="I998" s="310"/>
      <c r="J998" s="310"/>
      <c r="K998" s="310"/>
      <c r="L998" s="310"/>
      <c r="M998" s="310"/>
    </row>
    <row r="999" spans="2:13">
      <c r="B999" s="508"/>
      <c r="C999" s="310"/>
      <c r="D999" s="310"/>
      <c r="E999" s="310"/>
      <c r="F999" s="310"/>
      <c r="G999" s="310"/>
      <c r="H999" s="310"/>
      <c r="I999" s="310"/>
      <c r="J999" s="310"/>
      <c r="K999" s="310"/>
      <c r="L999" s="310"/>
      <c r="M999" s="310"/>
    </row>
    <row r="1000" spans="2:13">
      <c r="B1000" s="508"/>
      <c r="C1000" s="310"/>
      <c r="D1000" s="310"/>
      <c r="E1000" s="310"/>
      <c r="F1000" s="310"/>
      <c r="G1000" s="310"/>
      <c r="H1000" s="310"/>
      <c r="I1000" s="310"/>
      <c r="J1000" s="310"/>
      <c r="K1000" s="310"/>
      <c r="L1000" s="310"/>
      <c r="M1000" s="310"/>
    </row>
    <row r="1001" spans="2:13">
      <c r="B1001" s="508"/>
      <c r="C1001" s="310"/>
      <c r="D1001" s="310"/>
      <c r="E1001" s="310"/>
      <c r="F1001" s="310"/>
      <c r="G1001" s="310"/>
      <c r="H1001" s="310"/>
      <c r="I1001" s="310"/>
      <c r="J1001" s="310"/>
      <c r="K1001" s="310"/>
      <c r="L1001" s="310"/>
      <c r="M1001" s="310"/>
    </row>
    <row r="1002" spans="2:13">
      <c r="B1002" s="508"/>
      <c r="C1002" s="310"/>
      <c r="D1002" s="310"/>
      <c r="E1002" s="310"/>
      <c r="F1002" s="310"/>
      <c r="G1002" s="310"/>
      <c r="H1002" s="310"/>
      <c r="I1002" s="310"/>
      <c r="J1002" s="310"/>
      <c r="K1002" s="310"/>
      <c r="L1002" s="310"/>
      <c r="M1002" s="310"/>
    </row>
    <row r="1003" spans="2:13">
      <c r="B1003" s="508"/>
      <c r="C1003" s="310"/>
      <c r="D1003" s="310"/>
      <c r="E1003" s="310"/>
      <c r="F1003" s="310"/>
      <c r="G1003" s="310"/>
      <c r="H1003" s="310"/>
      <c r="I1003" s="310"/>
      <c r="J1003" s="310"/>
      <c r="K1003" s="310"/>
      <c r="L1003" s="310"/>
      <c r="M1003" s="310"/>
    </row>
    <row r="1004" spans="2:13">
      <c r="B1004" s="508"/>
      <c r="C1004" s="310"/>
      <c r="D1004" s="310"/>
      <c r="E1004" s="310"/>
      <c r="F1004" s="310"/>
      <c r="G1004" s="310"/>
      <c r="H1004" s="310"/>
      <c r="I1004" s="310"/>
      <c r="J1004" s="310"/>
      <c r="K1004" s="310"/>
      <c r="L1004" s="310"/>
      <c r="M1004" s="310"/>
    </row>
    <row r="1005" spans="2:13">
      <c r="B1005" s="508"/>
      <c r="C1005" s="310"/>
      <c r="D1005" s="310"/>
      <c r="E1005" s="310"/>
      <c r="F1005" s="310"/>
      <c r="G1005" s="310"/>
      <c r="H1005" s="310"/>
      <c r="I1005" s="310"/>
      <c r="J1005" s="310"/>
      <c r="K1005" s="310"/>
      <c r="L1005" s="310"/>
      <c r="M1005" s="310"/>
    </row>
    <row r="1006" spans="2:13">
      <c r="B1006" s="508"/>
      <c r="C1006" s="310"/>
      <c r="D1006" s="310"/>
      <c r="E1006" s="310"/>
      <c r="F1006" s="310"/>
      <c r="G1006" s="310"/>
      <c r="H1006" s="310"/>
      <c r="I1006" s="310"/>
      <c r="J1006" s="310"/>
      <c r="K1006" s="310"/>
      <c r="L1006" s="310"/>
      <c r="M1006" s="310"/>
    </row>
    <row r="1007" spans="2:13">
      <c r="B1007" s="508"/>
      <c r="C1007" s="310"/>
      <c r="D1007" s="310"/>
      <c r="E1007" s="310"/>
      <c r="F1007" s="310"/>
      <c r="G1007" s="310"/>
      <c r="H1007" s="310"/>
      <c r="I1007" s="310"/>
      <c r="J1007" s="310"/>
      <c r="K1007" s="310"/>
      <c r="L1007" s="310"/>
      <c r="M1007" s="310"/>
    </row>
    <row r="1008" spans="2:13">
      <c r="B1008" s="508"/>
      <c r="C1008" s="310"/>
      <c r="D1008" s="310"/>
      <c r="E1008" s="310"/>
      <c r="F1008" s="310"/>
      <c r="G1008" s="310"/>
      <c r="H1008" s="310"/>
      <c r="I1008" s="310"/>
      <c r="J1008" s="310"/>
      <c r="K1008" s="310"/>
      <c r="L1008" s="310"/>
      <c r="M1008" s="310"/>
    </row>
    <row r="1009" spans="2:13">
      <c r="B1009" s="508"/>
      <c r="C1009" s="310"/>
      <c r="D1009" s="310"/>
      <c r="E1009" s="310"/>
      <c r="F1009" s="310"/>
      <c r="G1009" s="310"/>
      <c r="H1009" s="310"/>
      <c r="I1009" s="310"/>
      <c r="J1009" s="310"/>
      <c r="K1009" s="310"/>
      <c r="L1009" s="310"/>
      <c r="M1009" s="310"/>
    </row>
    <row r="1010" spans="2:13">
      <c r="B1010" s="508"/>
      <c r="C1010" s="310"/>
      <c r="D1010" s="310"/>
      <c r="E1010" s="310"/>
      <c r="F1010" s="310"/>
      <c r="G1010" s="310"/>
      <c r="H1010" s="310"/>
      <c r="I1010" s="310"/>
      <c r="J1010" s="310"/>
      <c r="K1010" s="310"/>
      <c r="L1010" s="310"/>
      <c r="M1010" s="310"/>
    </row>
    <row r="1011" spans="2:13">
      <c r="B1011" s="508"/>
      <c r="C1011" s="310"/>
      <c r="D1011" s="310"/>
      <c r="E1011" s="310"/>
      <c r="F1011" s="310"/>
      <c r="G1011" s="310"/>
      <c r="H1011" s="310"/>
      <c r="I1011" s="310"/>
      <c r="J1011" s="310"/>
      <c r="K1011" s="310"/>
      <c r="L1011" s="310"/>
      <c r="M1011" s="310"/>
    </row>
    <row r="1012" spans="2:13">
      <c r="B1012" s="508"/>
      <c r="C1012" s="310"/>
      <c r="D1012" s="310"/>
      <c r="E1012" s="310"/>
      <c r="F1012" s="310"/>
      <c r="G1012" s="310"/>
      <c r="H1012" s="310"/>
      <c r="I1012" s="310"/>
      <c r="J1012" s="310"/>
      <c r="K1012" s="310"/>
      <c r="L1012" s="310"/>
      <c r="M1012" s="310"/>
    </row>
    <row r="1013" spans="2:13">
      <c r="B1013" s="508"/>
      <c r="C1013" s="310"/>
      <c r="D1013" s="310"/>
      <c r="E1013" s="310"/>
      <c r="F1013" s="310"/>
      <c r="G1013" s="310"/>
      <c r="H1013" s="310"/>
      <c r="I1013" s="310"/>
      <c r="J1013" s="310"/>
      <c r="K1013" s="310"/>
      <c r="L1013" s="310"/>
      <c r="M1013" s="310"/>
    </row>
    <row r="1014" spans="2:13">
      <c r="B1014" s="508"/>
      <c r="C1014" s="310"/>
      <c r="D1014" s="310"/>
      <c r="E1014" s="310"/>
      <c r="F1014" s="310"/>
      <c r="G1014" s="310"/>
      <c r="H1014" s="310"/>
      <c r="I1014" s="310"/>
      <c r="J1014" s="310"/>
      <c r="K1014" s="310"/>
      <c r="L1014" s="310"/>
      <c r="M1014" s="310"/>
    </row>
    <row r="1015" spans="2:13">
      <c r="B1015" s="508"/>
      <c r="C1015" s="310"/>
      <c r="D1015" s="310"/>
      <c r="E1015" s="310"/>
      <c r="F1015" s="310"/>
      <c r="G1015" s="310"/>
      <c r="H1015" s="310"/>
      <c r="I1015" s="310"/>
      <c r="J1015" s="310"/>
      <c r="K1015" s="310"/>
      <c r="L1015" s="310"/>
      <c r="M1015" s="310"/>
    </row>
    <row r="1016" spans="2:13">
      <c r="B1016" s="508"/>
      <c r="C1016" s="310"/>
      <c r="D1016" s="310"/>
      <c r="E1016" s="310"/>
      <c r="F1016" s="310"/>
      <c r="G1016" s="310"/>
      <c r="H1016" s="310"/>
      <c r="I1016" s="310"/>
      <c r="J1016" s="310"/>
      <c r="K1016" s="310"/>
      <c r="L1016" s="310"/>
      <c r="M1016" s="310"/>
    </row>
    <row r="1017" spans="2:13">
      <c r="B1017" s="508"/>
      <c r="C1017" s="310"/>
      <c r="D1017" s="310"/>
      <c r="E1017" s="310"/>
      <c r="F1017" s="310"/>
      <c r="G1017" s="310"/>
      <c r="H1017" s="310"/>
      <c r="I1017" s="310"/>
      <c r="J1017" s="310"/>
      <c r="K1017" s="310"/>
      <c r="L1017" s="310"/>
      <c r="M1017" s="310"/>
    </row>
    <row r="1018" spans="2:13">
      <c r="B1018" s="508"/>
      <c r="C1018" s="310"/>
      <c r="D1018" s="310"/>
      <c r="E1018" s="310"/>
      <c r="F1018" s="310"/>
      <c r="G1018" s="310"/>
      <c r="H1018" s="310"/>
      <c r="I1018" s="310"/>
      <c r="J1018" s="310"/>
      <c r="K1018" s="310"/>
      <c r="L1018" s="310"/>
      <c r="M1018" s="310"/>
    </row>
    <row r="1019" spans="2:13">
      <c r="B1019" s="508"/>
      <c r="C1019" s="310"/>
      <c r="D1019" s="310"/>
      <c r="E1019" s="310"/>
      <c r="F1019" s="310"/>
      <c r="G1019" s="310"/>
      <c r="H1019" s="310"/>
      <c r="I1019" s="310"/>
      <c r="J1019" s="310"/>
      <c r="K1019" s="310"/>
      <c r="L1019" s="310"/>
      <c r="M1019" s="310"/>
    </row>
    <row r="1020" spans="2:13">
      <c r="B1020" s="508"/>
      <c r="C1020" s="310"/>
      <c r="D1020" s="310"/>
      <c r="E1020" s="310"/>
      <c r="F1020" s="310"/>
      <c r="G1020" s="310"/>
      <c r="H1020" s="310"/>
      <c r="I1020" s="310"/>
      <c r="J1020" s="310"/>
      <c r="K1020" s="310"/>
      <c r="L1020" s="310"/>
      <c r="M1020" s="310"/>
    </row>
    <row r="1021" spans="2:13">
      <c r="B1021" s="508"/>
      <c r="C1021" s="310"/>
      <c r="D1021" s="310"/>
      <c r="E1021" s="310"/>
      <c r="F1021" s="310"/>
      <c r="G1021" s="310"/>
      <c r="H1021" s="310"/>
      <c r="I1021" s="310"/>
      <c r="J1021" s="310"/>
      <c r="K1021" s="310"/>
      <c r="L1021" s="310"/>
      <c r="M1021" s="310"/>
    </row>
    <row r="1022" spans="2:13">
      <c r="B1022" s="508"/>
      <c r="C1022" s="310"/>
      <c r="D1022" s="310"/>
      <c r="E1022" s="310"/>
      <c r="F1022" s="310"/>
      <c r="G1022" s="310"/>
      <c r="H1022" s="310"/>
      <c r="I1022" s="310"/>
      <c r="J1022" s="310"/>
      <c r="K1022" s="310"/>
      <c r="L1022" s="310"/>
      <c r="M1022" s="310"/>
    </row>
    <row r="1023" spans="2:13">
      <c r="B1023" s="508"/>
      <c r="C1023" s="310"/>
      <c r="D1023" s="310"/>
      <c r="E1023" s="310"/>
      <c r="F1023" s="310"/>
      <c r="G1023" s="310"/>
      <c r="H1023" s="310"/>
      <c r="I1023" s="310"/>
      <c r="J1023" s="310"/>
      <c r="K1023" s="310"/>
      <c r="L1023" s="310"/>
      <c r="M1023" s="310"/>
    </row>
    <row r="1024" spans="2:13">
      <c r="B1024" s="508"/>
      <c r="C1024" s="310"/>
      <c r="D1024" s="310"/>
      <c r="E1024" s="310"/>
      <c r="F1024" s="310"/>
      <c r="G1024" s="310"/>
      <c r="H1024" s="310"/>
      <c r="I1024" s="310"/>
      <c r="J1024" s="310"/>
      <c r="K1024" s="310"/>
      <c r="L1024" s="310"/>
      <c r="M1024" s="310"/>
    </row>
    <row r="1025" spans="2:13">
      <c r="B1025" s="508"/>
      <c r="C1025" s="310"/>
      <c r="D1025" s="310"/>
      <c r="E1025" s="310"/>
      <c r="F1025" s="310"/>
      <c r="G1025" s="310"/>
      <c r="H1025" s="310"/>
      <c r="I1025" s="310"/>
      <c r="J1025" s="310"/>
      <c r="K1025" s="310"/>
      <c r="L1025" s="310"/>
      <c r="M1025" s="310"/>
    </row>
    <row r="1026" spans="2:13">
      <c r="B1026" s="508"/>
      <c r="C1026" s="310"/>
      <c r="D1026" s="310"/>
      <c r="E1026" s="310"/>
      <c r="F1026" s="310"/>
      <c r="G1026" s="310"/>
      <c r="H1026" s="310"/>
      <c r="I1026" s="310"/>
      <c r="J1026" s="310"/>
      <c r="K1026" s="310"/>
      <c r="L1026" s="310"/>
      <c r="M1026" s="310"/>
    </row>
    <row r="1027" spans="2:13">
      <c r="B1027" s="508"/>
      <c r="C1027" s="310"/>
      <c r="D1027" s="310"/>
      <c r="E1027" s="310"/>
      <c r="F1027" s="310"/>
      <c r="G1027" s="310"/>
      <c r="H1027" s="310"/>
      <c r="I1027" s="310"/>
      <c r="J1027" s="310"/>
      <c r="K1027" s="310"/>
      <c r="L1027" s="310"/>
      <c r="M1027" s="310"/>
    </row>
    <row r="1028" spans="2:13">
      <c r="B1028" s="508"/>
      <c r="C1028" s="310"/>
      <c r="D1028" s="310"/>
      <c r="E1028" s="310"/>
      <c r="F1028" s="310"/>
      <c r="G1028" s="310"/>
      <c r="H1028" s="310"/>
      <c r="I1028" s="310"/>
      <c r="J1028" s="310"/>
      <c r="K1028" s="310"/>
      <c r="L1028" s="310"/>
      <c r="M1028" s="310"/>
    </row>
    <row r="1029" spans="2:13">
      <c r="B1029" s="508"/>
      <c r="C1029" s="310"/>
      <c r="D1029" s="310"/>
      <c r="E1029" s="310"/>
      <c r="F1029" s="310"/>
      <c r="G1029" s="310"/>
      <c r="H1029" s="310"/>
      <c r="I1029" s="310"/>
      <c r="J1029" s="310"/>
      <c r="K1029" s="310"/>
      <c r="L1029" s="310"/>
      <c r="M1029" s="310"/>
    </row>
    <row r="1030" spans="2:13">
      <c r="B1030" s="508"/>
      <c r="C1030" s="310"/>
      <c r="D1030" s="310"/>
      <c r="E1030" s="310"/>
      <c r="F1030" s="310"/>
      <c r="G1030" s="310"/>
      <c r="H1030" s="310"/>
      <c r="I1030" s="310"/>
      <c r="J1030" s="310"/>
      <c r="K1030" s="310"/>
      <c r="L1030" s="310"/>
      <c r="M1030" s="310"/>
    </row>
    <row r="1031" spans="2:13">
      <c r="B1031" s="508"/>
      <c r="C1031" s="310"/>
      <c r="D1031" s="310"/>
      <c r="E1031" s="310"/>
      <c r="F1031" s="310"/>
      <c r="G1031" s="310"/>
      <c r="H1031" s="310"/>
      <c r="I1031" s="310"/>
      <c r="J1031" s="310"/>
      <c r="K1031" s="310"/>
      <c r="L1031" s="310"/>
      <c r="M1031" s="310"/>
    </row>
    <row r="1032" spans="2:13">
      <c r="B1032" s="508"/>
      <c r="C1032" s="310"/>
      <c r="D1032" s="310"/>
      <c r="E1032" s="310"/>
      <c r="F1032" s="310"/>
      <c r="G1032" s="310"/>
      <c r="H1032" s="310"/>
      <c r="I1032" s="310"/>
      <c r="J1032" s="310"/>
      <c r="K1032" s="310"/>
      <c r="L1032" s="310"/>
      <c r="M1032" s="310"/>
    </row>
    <row r="1033" spans="2:13">
      <c r="B1033" s="508"/>
      <c r="C1033" s="310"/>
      <c r="D1033" s="310"/>
      <c r="E1033" s="310"/>
      <c r="F1033" s="310"/>
      <c r="G1033" s="310"/>
      <c r="H1033" s="310"/>
      <c r="I1033" s="310"/>
      <c r="J1033" s="310"/>
      <c r="K1033" s="310"/>
      <c r="L1033" s="310"/>
      <c r="M1033" s="310"/>
    </row>
    <row r="1034" spans="2:13">
      <c r="B1034" s="508"/>
      <c r="C1034" s="310"/>
      <c r="D1034" s="310"/>
      <c r="E1034" s="310"/>
      <c r="F1034" s="310"/>
      <c r="G1034" s="310"/>
      <c r="H1034" s="310"/>
      <c r="I1034" s="310"/>
      <c r="J1034" s="310"/>
      <c r="K1034" s="310"/>
      <c r="L1034" s="310"/>
      <c r="M1034" s="310"/>
    </row>
    <row r="1035" spans="2:13">
      <c r="B1035" s="508"/>
      <c r="C1035" s="310"/>
      <c r="D1035" s="310"/>
      <c r="E1035" s="310"/>
      <c r="F1035" s="310"/>
      <c r="G1035" s="310"/>
      <c r="H1035" s="310"/>
      <c r="I1035" s="310"/>
      <c r="J1035" s="310"/>
      <c r="K1035" s="310"/>
      <c r="L1035" s="310"/>
      <c r="M1035" s="310"/>
    </row>
    <row r="1036" spans="2:13">
      <c r="B1036" s="508"/>
      <c r="C1036" s="310"/>
      <c r="D1036" s="310"/>
      <c r="E1036" s="310"/>
      <c r="F1036" s="310"/>
      <c r="G1036" s="310"/>
      <c r="H1036" s="310"/>
      <c r="I1036" s="310"/>
      <c r="J1036" s="310"/>
      <c r="K1036" s="310"/>
      <c r="L1036" s="310"/>
      <c r="M1036" s="310"/>
    </row>
    <row r="1037" spans="2:13">
      <c r="B1037" s="508"/>
      <c r="C1037" s="310"/>
      <c r="D1037" s="310"/>
      <c r="E1037" s="310"/>
      <c r="F1037" s="310"/>
      <c r="G1037" s="310"/>
      <c r="H1037" s="310"/>
      <c r="I1037" s="310"/>
      <c r="J1037" s="310"/>
      <c r="K1037" s="310"/>
      <c r="L1037" s="310"/>
      <c r="M1037" s="310"/>
    </row>
    <row r="1038" spans="2:13">
      <c r="B1038" s="508"/>
      <c r="C1038" s="310"/>
      <c r="D1038" s="310"/>
      <c r="E1038" s="310"/>
      <c r="F1038" s="310"/>
      <c r="G1038" s="310"/>
      <c r="H1038" s="310"/>
      <c r="I1038" s="310"/>
      <c r="J1038" s="310"/>
      <c r="K1038" s="310"/>
      <c r="L1038" s="310"/>
      <c r="M1038" s="310"/>
    </row>
    <row r="1039" spans="2:13">
      <c r="B1039" s="508"/>
      <c r="C1039" s="310"/>
      <c r="D1039" s="310"/>
      <c r="E1039" s="310"/>
      <c r="F1039" s="310"/>
      <c r="G1039" s="310"/>
      <c r="H1039" s="310"/>
      <c r="I1039" s="310"/>
      <c r="J1039" s="310"/>
      <c r="K1039" s="310"/>
      <c r="L1039" s="310"/>
      <c r="M1039" s="310"/>
    </row>
    <row r="1040" spans="2:13">
      <c r="B1040" s="508"/>
      <c r="C1040" s="310"/>
      <c r="D1040" s="310"/>
      <c r="E1040" s="310"/>
      <c r="F1040" s="310"/>
      <c r="G1040" s="310"/>
      <c r="H1040" s="310"/>
      <c r="I1040" s="310"/>
      <c r="J1040" s="310"/>
      <c r="K1040" s="310"/>
      <c r="L1040" s="310"/>
      <c r="M1040" s="310"/>
    </row>
    <row r="1041" spans="2:13">
      <c r="B1041" s="508"/>
      <c r="C1041" s="310"/>
      <c r="D1041" s="310"/>
      <c r="E1041" s="310"/>
      <c r="F1041" s="310"/>
      <c r="G1041" s="310"/>
      <c r="H1041" s="310"/>
      <c r="I1041" s="310"/>
      <c r="J1041" s="310"/>
      <c r="K1041" s="310"/>
      <c r="L1041" s="310"/>
      <c r="M1041" s="310"/>
    </row>
    <row r="1042" spans="2:13">
      <c r="B1042" s="508"/>
      <c r="C1042" s="310"/>
      <c r="D1042" s="310"/>
      <c r="E1042" s="310"/>
      <c r="F1042" s="310"/>
      <c r="G1042" s="310"/>
      <c r="H1042" s="310"/>
      <c r="I1042" s="310"/>
      <c r="J1042" s="310"/>
      <c r="K1042" s="310"/>
      <c r="L1042" s="310"/>
      <c r="M1042" s="310"/>
    </row>
    <row r="1043" spans="2:13">
      <c r="B1043" s="508"/>
      <c r="C1043" s="310"/>
      <c r="D1043" s="310"/>
      <c r="E1043" s="310"/>
      <c r="F1043" s="310"/>
      <c r="G1043" s="310"/>
      <c r="H1043" s="310"/>
      <c r="I1043" s="310"/>
      <c r="J1043" s="310"/>
      <c r="K1043" s="310"/>
      <c r="L1043" s="310"/>
      <c r="M1043" s="310"/>
    </row>
    <row r="1044" spans="2:13">
      <c r="B1044" s="508"/>
      <c r="C1044" s="310"/>
      <c r="D1044" s="310"/>
      <c r="E1044" s="310"/>
      <c r="F1044" s="310"/>
      <c r="G1044" s="310"/>
      <c r="H1044" s="310"/>
      <c r="I1044" s="310"/>
      <c r="J1044" s="310"/>
      <c r="K1044" s="310"/>
      <c r="L1044" s="310"/>
      <c r="M1044" s="310"/>
    </row>
    <row r="1045" spans="2:13">
      <c r="B1045" s="508"/>
      <c r="C1045" s="310"/>
      <c r="D1045" s="310"/>
      <c r="E1045" s="310"/>
      <c r="F1045" s="310"/>
      <c r="G1045" s="310"/>
      <c r="H1045" s="310"/>
      <c r="I1045" s="310"/>
      <c r="J1045" s="310"/>
      <c r="K1045" s="310"/>
      <c r="L1045" s="310"/>
      <c r="M1045" s="310"/>
    </row>
    <row r="1046" spans="2:13">
      <c r="B1046" s="508"/>
      <c r="C1046" s="310"/>
      <c r="D1046" s="310"/>
      <c r="E1046" s="310"/>
      <c r="F1046" s="310"/>
      <c r="G1046" s="310"/>
      <c r="H1046" s="310"/>
      <c r="I1046" s="310"/>
      <c r="J1046" s="310"/>
      <c r="K1046" s="310"/>
      <c r="L1046" s="310"/>
      <c r="M1046" s="310"/>
    </row>
    <row r="1047" spans="2:13">
      <c r="B1047" s="508"/>
      <c r="C1047" s="310"/>
      <c r="D1047" s="310"/>
      <c r="E1047" s="310"/>
      <c r="F1047" s="310"/>
      <c r="G1047" s="310"/>
      <c r="H1047" s="310"/>
      <c r="I1047" s="310"/>
      <c r="J1047" s="310"/>
      <c r="K1047" s="310"/>
      <c r="L1047" s="310"/>
      <c r="M1047" s="310"/>
    </row>
    <row r="1048" spans="2:13">
      <c r="B1048" s="508"/>
      <c r="C1048" s="310"/>
      <c r="D1048" s="310"/>
      <c r="E1048" s="310"/>
      <c r="F1048" s="310"/>
      <c r="G1048" s="310"/>
      <c r="H1048" s="310"/>
      <c r="I1048" s="310"/>
      <c r="J1048" s="310"/>
      <c r="K1048" s="310"/>
      <c r="L1048" s="310"/>
      <c r="M1048" s="310"/>
    </row>
    <row r="1049" spans="2:13">
      <c r="B1049" s="508"/>
      <c r="C1049" s="310"/>
      <c r="D1049" s="310"/>
      <c r="E1049" s="310"/>
      <c r="F1049" s="310"/>
      <c r="G1049" s="310"/>
      <c r="H1049" s="310"/>
      <c r="I1049" s="310"/>
      <c r="J1049" s="310"/>
      <c r="K1049" s="310"/>
      <c r="L1049" s="310"/>
      <c r="M1049" s="310"/>
    </row>
    <row r="1050" spans="2:13">
      <c r="B1050" s="508"/>
      <c r="C1050" s="310"/>
      <c r="D1050" s="310"/>
      <c r="E1050" s="310"/>
      <c r="F1050" s="310"/>
      <c r="G1050" s="310"/>
      <c r="H1050" s="310"/>
      <c r="I1050" s="310"/>
      <c r="J1050" s="310"/>
      <c r="K1050" s="310"/>
      <c r="L1050" s="310"/>
      <c r="M1050" s="310"/>
    </row>
    <row r="1051" spans="2:13">
      <c r="B1051" s="508"/>
      <c r="C1051" s="310"/>
      <c r="D1051" s="310"/>
      <c r="E1051" s="310"/>
      <c r="F1051" s="310"/>
      <c r="G1051" s="310"/>
      <c r="H1051" s="310"/>
      <c r="I1051" s="310"/>
      <c r="J1051" s="310"/>
      <c r="K1051" s="310"/>
      <c r="L1051" s="310"/>
      <c r="M1051" s="310"/>
    </row>
    <row r="1052" spans="2:13">
      <c r="B1052" s="508"/>
      <c r="C1052" s="310"/>
      <c r="D1052" s="310"/>
      <c r="E1052" s="310"/>
      <c r="F1052" s="310"/>
      <c r="G1052" s="310"/>
      <c r="H1052" s="310"/>
      <c r="I1052" s="310"/>
      <c r="J1052" s="310"/>
      <c r="K1052" s="310"/>
      <c r="L1052" s="310"/>
      <c r="M1052" s="310"/>
    </row>
    <row r="1053" spans="2:13">
      <c r="B1053" s="508"/>
      <c r="C1053" s="310"/>
      <c r="D1053" s="310"/>
      <c r="E1053" s="310"/>
      <c r="F1053" s="310"/>
      <c r="G1053" s="310"/>
      <c r="H1053" s="310"/>
      <c r="I1053" s="310"/>
      <c r="J1053" s="310"/>
      <c r="K1053" s="310"/>
      <c r="L1053" s="310"/>
      <c r="M1053" s="310"/>
    </row>
    <row r="1054" spans="2:13">
      <c r="B1054" s="508"/>
      <c r="C1054" s="310"/>
      <c r="D1054" s="310"/>
      <c r="E1054" s="310"/>
      <c r="F1054" s="310"/>
      <c r="G1054" s="310"/>
      <c r="H1054" s="310"/>
      <c r="I1054" s="310"/>
      <c r="J1054" s="310"/>
      <c r="K1054" s="310"/>
      <c r="L1054" s="310"/>
      <c r="M1054" s="310"/>
    </row>
    <row r="1055" spans="2:13">
      <c r="B1055" s="508"/>
      <c r="C1055" s="310"/>
      <c r="D1055" s="310"/>
      <c r="E1055" s="310"/>
      <c r="F1055" s="310"/>
      <c r="G1055" s="310"/>
      <c r="H1055" s="310"/>
      <c r="I1055" s="310"/>
      <c r="J1055" s="310"/>
      <c r="K1055" s="310"/>
      <c r="L1055" s="310"/>
      <c r="M1055" s="310"/>
    </row>
    <row r="1056" spans="2:13">
      <c r="B1056" s="508"/>
      <c r="C1056" s="310"/>
      <c r="D1056" s="310"/>
      <c r="E1056" s="310"/>
      <c r="F1056" s="310"/>
      <c r="G1056" s="310"/>
      <c r="H1056" s="310"/>
      <c r="I1056" s="310"/>
      <c r="J1056" s="310"/>
      <c r="K1056" s="310"/>
      <c r="L1056" s="310"/>
      <c r="M1056" s="310"/>
    </row>
    <row r="1057" spans="2:13">
      <c r="B1057" s="508"/>
      <c r="C1057" s="310"/>
      <c r="D1057" s="310"/>
      <c r="E1057" s="310"/>
      <c r="F1057" s="310"/>
      <c r="G1057" s="310"/>
      <c r="H1057" s="310"/>
      <c r="I1057" s="310"/>
      <c r="J1057" s="310"/>
      <c r="K1057" s="310"/>
      <c r="L1057" s="310"/>
      <c r="M1057" s="310"/>
    </row>
    <row r="1058" spans="2:13">
      <c r="B1058" s="508"/>
      <c r="C1058" s="310"/>
      <c r="D1058" s="310"/>
      <c r="E1058" s="310"/>
      <c r="F1058" s="310"/>
      <c r="G1058" s="310"/>
      <c r="H1058" s="310"/>
      <c r="I1058" s="310"/>
      <c r="J1058" s="310"/>
      <c r="K1058" s="310"/>
      <c r="L1058" s="310"/>
      <c r="M1058" s="310"/>
    </row>
    <row r="1059" spans="2:13">
      <c r="B1059" s="508"/>
      <c r="C1059" s="310"/>
      <c r="D1059" s="310"/>
      <c r="E1059" s="310"/>
      <c r="F1059" s="310"/>
      <c r="G1059" s="310"/>
      <c r="H1059" s="310"/>
      <c r="I1059" s="310"/>
      <c r="J1059" s="310"/>
      <c r="K1059" s="310"/>
      <c r="L1059" s="310"/>
      <c r="M1059" s="310"/>
    </row>
    <row r="1060" spans="2:13">
      <c r="B1060" s="508"/>
      <c r="C1060" s="310"/>
      <c r="D1060" s="310"/>
      <c r="E1060" s="310"/>
      <c r="F1060" s="310"/>
      <c r="G1060" s="310"/>
      <c r="H1060" s="310"/>
      <c r="I1060" s="310"/>
      <c r="J1060" s="310"/>
      <c r="K1060" s="310"/>
      <c r="L1060" s="310"/>
      <c r="M1060" s="310"/>
    </row>
    <row r="1061" spans="2:13">
      <c r="B1061" s="508"/>
      <c r="C1061" s="310"/>
      <c r="D1061" s="310"/>
      <c r="E1061" s="310"/>
      <c r="F1061" s="310"/>
      <c r="G1061" s="310"/>
      <c r="H1061" s="310"/>
      <c r="I1061" s="310"/>
      <c r="J1061" s="310"/>
      <c r="K1061" s="310"/>
      <c r="L1061" s="310"/>
      <c r="M1061" s="310"/>
    </row>
    <row r="1062" spans="2:13">
      <c r="B1062" s="508"/>
      <c r="C1062" s="310"/>
      <c r="D1062" s="310"/>
      <c r="E1062" s="310"/>
      <c r="F1062" s="310"/>
      <c r="G1062" s="310"/>
      <c r="H1062" s="310"/>
      <c r="I1062" s="310"/>
      <c r="J1062" s="310"/>
      <c r="K1062" s="310"/>
      <c r="L1062" s="310"/>
      <c r="M1062" s="310"/>
    </row>
    <row r="1063" spans="2:13">
      <c r="B1063" s="508"/>
      <c r="C1063" s="310"/>
      <c r="D1063" s="310"/>
      <c r="E1063" s="310"/>
      <c r="F1063" s="310"/>
      <c r="G1063" s="310"/>
      <c r="H1063" s="310"/>
      <c r="I1063" s="310"/>
      <c r="J1063" s="310"/>
      <c r="K1063" s="310"/>
      <c r="L1063" s="310"/>
      <c r="M1063" s="310"/>
    </row>
    <row r="1064" spans="2:13">
      <c r="B1064" s="508"/>
      <c r="C1064" s="310"/>
      <c r="D1064" s="310"/>
      <c r="E1064" s="310"/>
      <c r="F1064" s="310"/>
      <c r="G1064" s="310"/>
      <c r="H1064" s="310"/>
      <c r="I1064" s="310"/>
      <c r="J1064" s="310"/>
      <c r="K1064" s="310"/>
      <c r="L1064" s="310"/>
      <c r="M1064" s="310"/>
    </row>
    <row r="1065" spans="2:13">
      <c r="B1065" s="508"/>
      <c r="C1065" s="310"/>
      <c r="D1065" s="310"/>
      <c r="E1065" s="310"/>
      <c r="F1065" s="310"/>
      <c r="G1065" s="310"/>
      <c r="H1065" s="310"/>
      <c r="I1065" s="310"/>
      <c r="J1065" s="310"/>
      <c r="K1065" s="310"/>
      <c r="L1065" s="310"/>
      <c r="M1065" s="310"/>
    </row>
    <row r="1066" spans="2:13">
      <c r="B1066" s="508"/>
      <c r="C1066" s="310"/>
      <c r="D1066" s="310"/>
      <c r="E1066" s="310"/>
      <c r="F1066" s="310"/>
      <c r="G1066" s="310"/>
      <c r="H1066" s="310"/>
      <c r="I1066" s="310"/>
      <c r="J1066" s="310"/>
      <c r="K1066" s="310"/>
      <c r="L1066" s="310"/>
      <c r="M1066" s="310"/>
    </row>
    <row r="1067" spans="2:13">
      <c r="B1067" s="508"/>
      <c r="C1067" s="310"/>
      <c r="D1067" s="310"/>
      <c r="E1067" s="310"/>
      <c r="F1067" s="310"/>
      <c r="G1067" s="310"/>
      <c r="H1067" s="310"/>
      <c r="I1067" s="310"/>
      <c r="J1067" s="310"/>
      <c r="K1067" s="310"/>
      <c r="L1067" s="310"/>
      <c r="M1067" s="310"/>
    </row>
    <row r="1068" spans="2:13">
      <c r="B1068" s="508"/>
      <c r="C1068" s="310"/>
      <c r="D1068" s="310"/>
      <c r="E1068" s="310"/>
      <c r="F1068" s="310"/>
      <c r="G1068" s="310"/>
      <c r="H1068" s="310"/>
      <c r="I1068" s="310"/>
      <c r="J1068" s="310"/>
      <c r="K1068" s="310"/>
      <c r="L1068" s="310"/>
      <c r="M1068" s="310"/>
    </row>
    <row r="1069" spans="2:13">
      <c r="B1069" s="508"/>
      <c r="C1069" s="310"/>
      <c r="D1069" s="310"/>
      <c r="E1069" s="310"/>
      <c r="F1069" s="310"/>
      <c r="G1069" s="310"/>
      <c r="H1069" s="310"/>
      <c r="I1069" s="310"/>
      <c r="J1069" s="310"/>
      <c r="K1069" s="310"/>
      <c r="L1069" s="310"/>
      <c r="M1069" s="310"/>
    </row>
    <row r="1070" spans="2:13">
      <c r="B1070" s="508"/>
      <c r="C1070" s="310"/>
      <c r="D1070" s="310"/>
      <c r="E1070" s="310"/>
      <c r="F1070" s="310"/>
      <c r="G1070" s="310"/>
      <c r="H1070" s="310"/>
      <c r="I1070" s="310"/>
      <c r="J1070" s="310"/>
      <c r="K1070" s="310"/>
      <c r="L1070" s="310"/>
      <c r="M1070" s="310"/>
    </row>
    <row r="1071" spans="2:13">
      <c r="B1071" s="508"/>
      <c r="C1071" s="310"/>
      <c r="D1071" s="310"/>
      <c r="E1071" s="310"/>
      <c r="F1071" s="310"/>
      <c r="G1071" s="310"/>
      <c r="H1071" s="310"/>
      <c r="I1071" s="310"/>
      <c r="J1071" s="310"/>
      <c r="K1071" s="310"/>
      <c r="L1071" s="310"/>
      <c r="M1071" s="310"/>
    </row>
    <row r="1072" spans="2:13">
      <c r="B1072" s="508"/>
      <c r="C1072" s="310"/>
      <c r="D1072" s="310"/>
      <c r="E1072" s="310"/>
      <c r="F1072" s="310"/>
      <c r="G1072" s="310"/>
      <c r="H1072" s="310"/>
      <c r="I1072" s="310"/>
      <c r="J1072" s="310"/>
      <c r="K1072" s="310"/>
      <c r="L1072" s="310"/>
      <c r="M1072" s="310"/>
    </row>
    <row r="1073" spans="2:13">
      <c r="B1073" s="508"/>
      <c r="C1073" s="310"/>
      <c r="D1073" s="310"/>
      <c r="E1073" s="310"/>
      <c r="F1073" s="310"/>
      <c r="G1073" s="310"/>
      <c r="H1073" s="310"/>
      <c r="I1073" s="310"/>
      <c r="J1073" s="310"/>
      <c r="K1073" s="310"/>
      <c r="L1073" s="310"/>
      <c r="M1073" s="310"/>
    </row>
    <row r="1074" spans="2:13">
      <c r="B1074" s="508"/>
      <c r="C1074" s="310"/>
      <c r="D1074" s="310"/>
      <c r="E1074" s="310"/>
      <c r="F1074" s="310"/>
      <c r="G1074" s="310"/>
      <c r="H1074" s="310"/>
      <c r="I1074" s="310"/>
      <c r="J1074" s="310"/>
      <c r="K1074" s="310"/>
      <c r="L1074" s="310"/>
      <c r="M1074" s="310"/>
    </row>
    <row r="1075" spans="2:13">
      <c r="B1075" s="508"/>
      <c r="C1075" s="310"/>
      <c r="D1075" s="310"/>
      <c r="E1075" s="310"/>
      <c r="F1075" s="310"/>
      <c r="G1075" s="310"/>
      <c r="H1075" s="310"/>
      <c r="I1075" s="310"/>
      <c r="J1075" s="310"/>
      <c r="K1075" s="310"/>
      <c r="L1075" s="310"/>
      <c r="M1075" s="310"/>
    </row>
    <row r="1076" spans="2:13">
      <c r="B1076" s="508"/>
      <c r="C1076" s="310"/>
      <c r="D1076" s="310"/>
      <c r="E1076" s="310"/>
      <c r="F1076" s="310"/>
      <c r="G1076" s="310"/>
      <c r="H1076" s="310"/>
      <c r="I1076" s="310"/>
      <c r="J1076" s="310"/>
      <c r="K1076" s="310"/>
      <c r="L1076" s="310"/>
      <c r="M1076" s="310"/>
    </row>
    <row r="1077" spans="2:13">
      <c r="B1077" s="508"/>
      <c r="C1077" s="310"/>
      <c r="D1077" s="310"/>
      <c r="E1077" s="310"/>
      <c r="F1077" s="310"/>
      <c r="G1077" s="310"/>
      <c r="H1077" s="310"/>
      <c r="I1077" s="310"/>
      <c r="J1077" s="310"/>
      <c r="K1077" s="310"/>
      <c r="L1077" s="310"/>
      <c r="M1077" s="310"/>
    </row>
    <row r="1078" spans="2:13">
      <c r="B1078" s="508"/>
      <c r="C1078" s="310"/>
      <c r="D1078" s="310"/>
      <c r="E1078" s="310"/>
      <c r="F1078" s="310"/>
      <c r="G1078" s="310"/>
      <c r="H1078" s="310"/>
      <c r="I1078" s="310"/>
      <c r="J1078" s="310"/>
      <c r="K1078" s="310"/>
      <c r="L1078" s="310"/>
      <c r="M1078" s="310"/>
    </row>
    <row r="1079" spans="2:13">
      <c r="B1079" s="508"/>
      <c r="C1079" s="310"/>
      <c r="D1079" s="310"/>
      <c r="E1079" s="310"/>
      <c r="F1079" s="310"/>
      <c r="G1079" s="310"/>
      <c r="H1079" s="310"/>
      <c r="I1079" s="310"/>
      <c r="J1079" s="310"/>
      <c r="K1079" s="310"/>
      <c r="L1079" s="310"/>
      <c r="M1079" s="310"/>
    </row>
    <row r="1080" spans="2:13">
      <c r="B1080" s="508"/>
      <c r="C1080" s="310"/>
      <c r="D1080" s="310"/>
      <c r="E1080" s="310"/>
      <c r="F1080" s="310"/>
      <c r="G1080" s="310"/>
      <c r="H1080" s="310"/>
      <c r="I1080" s="310"/>
      <c r="J1080" s="310"/>
      <c r="K1080" s="310"/>
      <c r="L1080" s="310"/>
      <c r="M1080" s="310"/>
    </row>
    <row r="1081" spans="2:13">
      <c r="B1081" s="508"/>
      <c r="C1081" s="310"/>
      <c r="D1081" s="310"/>
      <c r="E1081" s="310"/>
      <c r="F1081" s="310"/>
      <c r="G1081" s="310"/>
      <c r="H1081" s="310"/>
      <c r="I1081" s="310"/>
      <c r="J1081" s="310"/>
      <c r="K1081" s="310"/>
      <c r="L1081" s="310"/>
      <c r="M1081" s="310"/>
    </row>
    <row r="1082" spans="2:13">
      <c r="B1082" s="508"/>
      <c r="C1082" s="310"/>
      <c r="D1082" s="310"/>
      <c r="E1082" s="310"/>
      <c r="F1082" s="310"/>
      <c r="G1082" s="310"/>
      <c r="H1082" s="310"/>
      <c r="I1082" s="310"/>
      <c r="J1082" s="310"/>
      <c r="K1082" s="310"/>
      <c r="L1082" s="310"/>
      <c r="M1082" s="310"/>
    </row>
    <row r="1083" spans="2:13">
      <c r="B1083" s="508"/>
      <c r="C1083" s="310"/>
      <c r="D1083" s="310"/>
      <c r="E1083" s="310"/>
      <c r="F1083" s="310"/>
      <c r="G1083" s="310"/>
      <c r="H1083" s="310"/>
      <c r="I1083" s="310"/>
      <c r="J1083" s="310"/>
      <c r="K1083" s="310"/>
      <c r="L1083" s="310"/>
      <c r="M1083" s="310"/>
    </row>
    <row r="1084" spans="2:13">
      <c r="B1084" s="508"/>
      <c r="C1084" s="310"/>
      <c r="D1084" s="310"/>
      <c r="E1084" s="310"/>
      <c r="F1084" s="310"/>
      <c r="G1084" s="310"/>
      <c r="H1084" s="310"/>
      <c r="I1084" s="310"/>
      <c r="J1084" s="310"/>
      <c r="K1084" s="310"/>
      <c r="L1084" s="310"/>
      <c r="M1084" s="310"/>
    </row>
    <row r="1085" spans="2:13">
      <c r="B1085" s="508"/>
      <c r="C1085" s="310"/>
      <c r="D1085" s="310"/>
      <c r="E1085" s="310"/>
      <c r="F1085" s="310"/>
      <c r="G1085" s="310"/>
      <c r="H1085" s="310"/>
      <c r="I1085" s="310"/>
      <c r="J1085" s="310"/>
      <c r="K1085" s="310"/>
      <c r="L1085" s="310"/>
      <c r="M1085" s="310"/>
    </row>
    <row r="1086" spans="2:13">
      <c r="B1086" s="508"/>
      <c r="C1086" s="310"/>
      <c r="D1086" s="310"/>
      <c r="E1086" s="310"/>
      <c r="F1086" s="310"/>
      <c r="G1086" s="310"/>
      <c r="H1086" s="310"/>
      <c r="I1086" s="310"/>
      <c r="J1086" s="310"/>
      <c r="K1086" s="310"/>
      <c r="L1086" s="310"/>
      <c r="M1086" s="310"/>
    </row>
    <row r="1087" spans="2:13">
      <c r="B1087" s="508"/>
      <c r="C1087" s="310"/>
      <c r="D1087" s="310"/>
      <c r="E1087" s="310"/>
      <c r="F1087" s="310"/>
      <c r="G1087" s="310"/>
      <c r="H1087" s="310"/>
      <c r="I1087" s="310"/>
      <c r="J1087" s="310"/>
      <c r="K1087" s="310"/>
      <c r="L1087" s="310"/>
      <c r="M1087" s="310"/>
    </row>
    <row r="1088" spans="2:13">
      <c r="B1088" s="508"/>
      <c r="C1088" s="310"/>
      <c r="D1088" s="310"/>
      <c r="E1088" s="310"/>
      <c r="F1088" s="310"/>
      <c r="G1088" s="310"/>
      <c r="H1088" s="310"/>
      <c r="I1088" s="310"/>
      <c r="J1088" s="310"/>
      <c r="K1088" s="310"/>
      <c r="L1088" s="310"/>
      <c r="M1088" s="310"/>
    </row>
    <row r="1089" spans="2:13">
      <c r="B1089" s="508"/>
      <c r="C1089" s="310"/>
      <c r="D1089" s="310"/>
      <c r="E1089" s="310"/>
      <c r="F1089" s="310"/>
      <c r="G1089" s="310"/>
      <c r="H1089" s="310"/>
      <c r="I1089" s="310"/>
      <c r="J1089" s="310"/>
      <c r="K1089" s="310"/>
      <c r="L1089" s="310"/>
      <c r="M1089" s="310"/>
    </row>
    <row r="1090" spans="2:13">
      <c r="B1090" s="508"/>
      <c r="C1090" s="310"/>
      <c r="D1090" s="310"/>
      <c r="E1090" s="310"/>
      <c r="F1090" s="310"/>
      <c r="G1090" s="310"/>
      <c r="H1090" s="310"/>
      <c r="I1090" s="310"/>
      <c r="J1090" s="310"/>
      <c r="K1090" s="310"/>
      <c r="L1090" s="310"/>
      <c r="M1090" s="310"/>
    </row>
    <row r="1091" spans="2:13">
      <c r="B1091" s="508"/>
      <c r="C1091" s="310"/>
      <c r="D1091" s="310"/>
      <c r="E1091" s="310"/>
      <c r="F1091" s="310"/>
      <c r="G1091" s="310"/>
      <c r="H1091" s="310"/>
      <c r="I1091" s="310"/>
      <c r="J1091" s="310"/>
      <c r="K1091" s="310"/>
      <c r="L1091" s="310"/>
      <c r="M1091" s="310"/>
    </row>
    <row r="1092" spans="2:13">
      <c r="B1092" s="508"/>
      <c r="C1092" s="310"/>
      <c r="D1092" s="310"/>
      <c r="E1092" s="310"/>
      <c r="F1092" s="310"/>
      <c r="G1092" s="310"/>
      <c r="H1092" s="310"/>
      <c r="I1092" s="310"/>
      <c r="J1092" s="310"/>
      <c r="K1092" s="310"/>
      <c r="L1092" s="310"/>
      <c r="M1092" s="310"/>
    </row>
    <row r="1093" spans="2:13">
      <c r="B1093" s="508"/>
      <c r="C1093" s="310"/>
      <c r="D1093" s="310"/>
      <c r="E1093" s="310"/>
      <c r="F1093" s="310"/>
      <c r="G1093" s="310"/>
      <c r="H1093" s="310"/>
      <c r="I1093" s="310"/>
      <c r="J1093" s="310"/>
      <c r="K1093" s="310"/>
      <c r="L1093" s="310"/>
      <c r="M1093" s="310"/>
    </row>
    <row r="1094" spans="2:13">
      <c r="B1094" s="508"/>
      <c r="C1094" s="310"/>
      <c r="D1094" s="310"/>
      <c r="E1094" s="310"/>
      <c r="F1094" s="310"/>
      <c r="G1094" s="310"/>
      <c r="H1094" s="310"/>
      <c r="I1094" s="310"/>
      <c r="J1094" s="310"/>
      <c r="K1094" s="310"/>
      <c r="L1094" s="310"/>
      <c r="M1094" s="310"/>
    </row>
    <row r="1095" spans="2:13">
      <c r="B1095" s="508"/>
      <c r="C1095" s="310"/>
      <c r="D1095" s="310"/>
      <c r="E1095" s="310"/>
      <c r="F1095" s="310"/>
      <c r="G1095" s="310"/>
      <c r="H1095" s="310"/>
      <c r="I1095" s="310"/>
      <c r="J1095" s="310"/>
      <c r="K1095" s="310"/>
      <c r="L1095" s="310"/>
      <c r="M1095" s="310"/>
    </row>
    <row r="1096" spans="2:13">
      <c r="B1096" s="508"/>
      <c r="C1096" s="310"/>
      <c r="D1096" s="310"/>
      <c r="E1096" s="310"/>
      <c r="F1096" s="310"/>
      <c r="G1096" s="310"/>
      <c r="H1096" s="310"/>
      <c r="I1096" s="310"/>
      <c r="J1096" s="310"/>
      <c r="K1096" s="310"/>
      <c r="L1096" s="310"/>
      <c r="M1096" s="310"/>
    </row>
    <row r="1097" spans="2:13">
      <c r="B1097" s="508"/>
      <c r="C1097" s="310"/>
      <c r="D1097" s="310"/>
      <c r="E1097" s="310"/>
      <c r="F1097" s="310"/>
      <c r="G1097" s="310"/>
      <c r="H1097" s="310"/>
      <c r="I1097" s="310"/>
      <c r="J1097" s="310"/>
      <c r="K1097" s="310"/>
      <c r="L1097" s="310"/>
      <c r="M1097" s="310"/>
    </row>
    <row r="1098" spans="2:13">
      <c r="B1098" s="508"/>
      <c r="C1098" s="310"/>
      <c r="D1098" s="310"/>
      <c r="E1098" s="310"/>
      <c r="F1098" s="310"/>
      <c r="G1098" s="310"/>
      <c r="H1098" s="310"/>
      <c r="I1098" s="310"/>
      <c r="J1098" s="310"/>
      <c r="K1098" s="310"/>
      <c r="L1098" s="310"/>
      <c r="M1098" s="310"/>
    </row>
    <row r="1099" spans="2:13">
      <c r="B1099" s="508"/>
      <c r="C1099" s="310"/>
      <c r="D1099" s="310"/>
      <c r="E1099" s="310"/>
      <c r="F1099" s="310"/>
      <c r="G1099" s="310"/>
      <c r="H1099" s="310"/>
      <c r="I1099" s="310"/>
      <c r="J1099" s="310"/>
      <c r="K1099" s="310"/>
      <c r="L1099" s="310"/>
      <c r="M1099" s="310"/>
    </row>
    <row r="1100" spans="2:13">
      <c r="B1100" s="508"/>
      <c r="C1100" s="310"/>
      <c r="D1100" s="310"/>
      <c r="E1100" s="310"/>
      <c r="F1100" s="310"/>
      <c r="G1100" s="310"/>
      <c r="H1100" s="310"/>
      <c r="I1100" s="310"/>
      <c r="J1100" s="310"/>
      <c r="K1100" s="310"/>
      <c r="L1100" s="310"/>
      <c r="M1100" s="310"/>
    </row>
    <row r="1101" spans="2:13">
      <c r="B1101" s="508"/>
      <c r="C1101" s="310"/>
      <c r="D1101" s="310"/>
      <c r="E1101" s="310"/>
      <c r="F1101" s="310"/>
      <c r="G1101" s="310"/>
      <c r="H1101" s="310"/>
      <c r="I1101" s="310"/>
      <c r="J1101" s="310"/>
      <c r="K1101" s="310"/>
      <c r="L1101" s="310"/>
      <c r="M1101" s="310"/>
    </row>
    <row r="1102" spans="2:13">
      <c r="B1102" s="508"/>
      <c r="C1102" s="310"/>
      <c r="D1102" s="310"/>
      <c r="E1102" s="310"/>
      <c r="F1102" s="310"/>
      <c r="G1102" s="310"/>
      <c r="H1102" s="310"/>
      <c r="I1102" s="310"/>
      <c r="J1102" s="310"/>
      <c r="K1102" s="310"/>
      <c r="L1102" s="310"/>
      <c r="M1102" s="310"/>
    </row>
    <row r="1103" spans="2:13">
      <c r="B1103" s="508"/>
      <c r="C1103" s="310"/>
      <c r="D1103" s="310"/>
      <c r="E1103" s="310"/>
      <c r="F1103" s="310"/>
      <c r="G1103" s="310"/>
      <c r="H1103" s="310"/>
      <c r="I1103" s="310"/>
      <c r="J1103" s="310"/>
      <c r="K1103" s="310"/>
      <c r="L1103" s="310"/>
      <c r="M1103" s="310"/>
    </row>
    <row r="1104" spans="2:13">
      <c r="B1104" s="508"/>
      <c r="C1104" s="310"/>
      <c r="D1104" s="310"/>
      <c r="E1104" s="310"/>
      <c r="F1104" s="310"/>
      <c r="G1104" s="310"/>
      <c r="H1104" s="310"/>
      <c r="I1104" s="310"/>
      <c r="J1104" s="310"/>
      <c r="K1104" s="310"/>
      <c r="L1104" s="310"/>
      <c r="M1104" s="310"/>
    </row>
    <row r="1105" spans="2:13">
      <c r="B1105" s="508"/>
      <c r="C1105" s="310"/>
      <c r="D1105" s="310"/>
      <c r="E1105" s="310"/>
      <c r="F1105" s="310"/>
      <c r="G1105" s="310"/>
      <c r="H1105" s="310"/>
      <c r="I1105" s="310"/>
      <c r="J1105" s="310"/>
      <c r="K1105" s="310"/>
      <c r="L1105" s="310"/>
      <c r="M1105" s="310"/>
    </row>
    <row r="1106" spans="2:13">
      <c r="B1106" s="508"/>
      <c r="C1106" s="310"/>
      <c r="D1106" s="310"/>
      <c r="E1106" s="310"/>
      <c r="F1106" s="310"/>
      <c r="G1106" s="310"/>
      <c r="H1106" s="310"/>
      <c r="I1106" s="310"/>
      <c r="J1106" s="310"/>
      <c r="K1106" s="310"/>
      <c r="L1106" s="310"/>
      <c r="M1106" s="310"/>
    </row>
    <row r="1107" spans="2:13">
      <c r="B1107" s="508"/>
      <c r="C1107" s="310"/>
      <c r="D1107" s="310"/>
      <c r="E1107" s="310"/>
      <c r="F1107" s="310"/>
      <c r="G1107" s="310"/>
      <c r="H1107" s="310"/>
      <c r="I1107" s="310"/>
      <c r="J1107" s="310"/>
      <c r="K1107" s="310"/>
      <c r="L1107" s="310"/>
      <c r="M1107" s="310"/>
    </row>
    <row r="1108" spans="2:13">
      <c r="B1108" s="508"/>
      <c r="C1108" s="310"/>
      <c r="D1108" s="310"/>
      <c r="E1108" s="310"/>
      <c r="F1108" s="310"/>
      <c r="G1108" s="310"/>
      <c r="H1108" s="310"/>
      <c r="I1108" s="310"/>
      <c r="J1108" s="310"/>
      <c r="K1108" s="310"/>
      <c r="L1108" s="310"/>
      <c r="M1108" s="310"/>
    </row>
    <row r="1109" spans="2:13">
      <c r="B1109" s="508"/>
      <c r="C1109" s="310"/>
      <c r="D1109" s="310"/>
      <c r="E1109" s="310"/>
      <c r="F1109" s="310"/>
      <c r="G1109" s="310"/>
      <c r="H1109" s="310"/>
      <c r="I1109" s="310"/>
      <c r="J1109" s="310"/>
      <c r="K1109" s="310"/>
      <c r="L1109" s="310"/>
      <c r="M1109" s="310"/>
    </row>
    <row r="1110" spans="2:13">
      <c r="B1110" s="508"/>
      <c r="C1110" s="310"/>
      <c r="D1110" s="310"/>
      <c r="E1110" s="310"/>
      <c r="F1110" s="310"/>
      <c r="G1110" s="310"/>
      <c r="H1110" s="310"/>
      <c r="I1110" s="310"/>
      <c r="J1110" s="310"/>
      <c r="K1110" s="310"/>
      <c r="L1110" s="310"/>
      <c r="M1110" s="310"/>
    </row>
    <row r="1111" spans="2:13">
      <c r="B1111" s="508"/>
      <c r="C1111" s="310"/>
      <c r="D1111" s="310"/>
      <c r="E1111" s="310"/>
      <c r="F1111" s="310"/>
      <c r="G1111" s="310"/>
      <c r="H1111" s="310"/>
      <c r="I1111" s="310"/>
      <c r="J1111" s="310"/>
      <c r="K1111" s="310"/>
      <c r="L1111" s="310"/>
      <c r="M1111" s="310"/>
    </row>
    <row r="1112" spans="2:13">
      <c r="B1112" s="508"/>
      <c r="C1112" s="310"/>
      <c r="D1112" s="310"/>
      <c r="E1112" s="310"/>
      <c r="F1112" s="310"/>
      <c r="G1112" s="310"/>
      <c r="H1112" s="310"/>
      <c r="I1112" s="310"/>
      <c r="J1112" s="310"/>
      <c r="K1112" s="310"/>
      <c r="L1112" s="310"/>
      <c r="M1112" s="310"/>
    </row>
    <row r="1113" spans="2:13">
      <c r="B1113" s="508"/>
      <c r="C1113" s="310"/>
      <c r="D1113" s="310"/>
      <c r="E1113" s="310"/>
      <c r="F1113" s="310"/>
      <c r="G1113" s="310"/>
      <c r="H1113" s="310"/>
      <c r="I1113" s="310"/>
      <c r="J1113" s="310"/>
      <c r="K1113" s="310"/>
      <c r="L1113" s="310"/>
      <c r="M1113" s="310"/>
    </row>
    <row r="1114" spans="2:13">
      <c r="B1114" s="508"/>
      <c r="C1114" s="310"/>
      <c r="D1114" s="310"/>
      <c r="E1114" s="310"/>
      <c r="F1114" s="310"/>
      <c r="G1114" s="310"/>
      <c r="H1114" s="310"/>
      <c r="I1114" s="310"/>
      <c r="J1114" s="310"/>
      <c r="K1114" s="310"/>
      <c r="L1114" s="310"/>
      <c r="M1114" s="310"/>
    </row>
    <row r="1115" spans="2:13">
      <c r="B1115" s="508"/>
      <c r="C1115" s="310"/>
      <c r="D1115" s="310"/>
      <c r="E1115" s="310"/>
      <c r="F1115" s="310"/>
      <c r="G1115" s="310"/>
      <c r="H1115" s="310"/>
      <c r="I1115" s="310"/>
      <c r="J1115" s="310"/>
      <c r="K1115" s="310"/>
      <c r="L1115" s="310"/>
      <c r="M1115" s="310"/>
    </row>
    <row r="1116" spans="2:13">
      <c r="B1116" s="508"/>
      <c r="C1116" s="310"/>
      <c r="D1116" s="310"/>
      <c r="E1116" s="310"/>
      <c r="F1116" s="310"/>
      <c r="G1116" s="310"/>
      <c r="H1116" s="310"/>
      <c r="I1116" s="310"/>
      <c r="J1116" s="310"/>
      <c r="K1116" s="310"/>
      <c r="L1116" s="310"/>
      <c r="M1116" s="310"/>
    </row>
    <row r="1117" spans="2:13">
      <c r="B1117" s="508"/>
      <c r="C1117" s="310"/>
      <c r="D1117" s="310"/>
      <c r="E1117" s="310"/>
      <c r="F1117" s="310"/>
      <c r="G1117" s="310"/>
      <c r="H1117" s="310"/>
      <c r="I1117" s="310"/>
      <c r="J1117" s="310"/>
      <c r="K1117" s="310"/>
      <c r="L1117" s="310"/>
      <c r="M1117" s="310"/>
    </row>
    <row r="1118" spans="2:13">
      <c r="B1118" s="508"/>
      <c r="C1118" s="310"/>
      <c r="D1118" s="310"/>
      <c r="E1118" s="310"/>
      <c r="F1118" s="310"/>
      <c r="G1118" s="310"/>
      <c r="H1118" s="310"/>
      <c r="I1118" s="310"/>
      <c r="J1118" s="310"/>
      <c r="K1118" s="310"/>
      <c r="L1118" s="310"/>
      <c r="M1118" s="310"/>
    </row>
    <row r="1119" spans="2:13">
      <c r="B1119" s="508"/>
      <c r="C1119" s="310"/>
      <c r="D1119" s="310"/>
      <c r="E1119" s="310"/>
      <c r="F1119" s="310"/>
      <c r="G1119" s="310"/>
      <c r="H1119" s="310"/>
      <c r="I1119" s="310"/>
      <c r="J1119" s="310"/>
      <c r="K1119" s="310"/>
      <c r="L1119" s="310"/>
      <c r="M1119" s="310"/>
    </row>
    <row r="1120" spans="2:13">
      <c r="B1120" s="508"/>
      <c r="C1120" s="310"/>
      <c r="D1120" s="310"/>
      <c r="E1120" s="310"/>
      <c r="F1120" s="310"/>
      <c r="G1120" s="310"/>
      <c r="H1120" s="310"/>
      <c r="I1120" s="310"/>
      <c r="J1120" s="310"/>
      <c r="K1120" s="310"/>
      <c r="L1120" s="310"/>
      <c r="M1120" s="310"/>
    </row>
    <row r="1121" spans="2:13">
      <c r="B1121" s="508"/>
      <c r="C1121" s="310"/>
      <c r="D1121" s="310"/>
      <c r="E1121" s="310"/>
      <c r="F1121" s="310"/>
      <c r="G1121" s="310"/>
      <c r="H1121" s="310"/>
      <c r="I1121" s="310"/>
      <c r="J1121" s="310"/>
      <c r="K1121" s="310"/>
      <c r="L1121" s="310"/>
      <c r="M1121" s="310"/>
    </row>
    <row r="1122" spans="2:13">
      <c r="B1122" s="508"/>
      <c r="C1122" s="310"/>
      <c r="D1122" s="310"/>
      <c r="E1122" s="310"/>
      <c r="F1122" s="310"/>
      <c r="G1122" s="310"/>
      <c r="H1122" s="310"/>
      <c r="I1122" s="310"/>
      <c r="J1122" s="310"/>
      <c r="K1122" s="310"/>
      <c r="L1122" s="310"/>
      <c r="M1122" s="310"/>
    </row>
    <row r="1123" spans="2:13">
      <c r="B1123" s="508"/>
      <c r="C1123" s="310"/>
      <c r="D1123" s="310"/>
      <c r="E1123" s="310"/>
      <c r="F1123" s="310"/>
      <c r="G1123" s="310"/>
      <c r="H1123" s="310"/>
      <c r="I1123" s="310"/>
      <c r="J1123" s="310"/>
      <c r="K1123" s="310"/>
      <c r="L1123" s="310"/>
      <c r="M1123" s="310"/>
    </row>
    <row r="1124" spans="2:13">
      <c r="B1124" s="508"/>
      <c r="C1124" s="310"/>
      <c r="D1124" s="310"/>
      <c r="E1124" s="310"/>
      <c r="F1124" s="310"/>
      <c r="G1124" s="310"/>
      <c r="H1124" s="310"/>
      <c r="I1124" s="310"/>
      <c r="J1124" s="310"/>
      <c r="K1124" s="310"/>
      <c r="L1124" s="310"/>
      <c r="M1124" s="310"/>
    </row>
    <row r="1125" spans="2:13">
      <c r="B1125" s="508"/>
      <c r="C1125" s="310"/>
      <c r="D1125" s="310"/>
      <c r="E1125" s="310"/>
      <c r="F1125" s="310"/>
      <c r="G1125" s="310"/>
      <c r="H1125" s="310"/>
      <c r="I1125" s="310"/>
      <c r="J1125" s="310"/>
      <c r="K1125" s="310"/>
      <c r="L1125" s="310"/>
      <c r="M1125" s="310"/>
    </row>
    <row r="1126" spans="2:13">
      <c r="B1126" s="508"/>
      <c r="C1126" s="310"/>
      <c r="D1126" s="310"/>
      <c r="E1126" s="310"/>
      <c r="F1126" s="310"/>
      <c r="G1126" s="310"/>
      <c r="H1126" s="310"/>
      <c r="I1126" s="310"/>
      <c r="J1126" s="310"/>
      <c r="K1126" s="310"/>
      <c r="L1126" s="310"/>
      <c r="M1126" s="310"/>
    </row>
    <row r="1127" spans="2:13">
      <c r="B1127" s="508"/>
      <c r="C1127" s="310"/>
      <c r="D1127" s="310"/>
      <c r="E1127" s="310"/>
      <c r="F1127" s="310"/>
      <c r="G1127" s="310"/>
      <c r="H1127" s="310"/>
      <c r="I1127" s="310"/>
      <c r="J1127" s="310"/>
      <c r="K1127" s="310"/>
      <c r="L1127" s="310"/>
      <c r="M1127" s="310"/>
    </row>
    <row r="1128" spans="2:13">
      <c r="B1128" s="508"/>
      <c r="C1128" s="310"/>
      <c r="D1128" s="310"/>
      <c r="E1128" s="310"/>
      <c r="F1128" s="310"/>
      <c r="G1128" s="310"/>
      <c r="H1128" s="310"/>
      <c r="I1128" s="310"/>
      <c r="J1128" s="310"/>
      <c r="K1128" s="310"/>
      <c r="L1128" s="310"/>
      <c r="M1128" s="310"/>
    </row>
    <row r="1129" spans="2:13">
      <c r="B1129" s="508"/>
      <c r="C1129" s="310"/>
      <c r="D1129" s="310"/>
      <c r="E1129" s="310"/>
      <c r="F1129" s="310"/>
      <c r="G1129" s="310"/>
      <c r="H1129" s="310"/>
      <c r="I1129" s="310"/>
      <c r="J1129" s="310"/>
      <c r="K1129" s="310"/>
      <c r="L1129" s="310"/>
      <c r="M1129" s="310"/>
    </row>
    <row r="1130" spans="2:13">
      <c r="B1130" s="508"/>
      <c r="C1130" s="310"/>
      <c r="D1130" s="310"/>
      <c r="E1130" s="310"/>
      <c r="F1130" s="310"/>
      <c r="G1130" s="310"/>
      <c r="H1130" s="310"/>
      <c r="I1130" s="310"/>
      <c r="J1130" s="310"/>
      <c r="K1130" s="310"/>
      <c r="L1130" s="310"/>
      <c r="M1130" s="310"/>
    </row>
    <row r="1131" spans="2:13">
      <c r="B1131" s="508"/>
      <c r="C1131" s="310"/>
      <c r="D1131" s="310"/>
      <c r="E1131" s="310"/>
      <c r="F1131" s="310"/>
      <c r="G1131" s="310"/>
      <c r="H1131" s="310"/>
      <c r="I1131" s="310"/>
      <c r="J1131" s="310"/>
      <c r="K1131" s="310"/>
      <c r="L1131" s="310"/>
      <c r="M1131" s="310"/>
    </row>
    <row r="1132" spans="2:13">
      <c r="B1132" s="508"/>
      <c r="C1132" s="310"/>
      <c r="D1132" s="310"/>
      <c r="E1132" s="310"/>
      <c r="F1132" s="310"/>
      <c r="G1132" s="310"/>
      <c r="H1132" s="310"/>
      <c r="I1132" s="310"/>
      <c r="J1132" s="310"/>
      <c r="K1132" s="310"/>
      <c r="L1132" s="310"/>
      <c r="M1132" s="310"/>
    </row>
    <row r="1133" spans="2:13">
      <c r="B1133" s="508"/>
      <c r="C1133" s="310"/>
      <c r="D1133" s="310"/>
      <c r="E1133" s="310"/>
      <c r="F1133" s="310"/>
      <c r="G1133" s="310"/>
      <c r="H1133" s="310"/>
      <c r="I1133" s="310"/>
      <c r="J1133" s="310"/>
      <c r="K1133" s="310"/>
      <c r="L1133" s="310"/>
      <c r="M1133" s="310"/>
    </row>
    <row r="1134" spans="2:13">
      <c r="B1134" s="508"/>
      <c r="C1134" s="310"/>
      <c r="D1134" s="310"/>
      <c r="E1134" s="310"/>
      <c r="F1134" s="310"/>
      <c r="G1134" s="310"/>
      <c r="H1134" s="310"/>
      <c r="I1134" s="310"/>
      <c r="J1134" s="310"/>
      <c r="K1134" s="310"/>
      <c r="L1134" s="310"/>
      <c r="M1134" s="310"/>
    </row>
    <row r="1135" spans="2:13">
      <c r="B1135" s="508"/>
      <c r="C1135" s="310"/>
      <c r="D1135" s="310"/>
      <c r="E1135" s="310"/>
      <c r="F1135" s="310"/>
      <c r="G1135" s="310"/>
      <c r="H1135" s="310"/>
      <c r="I1135" s="310"/>
      <c r="J1135" s="310"/>
      <c r="K1135" s="310"/>
      <c r="L1135" s="310"/>
      <c r="M1135" s="310"/>
    </row>
    <row r="1136" spans="2:13">
      <c r="B1136" s="508"/>
      <c r="C1136" s="310"/>
      <c r="D1136" s="310"/>
      <c r="E1136" s="310"/>
      <c r="F1136" s="310"/>
      <c r="G1136" s="310"/>
      <c r="H1136" s="310"/>
      <c r="I1136" s="310"/>
      <c r="J1136" s="310"/>
      <c r="K1136" s="310"/>
      <c r="L1136" s="310"/>
      <c r="M1136" s="310"/>
    </row>
    <row r="1137" spans="2:13">
      <c r="B1137" s="508"/>
      <c r="C1137" s="310"/>
      <c r="D1137" s="310"/>
      <c r="E1137" s="310"/>
      <c r="F1137" s="310"/>
      <c r="G1137" s="310"/>
      <c r="H1137" s="310"/>
      <c r="I1137" s="310"/>
      <c r="J1137" s="310"/>
      <c r="K1137" s="310"/>
      <c r="L1137" s="310"/>
      <c r="M1137" s="310"/>
    </row>
    <row r="1138" spans="2:13">
      <c r="B1138" s="508"/>
      <c r="C1138" s="310"/>
      <c r="D1138" s="310"/>
      <c r="E1138" s="310"/>
      <c r="F1138" s="310"/>
      <c r="G1138" s="310"/>
      <c r="H1138" s="310"/>
      <c r="I1138" s="310"/>
      <c r="J1138" s="310"/>
      <c r="K1138" s="310"/>
      <c r="L1138" s="310"/>
      <c r="M1138" s="310"/>
    </row>
    <row r="1139" spans="2:13">
      <c r="B1139" s="508"/>
      <c r="C1139" s="310"/>
      <c r="D1139" s="310"/>
      <c r="E1139" s="310"/>
      <c r="F1139" s="310"/>
      <c r="G1139" s="310"/>
      <c r="H1139" s="310"/>
      <c r="I1139" s="310"/>
      <c r="J1139" s="310"/>
      <c r="K1139" s="310"/>
      <c r="L1139" s="310"/>
      <c r="M1139" s="310"/>
    </row>
    <row r="1140" spans="2:13">
      <c r="B1140" s="508"/>
      <c r="C1140" s="310"/>
      <c r="D1140" s="310"/>
      <c r="E1140" s="310"/>
      <c r="F1140" s="310"/>
      <c r="G1140" s="310"/>
      <c r="H1140" s="310"/>
      <c r="I1140" s="310"/>
      <c r="J1140" s="310"/>
      <c r="K1140" s="310"/>
      <c r="L1140" s="310"/>
      <c r="M1140" s="310"/>
    </row>
    <row r="1141" spans="2:13">
      <c r="B1141" s="508"/>
      <c r="C1141" s="310"/>
      <c r="D1141" s="310"/>
      <c r="E1141" s="310"/>
      <c r="F1141" s="310"/>
      <c r="G1141" s="310"/>
      <c r="H1141" s="310"/>
      <c r="I1141" s="310"/>
      <c r="J1141" s="310"/>
      <c r="K1141" s="310"/>
      <c r="L1141" s="310"/>
      <c r="M1141" s="310"/>
    </row>
    <row r="1142" spans="2:13">
      <c r="B1142" s="508"/>
      <c r="C1142" s="310"/>
      <c r="D1142" s="310"/>
      <c r="E1142" s="310"/>
      <c r="F1142" s="310"/>
      <c r="G1142" s="310"/>
      <c r="H1142" s="310"/>
      <c r="I1142" s="310"/>
      <c r="J1142" s="310"/>
      <c r="K1142" s="310"/>
      <c r="L1142" s="310"/>
      <c r="M1142" s="310"/>
    </row>
    <row r="1143" spans="2:13">
      <c r="B1143" s="508"/>
      <c r="C1143" s="310"/>
      <c r="D1143" s="310"/>
      <c r="E1143" s="310"/>
      <c r="F1143" s="310"/>
      <c r="G1143" s="310"/>
      <c r="H1143" s="310"/>
      <c r="I1143" s="310"/>
      <c r="J1143" s="310"/>
      <c r="K1143" s="310"/>
      <c r="L1143" s="310"/>
      <c r="M1143" s="310"/>
    </row>
    <row r="1144" spans="2:13">
      <c r="B1144" s="508"/>
      <c r="C1144" s="310"/>
      <c r="D1144" s="310"/>
      <c r="E1144" s="310"/>
      <c r="F1144" s="310"/>
      <c r="G1144" s="310"/>
      <c r="H1144" s="310"/>
      <c r="I1144" s="310"/>
      <c r="J1144" s="310"/>
      <c r="K1144" s="310"/>
      <c r="L1144" s="310"/>
      <c r="M1144" s="310"/>
    </row>
    <row r="1145" spans="2:13">
      <c r="B1145" s="508"/>
      <c r="C1145" s="310"/>
      <c r="D1145" s="310"/>
      <c r="E1145" s="310"/>
      <c r="F1145" s="310"/>
      <c r="G1145" s="310"/>
      <c r="H1145" s="310"/>
      <c r="I1145" s="310"/>
      <c r="J1145" s="310"/>
      <c r="K1145" s="310"/>
      <c r="L1145" s="310"/>
      <c r="M1145" s="310"/>
    </row>
    <row r="1146" spans="2:13">
      <c r="B1146" s="508"/>
      <c r="C1146" s="310"/>
      <c r="D1146" s="310"/>
      <c r="E1146" s="310"/>
      <c r="F1146" s="310"/>
      <c r="G1146" s="310"/>
      <c r="H1146" s="310"/>
      <c r="I1146" s="310"/>
      <c r="J1146" s="310"/>
      <c r="K1146" s="310"/>
      <c r="L1146" s="310"/>
      <c r="M1146" s="310"/>
    </row>
    <row r="1147" spans="2:13">
      <c r="B1147" s="508"/>
      <c r="C1147" s="310"/>
      <c r="D1147" s="310"/>
      <c r="E1147" s="310"/>
      <c r="F1147" s="310"/>
      <c r="G1147" s="310"/>
      <c r="H1147" s="310"/>
      <c r="I1147" s="310"/>
      <c r="J1147" s="310"/>
      <c r="K1147" s="310"/>
      <c r="L1147" s="310"/>
      <c r="M1147" s="310"/>
    </row>
    <row r="1148" spans="2:13">
      <c r="B1148" s="508"/>
      <c r="C1148" s="310"/>
      <c r="D1148" s="310"/>
      <c r="E1148" s="310"/>
      <c r="F1148" s="310"/>
      <c r="G1148" s="310"/>
      <c r="H1148" s="310"/>
      <c r="I1148" s="310"/>
      <c r="J1148" s="310"/>
      <c r="K1148" s="310"/>
      <c r="L1148" s="310"/>
      <c r="M1148" s="310"/>
    </row>
    <row r="1149" spans="2:13">
      <c r="B1149" s="508"/>
      <c r="C1149" s="310"/>
      <c r="D1149" s="310"/>
      <c r="E1149" s="310"/>
      <c r="F1149" s="310"/>
      <c r="G1149" s="310"/>
      <c r="H1149" s="310"/>
      <c r="I1149" s="310"/>
      <c r="J1149" s="310"/>
      <c r="K1149" s="310"/>
      <c r="L1149" s="310"/>
      <c r="M1149" s="310"/>
    </row>
    <row r="1150" spans="2:13">
      <c r="B1150" s="508"/>
      <c r="C1150" s="310"/>
      <c r="D1150" s="310"/>
      <c r="E1150" s="310"/>
      <c r="F1150" s="310"/>
      <c r="G1150" s="310"/>
      <c r="H1150" s="310"/>
      <c r="I1150" s="310"/>
      <c r="J1150" s="310"/>
      <c r="K1150" s="310"/>
      <c r="L1150" s="310"/>
      <c r="M1150" s="310"/>
    </row>
    <row r="1151" spans="2:13">
      <c r="B1151" s="508"/>
      <c r="C1151" s="310"/>
      <c r="D1151" s="310"/>
      <c r="E1151" s="310"/>
      <c r="F1151" s="310"/>
      <c r="G1151" s="310"/>
      <c r="H1151" s="310"/>
      <c r="I1151" s="310"/>
      <c r="J1151" s="310"/>
      <c r="K1151" s="310"/>
      <c r="L1151" s="310"/>
      <c r="M1151" s="310"/>
    </row>
    <row r="1152" spans="2:13">
      <c r="B1152" s="508"/>
      <c r="C1152" s="310"/>
      <c r="D1152" s="310"/>
      <c r="E1152" s="310"/>
      <c r="F1152" s="310"/>
      <c r="G1152" s="310"/>
      <c r="H1152" s="310"/>
      <c r="I1152" s="310"/>
      <c r="J1152" s="310"/>
      <c r="K1152" s="310"/>
      <c r="L1152" s="310"/>
      <c r="M1152" s="310"/>
    </row>
    <row r="1153" spans="2:13">
      <c r="B1153" s="508"/>
      <c r="C1153" s="310"/>
      <c r="D1153" s="310"/>
      <c r="E1153" s="310"/>
      <c r="F1153" s="310"/>
      <c r="G1153" s="310"/>
      <c r="H1153" s="310"/>
      <c r="I1153" s="310"/>
      <c r="J1153" s="310"/>
      <c r="K1153" s="310"/>
      <c r="L1153" s="310"/>
      <c r="M1153" s="310"/>
    </row>
    <row r="1154" spans="2:13">
      <c r="B1154" s="508"/>
      <c r="C1154" s="310"/>
      <c r="D1154" s="310"/>
      <c r="E1154" s="310"/>
      <c r="F1154" s="310"/>
      <c r="G1154" s="310"/>
      <c r="H1154" s="310"/>
      <c r="I1154" s="310"/>
      <c r="J1154" s="310"/>
      <c r="K1154" s="310"/>
      <c r="L1154" s="310"/>
      <c r="M1154" s="310"/>
    </row>
    <row r="1155" spans="2:13">
      <c r="B1155" s="508"/>
      <c r="C1155" s="310"/>
      <c r="D1155" s="310"/>
      <c r="E1155" s="310"/>
      <c r="F1155" s="310"/>
      <c r="G1155" s="310"/>
      <c r="H1155" s="310"/>
      <c r="I1155" s="310"/>
      <c r="J1155" s="310"/>
      <c r="K1155" s="310"/>
      <c r="L1155" s="310"/>
      <c r="M1155" s="310"/>
    </row>
    <row r="1156" spans="2:13">
      <c r="B1156" s="508"/>
      <c r="C1156" s="310"/>
      <c r="D1156" s="310"/>
      <c r="E1156" s="310"/>
      <c r="F1156" s="310"/>
      <c r="G1156" s="310"/>
      <c r="H1156" s="310"/>
      <c r="I1156" s="310"/>
      <c r="J1156" s="310"/>
      <c r="K1156" s="310"/>
      <c r="L1156" s="310"/>
      <c r="M1156" s="310"/>
    </row>
    <row r="1157" spans="2:13">
      <c r="B1157" s="508"/>
      <c r="C1157" s="310"/>
      <c r="D1157" s="310"/>
      <c r="E1157" s="310"/>
      <c r="F1157" s="310"/>
      <c r="G1157" s="310"/>
      <c r="H1157" s="310"/>
      <c r="I1157" s="310"/>
      <c r="J1157" s="310"/>
      <c r="K1157" s="310"/>
      <c r="L1157" s="310"/>
      <c r="M1157" s="310"/>
    </row>
    <row r="1158" spans="2:13">
      <c r="B1158" s="508"/>
      <c r="C1158" s="310"/>
      <c r="D1158" s="310"/>
      <c r="E1158" s="310"/>
      <c r="F1158" s="310"/>
      <c r="G1158" s="310"/>
      <c r="H1158" s="310"/>
      <c r="I1158" s="310"/>
      <c r="J1158" s="310"/>
      <c r="K1158" s="310"/>
      <c r="L1158" s="310"/>
      <c r="M1158" s="310"/>
    </row>
    <row r="1159" spans="2:13">
      <c r="B1159" s="508"/>
      <c r="C1159" s="310"/>
      <c r="D1159" s="310"/>
      <c r="E1159" s="310"/>
      <c r="F1159" s="310"/>
      <c r="G1159" s="310"/>
      <c r="H1159" s="310"/>
      <c r="I1159" s="310"/>
      <c r="J1159" s="310"/>
      <c r="K1159" s="310"/>
      <c r="L1159" s="310"/>
      <c r="M1159" s="310"/>
    </row>
    <row r="1160" spans="2:13">
      <c r="B1160" s="508"/>
      <c r="C1160" s="310"/>
      <c r="D1160" s="310"/>
      <c r="E1160" s="310"/>
      <c r="F1160" s="310"/>
      <c r="G1160" s="310"/>
      <c r="H1160" s="310"/>
      <c r="I1160" s="310"/>
      <c r="J1160" s="310"/>
      <c r="K1160" s="310"/>
      <c r="L1160" s="310"/>
      <c r="M1160" s="310"/>
    </row>
    <row r="1161" spans="2:13">
      <c r="B1161" s="508"/>
      <c r="C1161" s="310"/>
      <c r="D1161" s="310"/>
      <c r="E1161" s="310"/>
      <c r="F1161" s="310"/>
      <c r="G1161" s="310"/>
      <c r="H1161" s="310"/>
      <c r="I1161" s="310"/>
      <c r="J1161" s="310"/>
      <c r="K1161" s="310"/>
      <c r="L1161" s="310"/>
      <c r="M1161" s="310"/>
    </row>
    <row r="1162" spans="2:13">
      <c r="B1162" s="508"/>
      <c r="C1162" s="310"/>
      <c r="D1162" s="310"/>
      <c r="E1162" s="310"/>
      <c r="F1162" s="310"/>
      <c r="G1162" s="310"/>
      <c r="H1162" s="310"/>
      <c r="I1162" s="310"/>
      <c r="J1162" s="310"/>
      <c r="K1162" s="310"/>
      <c r="L1162" s="310"/>
      <c r="M1162" s="310"/>
    </row>
    <row r="1163" spans="2:13">
      <c r="B1163" s="508"/>
      <c r="C1163" s="310"/>
      <c r="D1163" s="310"/>
      <c r="E1163" s="310"/>
      <c r="F1163" s="310"/>
      <c r="G1163" s="310"/>
      <c r="H1163" s="310"/>
      <c r="I1163" s="310"/>
      <c r="J1163" s="310"/>
      <c r="K1163" s="310"/>
      <c r="L1163" s="310"/>
      <c r="M1163" s="310"/>
    </row>
    <row r="1164" spans="2:13">
      <c r="B1164" s="508"/>
      <c r="C1164" s="310"/>
      <c r="D1164" s="310"/>
      <c r="E1164" s="310"/>
      <c r="F1164" s="310"/>
      <c r="G1164" s="310"/>
      <c r="H1164" s="310"/>
      <c r="I1164" s="310"/>
      <c r="J1164" s="310"/>
      <c r="K1164" s="310"/>
      <c r="L1164" s="310"/>
      <c r="M1164" s="310"/>
    </row>
    <row r="1165" spans="2:13">
      <c r="B1165" s="508"/>
      <c r="C1165" s="310"/>
      <c r="D1165" s="310"/>
      <c r="E1165" s="310"/>
      <c r="F1165" s="310"/>
      <c r="G1165" s="310"/>
      <c r="H1165" s="310"/>
      <c r="I1165" s="310"/>
      <c r="J1165" s="310"/>
      <c r="K1165" s="310"/>
      <c r="L1165" s="310"/>
      <c r="M1165" s="310"/>
    </row>
    <row r="1166" spans="2:13">
      <c r="B1166" s="508"/>
      <c r="C1166" s="310"/>
      <c r="D1166" s="310"/>
      <c r="E1166" s="310"/>
      <c r="F1166" s="310"/>
      <c r="G1166" s="310"/>
      <c r="H1166" s="310"/>
      <c r="I1166" s="310"/>
      <c r="J1166" s="310"/>
      <c r="K1166" s="310"/>
      <c r="L1166" s="310"/>
      <c r="M1166" s="310"/>
    </row>
    <row r="1167" spans="2:13">
      <c r="B1167" s="508"/>
      <c r="C1167" s="310"/>
      <c r="D1167" s="310"/>
      <c r="E1167" s="310"/>
      <c r="F1167" s="310"/>
      <c r="G1167" s="310"/>
      <c r="H1167" s="310"/>
      <c r="I1167" s="310"/>
      <c r="J1167" s="310"/>
      <c r="K1167" s="310"/>
      <c r="L1167" s="310"/>
      <c r="M1167" s="310"/>
    </row>
    <row r="1168" spans="2:13">
      <c r="B1168" s="508"/>
      <c r="C1168" s="310"/>
      <c r="D1168" s="310"/>
      <c r="E1168" s="310"/>
      <c r="F1168" s="310"/>
      <c r="G1168" s="310"/>
      <c r="H1168" s="310"/>
      <c r="I1168" s="310"/>
      <c r="J1168" s="310"/>
      <c r="K1168" s="310"/>
      <c r="L1168" s="310"/>
      <c r="M1168" s="310"/>
    </row>
    <row r="1169" spans="2:13">
      <c r="B1169" s="508"/>
      <c r="C1169" s="310"/>
      <c r="D1169" s="310"/>
      <c r="E1169" s="310"/>
      <c r="F1169" s="310"/>
      <c r="G1169" s="310"/>
      <c r="H1169" s="310"/>
      <c r="I1169" s="310"/>
      <c r="J1169" s="310"/>
      <c r="K1169" s="310"/>
      <c r="L1169" s="310"/>
      <c r="M1169" s="310"/>
    </row>
    <row r="1170" spans="2:13">
      <c r="B1170" s="508"/>
      <c r="C1170" s="310"/>
      <c r="D1170" s="310"/>
      <c r="E1170" s="310"/>
      <c r="F1170" s="310"/>
      <c r="G1170" s="310"/>
      <c r="H1170" s="310"/>
      <c r="I1170" s="310"/>
      <c r="J1170" s="310"/>
      <c r="K1170" s="310"/>
      <c r="L1170" s="310"/>
      <c r="M1170" s="310"/>
    </row>
    <row r="1171" spans="2:13">
      <c r="B1171" s="508"/>
      <c r="C1171" s="310"/>
      <c r="D1171" s="310"/>
      <c r="E1171" s="310"/>
      <c r="F1171" s="310"/>
      <c r="G1171" s="310"/>
      <c r="H1171" s="310"/>
      <c r="I1171" s="310"/>
      <c r="J1171" s="310"/>
      <c r="K1171" s="310"/>
      <c r="L1171" s="310"/>
      <c r="M1171" s="310"/>
    </row>
    <row r="1172" spans="2:13">
      <c r="B1172" s="508"/>
      <c r="C1172" s="310"/>
      <c r="D1172" s="310"/>
      <c r="E1172" s="310"/>
      <c r="F1172" s="310"/>
      <c r="G1172" s="310"/>
      <c r="H1172" s="310"/>
      <c r="I1172" s="310"/>
      <c r="J1172" s="310"/>
      <c r="K1172" s="310"/>
      <c r="L1172" s="310"/>
      <c r="M1172" s="310"/>
    </row>
    <row r="1173" spans="2:13">
      <c r="B1173" s="508"/>
      <c r="C1173" s="310"/>
      <c r="D1173" s="310"/>
      <c r="E1173" s="310"/>
      <c r="F1173" s="310"/>
      <c r="G1173" s="310"/>
      <c r="H1173" s="310"/>
      <c r="I1173" s="310"/>
      <c r="J1173" s="310"/>
      <c r="K1173" s="310"/>
      <c r="L1173" s="310"/>
      <c r="M1173" s="310"/>
    </row>
    <row r="1174" spans="2:13">
      <c r="B1174" s="508"/>
      <c r="C1174" s="310"/>
      <c r="D1174" s="310"/>
      <c r="E1174" s="310"/>
      <c r="F1174" s="310"/>
      <c r="G1174" s="310"/>
      <c r="H1174" s="310"/>
      <c r="I1174" s="310"/>
      <c r="J1174" s="310"/>
      <c r="K1174" s="310"/>
      <c r="L1174" s="310"/>
      <c r="M1174" s="310"/>
    </row>
    <row r="1175" spans="2:13">
      <c r="B1175" s="508"/>
      <c r="C1175" s="310"/>
      <c r="D1175" s="310"/>
      <c r="E1175" s="310"/>
      <c r="F1175" s="310"/>
      <c r="G1175" s="310"/>
      <c r="H1175" s="310"/>
      <c r="I1175" s="310"/>
      <c r="J1175" s="310"/>
      <c r="K1175" s="310"/>
      <c r="L1175" s="310"/>
      <c r="M1175" s="310"/>
    </row>
    <row r="1176" spans="2:13">
      <c r="B1176" s="508"/>
      <c r="C1176" s="310"/>
      <c r="D1176" s="310"/>
      <c r="E1176" s="310"/>
      <c r="F1176" s="310"/>
      <c r="G1176" s="310"/>
      <c r="H1176" s="310"/>
      <c r="I1176" s="310"/>
      <c r="J1176" s="310"/>
      <c r="K1176" s="310"/>
      <c r="L1176" s="310"/>
      <c r="M1176" s="310"/>
    </row>
    <row r="1177" spans="2:13">
      <c r="B1177" s="508"/>
      <c r="C1177" s="310"/>
      <c r="D1177" s="310"/>
      <c r="E1177" s="310"/>
      <c r="F1177" s="310"/>
      <c r="G1177" s="310"/>
      <c r="H1177" s="310"/>
      <c r="I1177" s="310"/>
      <c r="J1177" s="310"/>
      <c r="K1177" s="310"/>
      <c r="L1177" s="310"/>
      <c r="M1177" s="310"/>
    </row>
    <row r="1178" spans="2:13">
      <c r="B1178" s="508"/>
      <c r="C1178" s="310"/>
      <c r="D1178" s="310"/>
      <c r="E1178" s="310"/>
      <c r="F1178" s="310"/>
      <c r="G1178" s="310"/>
      <c r="H1178" s="310"/>
      <c r="I1178" s="310"/>
      <c r="J1178" s="310"/>
      <c r="K1178" s="310"/>
      <c r="L1178" s="310"/>
      <c r="M1178" s="310"/>
    </row>
    <row r="1179" spans="2:13">
      <c r="B1179" s="508"/>
      <c r="C1179" s="310"/>
      <c r="D1179" s="310"/>
      <c r="E1179" s="310"/>
      <c r="F1179" s="310"/>
      <c r="G1179" s="310"/>
      <c r="H1179" s="310"/>
      <c r="I1179" s="310"/>
      <c r="J1179" s="310"/>
      <c r="K1179" s="310"/>
      <c r="L1179" s="310"/>
      <c r="M1179" s="310"/>
    </row>
    <row r="1180" spans="2:13">
      <c r="B1180" s="508"/>
      <c r="C1180" s="310"/>
      <c r="D1180" s="310"/>
      <c r="E1180" s="310"/>
      <c r="F1180" s="310"/>
      <c r="G1180" s="310"/>
      <c r="H1180" s="310"/>
      <c r="I1180" s="310"/>
      <c r="J1180" s="310"/>
      <c r="K1180" s="310"/>
      <c r="L1180" s="310"/>
      <c r="M1180" s="310"/>
    </row>
    <row r="1181" spans="2:13">
      <c r="B1181" s="508"/>
      <c r="C1181" s="310"/>
      <c r="D1181" s="310"/>
      <c r="E1181" s="310"/>
      <c r="F1181" s="310"/>
      <c r="G1181" s="310"/>
      <c r="H1181" s="310"/>
      <c r="I1181" s="310"/>
      <c r="J1181" s="310"/>
      <c r="K1181" s="310"/>
      <c r="L1181" s="310"/>
      <c r="M1181" s="310"/>
    </row>
    <row r="1182" spans="2:13">
      <c r="B1182" s="508"/>
      <c r="C1182" s="310"/>
      <c r="D1182" s="310"/>
      <c r="E1182" s="310"/>
      <c r="F1182" s="310"/>
      <c r="G1182" s="310"/>
      <c r="H1182" s="310"/>
      <c r="I1182" s="310"/>
      <c r="J1182" s="310"/>
      <c r="K1182" s="310"/>
      <c r="L1182" s="310"/>
      <c r="M1182" s="310"/>
    </row>
    <row r="1183" spans="2:13">
      <c r="B1183" s="508"/>
      <c r="C1183" s="310"/>
      <c r="D1183" s="310"/>
      <c r="E1183" s="310"/>
      <c r="F1183" s="310"/>
      <c r="G1183" s="310"/>
      <c r="H1183" s="310"/>
      <c r="I1183" s="310"/>
      <c r="J1183" s="310"/>
      <c r="K1183" s="310"/>
      <c r="L1183" s="310"/>
      <c r="M1183" s="310"/>
    </row>
    <row r="1184" spans="2:13">
      <c r="B1184" s="508"/>
      <c r="C1184" s="310"/>
      <c r="D1184" s="310"/>
      <c r="E1184" s="310"/>
      <c r="F1184" s="310"/>
      <c r="G1184" s="310"/>
      <c r="H1184" s="310"/>
      <c r="I1184" s="310"/>
      <c r="J1184" s="310"/>
      <c r="K1184" s="310"/>
      <c r="L1184" s="310"/>
      <c r="M1184" s="310"/>
    </row>
    <row r="1185" spans="2:13">
      <c r="B1185" s="508"/>
      <c r="C1185" s="310"/>
      <c r="D1185" s="310"/>
      <c r="E1185" s="310"/>
      <c r="F1185" s="310"/>
      <c r="G1185" s="310"/>
      <c r="H1185" s="310"/>
      <c r="I1185" s="310"/>
      <c r="J1185" s="310"/>
      <c r="K1185" s="310"/>
      <c r="L1185" s="310"/>
      <c r="M1185" s="310"/>
    </row>
    <row r="1186" spans="2:13">
      <c r="B1186" s="508"/>
      <c r="C1186" s="310"/>
      <c r="D1186" s="310"/>
      <c r="E1186" s="310"/>
      <c r="F1186" s="310"/>
      <c r="G1186" s="310"/>
      <c r="H1186" s="310"/>
      <c r="I1186" s="310"/>
      <c r="J1186" s="310"/>
      <c r="K1186" s="310"/>
      <c r="L1186" s="310"/>
      <c r="M1186" s="310"/>
    </row>
    <row r="1187" spans="2:13">
      <c r="B1187" s="508"/>
      <c r="C1187" s="310"/>
      <c r="D1187" s="310"/>
      <c r="E1187" s="310"/>
      <c r="F1187" s="310"/>
      <c r="G1187" s="310"/>
      <c r="H1187" s="310"/>
      <c r="I1187" s="310"/>
      <c r="J1187" s="310"/>
      <c r="K1187" s="310"/>
      <c r="L1187" s="310"/>
      <c r="M1187" s="310"/>
    </row>
    <row r="1188" spans="2:13">
      <c r="B1188" s="508"/>
      <c r="C1188" s="310"/>
      <c r="D1188" s="310"/>
      <c r="E1188" s="310"/>
      <c r="F1188" s="310"/>
      <c r="G1188" s="310"/>
      <c r="H1188" s="310"/>
      <c r="I1188" s="310"/>
      <c r="J1188" s="310"/>
      <c r="K1188" s="310"/>
      <c r="L1188" s="310"/>
      <c r="M1188" s="310"/>
    </row>
    <row r="1189" spans="2:13">
      <c r="B1189" s="508"/>
      <c r="C1189" s="310"/>
      <c r="D1189" s="310"/>
      <c r="E1189" s="310"/>
      <c r="F1189" s="310"/>
      <c r="G1189" s="310"/>
      <c r="H1189" s="310"/>
      <c r="I1189" s="310"/>
      <c r="J1189" s="310"/>
      <c r="K1189" s="310"/>
      <c r="L1189" s="310"/>
      <c r="M1189" s="310"/>
    </row>
    <row r="1190" spans="2:13">
      <c r="B1190" s="508"/>
      <c r="C1190" s="310"/>
      <c r="D1190" s="310"/>
      <c r="E1190" s="310"/>
      <c r="F1190" s="310"/>
      <c r="G1190" s="310"/>
      <c r="H1190" s="310"/>
      <c r="I1190" s="310"/>
      <c r="J1190" s="310"/>
      <c r="K1190" s="310"/>
      <c r="L1190" s="310"/>
      <c r="M1190" s="310"/>
    </row>
    <row r="1191" spans="2:13">
      <c r="B1191" s="508"/>
      <c r="C1191" s="310"/>
      <c r="D1191" s="310"/>
      <c r="E1191" s="310"/>
      <c r="F1191" s="310"/>
      <c r="G1191" s="310"/>
      <c r="H1191" s="310"/>
      <c r="I1191" s="310"/>
      <c r="J1191" s="310"/>
      <c r="K1191" s="310"/>
      <c r="L1191" s="310"/>
      <c r="M1191" s="310"/>
    </row>
    <row r="1192" spans="2:13">
      <c r="B1192" s="508"/>
      <c r="C1192" s="310"/>
      <c r="D1192" s="310"/>
      <c r="E1192" s="310"/>
      <c r="F1192" s="310"/>
      <c r="G1192" s="310"/>
      <c r="H1192" s="310"/>
      <c r="I1192" s="310"/>
      <c r="J1192" s="310"/>
      <c r="K1192" s="310"/>
      <c r="L1192" s="310"/>
      <c r="M1192" s="310"/>
    </row>
    <row r="1193" spans="2:13">
      <c r="B1193" s="508"/>
      <c r="C1193" s="310"/>
      <c r="D1193" s="310"/>
      <c r="E1193" s="310"/>
      <c r="F1193" s="310"/>
      <c r="G1193" s="310"/>
      <c r="H1193" s="310"/>
      <c r="I1193" s="310"/>
      <c r="J1193" s="310"/>
      <c r="K1193" s="310"/>
      <c r="L1193" s="310"/>
      <c r="M1193" s="310"/>
    </row>
    <row r="1194" spans="2:13">
      <c r="B1194" s="508"/>
      <c r="C1194" s="310"/>
      <c r="D1194" s="310"/>
      <c r="E1194" s="310"/>
      <c r="F1194" s="310"/>
      <c r="G1194" s="310"/>
      <c r="H1194" s="310"/>
      <c r="I1194" s="310"/>
      <c r="J1194" s="310"/>
      <c r="K1194" s="310"/>
      <c r="L1194" s="310"/>
      <c r="M1194" s="310"/>
    </row>
    <row r="1195" spans="2:13">
      <c r="B1195" s="508"/>
      <c r="C1195" s="310"/>
      <c r="D1195" s="310"/>
      <c r="E1195" s="310"/>
      <c r="F1195" s="310"/>
      <c r="G1195" s="310"/>
      <c r="H1195" s="310"/>
      <c r="I1195" s="310"/>
      <c r="J1195" s="310"/>
      <c r="K1195" s="310"/>
      <c r="L1195" s="310"/>
      <c r="M1195" s="310"/>
    </row>
    <row r="1196" spans="2:13">
      <c r="B1196" s="508"/>
      <c r="C1196" s="310"/>
      <c r="D1196" s="310"/>
      <c r="E1196" s="310"/>
      <c r="F1196" s="310"/>
      <c r="G1196" s="310"/>
      <c r="H1196" s="310"/>
      <c r="I1196" s="310"/>
      <c r="J1196" s="310"/>
      <c r="K1196" s="310"/>
      <c r="L1196" s="310"/>
      <c r="M1196" s="310"/>
    </row>
    <row r="1197" spans="2:13">
      <c r="B1197" s="508"/>
      <c r="C1197" s="310"/>
      <c r="D1197" s="310"/>
      <c r="E1197" s="310"/>
      <c r="F1197" s="310"/>
      <c r="G1197" s="310"/>
      <c r="H1197" s="310"/>
      <c r="I1197" s="310"/>
      <c r="J1197" s="310"/>
      <c r="K1197" s="310"/>
      <c r="L1197" s="310"/>
      <c r="M1197" s="310"/>
    </row>
    <row r="1198" spans="2:13">
      <c r="B1198" s="508"/>
      <c r="C1198" s="310"/>
      <c r="D1198" s="310"/>
      <c r="E1198" s="310"/>
      <c r="F1198" s="310"/>
      <c r="G1198" s="310"/>
      <c r="H1198" s="310"/>
      <c r="I1198" s="310"/>
      <c r="J1198" s="310"/>
      <c r="K1198" s="310"/>
      <c r="L1198" s="310"/>
      <c r="M1198" s="310"/>
    </row>
    <row r="1199" spans="2:13">
      <c r="B1199" s="508"/>
      <c r="C1199" s="310"/>
      <c r="D1199" s="310"/>
      <c r="E1199" s="310"/>
      <c r="F1199" s="310"/>
      <c r="G1199" s="310"/>
      <c r="H1199" s="310"/>
      <c r="I1199" s="310"/>
      <c r="J1199" s="310"/>
      <c r="K1199" s="310"/>
      <c r="L1199" s="310"/>
      <c r="M1199" s="310"/>
    </row>
    <row r="1200" spans="2:13">
      <c r="B1200" s="508"/>
      <c r="C1200" s="310"/>
      <c r="D1200" s="310"/>
      <c r="E1200" s="310"/>
      <c r="F1200" s="310"/>
      <c r="G1200" s="310"/>
      <c r="H1200" s="310"/>
      <c r="I1200" s="310"/>
      <c r="J1200" s="310"/>
      <c r="K1200" s="310"/>
      <c r="L1200" s="310"/>
      <c r="M1200" s="310"/>
    </row>
    <row r="1201" spans="2:13">
      <c r="B1201" s="508"/>
      <c r="C1201" s="310"/>
      <c r="D1201" s="310"/>
      <c r="E1201" s="310"/>
      <c r="F1201" s="310"/>
      <c r="G1201" s="310"/>
      <c r="H1201" s="310"/>
      <c r="I1201" s="310"/>
      <c r="J1201" s="310"/>
      <c r="K1201" s="310"/>
      <c r="L1201" s="310"/>
      <c r="M1201" s="310"/>
    </row>
    <row r="1202" spans="2:13">
      <c r="B1202" s="508"/>
      <c r="C1202" s="310"/>
      <c r="D1202" s="310"/>
      <c r="E1202" s="310"/>
      <c r="F1202" s="310"/>
      <c r="G1202" s="310"/>
      <c r="H1202" s="310"/>
      <c r="I1202" s="310"/>
      <c r="J1202" s="310"/>
      <c r="K1202" s="310"/>
      <c r="L1202" s="310"/>
      <c r="M1202" s="310"/>
    </row>
    <row r="1203" spans="2:13">
      <c r="B1203" s="508"/>
      <c r="C1203" s="310"/>
      <c r="D1203" s="310"/>
      <c r="E1203" s="310"/>
      <c r="F1203" s="310"/>
      <c r="G1203" s="310"/>
      <c r="H1203" s="310"/>
      <c r="I1203" s="310"/>
      <c r="J1203" s="310"/>
      <c r="K1203" s="310"/>
      <c r="L1203" s="310"/>
      <c r="M1203" s="310"/>
    </row>
    <row r="1204" spans="2:13">
      <c r="B1204" s="508"/>
      <c r="C1204" s="310"/>
      <c r="D1204" s="310"/>
      <c r="E1204" s="310"/>
      <c r="F1204" s="310"/>
      <c r="G1204" s="310"/>
      <c r="H1204" s="310"/>
      <c r="I1204" s="310"/>
      <c r="J1204" s="310"/>
      <c r="K1204" s="310"/>
      <c r="L1204" s="310"/>
      <c r="M1204" s="310"/>
    </row>
    <row r="1205" spans="2:13">
      <c r="B1205" s="508"/>
      <c r="C1205" s="310"/>
      <c r="D1205" s="310"/>
      <c r="E1205" s="310"/>
      <c r="F1205" s="310"/>
      <c r="G1205" s="310"/>
      <c r="H1205" s="310"/>
      <c r="I1205" s="310"/>
      <c r="J1205" s="310"/>
      <c r="K1205" s="310"/>
      <c r="L1205" s="310"/>
      <c r="M1205" s="310"/>
    </row>
    <row r="1206" spans="2:13">
      <c r="B1206" s="508"/>
      <c r="C1206" s="310"/>
      <c r="D1206" s="310"/>
      <c r="E1206" s="310"/>
      <c r="F1206" s="310"/>
      <c r="G1206" s="310"/>
      <c r="H1206" s="310"/>
      <c r="I1206" s="310"/>
      <c r="J1206" s="310"/>
      <c r="K1206" s="310"/>
      <c r="L1206" s="310"/>
      <c r="M1206" s="310"/>
    </row>
    <row r="1207" spans="2:13">
      <c r="B1207" s="508"/>
      <c r="C1207" s="310"/>
      <c r="D1207" s="310"/>
      <c r="E1207" s="310"/>
      <c r="F1207" s="310"/>
      <c r="G1207" s="310"/>
      <c r="H1207" s="310"/>
      <c r="I1207" s="310"/>
      <c r="J1207" s="310"/>
      <c r="K1207" s="310"/>
      <c r="L1207" s="310"/>
      <c r="M1207" s="310"/>
    </row>
    <row r="1208" spans="2:13">
      <c r="B1208" s="508"/>
      <c r="C1208" s="310"/>
      <c r="D1208" s="310"/>
      <c r="E1208" s="310"/>
      <c r="F1208" s="310"/>
      <c r="G1208" s="310"/>
      <c r="H1208" s="310"/>
      <c r="I1208" s="310"/>
      <c r="J1208" s="310"/>
      <c r="K1208" s="310"/>
      <c r="L1208" s="310"/>
      <c r="M1208" s="310"/>
    </row>
    <row r="1209" spans="2:13">
      <c r="B1209" s="508"/>
      <c r="C1209" s="310"/>
      <c r="D1209" s="310"/>
      <c r="E1209" s="310"/>
      <c r="F1209" s="310"/>
      <c r="G1209" s="310"/>
      <c r="H1209" s="310"/>
      <c r="I1209" s="310"/>
      <c r="J1209" s="310"/>
      <c r="K1209" s="310"/>
      <c r="L1209" s="310"/>
      <c r="M1209" s="310"/>
    </row>
    <row r="1210" spans="2:13">
      <c r="B1210" s="508"/>
      <c r="C1210" s="310"/>
      <c r="D1210" s="310"/>
      <c r="E1210" s="310"/>
      <c r="F1210" s="310"/>
      <c r="G1210" s="310"/>
      <c r="H1210" s="310"/>
      <c r="I1210" s="310"/>
      <c r="J1210" s="310"/>
      <c r="K1210" s="310"/>
      <c r="L1210" s="310"/>
      <c r="M1210" s="310"/>
    </row>
    <row r="1211" spans="2:13">
      <c r="B1211" s="508"/>
      <c r="C1211" s="310"/>
      <c r="D1211" s="310"/>
      <c r="E1211" s="310"/>
      <c r="F1211" s="310"/>
      <c r="G1211" s="310"/>
      <c r="H1211" s="310"/>
      <c r="I1211" s="310"/>
      <c r="J1211" s="310"/>
      <c r="K1211" s="310"/>
      <c r="L1211" s="310"/>
      <c r="M1211" s="310"/>
    </row>
    <row r="1212" spans="2:13">
      <c r="B1212" s="508"/>
      <c r="C1212" s="310"/>
      <c r="D1212" s="310"/>
      <c r="E1212" s="310"/>
      <c r="F1212" s="310"/>
      <c r="G1212" s="310"/>
      <c r="H1212" s="310"/>
      <c r="I1212" s="310"/>
      <c r="J1212" s="310"/>
      <c r="K1212" s="310"/>
      <c r="L1212" s="310"/>
      <c r="M1212" s="310"/>
    </row>
    <row r="1213" spans="2:13">
      <c r="B1213" s="508"/>
      <c r="C1213" s="310"/>
      <c r="D1213" s="310"/>
      <c r="E1213" s="310"/>
      <c r="F1213" s="310"/>
      <c r="G1213" s="310"/>
      <c r="H1213" s="310"/>
      <c r="I1213" s="310"/>
      <c r="J1213" s="310"/>
      <c r="K1213" s="310"/>
      <c r="L1213" s="310"/>
      <c r="M1213" s="310"/>
    </row>
    <row r="1214" spans="2:13">
      <c r="B1214" s="508"/>
      <c r="C1214" s="310"/>
      <c r="D1214" s="310"/>
      <c r="E1214" s="310"/>
      <c r="F1214" s="310"/>
      <c r="G1214" s="310"/>
      <c r="H1214" s="310"/>
      <c r="I1214" s="310"/>
      <c r="J1214" s="310"/>
      <c r="K1214" s="310"/>
      <c r="L1214" s="310"/>
      <c r="M1214" s="310"/>
    </row>
    <row r="1215" spans="2:13">
      <c r="B1215" s="508"/>
      <c r="C1215" s="310"/>
      <c r="D1215" s="310"/>
      <c r="E1215" s="310"/>
      <c r="F1215" s="310"/>
      <c r="G1215" s="310"/>
      <c r="H1215" s="310"/>
      <c r="I1215" s="310"/>
      <c r="J1215" s="310"/>
      <c r="K1215" s="310"/>
      <c r="L1215" s="310"/>
      <c r="M1215" s="310"/>
    </row>
    <row r="1216" spans="2:13">
      <c r="B1216" s="508"/>
      <c r="C1216" s="310"/>
      <c r="D1216" s="310"/>
      <c r="E1216" s="310"/>
      <c r="F1216" s="310"/>
      <c r="G1216" s="310"/>
      <c r="H1216" s="310"/>
      <c r="I1216" s="310"/>
      <c r="J1216" s="310"/>
      <c r="K1216" s="310"/>
      <c r="L1216" s="310"/>
      <c r="M1216" s="310"/>
    </row>
    <row r="1217" spans="2:13">
      <c r="B1217" s="508"/>
      <c r="C1217" s="310"/>
      <c r="D1217" s="310"/>
      <c r="E1217" s="310"/>
      <c r="F1217" s="310"/>
      <c r="G1217" s="310"/>
      <c r="H1217" s="310"/>
      <c r="I1217" s="310"/>
      <c r="J1217" s="310"/>
      <c r="K1217" s="310"/>
      <c r="L1217" s="310"/>
      <c r="M1217" s="310"/>
    </row>
    <row r="1218" spans="2:13">
      <c r="B1218" s="508"/>
      <c r="C1218" s="310"/>
      <c r="D1218" s="310"/>
      <c r="E1218" s="310"/>
      <c r="F1218" s="310"/>
      <c r="G1218" s="310"/>
      <c r="H1218" s="310"/>
      <c r="I1218" s="310"/>
      <c r="J1218" s="310"/>
      <c r="K1218" s="310"/>
      <c r="L1218" s="310"/>
      <c r="M1218" s="310"/>
    </row>
    <row r="1219" spans="2:13">
      <c r="B1219" s="508"/>
      <c r="C1219" s="310"/>
      <c r="D1219" s="310"/>
      <c r="E1219" s="310"/>
      <c r="F1219" s="310"/>
      <c r="G1219" s="310"/>
      <c r="H1219" s="310"/>
      <c r="I1219" s="310"/>
      <c r="J1219" s="310"/>
      <c r="K1219" s="310"/>
      <c r="L1219" s="310"/>
      <c r="M1219" s="310"/>
    </row>
    <row r="1220" spans="2:13">
      <c r="B1220" s="508"/>
      <c r="C1220" s="310"/>
      <c r="D1220" s="310"/>
      <c r="E1220" s="310"/>
      <c r="F1220" s="310"/>
      <c r="G1220" s="310"/>
      <c r="H1220" s="310"/>
      <c r="I1220" s="310"/>
      <c r="J1220" s="310"/>
      <c r="K1220" s="310"/>
      <c r="L1220" s="310"/>
      <c r="M1220" s="310"/>
    </row>
    <row r="1221" spans="2:13">
      <c r="B1221" s="508"/>
      <c r="C1221" s="310"/>
      <c r="D1221" s="310"/>
      <c r="E1221" s="310"/>
      <c r="F1221" s="310"/>
      <c r="G1221" s="310"/>
      <c r="H1221" s="310"/>
      <c r="I1221" s="310"/>
      <c r="J1221" s="310"/>
      <c r="K1221" s="310"/>
      <c r="L1221" s="310"/>
      <c r="M1221" s="310"/>
    </row>
    <row r="1222" spans="2:13">
      <c r="B1222" s="508"/>
      <c r="C1222" s="310"/>
      <c r="D1222" s="310"/>
      <c r="E1222" s="310"/>
      <c r="F1222" s="310"/>
      <c r="G1222" s="310"/>
      <c r="H1222" s="310"/>
      <c r="I1222" s="310"/>
      <c r="J1222" s="310"/>
      <c r="K1222" s="310"/>
      <c r="L1222" s="310"/>
      <c r="M1222" s="310"/>
    </row>
    <row r="1223" spans="2:13">
      <c r="B1223" s="508"/>
      <c r="C1223" s="310"/>
      <c r="D1223" s="310"/>
      <c r="E1223" s="310"/>
      <c r="F1223" s="310"/>
      <c r="G1223" s="310"/>
      <c r="H1223" s="310"/>
      <c r="I1223" s="310"/>
      <c r="J1223" s="310"/>
      <c r="K1223" s="310"/>
      <c r="L1223" s="310"/>
      <c r="M1223" s="310"/>
    </row>
    <row r="1224" spans="2:13">
      <c r="B1224" s="508"/>
      <c r="C1224" s="310"/>
      <c r="D1224" s="310"/>
      <c r="E1224" s="310"/>
      <c r="F1224" s="310"/>
      <c r="G1224" s="310"/>
      <c r="H1224" s="310"/>
      <c r="I1224" s="310"/>
      <c r="J1224" s="310"/>
      <c r="K1224" s="310"/>
      <c r="L1224" s="310"/>
      <c r="M1224" s="310"/>
    </row>
    <row r="1225" spans="2:13">
      <c r="B1225" s="508"/>
      <c r="C1225" s="310"/>
      <c r="D1225" s="310"/>
      <c r="E1225" s="310"/>
      <c r="F1225" s="310"/>
      <c r="G1225" s="310"/>
      <c r="H1225" s="310"/>
      <c r="I1225" s="310"/>
      <c r="J1225" s="310"/>
      <c r="K1225" s="310"/>
      <c r="L1225" s="310"/>
      <c r="M1225" s="310"/>
    </row>
    <row r="1226" spans="2:13">
      <c r="B1226" s="508"/>
      <c r="C1226" s="310"/>
      <c r="D1226" s="310"/>
      <c r="E1226" s="310"/>
      <c r="F1226" s="310"/>
      <c r="G1226" s="310"/>
      <c r="H1226" s="310"/>
      <c r="I1226" s="310"/>
      <c r="J1226" s="310"/>
      <c r="K1226" s="310"/>
      <c r="L1226" s="310"/>
      <c r="M1226" s="310"/>
    </row>
    <row r="1227" spans="2:13">
      <c r="B1227" s="508"/>
      <c r="C1227" s="310"/>
      <c r="D1227" s="310"/>
      <c r="E1227" s="310"/>
      <c r="F1227" s="310"/>
      <c r="G1227" s="310"/>
      <c r="H1227" s="310"/>
      <c r="I1227" s="310"/>
      <c r="J1227" s="310"/>
      <c r="K1227" s="310"/>
      <c r="L1227" s="310"/>
      <c r="M1227" s="310"/>
    </row>
    <row r="1228" spans="2:13">
      <c r="B1228" s="508"/>
      <c r="C1228" s="310"/>
      <c r="D1228" s="310"/>
      <c r="E1228" s="310"/>
      <c r="F1228" s="310"/>
      <c r="G1228" s="310"/>
      <c r="H1228" s="310"/>
      <c r="I1228" s="310"/>
      <c r="J1228" s="310"/>
      <c r="K1228" s="310"/>
      <c r="L1228" s="310"/>
      <c r="M1228" s="310"/>
    </row>
    <row r="1229" spans="2:13">
      <c r="I1229" s="310"/>
      <c r="J1229" s="310"/>
    </row>
  </sheetData>
  <mergeCells count="26">
    <mergeCell ref="D373:L374"/>
    <mergeCell ref="G253:H253"/>
    <mergeCell ref="E177:E178"/>
    <mergeCell ref="D368:L370"/>
    <mergeCell ref="D280:L280"/>
    <mergeCell ref="D292:L292"/>
    <mergeCell ref="D288:L289"/>
    <mergeCell ref="D323:L326"/>
    <mergeCell ref="D283:K284"/>
    <mergeCell ref="D352:L357"/>
    <mergeCell ref="D360:L362"/>
    <mergeCell ref="D307:K309"/>
    <mergeCell ref="D363:L364"/>
    <mergeCell ref="D328:L330"/>
    <mergeCell ref="D316:J318"/>
    <mergeCell ref="D303:K305"/>
    <mergeCell ref="D367:L367"/>
    <mergeCell ref="D320:K321"/>
    <mergeCell ref="D310:J311"/>
    <mergeCell ref="D365:L366"/>
    <mergeCell ref="B24:I25"/>
    <mergeCell ref="I60:J60"/>
    <mergeCell ref="I63:J63"/>
    <mergeCell ref="I134:J134"/>
    <mergeCell ref="I137:J137"/>
    <mergeCell ref="D42:L42"/>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1"/>
  <sheetViews>
    <sheetView view="pageBreakPreview" topLeftCell="A40" zoomScale="85" zoomScaleNormal="85" zoomScaleSheetLayoutView="85" workbookViewId="0">
      <selection activeCell="D65" sqref="D65"/>
    </sheetView>
  </sheetViews>
  <sheetFormatPr defaultRowHeight="15"/>
  <cols>
    <col min="1" max="1" width="10.42578125" style="53" customWidth="1"/>
    <col min="2" max="2" width="15.140625" style="25" customWidth="1"/>
    <col min="3" max="3" width="59.140625" style="8" customWidth="1"/>
    <col min="4" max="4" width="15.7109375" style="8" customWidth="1"/>
    <col min="5" max="5" width="22" style="8" customWidth="1"/>
    <col min="6" max="6" width="17.28515625" style="8" customWidth="1"/>
    <col min="7" max="7" width="47.7109375" style="8" customWidth="1"/>
    <col min="8" max="8" width="13.85546875" style="8" customWidth="1"/>
    <col min="9" max="9" width="9.140625" style="8"/>
    <col min="10" max="10" width="12.42578125" style="8" bestFit="1" customWidth="1"/>
    <col min="11" max="11" width="13.28515625" style="8" customWidth="1"/>
    <col min="12" max="16384" width="9.140625" style="8"/>
  </cols>
  <sheetData>
    <row r="1" spans="1:11" ht="15.75">
      <c r="A1" s="874" t="s">
        <v>114</v>
      </c>
    </row>
    <row r="2" spans="1:11" ht="15.75">
      <c r="A2" s="874" t="s">
        <v>114</v>
      </c>
    </row>
    <row r="3" spans="1:11">
      <c r="A3" s="1454" t="s">
        <v>387</v>
      </c>
      <c r="B3" s="1454"/>
      <c r="C3" s="1454"/>
      <c r="D3" s="1454"/>
      <c r="E3" s="1454"/>
      <c r="F3" s="1454"/>
      <c r="G3" s="1454"/>
      <c r="H3" s="37"/>
    </row>
    <row r="4" spans="1:11" ht="17.25" customHeight="1">
      <c r="A4" s="1455" t="str">
        <f>"Cost of Service Formula Rate Using Actual/Projected FF1 Balances"</f>
        <v>Cost of Service Formula Rate Using Actual/Projected FF1 Balances</v>
      </c>
      <c r="B4" s="1455"/>
      <c r="C4" s="1455"/>
      <c r="D4" s="1455"/>
      <c r="E4" s="1455"/>
      <c r="F4" s="1455"/>
      <c r="G4" s="1455"/>
      <c r="H4" s="92"/>
      <c r="I4" s="92"/>
      <c r="J4" s="92"/>
      <c r="K4" s="92"/>
    </row>
    <row r="5" spans="1:11" ht="18" customHeight="1">
      <c r="A5" s="1455" t="s">
        <v>488</v>
      </c>
      <c r="B5" s="1455"/>
      <c r="C5" s="1455"/>
      <c r="D5" s="1455"/>
      <c r="E5" s="1455"/>
      <c r="F5" s="1455"/>
      <c r="G5" s="1455"/>
    </row>
    <row r="6" spans="1:11" ht="19.5" customHeight="1">
      <c r="A6" s="1466" t="str">
        <f>TCOS!F9</f>
        <v>WHEELING POWER COMPANY</v>
      </c>
      <c r="B6" s="1466"/>
      <c r="C6" s="1466"/>
      <c r="D6" s="1466"/>
      <c r="E6" s="1466"/>
      <c r="F6" s="1466"/>
      <c r="G6" s="1466"/>
    </row>
    <row r="7" spans="1:11" ht="12.75" customHeight="1">
      <c r="A7" s="1454"/>
      <c r="B7" s="1454"/>
      <c r="C7" s="1454"/>
      <c r="D7" s="1454"/>
      <c r="E7" s="1454"/>
      <c r="F7" s="1454"/>
      <c r="G7" s="43"/>
    </row>
    <row r="8" spans="1:11" ht="18">
      <c r="A8" s="1492"/>
      <c r="B8" s="1492"/>
      <c r="C8" s="1492"/>
      <c r="D8" s="1492"/>
      <c r="E8" s="1492"/>
      <c r="F8" s="1492"/>
      <c r="G8" s="1492"/>
    </row>
    <row r="9" spans="1:11" ht="18">
      <c r="A9" s="162"/>
      <c r="B9" s="162"/>
      <c r="C9" s="162"/>
      <c r="D9" s="162"/>
      <c r="E9" s="162"/>
      <c r="F9" s="162"/>
      <c r="G9" s="162"/>
    </row>
    <row r="10" spans="1:11" ht="15.75">
      <c r="B10" s="34" t="s">
        <v>162</v>
      </c>
      <c r="C10" s="34" t="s">
        <v>163</v>
      </c>
      <c r="D10" s="34" t="s">
        <v>164</v>
      </c>
      <c r="E10" s="34" t="s">
        <v>165</v>
      </c>
      <c r="F10" s="34" t="s">
        <v>84</v>
      </c>
      <c r="G10" s="34" t="s">
        <v>85</v>
      </c>
    </row>
    <row r="11" spans="1:11" ht="15.75">
      <c r="B11" s="45"/>
      <c r="C11" s="43"/>
      <c r="D11" s="191"/>
      <c r="E11" s="192"/>
      <c r="F11" s="193" t="s">
        <v>87</v>
      </c>
      <c r="G11" s="34"/>
    </row>
    <row r="12" spans="1:11" ht="15.75">
      <c r="A12" s="48" t="s">
        <v>169</v>
      </c>
      <c r="B12" s="45"/>
      <c r="C12" s="54"/>
      <c r="D12" s="48">
        <f>+TCOS!L4</f>
        <v>2023</v>
      </c>
      <c r="E12" s="193" t="s">
        <v>87</v>
      </c>
      <c r="F12" s="48" t="s">
        <v>115</v>
      </c>
      <c r="G12" s="34"/>
    </row>
    <row r="13" spans="1:11" ht="15.75">
      <c r="A13" s="48" t="s">
        <v>106</v>
      </c>
      <c r="B13" s="48" t="s">
        <v>36</v>
      </c>
      <c r="C13" s="48" t="s">
        <v>167</v>
      </c>
      <c r="D13" s="48" t="s">
        <v>37</v>
      </c>
      <c r="E13" s="48" t="s">
        <v>89</v>
      </c>
      <c r="F13" s="48" t="s">
        <v>38</v>
      </c>
      <c r="G13" s="48" t="s">
        <v>39</v>
      </c>
    </row>
    <row r="14" spans="1:11" ht="15.75">
      <c r="B14" s="48"/>
      <c r="C14" s="48"/>
      <c r="D14" s="48"/>
      <c r="E14" s="48"/>
      <c r="F14" s="48"/>
      <c r="G14" s="48"/>
    </row>
    <row r="15" spans="1:11" ht="15.75">
      <c r="B15" s="48"/>
      <c r="C15" s="48"/>
      <c r="D15" s="48"/>
      <c r="E15" s="48"/>
      <c r="F15" s="48"/>
      <c r="G15" s="48"/>
    </row>
    <row r="16" spans="1:11" ht="15.75">
      <c r="B16" s="48"/>
      <c r="D16" s="48"/>
      <c r="E16" s="48"/>
      <c r="F16" s="48"/>
      <c r="G16" s="48"/>
    </row>
    <row r="17" spans="1:7" ht="15.75">
      <c r="B17" s="48"/>
      <c r="C17" s="48" t="s">
        <v>496</v>
      </c>
      <c r="D17" s="41"/>
      <c r="E17" s="41"/>
      <c r="F17" s="41"/>
      <c r="G17" s="85"/>
    </row>
    <row r="18" spans="1:7">
      <c r="A18" s="53">
        <v>1</v>
      </c>
      <c r="B18" s="843"/>
      <c r="C18" s="844"/>
      <c r="D18" s="845"/>
      <c r="E18" s="62"/>
      <c r="F18" s="62"/>
      <c r="G18" s="870"/>
    </row>
    <row r="19" spans="1:7">
      <c r="A19" s="53">
        <v>2</v>
      </c>
      <c r="B19" s="843"/>
      <c r="C19" s="844"/>
      <c r="D19" s="845"/>
      <c r="E19" s="62"/>
      <c r="F19" s="62"/>
      <c r="G19" s="40"/>
    </row>
    <row r="20" spans="1:7">
      <c r="A20" s="53">
        <v>3</v>
      </c>
      <c r="B20" s="843"/>
      <c r="C20" s="844"/>
      <c r="D20" s="845"/>
      <c r="E20" s="62"/>
      <c r="F20" s="62"/>
      <c r="G20" s="40"/>
    </row>
    <row r="21" spans="1:7" ht="15.75">
      <c r="A21" s="53">
        <v>4</v>
      </c>
      <c r="B21" s="48"/>
      <c r="C21" s="218" t="s">
        <v>118</v>
      </c>
      <c r="D21" s="290">
        <f>SUM(D18:D19)</f>
        <v>0</v>
      </c>
      <c r="E21" s="62"/>
      <c r="F21" s="62"/>
      <c r="G21" s="48"/>
    </row>
    <row r="22" spans="1:7" ht="15.75">
      <c r="B22" s="48"/>
      <c r="C22" s="218"/>
      <c r="D22" s="233"/>
      <c r="E22" s="41"/>
      <c r="F22" s="41"/>
      <c r="G22" s="48"/>
    </row>
    <row r="23" spans="1:7" ht="15.75">
      <c r="A23" s="8"/>
      <c r="B23" s="48"/>
      <c r="C23" s="48" t="s">
        <v>49</v>
      </c>
      <c r="D23" s="284"/>
      <c r="E23" s="41"/>
      <c r="F23" s="41"/>
      <c r="G23" s="48"/>
    </row>
    <row r="24" spans="1:7" ht="15.75">
      <c r="A24" s="47">
        <f>+A21+1</f>
        <v>5</v>
      </c>
      <c r="B24" s="287"/>
      <c r="C24" s="285"/>
      <c r="D24" s="1110"/>
      <c r="E24" s="41"/>
      <c r="F24" s="41"/>
      <c r="G24" s="48"/>
    </row>
    <row r="25" spans="1:7" ht="15.75">
      <c r="A25" s="286">
        <f>+A24+1</f>
        <v>6</v>
      </c>
      <c r="B25" s="287" t="s">
        <v>50</v>
      </c>
      <c r="C25" s="287" t="s">
        <v>51</v>
      </c>
      <c r="D25" s="1292">
        <v>0</v>
      </c>
      <c r="E25" s="41"/>
      <c r="F25" s="41"/>
      <c r="G25" s="48"/>
    </row>
    <row r="26" spans="1:7" ht="15.75">
      <c r="A26" s="47">
        <f>+A25+1</f>
        <v>7</v>
      </c>
      <c r="B26" s="285" t="s">
        <v>52</v>
      </c>
      <c r="C26" s="285" t="s">
        <v>53</v>
      </c>
      <c r="D26" s="1292">
        <v>26000</v>
      </c>
      <c r="E26" s="41"/>
      <c r="F26" s="41"/>
      <c r="G26" s="48"/>
    </row>
    <row r="27" spans="1:7" ht="15.75">
      <c r="A27" s="286">
        <f t="shared" ref="A27:A32" si="0">+A26+1</f>
        <v>8</v>
      </c>
      <c r="B27" s="287" t="s">
        <v>54</v>
      </c>
      <c r="C27" s="287" t="s">
        <v>55</v>
      </c>
      <c r="D27" s="1292">
        <v>0</v>
      </c>
      <c r="E27" s="41"/>
      <c r="F27" s="41"/>
      <c r="G27" s="48"/>
    </row>
    <row r="28" spans="1:7" ht="15.75">
      <c r="A28" s="47">
        <f t="shared" si="0"/>
        <v>9</v>
      </c>
      <c r="B28" s="285" t="s">
        <v>56</v>
      </c>
      <c r="C28" s="285" t="s">
        <v>57</v>
      </c>
      <c r="D28" s="1292">
        <v>1046000</v>
      </c>
      <c r="E28" s="41"/>
      <c r="F28" s="41"/>
      <c r="G28" s="48"/>
    </row>
    <row r="29" spans="1:7" ht="15.75">
      <c r="A29" s="286">
        <f t="shared" si="0"/>
        <v>10</v>
      </c>
      <c r="B29" s="287" t="s">
        <v>58</v>
      </c>
      <c r="C29" s="287" t="s">
        <v>59</v>
      </c>
      <c r="D29" s="1292">
        <v>27000</v>
      </c>
      <c r="E29" s="41"/>
      <c r="F29" s="41"/>
      <c r="G29" s="48"/>
    </row>
    <row r="30" spans="1:7" ht="15.75">
      <c r="A30" s="47">
        <f t="shared" si="0"/>
        <v>11</v>
      </c>
      <c r="B30" s="285" t="s">
        <v>60</v>
      </c>
      <c r="C30" s="285" t="s">
        <v>61</v>
      </c>
      <c r="D30" s="1292">
        <v>0</v>
      </c>
      <c r="E30" s="41"/>
      <c r="F30" s="41"/>
      <c r="G30" s="48"/>
    </row>
    <row r="31" spans="1:7" ht="15.75">
      <c r="A31" s="286">
        <f t="shared" si="0"/>
        <v>12</v>
      </c>
      <c r="B31" s="287" t="s">
        <v>62</v>
      </c>
      <c r="C31" s="287" t="s">
        <v>63</v>
      </c>
      <c r="D31" s="1292">
        <v>0</v>
      </c>
      <c r="E31" s="41"/>
      <c r="F31" s="41"/>
      <c r="G31" s="48"/>
    </row>
    <row r="32" spans="1:7" ht="15.75">
      <c r="A32" s="47">
        <f t="shared" si="0"/>
        <v>13</v>
      </c>
      <c r="B32" s="285" t="s">
        <v>64</v>
      </c>
      <c r="C32" s="285" t="s">
        <v>65</v>
      </c>
      <c r="D32" s="1292">
        <v>302000</v>
      </c>
      <c r="E32" s="41"/>
      <c r="F32" s="41"/>
      <c r="G32" s="48"/>
    </row>
    <row r="33" spans="1:19" ht="15.75">
      <c r="A33" s="53">
        <f>+A32+1</f>
        <v>14</v>
      </c>
      <c r="B33" s="260"/>
      <c r="C33" s="34" t="s">
        <v>66</v>
      </c>
      <c r="D33" s="261">
        <f>SUM(D25:D32)</f>
        <v>1401000</v>
      </c>
      <c r="E33" s="41"/>
      <c r="F33" s="41"/>
      <c r="G33" s="48"/>
    </row>
    <row r="34" spans="1:19" ht="15.75">
      <c r="A34" s="214"/>
      <c r="B34" s="61"/>
      <c r="C34" s="48"/>
      <c r="D34" s="48"/>
      <c r="E34" s="48"/>
      <c r="F34" s="48"/>
      <c r="G34" s="48"/>
    </row>
    <row r="35" spans="1:19" ht="15.75">
      <c r="A35" s="214"/>
      <c r="B35" s="47"/>
      <c r="C35" s="95" t="s">
        <v>212</v>
      </c>
      <c r="D35" s="43"/>
      <c r="E35" s="43"/>
      <c r="F35" s="43"/>
      <c r="G35" s="43"/>
    </row>
    <row r="36" spans="1:19">
      <c r="A36" s="53">
        <f>+A33+1</f>
        <v>15</v>
      </c>
      <c r="B36" s="1221" t="s">
        <v>875</v>
      </c>
      <c r="C36" s="844" t="s">
        <v>876</v>
      </c>
      <c r="D36" s="1222">
        <v>1115000</v>
      </c>
      <c r="E36" s="41">
        <f>D36</f>
        <v>1115000</v>
      </c>
      <c r="F36" s="41">
        <v>0</v>
      </c>
      <c r="G36" s="40" t="s">
        <v>114</v>
      </c>
    </row>
    <row r="37" spans="1:19">
      <c r="A37" s="53">
        <f>+A36+1</f>
        <v>16</v>
      </c>
      <c r="B37" s="1221" t="s">
        <v>909</v>
      </c>
      <c r="C37" s="844" t="s">
        <v>910</v>
      </c>
      <c r="D37" s="1222">
        <v>0</v>
      </c>
      <c r="E37" s="41">
        <f>D37</f>
        <v>0</v>
      </c>
      <c r="F37" s="41">
        <v>0</v>
      </c>
      <c r="G37" s="40" t="s">
        <v>114</v>
      </c>
    </row>
    <row r="38" spans="1:19">
      <c r="A38" s="53">
        <f>+A37+1</f>
        <v>17</v>
      </c>
      <c r="B38" s="1221" t="s">
        <v>911</v>
      </c>
      <c r="C38" s="844" t="s">
        <v>912</v>
      </c>
      <c r="D38" s="1222">
        <v>56000</v>
      </c>
      <c r="E38" s="41">
        <f>D38</f>
        <v>56000</v>
      </c>
      <c r="F38" s="41">
        <v>0</v>
      </c>
      <c r="G38" s="40" t="s">
        <v>114</v>
      </c>
    </row>
    <row r="39" spans="1:19">
      <c r="A39" s="53">
        <f>+A38+1</f>
        <v>18</v>
      </c>
      <c r="B39" s="1380" t="s">
        <v>1005</v>
      </c>
      <c r="C39" s="844" t="s">
        <v>1006</v>
      </c>
      <c r="D39" s="1222">
        <v>42000</v>
      </c>
      <c r="E39" s="41">
        <f>D39</f>
        <v>42000</v>
      </c>
      <c r="F39" s="41"/>
      <c r="G39" s="40" t="s">
        <v>114</v>
      </c>
    </row>
    <row r="40" spans="1:19" ht="12.75" customHeight="1">
      <c r="A40" s="53">
        <f>+A39+1</f>
        <v>19</v>
      </c>
      <c r="B40" s="1221" t="s">
        <v>913</v>
      </c>
      <c r="C40" s="844" t="s">
        <v>914</v>
      </c>
      <c r="D40" s="1222">
        <v>5000</v>
      </c>
      <c r="E40" s="41">
        <f>D40-F40</f>
        <v>0</v>
      </c>
      <c r="F40" s="41">
        <f>D40</f>
        <v>5000</v>
      </c>
      <c r="G40" s="43"/>
    </row>
    <row r="41" spans="1:19" ht="15.75" customHeight="1">
      <c r="A41" s="53">
        <f>+A40+1</f>
        <v>20</v>
      </c>
      <c r="B41" s="45"/>
      <c r="C41" s="1111" t="s">
        <v>623</v>
      </c>
      <c r="D41" s="56">
        <f>SUM(D36:D40)</f>
        <v>1218000</v>
      </c>
      <c r="E41" s="56">
        <f>SUM(E36:E40)</f>
        <v>1213000</v>
      </c>
      <c r="F41" s="56">
        <f>SUM(F36:F40)</f>
        <v>5000</v>
      </c>
      <c r="G41" s="27"/>
    </row>
    <row r="42" spans="1:19" ht="12.75" customHeight="1">
      <c r="B42" s="45"/>
      <c r="C42" s="46"/>
      <c r="D42" s="60"/>
      <c r="E42" s="30"/>
      <c r="F42" s="30"/>
      <c r="G42" s="43"/>
    </row>
    <row r="43" spans="1:19" ht="15.75">
      <c r="B43" s="47"/>
      <c r="C43" s="95" t="s">
        <v>211</v>
      </c>
      <c r="D43" s="30"/>
      <c r="E43" s="30"/>
      <c r="F43" s="30"/>
      <c r="G43" s="43"/>
    </row>
    <row r="44" spans="1:19">
      <c r="A44" s="53">
        <f>+A41+1</f>
        <v>21</v>
      </c>
      <c r="B44" s="1221" t="s">
        <v>875</v>
      </c>
      <c r="C44" s="1420" t="s">
        <v>876</v>
      </c>
      <c r="D44" s="1222">
        <v>0</v>
      </c>
      <c r="E44" s="41">
        <f t="shared" ref="E44:E48" si="1">+D44</f>
        <v>0</v>
      </c>
      <c r="F44" s="41">
        <v>0</v>
      </c>
      <c r="G44"/>
      <c r="M44" s="26"/>
      <c r="N44" s="58"/>
      <c r="O44" s="59"/>
      <c r="P44" s="59"/>
      <c r="Q44" s="59"/>
      <c r="R44" s="59"/>
      <c r="S44" s="28"/>
    </row>
    <row r="45" spans="1:19">
      <c r="A45" s="53">
        <f>+A44+1</f>
        <v>22</v>
      </c>
      <c r="B45" s="1221" t="s">
        <v>909</v>
      </c>
      <c r="C45" s="1420" t="s">
        <v>910</v>
      </c>
      <c r="D45" s="1222">
        <v>0</v>
      </c>
      <c r="E45" s="41">
        <f t="shared" si="1"/>
        <v>0</v>
      </c>
      <c r="F45" s="41">
        <v>0</v>
      </c>
      <c r="G45"/>
      <c r="M45" s="26"/>
      <c r="N45" s="58"/>
      <c r="O45" s="59"/>
      <c r="P45" s="59"/>
      <c r="Q45" s="59"/>
      <c r="R45" s="59"/>
      <c r="S45" s="28"/>
    </row>
    <row r="46" spans="1:19">
      <c r="A46" s="53">
        <f t="shared" ref="A46:A59" si="2">+A45+1</f>
        <v>23</v>
      </c>
      <c r="B46" s="1221" t="s">
        <v>911</v>
      </c>
      <c r="C46" s="1420" t="s">
        <v>912</v>
      </c>
      <c r="D46" s="1222">
        <v>1000</v>
      </c>
      <c r="E46" s="41">
        <f t="shared" si="1"/>
        <v>1000</v>
      </c>
      <c r="F46" s="41">
        <v>0</v>
      </c>
      <c r="G46"/>
      <c r="M46" s="26"/>
      <c r="N46" s="58"/>
      <c r="O46" s="59"/>
      <c r="P46" s="59"/>
      <c r="Q46" s="59"/>
      <c r="R46" s="59"/>
      <c r="S46" s="28"/>
    </row>
    <row r="47" spans="1:19">
      <c r="A47" s="53">
        <f t="shared" si="2"/>
        <v>24</v>
      </c>
      <c r="B47" s="1221" t="s">
        <v>1005</v>
      </c>
      <c r="C47" s="1420" t="s">
        <v>1006</v>
      </c>
      <c r="D47" s="1222">
        <v>0</v>
      </c>
      <c r="E47" s="41">
        <f t="shared" si="1"/>
        <v>0</v>
      </c>
      <c r="F47" s="41">
        <v>0</v>
      </c>
      <c r="G47"/>
      <c r="M47" s="26"/>
      <c r="N47" s="58"/>
      <c r="O47" s="59"/>
      <c r="P47" s="59"/>
      <c r="Q47" s="59"/>
      <c r="R47" s="59"/>
      <c r="S47" s="28"/>
    </row>
    <row r="48" spans="1:19">
      <c r="A48" s="53">
        <f>+A47+1</f>
        <v>25</v>
      </c>
      <c r="B48" s="1221" t="s">
        <v>913</v>
      </c>
      <c r="C48" s="1420" t="s">
        <v>914</v>
      </c>
      <c r="D48" s="1222">
        <v>1000</v>
      </c>
      <c r="E48" s="41">
        <f t="shared" si="1"/>
        <v>1000</v>
      </c>
      <c r="F48" s="41">
        <v>0</v>
      </c>
      <c r="G48"/>
      <c r="M48" s="26"/>
      <c r="N48" s="58"/>
      <c r="O48" s="59"/>
      <c r="P48" s="59"/>
      <c r="Q48" s="59"/>
      <c r="R48" s="59"/>
      <c r="S48" s="28"/>
    </row>
    <row r="49" spans="1:19">
      <c r="A49" s="53">
        <f t="shared" si="2"/>
        <v>26</v>
      </c>
      <c r="B49" s="1221"/>
      <c r="C49" s="844"/>
      <c r="D49" s="1222"/>
      <c r="E49" s="41"/>
      <c r="F49" s="41"/>
      <c r="G49"/>
      <c r="M49" s="26"/>
      <c r="N49" s="58"/>
      <c r="O49" s="59"/>
      <c r="P49" s="59"/>
      <c r="Q49" s="59"/>
      <c r="R49" s="59"/>
      <c r="S49" s="28"/>
    </row>
    <row r="50" spans="1:19">
      <c r="A50" s="53">
        <f t="shared" si="2"/>
        <v>27</v>
      </c>
      <c r="B50" s="843"/>
      <c r="C50" s="844"/>
      <c r="D50" s="845"/>
      <c r="E50" s="41"/>
      <c r="F50" s="41"/>
      <c r="G50"/>
      <c r="M50" s="26"/>
      <c r="N50" s="58"/>
      <c r="O50" s="59"/>
      <c r="P50" s="59"/>
      <c r="Q50" s="59"/>
      <c r="R50" s="59"/>
      <c r="S50" s="28"/>
    </row>
    <row r="51" spans="1:19">
      <c r="A51" s="53">
        <f t="shared" si="2"/>
        <v>28</v>
      </c>
      <c r="B51" s="843"/>
      <c r="C51" s="844"/>
      <c r="D51" s="845"/>
      <c r="E51" s="41"/>
      <c r="F51" s="41"/>
      <c r="G51"/>
      <c r="M51" s="26"/>
      <c r="N51" s="58"/>
      <c r="O51" s="59"/>
      <c r="P51" s="59"/>
      <c r="Q51" s="59"/>
      <c r="R51" s="59"/>
      <c r="S51" s="28"/>
    </row>
    <row r="52" spans="1:19">
      <c r="A52" s="53">
        <f>A51+1</f>
        <v>29</v>
      </c>
      <c r="B52" s="843"/>
      <c r="C52" s="844"/>
      <c r="D52" s="845"/>
      <c r="E52" s="41"/>
      <c r="F52" s="41"/>
      <c r="G52"/>
      <c r="M52" s="26"/>
      <c r="N52" s="58"/>
      <c r="O52" s="59"/>
      <c r="P52" s="59"/>
      <c r="Q52" s="59"/>
      <c r="R52" s="59"/>
      <c r="S52" s="28"/>
    </row>
    <row r="53" spans="1:19">
      <c r="A53" s="53">
        <f>A52+1</f>
        <v>30</v>
      </c>
      <c r="B53" s="843"/>
      <c r="C53" s="844"/>
      <c r="D53" s="845"/>
      <c r="E53" s="41"/>
      <c r="F53" s="41"/>
      <c r="G53"/>
      <c r="M53" s="26"/>
      <c r="N53" s="58"/>
      <c r="O53" s="59"/>
      <c r="P53" s="59"/>
      <c r="Q53" s="59"/>
      <c r="R53" s="59"/>
      <c r="S53" s="28"/>
    </row>
    <row r="54" spans="1:19">
      <c r="A54" s="53">
        <f>A53+1</f>
        <v>31</v>
      </c>
      <c r="B54" s="843"/>
      <c r="C54" s="844"/>
      <c r="D54" s="845"/>
      <c r="E54" s="41"/>
      <c r="F54" s="41"/>
      <c r="G54"/>
      <c r="M54" s="26"/>
      <c r="N54" s="58"/>
      <c r="O54" s="59"/>
      <c r="P54" s="59"/>
      <c r="Q54" s="59"/>
      <c r="R54" s="59"/>
      <c r="S54" s="28"/>
    </row>
    <row r="55" spans="1:19">
      <c r="A55" s="53">
        <f>A54+1</f>
        <v>32</v>
      </c>
      <c r="B55" s="843"/>
      <c r="C55" s="844"/>
      <c r="D55" s="845"/>
      <c r="E55" s="41"/>
      <c r="F55" s="44"/>
      <c r="G55"/>
      <c r="M55" s="26"/>
      <c r="N55" s="58"/>
      <c r="O55" s="59"/>
      <c r="P55" s="59"/>
      <c r="Q55" s="59"/>
      <c r="R55" s="59"/>
      <c r="S55" s="28"/>
    </row>
    <row r="56" spans="1:19">
      <c r="A56" s="53">
        <f t="shared" si="2"/>
        <v>33</v>
      </c>
      <c r="B56" s="843"/>
      <c r="C56" s="844"/>
      <c r="D56" s="845"/>
      <c r="E56" s="41"/>
      <c r="F56" s="44"/>
      <c r="G56"/>
    </row>
    <row r="57" spans="1:19">
      <c r="A57" s="53">
        <f t="shared" si="2"/>
        <v>34</v>
      </c>
      <c r="B57" s="843"/>
      <c r="C57" s="844"/>
      <c r="D57" s="845"/>
      <c r="E57" s="41"/>
      <c r="F57" s="44"/>
      <c r="G57" s="43"/>
    </row>
    <row r="58" spans="1:19">
      <c r="A58" s="53">
        <f t="shared" si="2"/>
        <v>35</v>
      </c>
      <c r="B58" s="843"/>
      <c r="C58" s="844"/>
      <c r="D58" s="845"/>
      <c r="E58" s="41"/>
      <c r="F58" s="44"/>
      <c r="G58" s="43"/>
    </row>
    <row r="59" spans="1:19">
      <c r="A59" s="53">
        <f t="shared" si="2"/>
        <v>36</v>
      </c>
      <c r="B59" s="843"/>
      <c r="C59" s="844"/>
      <c r="D59" s="845"/>
      <c r="E59" s="41"/>
      <c r="F59" s="44"/>
      <c r="G59" s="43"/>
    </row>
    <row r="60" spans="1:19">
      <c r="B60" s="42"/>
      <c r="C60" s="43"/>
      <c r="D60" s="49"/>
      <c r="E60" s="50"/>
      <c r="F60" s="49"/>
      <c r="G60" s="43"/>
    </row>
    <row r="61" spans="1:19" ht="15.75">
      <c r="A61" s="53">
        <f>A59+1</f>
        <v>37</v>
      </c>
      <c r="B61" s="45"/>
      <c r="C61" s="1111" t="s">
        <v>624</v>
      </c>
      <c r="D61" s="51">
        <f>SUM(D44:D60)</f>
        <v>2000</v>
      </c>
      <c r="E61" s="51">
        <f>SUM(E44:E60)</f>
        <v>2000</v>
      </c>
      <c r="F61" s="51">
        <f>SUM(F44:F60)</f>
        <v>0</v>
      </c>
      <c r="G61" s="27"/>
    </row>
    <row r="62" spans="1:19" ht="12.75" customHeight="1">
      <c r="B62" s="36"/>
      <c r="C62" s="36"/>
      <c r="D62" s="36"/>
      <c r="E62" s="36"/>
      <c r="F62" s="36"/>
      <c r="G62" s="36"/>
    </row>
    <row r="63" spans="1:19" ht="15.75">
      <c r="B63" s="34"/>
      <c r="C63" s="95" t="s">
        <v>210</v>
      </c>
      <c r="D63" s="52"/>
      <c r="E63" s="52"/>
      <c r="F63" s="52"/>
      <c r="G63" s="34"/>
    </row>
    <row r="64" spans="1:19">
      <c r="A64" s="53">
        <f>+A61+1</f>
        <v>38</v>
      </c>
      <c r="B64" s="1221" t="s">
        <v>877</v>
      </c>
      <c r="C64" s="844" t="s">
        <v>878</v>
      </c>
      <c r="D64" s="1222">
        <v>90000</v>
      </c>
      <c r="E64" s="41">
        <f>+D64</f>
        <v>90000</v>
      </c>
      <c r="F64" s="44">
        <v>0</v>
      </c>
      <c r="G64" s="26"/>
      <c r="H64" s="26"/>
      <c r="J64" s="28"/>
      <c r="K64" s="28"/>
    </row>
    <row r="65" spans="1:11">
      <c r="A65" s="53">
        <f>+A64+1</f>
        <v>39</v>
      </c>
      <c r="B65" s="1221" t="s">
        <v>879</v>
      </c>
      <c r="C65" s="844" t="s">
        <v>880</v>
      </c>
      <c r="D65" s="1222">
        <v>23000</v>
      </c>
      <c r="E65" s="41">
        <f>+D65</f>
        <v>23000</v>
      </c>
      <c r="F65" s="44">
        <v>0</v>
      </c>
      <c r="G65" s="26"/>
      <c r="H65" s="26"/>
      <c r="J65" s="28"/>
      <c r="K65" s="28"/>
    </row>
    <row r="66" spans="1:11">
      <c r="A66" s="53">
        <f>+A65+1</f>
        <v>40</v>
      </c>
      <c r="B66" s="1221" t="s">
        <v>881</v>
      </c>
      <c r="C66" s="844" t="s">
        <v>882</v>
      </c>
      <c r="D66" s="1222">
        <v>0</v>
      </c>
      <c r="E66" s="41">
        <f>+D66</f>
        <v>0</v>
      </c>
      <c r="F66" s="44">
        <v>0</v>
      </c>
      <c r="G66" s="26"/>
      <c r="H66" s="26"/>
      <c r="J66" s="28"/>
      <c r="K66" s="28"/>
    </row>
    <row r="67" spans="1:11">
      <c r="A67" s="53">
        <f>A66+1</f>
        <v>41</v>
      </c>
      <c r="B67" s="1221" t="s">
        <v>883</v>
      </c>
      <c r="C67" s="844" t="s">
        <v>884</v>
      </c>
      <c r="D67" s="1222">
        <v>0</v>
      </c>
      <c r="E67" s="41">
        <f>D67</f>
        <v>0</v>
      </c>
      <c r="F67" s="44">
        <v>0</v>
      </c>
      <c r="G67" s="26"/>
      <c r="H67" s="26"/>
      <c r="J67" s="28"/>
      <c r="K67" s="28"/>
    </row>
    <row r="68" spans="1:11">
      <c r="A68" s="53">
        <f>+A67+1</f>
        <v>42</v>
      </c>
      <c r="B68" s="1221" t="s">
        <v>885</v>
      </c>
      <c r="C68" s="844" t="s">
        <v>886</v>
      </c>
      <c r="D68" s="1381">
        <v>44000</v>
      </c>
      <c r="E68" s="1127">
        <f>D68-F68</f>
        <v>37000</v>
      </c>
      <c r="F68" s="1127">
        <v>7000</v>
      </c>
      <c r="G68" s="36"/>
    </row>
    <row r="69" spans="1:11">
      <c r="B69" s="291"/>
      <c r="C69" s="294"/>
      <c r="D69" s="295"/>
      <c r="E69" s="292"/>
      <c r="F69" s="292"/>
      <c r="G69" s="36"/>
    </row>
    <row r="70" spans="1:11" ht="15.75">
      <c r="A70" s="53">
        <f>+A68+1</f>
        <v>43</v>
      </c>
      <c r="B70" s="36"/>
      <c r="C70" s="1111" t="s">
        <v>625</v>
      </c>
      <c r="D70" s="293">
        <f>SUM(D64:D68)</f>
        <v>157000</v>
      </c>
      <c r="E70" s="293">
        <f>SUM(E64:E68)</f>
        <v>150000</v>
      </c>
      <c r="F70" s="293">
        <f>SUM(F64:F68)</f>
        <v>7000</v>
      </c>
      <c r="G70" s="27"/>
    </row>
    <row r="71" spans="1:11">
      <c r="B71" s="84"/>
      <c r="C71" s="20"/>
      <c r="D71" s="289"/>
      <c r="E71" s="20"/>
      <c r="F71" s="20"/>
      <c r="G71" s="20"/>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37"/>
  <sheetViews>
    <sheetView view="pageBreakPreview" topLeftCell="A4" zoomScaleNormal="100" zoomScaleSheetLayoutView="100" workbookViewId="0">
      <selection activeCell="E22" sqref="E22"/>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74" t="s">
        <v>114</v>
      </c>
    </row>
    <row r="2" spans="1:15" ht="15.75">
      <c r="A2" s="874" t="s">
        <v>114</v>
      </c>
    </row>
    <row r="3" spans="1:15" ht="15">
      <c r="A3" s="1454" t="s">
        <v>387</v>
      </c>
      <c r="B3" s="1454"/>
      <c r="C3" s="1454"/>
      <c r="D3" s="1454"/>
      <c r="E3" s="1454"/>
      <c r="F3" s="1454"/>
      <c r="G3" s="1454"/>
      <c r="H3" s="1454"/>
    </row>
    <row r="4" spans="1:15" ht="15">
      <c r="A4" s="1455" t="str">
        <f>"Cost of Service Formula Rate Using Actual/Projected FF1 Balances"</f>
        <v>Cost of Service Formula Rate Using Actual/Projected FF1 Balances</v>
      </c>
      <c r="B4" s="1455"/>
      <c r="C4" s="1455"/>
      <c r="D4" s="1455"/>
      <c r="E4" s="1455"/>
      <c r="F4" s="1455"/>
      <c r="G4" s="1455"/>
      <c r="H4" s="1455"/>
    </row>
    <row r="5" spans="1:15" ht="15">
      <c r="A5" s="1455" t="s">
        <v>527</v>
      </c>
      <c r="B5" s="1455"/>
      <c r="C5" s="1455"/>
      <c r="D5" s="1455"/>
      <c r="E5" s="1455"/>
      <c r="F5" s="1455"/>
      <c r="G5" s="1455"/>
      <c r="H5" s="1455"/>
    </row>
    <row r="6" spans="1:15" ht="15">
      <c r="A6" s="1466" t="str">
        <f>TCOS!F9</f>
        <v>WHEELING POWER COMPANY</v>
      </c>
      <c r="B6" s="1466"/>
      <c r="C6" s="1466"/>
      <c r="D6" s="1466"/>
      <c r="E6" s="1466"/>
      <c r="F6" s="1466"/>
      <c r="G6" s="1466"/>
    </row>
    <row r="7" spans="1:15" ht="12.75" customHeight="1">
      <c r="A7" s="18"/>
      <c r="B7" s="22"/>
      <c r="C7" s="22"/>
      <c r="D7" s="22"/>
      <c r="E7" s="22"/>
      <c r="F7" s="22"/>
      <c r="G7" s="22"/>
      <c r="H7" s="22"/>
      <c r="I7" s="22"/>
      <c r="J7" s="22"/>
      <c r="O7" s="14"/>
    </row>
    <row r="8" spans="1:15" ht="12.75" customHeight="1">
      <c r="A8" s="18"/>
      <c r="B8" s="16" t="s">
        <v>887</v>
      </c>
      <c r="C8" s="35"/>
      <c r="D8" s="38"/>
      <c r="E8" s="1412">
        <v>6.5000000000000002E-2</v>
      </c>
      <c r="F8" s="1223"/>
      <c r="G8" s="22"/>
      <c r="H8" s="22"/>
      <c r="I8" s="22"/>
      <c r="J8" s="22"/>
      <c r="O8" s="14"/>
    </row>
    <row r="9" spans="1:15" ht="14.45" customHeight="1">
      <c r="A9" s="18"/>
      <c r="B9" s="16" t="s">
        <v>888</v>
      </c>
      <c r="C9" s="35"/>
      <c r="D9" s="35"/>
      <c r="E9" s="1413">
        <v>0.97170408291823096</v>
      </c>
      <c r="G9" s="22"/>
      <c r="H9" s="22"/>
      <c r="I9" s="22"/>
      <c r="J9" s="22"/>
      <c r="O9" s="14"/>
    </row>
    <row r="10" spans="1:15" ht="12.75" customHeight="1">
      <c r="A10" s="18"/>
      <c r="B10" s="16" t="s">
        <v>448</v>
      </c>
      <c r="C10" s="35"/>
      <c r="D10" s="35"/>
      <c r="E10" s="1224"/>
      <c r="F10" s="39">
        <f>ROUND(E8*E9,6)</f>
        <v>6.3160999999999995E-2</v>
      </c>
      <c r="G10" s="22"/>
      <c r="H10" s="22"/>
      <c r="I10" s="22"/>
      <c r="J10" s="22"/>
      <c r="O10" s="14"/>
    </row>
    <row r="11" spans="1:15" ht="12.75" customHeight="1">
      <c r="A11" s="18"/>
      <c r="B11" s="16"/>
      <c r="C11" s="35"/>
      <c r="D11" s="35"/>
      <c r="E11" s="1224"/>
      <c r="F11" s="39"/>
      <c r="G11" s="22"/>
      <c r="H11" s="22"/>
      <c r="I11" s="22"/>
      <c r="J11" s="22"/>
      <c r="O11" s="14"/>
    </row>
    <row r="12" spans="1:15" ht="12.75" customHeight="1">
      <c r="A12" s="18"/>
      <c r="B12" s="16" t="s">
        <v>889</v>
      </c>
      <c r="C12" s="35"/>
      <c r="D12" s="35"/>
      <c r="E12" s="1412">
        <v>9.5000000000000001E-2</v>
      </c>
      <c r="F12" s="1223"/>
      <c r="G12" s="22"/>
      <c r="H12" s="22"/>
      <c r="I12" s="22"/>
      <c r="J12" s="22"/>
      <c r="O12" s="14"/>
    </row>
    <row r="13" spans="1:15" ht="12.75" customHeight="1">
      <c r="A13" s="18"/>
      <c r="B13" s="16" t="s">
        <v>888</v>
      </c>
      <c r="C13" s="35"/>
      <c r="D13" s="35"/>
      <c r="E13" s="1413">
        <v>4.3443099999999997E-3</v>
      </c>
      <c r="F13" s="1223"/>
      <c r="G13" s="22"/>
      <c r="H13" s="22"/>
      <c r="I13" s="22"/>
      <c r="J13" s="22"/>
      <c r="O13" s="14"/>
    </row>
    <row r="14" spans="1:15" ht="12.75" customHeight="1">
      <c r="A14" s="18"/>
      <c r="B14" s="16" t="s">
        <v>448</v>
      </c>
      <c r="C14" s="35"/>
      <c r="D14" s="35"/>
      <c r="E14" s="1224"/>
      <c r="F14" s="39">
        <f>ROUND(E12*E13,6)</f>
        <v>4.1300000000000001E-4</v>
      </c>
      <c r="G14" s="22"/>
      <c r="H14" s="22"/>
      <c r="I14" s="22"/>
      <c r="J14" s="22"/>
      <c r="O14" s="14"/>
    </row>
    <row r="15" spans="1:15" ht="12.75" customHeight="1">
      <c r="A15" s="18"/>
      <c r="B15" s="16"/>
      <c r="C15" s="35"/>
      <c r="D15" s="35"/>
      <c r="E15" s="1224"/>
      <c r="F15" s="39"/>
      <c r="G15" s="22"/>
      <c r="H15" s="22"/>
      <c r="I15" s="22"/>
      <c r="J15" s="22"/>
      <c r="O15" s="14"/>
    </row>
    <row r="16" spans="1:15" ht="12.75" customHeight="1">
      <c r="A16" s="18"/>
      <c r="B16" s="16" t="s">
        <v>890</v>
      </c>
      <c r="C16" s="35"/>
      <c r="D16" s="38"/>
      <c r="E16" s="1412">
        <v>0.06</v>
      </c>
      <c r="F16" s="1223"/>
      <c r="G16" s="22"/>
      <c r="H16" s="22"/>
      <c r="I16" s="22"/>
      <c r="J16" s="22"/>
      <c r="O16" s="14"/>
    </row>
    <row r="17" spans="1:15" ht="12.75" customHeight="1">
      <c r="A17" s="18"/>
      <c r="B17" s="16" t="s">
        <v>888</v>
      </c>
      <c r="C17" s="35"/>
      <c r="D17" s="35"/>
      <c r="E17" s="1413">
        <v>2.0543999999999998E-4</v>
      </c>
      <c r="F17" s="1223"/>
      <c r="G17" s="22"/>
      <c r="H17" s="22"/>
      <c r="I17" s="22"/>
      <c r="J17" s="22"/>
      <c r="O17" s="14"/>
    </row>
    <row r="18" spans="1:15" ht="12.75" customHeight="1">
      <c r="A18" s="18"/>
      <c r="B18" s="16" t="s">
        <v>448</v>
      </c>
      <c r="C18" s="35"/>
      <c r="D18" s="35"/>
      <c r="E18" s="1224"/>
      <c r="F18" s="39">
        <f>ROUND(E16*E17,6)</f>
        <v>1.2E-5</v>
      </c>
      <c r="G18" s="22"/>
      <c r="H18" s="22"/>
      <c r="I18" s="22"/>
      <c r="J18" s="22"/>
      <c r="O18" s="14"/>
    </row>
    <row r="19" spans="1:15" ht="12.75" customHeight="1">
      <c r="A19" s="18"/>
      <c r="B19" s="16"/>
      <c r="C19" s="35"/>
      <c r="D19" s="35"/>
      <c r="E19" s="1224"/>
      <c r="F19" s="39"/>
      <c r="G19" s="22"/>
      <c r="H19" s="22"/>
      <c r="I19" s="22"/>
      <c r="J19" s="22"/>
      <c r="O19" s="14"/>
    </row>
    <row r="20" spans="1:15" ht="12.75" customHeight="1">
      <c r="A20" s="18"/>
      <c r="B20" s="16" t="s">
        <v>891</v>
      </c>
      <c r="C20" s="35"/>
      <c r="D20" s="35"/>
      <c r="E20" s="1412">
        <v>0.05</v>
      </c>
      <c r="F20" s="39"/>
      <c r="G20" s="22"/>
      <c r="H20" s="22"/>
      <c r="I20" s="22"/>
      <c r="J20" s="22"/>
      <c r="O20" s="14"/>
    </row>
    <row r="21" spans="1:15" ht="12.75" customHeight="1">
      <c r="A21" s="18"/>
      <c r="B21" s="16" t="s">
        <v>888</v>
      </c>
      <c r="C21" s="35"/>
      <c r="D21" s="35"/>
      <c r="E21" s="1413">
        <v>1.09563E-3</v>
      </c>
      <c r="F21" s="39"/>
      <c r="G21" s="22"/>
      <c r="H21" s="22"/>
      <c r="I21" s="22"/>
      <c r="J21" s="22"/>
      <c r="O21" s="14"/>
    </row>
    <row r="22" spans="1:15" ht="12.75" customHeight="1">
      <c r="A22" s="18"/>
      <c r="B22" s="16" t="s">
        <v>448</v>
      </c>
      <c r="C22" s="35"/>
      <c r="D22" s="35"/>
      <c r="E22" s="1414"/>
      <c r="F22" s="39">
        <f>ROUND(+E20*E21,6)</f>
        <v>5.5000000000000002E-5</v>
      </c>
      <c r="G22" s="22"/>
      <c r="H22" s="22"/>
      <c r="I22" s="22"/>
      <c r="J22" s="22"/>
      <c r="O22" s="14"/>
    </row>
    <row r="23" spans="1:15" ht="12.75" customHeight="1">
      <c r="A23" s="18"/>
      <c r="B23" s="16"/>
      <c r="C23" s="35"/>
      <c r="D23" s="35"/>
      <c r="E23" s="1414"/>
      <c r="F23" s="39"/>
      <c r="G23" s="22"/>
      <c r="H23" s="22"/>
      <c r="I23" s="22"/>
      <c r="J23" s="22"/>
      <c r="O23" s="14"/>
    </row>
    <row r="24" spans="1:15" ht="12.75" customHeight="1">
      <c r="A24" s="18"/>
      <c r="B24" s="16" t="s">
        <v>892</v>
      </c>
      <c r="C24" s="35"/>
      <c r="D24" s="38"/>
      <c r="E24" s="1412">
        <v>0</v>
      </c>
      <c r="F24" s="1223"/>
      <c r="G24" s="22"/>
      <c r="H24" s="22"/>
      <c r="I24" s="22"/>
      <c r="J24" s="22"/>
      <c r="O24" s="14"/>
    </row>
    <row r="25" spans="1:15" ht="12.75" customHeight="1">
      <c r="A25" s="18"/>
      <c r="B25" s="16" t="s">
        <v>888</v>
      </c>
      <c r="C25" s="35"/>
      <c r="D25" s="35"/>
      <c r="E25" s="1413">
        <v>0</v>
      </c>
      <c r="F25" s="1223"/>
      <c r="G25" s="22"/>
      <c r="H25" s="22"/>
      <c r="I25" s="22"/>
      <c r="J25" s="22"/>
      <c r="O25" s="14"/>
    </row>
    <row r="26" spans="1:15" ht="12.75" customHeight="1">
      <c r="A26" s="18"/>
      <c r="B26" s="16" t="s">
        <v>448</v>
      </c>
      <c r="C26" s="35"/>
      <c r="D26" s="35"/>
      <c r="E26" s="1224"/>
      <c r="F26" s="39">
        <f>ROUND(E24*E25,6)</f>
        <v>0</v>
      </c>
      <c r="G26" s="22"/>
      <c r="H26" s="22"/>
      <c r="I26" s="22"/>
      <c r="J26" s="22"/>
      <c r="O26" s="14"/>
    </row>
    <row r="27" spans="1:15" ht="12.75" customHeight="1">
      <c r="A27" s="18"/>
      <c r="B27" s="16"/>
      <c r="C27" s="35"/>
      <c r="D27" s="35"/>
      <c r="E27" s="19"/>
      <c r="F27" s="39"/>
      <c r="G27" s="22"/>
      <c r="H27" s="22"/>
      <c r="I27" s="22"/>
      <c r="J27" s="22"/>
      <c r="O27" s="14"/>
    </row>
    <row r="28" spans="1:15" ht="12.75" customHeight="1">
      <c r="A28" s="18"/>
      <c r="B28" s="16" t="s">
        <v>893</v>
      </c>
      <c r="C28" s="35"/>
      <c r="D28" s="38"/>
      <c r="E28" s="1412">
        <v>0</v>
      </c>
      <c r="F28" s="1224"/>
      <c r="G28" s="22"/>
      <c r="H28" s="22"/>
      <c r="I28" s="22"/>
      <c r="J28" s="22"/>
      <c r="O28" s="14"/>
    </row>
    <row r="29" spans="1:15" ht="12.75" customHeight="1">
      <c r="A29" s="18"/>
      <c r="B29" s="16" t="s">
        <v>894</v>
      </c>
      <c r="C29" s="35"/>
      <c r="D29" s="38"/>
      <c r="E29" s="1412">
        <v>0</v>
      </c>
      <c r="F29" s="1224"/>
      <c r="G29" s="22"/>
      <c r="H29" s="22"/>
      <c r="I29" s="22"/>
      <c r="J29" s="22"/>
      <c r="O29" s="14"/>
    </row>
    <row r="30" spans="1:15" ht="12.75" customHeight="1">
      <c r="A30" s="18"/>
      <c r="B30" s="16" t="s">
        <v>888</v>
      </c>
      <c r="C30" s="35"/>
      <c r="D30" s="35"/>
      <c r="E30" s="1413">
        <v>0</v>
      </c>
      <c r="F30" s="1224"/>
      <c r="G30" s="22"/>
      <c r="H30" s="22"/>
      <c r="I30" s="22"/>
      <c r="J30" s="22"/>
      <c r="O30" s="14"/>
    </row>
    <row r="31" spans="1:15" ht="12.75" customHeight="1">
      <c r="A31" s="18"/>
      <c r="B31" s="16" t="s">
        <v>448</v>
      </c>
      <c r="C31" s="35"/>
      <c r="D31" s="35"/>
      <c r="E31" s="19"/>
      <c r="F31" s="1225">
        <f>ROUND(+E28*E29*E30,6)</f>
        <v>0</v>
      </c>
      <c r="G31" s="22"/>
      <c r="H31" s="22"/>
      <c r="I31" s="22"/>
      <c r="J31" s="22"/>
      <c r="O31" s="14"/>
    </row>
    <row r="32" spans="1:15" ht="12.75" customHeight="1">
      <c r="A32" s="18"/>
      <c r="B32" s="16"/>
      <c r="C32" s="35"/>
      <c r="D32" s="35"/>
      <c r="E32" s="35"/>
      <c r="F32" s="1224"/>
      <c r="G32" s="22"/>
      <c r="H32" s="22"/>
      <c r="I32" s="22"/>
      <c r="J32" s="22"/>
      <c r="O32" s="14"/>
    </row>
    <row r="33" spans="1:15" ht="22.15" customHeight="1" thickBot="1">
      <c r="A33" s="18"/>
      <c r="B33" s="19" t="s">
        <v>203</v>
      </c>
      <c r="C33" s="19"/>
      <c r="D33" s="19"/>
      <c r="E33" s="19"/>
      <c r="F33" s="1285">
        <f>ROUND(SUM(F10:F32),6)</f>
        <v>6.3641000000000003E-2</v>
      </c>
      <c r="G33" s="22"/>
      <c r="H33" s="22"/>
      <c r="I33" s="22"/>
      <c r="J33" s="22"/>
      <c r="O33" s="14"/>
    </row>
    <row r="34" spans="1:15" ht="12.75" customHeight="1" thickTop="1">
      <c r="A34" s="18"/>
      <c r="B34" s="22"/>
      <c r="C34" s="22"/>
      <c r="D34" s="22"/>
      <c r="E34" s="22"/>
      <c r="F34" s="22"/>
      <c r="G34" s="22"/>
      <c r="H34" s="22"/>
      <c r="I34" s="22"/>
      <c r="J34" s="22"/>
      <c r="O34" s="14"/>
    </row>
    <row r="35" spans="1:15" ht="12.75" customHeight="1">
      <c r="A35" s="20"/>
      <c r="B35" s="1493"/>
      <c r="C35" s="1493"/>
      <c r="D35" s="1493"/>
      <c r="E35" s="1493"/>
      <c r="F35" s="1493"/>
      <c r="G35" s="1493"/>
      <c r="H35" s="20"/>
      <c r="L35" s="20"/>
    </row>
    <row r="36" spans="1:15" ht="17.25" customHeight="1">
      <c r="A36" s="20"/>
      <c r="B36" s="1493"/>
      <c r="C36" s="1493"/>
      <c r="D36" s="1493"/>
      <c r="E36" s="1493"/>
      <c r="F36" s="1493"/>
      <c r="G36" s="1493"/>
      <c r="H36" s="20"/>
      <c r="I36" s="20"/>
      <c r="L36" s="20"/>
    </row>
    <row r="37" spans="1:15" ht="18" customHeight="1">
      <c r="A37" s="4" t="s">
        <v>499</v>
      </c>
      <c r="B37" s="4" t="s">
        <v>75</v>
      </c>
      <c r="C37" s="4"/>
      <c r="D37" s="4"/>
      <c r="E37" s="4"/>
      <c r="F37" s="4"/>
      <c r="G37" s="4"/>
      <c r="H37" s="20"/>
      <c r="I37" s="20"/>
      <c r="L37" s="20"/>
    </row>
  </sheetData>
  <mergeCells count="5">
    <mergeCell ref="B35:G36"/>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58"/>
  <sheetViews>
    <sheetView view="pageBreakPreview" topLeftCell="A22" zoomScale="60" zoomScaleNormal="55" workbookViewId="0">
      <selection activeCell="D108" sqref="D107:D108"/>
    </sheetView>
  </sheetViews>
  <sheetFormatPr defaultRowHeight="15"/>
  <cols>
    <col min="1" max="1" width="7.28515625" style="121" customWidth="1"/>
    <col min="2" max="2" width="1.7109375" style="122" customWidth="1"/>
    <col min="3" max="3" width="62.42578125" style="122" customWidth="1"/>
    <col min="4" max="4" width="19.140625" style="122" customWidth="1"/>
    <col min="5" max="5" width="22.7109375" style="116" bestFit="1" customWidth="1"/>
    <col min="6" max="6" width="1.7109375" style="107" customWidth="1"/>
    <col min="7" max="7" width="27" style="107" customWidth="1"/>
    <col min="8" max="8" width="1.7109375" style="107" customWidth="1"/>
    <col min="9" max="9" width="21.42578125" style="107" customWidth="1"/>
    <col min="10" max="10" width="1.7109375" style="107" customWidth="1"/>
    <col min="11" max="11" width="19.42578125" style="107" bestFit="1" customWidth="1"/>
    <col min="12" max="12" width="3.42578125" style="107" customWidth="1"/>
    <col min="13" max="13" width="22.5703125" style="107" customWidth="1"/>
    <col min="14" max="14" width="1.28515625" style="107" customWidth="1"/>
    <col min="15" max="15" width="22.140625" style="210" customWidth="1"/>
    <col min="16" max="16384" width="9.140625" style="107"/>
  </cols>
  <sheetData>
    <row r="1" spans="1:29" ht="15.75">
      <c r="A1" s="874" t="s">
        <v>114</v>
      </c>
    </row>
    <row r="2" spans="1:29" ht="15.75">
      <c r="A2" s="874" t="s">
        <v>114</v>
      </c>
    </row>
    <row r="3" spans="1:29" ht="18.75" customHeight="1">
      <c r="A3" s="1454" t="s">
        <v>387</v>
      </c>
      <c r="B3" s="1454"/>
      <c r="C3" s="1454"/>
      <c r="D3" s="1454"/>
      <c r="E3" s="1454"/>
      <c r="F3" s="1454"/>
      <c r="G3" s="1454"/>
      <c r="H3" s="1454"/>
      <c r="I3" s="1454"/>
      <c r="J3" s="1454"/>
      <c r="K3" s="1454"/>
      <c r="L3" s="1454"/>
      <c r="M3" s="1454"/>
    </row>
    <row r="4" spans="1:29" ht="18.75" customHeight="1">
      <c r="A4" s="1455" t="str">
        <f>"Cost of Service Formula Rate Using Actual/Projected FF1 Balances"</f>
        <v>Cost of Service Formula Rate Using Actual/Projected FF1 Balances</v>
      </c>
      <c r="B4" s="1455"/>
      <c r="C4" s="1455"/>
      <c r="D4" s="1455"/>
      <c r="E4" s="1455"/>
      <c r="F4" s="1455"/>
      <c r="G4" s="1455"/>
      <c r="H4" s="1455"/>
      <c r="I4" s="1455"/>
      <c r="J4" s="1455"/>
      <c r="K4" s="1455"/>
      <c r="L4" s="1455"/>
      <c r="M4" s="1455"/>
    </row>
    <row r="5" spans="1:29" ht="18.75" customHeight="1">
      <c r="A5" s="1455" t="s">
        <v>238</v>
      </c>
      <c r="B5" s="1455"/>
      <c r="C5" s="1455"/>
      <c r="D5" s="1455"/>
      <c r="E5" s="1455"/>
      <c r="F5" s="1455"/>
      <c r="G5" s="1455"/>
      <c r="H5" s="1455"/>
      <c r="I5" s="1455"/>
      <c r="J5" s="1455"/>
      <c r="K5" s="1455"/>
      <c r="L5" s="1455"/>
      <c r="M5" s="1455"/>
    </row>
    <row r="6" spans="1:29" ht="18.75" customHeight="1">
      <c r="A6" s="1462" t="str">
        <f>+TCOS!F9</f>
        <v>WHEELING POWER COMPANY</v>
      </c>
      <c r="B6" s="1462"/>
      <c r="C6" s="1462"/>
      <c r="D6" s="1462"/>
      <c r="E6" s="1462"/>
      <c r="F6" s="1462"/>
      <c r="G6" s="1462"/>
      <c r="H6" s="1462"/>
      <c r="I6" s="1462"/>
      <c r="J6" s="1462"/>
      <c r="K6" s="1462"/>
      <c r="L6" s="1462"/>
      <c r="M6" s="1462"/>
    </row>
    <row r="7" spans="1:29" ht="18" customHeight="1">
      <c r="A7" s="1466"/>
      <c r="B7" s="1466"/>
      <c r="C7" s="1466"/>
      <c r="D7" s="1466"/>
      <c r="E7" s="1466"/>
      <c r="F7" s="1466"/>
      <c r="G7" s="1466"/>
      <c r="H7" s="1466"/>
      <c r="I7" s="1466"/>
      <c r="J7" s="1466"/>
      <c r="K7" s="1466"/>
      <c r="L7" s="1466"/>
      <c r="M7" s="1466"/>
    </row>
    <row r="8" spans="1:29" ht="18" customHeight="1">
      <c r="A8" s="1492"/>
      <c r="B8" s="1492"/>
      <c r="C8" s="1492"/>
      <c r="D8" s="1492"/>
      <c r="E8" s="1492"/>
      <c r="F8" s="1492"/>
      <c r="G8" s="1492"/>
      <c r="H8" s="1492"/>
      <c r="I8" s="1492"/>
      <c r="J8" s="1492"/>
      <c r="K8" s="1492"/>
      <c r="L8" s="1492"/>
      <c r="M8" s="1492"/>
    </row>
    <row r="9" spans="1:29" ht="18" customHeight="1">
      <c r="A9" s="162"/>
      <c r="B9" s="162"/>
      <c r="C9" s="162"/>
      <c r="D9" s="162"/>
      <c r="E9" s="162"/>
      <c r="F9" s="162"/>
      <c r="G9" s="162"/>
      <c r="H9" s="162"/>
      <c r="I9" s="162"/>
      <c r="J9" s="162"/>
      <c r="K9" s="162"/>
      <c r="L9" s="162"/>
      <c r="M9" s="162"/>
    </row>
    <row r="10" spans="1:29" ht="19.5" customHeight="1">
      <c r="A10" s="109"/>
      <c r="B10" s="110"/>
      <c r="C10" s="34" t="s">
        <v>162</v>
      </c>
      <c r="E10" s="34" t="s">
        <v>163</v>
      </c>
      <c r="G10" s="34" t="s">
        <v>164</v>
      </c>
      <c r="I10" s="34" t="s">
        <v>165</v>
      </c>
      <c r="K10" s="34" t="s">
        <v>84</v>
      </c>
      <c r="M10" s="34" t="s">
        <v>85</v>
      </c>
    </row>
    <row r="11" spans="1:29" ht="18">
      <c r="A11" s="194"/>
      <c r="B11" s="195"/>
      <c r="C11" s="195"/>
      <c r="D11" s="195"/>
      <c r="E11"/>
      <c r="F11"/>
      <c r="G11"/>
      <c r="H11"/>
      <c r="I11"/>
      <c r="J11"/>
      <c r="K11"/>
      <c r="L11"/>
      <c r="M11"/>
      <c r="Q11" s="37"/>
      <c r="R11" s="37"/>
      <c r="S11" s="37"/>
      <c r="T11" s="37"/>
      <c r="U11" s="37"/>
      <c r="V11" s="37"/>
      <c r="W11" s="37"/>
      <c r="X11" s="37"/>
      <c r="Y11" s="37"/>
      <c r="Z11" s="37"/>
      <c r="AA11" s="37"/>
      <c r="AB11" s="37"/>
      <c r="AC11" s="37"/>
    </row>
    <row r="12" spans="1:29" ht="19.5">
      <c r="A12" s="194" t="s">
        <v>169</v>
      </c>
      <c r="B12" s="195"/>
      <c r="C12" s="195"/>
      <c r="D12" s="195"/>
      <c r="E12" s="196" t="s">
        <v>118</v>
      </c>
      <c r="F12" s="194"/>
      <c r="G12" s="194"/>
      <c r="H12" s="194"/>
      <c r="I12" s="194"/>
      <c r="J12" s="194"/>
      <c r="K12" s="115"/>
      <c r="L12" s="115"/>
      <c r="M12" s="197"/>
    </row>
    <row r="13" spans="1:29" ht="19.5">
      <c r="A13" s="198" t="s">
        <v>117</v>
      </c>
      <c r="B13" s="195"/>
      <c r="C13" s="198" t="s">
        <v>306</v>
      </c>
      <c r="D13" s="195"/>
      <c r="E13" s="199" t="s">
        <v>183</v>
      </c>
      <c r="F13" s="194"/>
      <c r="G13" s="198" t="s">
        <v>309</v>
      </c>
      <c r="H13" s="194"/>
      <c r="I13" s="198" t="s">
        <v>161</v>
      </c>
      <c r="J13" s="194"/>
      <c r="K13" s="200" t="s">
        <v>181</v>
      </c>
      <c r="L13" s="201"/>
      <c r="M13" s="200" t="s">
        <v>310</v>
      </c>
    </row>
    <row r="14" spans="1:29" ht="19.5">
      <c r="A14" s="111"/>
      <c r="B14" s="110"/>
      <c r="C14" s="106"/>
      <c r="D14" s="106"/>
      <c r="E14" s="106" t="s">
        <v>68</v>
      </c>
      <c r="F14" s="106"/>
      <c r="G14" s="106"/>
      <c r="H14" s="106"/>
      <c r="I14" s="106"/>
      <c r="J14" s="106"/>
      <c r="K14" s="105"/>
      <c r="L14" s="105"/>
    </row>
    <row r="15" spans="1:29" ht="19.5">
      <c r="A15" s="109"/>
      <c r="B15" s="110"/>
      <c r="C15" s="110"/>
      <c r="D15" s="110"/>
      <c r="E15" s="112"/>
      <c r="F15" s="108"/>
      <c r="G15" s="108"/>
      <c r="H15" s="108"/>
      <c r="I15" s="104"/>
      <c r="J15" s="108"/>
      <c r="K15" s="105"/>
      <c r="L15" s="105"/>
    </row>
    <row r="16" spans="1:29" ht="19.5">
      <c r="A16" s="109">
        <v>1</v>
      </c>
      <c r="B16" s="110"/>
      <c r="C16" s="113" t="s">
        <v>323</v>
      </c>
      <c r="D16" s="110"/>
      <c r="E16" s="105"/>
      <c r="F16" s="105"/>
      <c r="G16" s="132"/>
      <c r="H16" s="132"/>
      <c r="I16" s="132"/>
      <c r="J16" s="132"/>
      <c r="K16" s="132"/>
      <c r="L16" s="132"/>
      <c r="M16" s="114"/>
    </row>
    <row r="17" spans="1:15" ht="19.5">
      <c r="A17" s="109">
        <f>+A16+1</f>
        <v>2</v>
      </c>
      <c r="B17" s="110"/>
      <c r="C17" s="105" t="s">
        <v>307</v>
      </c>
      <c r="D17" s="110"/>
      <c r="E17" s="259">
        <f>'WS H-1-Detail of Tax Amts'!E15</f>
        <v>1000</v>
      </c>
      <c r="F17" s="105"/>
      <c r="G17" s="132"/>
      <c r="H17" s="132"/>
      <c r="I17" s="132"/>
      <c r="J17" s="132"/>
      <c r="K17" s="132"/>
      <c r="L17" s="132"/>
      <c r="M17" s="114">
        <f>+E17</f>
        <v>1000</v>
      </c>
    </row>
    <row r="18" spans="1:15" ht="19.5">
      <c r="A18" s="109"/>
      <c r="B18" s="110"/>
      <c r="C18" s="115"/>
      <c r="D18" s="110"/>
      <c r="E18" s="258"/>
      <c r="F18" s="105"/>
      <c r="G18" s="132"/>
      <c r="H18" s="132"/>
      <c r="I18" s="132"/>
      <c r="J18" s="132"/>
      <c r="K18" s="132"/>
      <c r="L18" s="132"/>
      <c r="M18" s="114"/>
    </row>
    <row r="19" spans="1:15" ht="18">
      <c r="A19" s="1068">
        <f>+A17+1</f>
        <v>3</v>
      </c>
      <c r="B19" s="1069"/>
      <c r="C19" s="1070" t="s">
        <v>324</v>
      </c>
      <c r="D19" s="1069"/>
      <c r="E19" s="1071"/>
      <c r="F19" s="1072"/>
      <c r="G19" s="1073"/>
      <c r="H19" s="1066"/>
      <c r="I19" s="1066"/>
      <c r="J19" s="1066"/>
      <c r="K19" s="1066"/>
      <c r="L19" s="1066"/>
      <c r="M19" s="1067"/>
    </row>
    <row r="20" spans="1:15" ht="18">
      <c r="A20" s="1068">
        <f>+A19+1</f>
        <v>4</v>
      </c>
      <c r="B20" s="1069"/>
      <c r="C20" s="1072" t="s">
        <v>596</v>
      </c>
      <c r="D20" s="1072"/>
      <c r="E20" s="1074">
        <f>'WS H-1-Detail of Tax Amts'!E27</f>
        <v>6336000</v>
      </c>
      <c r="F20" s="1072"/>
      <c r="G20" s="1073">
        <f>+E20</f>
        <v>6336000</v>
      </c>
      <c r="H20" s="1066"/>
      <c r="I20" s="1066"/>
      <c r="J20" s="1066"/>
      <c r="K20" s="1066"/>
      <c r="L20" s="1066"/>
      <c r="M20" s="1067"/>
      <c r="O20"/>
    </row>
    <row r="21" spans="1:15" ht="18">
      <c r="A21" s="1068">
        <f>A20+1</f>
        <v>5</v>
      </c>
      <c r="B21" s="1069"/>
      <c r="C21" s="1072" t="s">
        <v>463</v>
      </c>
      <c r="D21" s="1074"/>
      <c r="E21" s="1074">
        <f>'WS H-1-Detail of Tax Amts'!E50</f>
        <v>0</v>
      </c>
      <c r="F21" s="1072"/>
      <c r="G21" s="1073">
        <f>E21</f>
        <v>0</v>
      </c>
      <c r="H21" s="1066"/>
      <c r="I21" s="1066"/>
      <c r="J21" s="1066"/>
      <c r="K21" s="1066"/>
      <c r="L21" s="1066"/>
      <c r="M21" s="1067"/>
      <c r="O21"/>
    </row>
    <row r="22" spans="1:15" ht="19.5">
      <c r="A22" s="109"/>
      <c r="B22" s="110"/>
      <c r="C22" s="115"/>
      <c r="D22" s="110"/>
      <c r="E22" s="258"/>
      <c r="F22" s="105"/>
      <c r="G22" s="132"/>
      <c r="H22" s="132"/>
      <c r="I22" s="132"/>
      <c r="J22" s="132"/>
      <c r="K22" s="132"/>
      <c r="L22" s="132"/>
      <c r="M22" s="114"/>
      <c r="O22" s="211"/>
    </row>
    <row r="23" spans="1:15" ht="19.5">
      <c r="A23" s="109">
        <f>+A21+1</f>
        <v>6</v>
      </c>
      <c r="B23" s="110"/>
      <c r="C23" s="113" t="s">
        <v>325</v>
      </c>
      <c r="D23" s="110"/>
      <c r="E23" s="258"/>
      <c r="F23" s="105"/>
      <c r="G23" s="132"/>
      <c r="H23" s="132"/>
      <c r="I23" s="132"/>
      <c r="J23" s="132"/>
      <c r="K23" s="132"/>
      <c r="L23" s="132"/>
      <c r="M23" s="114"/>
      <c r="O23" s="211"/>
    </row>
    <row r="24" spans="1:15" ht="19.5">
      <c r="A24" s="109">
        <f>+A23+1</f>
        <v>7</v>
      </c>
      <c r="B24" s="110"/>
      <c r="C24" s="108" t="s">
        <v>321</v>
      </c>
      <c r="D24" s="110"/>
      <c r="E24" s="259">
        <f>'WS H-1-Detail of Tax Amts'!E61</f>
        <v>876000</v>
      </c>
      <c r="F24" s="105"/>
      <c r="G24" s="132"/>
      <c r="H24" s="132"/>
      <c r="I24" s="132">
        <f>+E24</f>
        <v>876000</v>
      </c>
      <c r="J24" s="132"/>
      <c r="K24" s="132"/>
      <c r="L24" s="132"/>
      <c r="M24" s="114"/>
      <c r="O24" s="211"/>
    </row>
    <row r="25" spans="1:15" ht="19.5">
      <c r="A25" s="109">
        <f>+A24+1</f>
        <v>8</v>
      </c>
      <c r="B25" s="110"/>
      <c r="C25" s="108" t="s">
        <v>314</v>
      </c>
      <c r="D25" s="110"/>
      <c r="E25" s="259">
        <f>'WS H-1-Detail of Tax Amts'!E63</f>
        <v>5000</v>
      </c>
      <c r="F25" s="105"/>
      <c r="G25" s="105"/>
      <c r="H25" s="105"/>
      <c r="I25" s="114">
        <f>+E25</f>
        <v>5000</v>
      </c>
      <c r="J25" s="108"/>
      <c r="K25" s="105"/>
      <c r="L25" s="105"/>
      <c r="M25" s="114"/>
    </row>
    <row r="26" spans="1:15" ht="19.5">
      <c r="A26" s="109">
        <f>+A25+1</f>
        <v>9</v>
      </c>
      <c r="B26" s="110"/>
      <c r="C26" s="108" t="s">
        <v>315</v>
      </c>
      <c r="D26" s="110"/>
      <c r="E26" s="259">
        <f>'WS H-1-Detail of Tax Amts'!E65</f>
        <v>23000</v>
      </c>
      <c r="F26" s="105"/>
      <c r="G26" s="105"/>
      <c r="H26" s="105"/>
      <c r="I26" s="114">
        <f>+E26</f>
        <v>23000</v>
      </c>
      <c r="J26" s="112"/>
      <c r="K26" s="105"/>
      <c r="L26" s="105"/>
      <c r="M26" s="114"/>
    </row>
    <row r="27" spans="1:15" ht="19.5">
      <c r="A27" s="109" t="s">
        <v>114</v>
      </c>
      <c r="B27" s="110"/>
      <c r="C27" s="105"/>
      <c r="D27" s="110"/>
      <c r="E27" s="258"/>
      <c r="F27" s="105"/>
      <c r="G27" s="105"/>
      <c r="H27" s="105"/>
      <c r="I27" s="124"/>
      <c r="J27" s="125"/>
      <c r="K27" s="128"/>
      <c r="L27" s="128"/>
      <c r="M27" s="114"/>
    </row>
    <row r="28" spans="1:15" ht="19.5">
      <c r="A28" s="109">
        <f>A26+1</f>
        <v>10</v>
      </c>
      <c r="B28" s="110"/>
      <c r="C28" s="113" t="s">
        <v>440</v>
      </c>
      <c r="D28" s="110"/>
      <c r="E28" s="258"/>
      <c r="F28" s="105"/>
      <c r="G28" s="105"/>
      <c r="H28" s="105"/>
      <c r="I28" s="124"/>
      <c r="J28" s="125"/>
      <c r="K28" s="128"/>
      <c r="L28" s="128"/>
      <c r="M28" s="114"/>
    </row>
    <row r="29" spans="1:15" ht="19.5">
      <c r="A29" s="109">
        <f>A28+1</f>
        <v>11</v>
      </c>
      <c r="B29" s="110"/>
      <c r="C29" s="120" t="s">
        <v>441</v>
      </c>
      <c r="D29" s="213"/>
      <c r="E29" s="259">
        <f>'WS H-1-Detail of Tax Amts'!E71</f>
        <v>0</v>
      </c>
      <c r="F29" s="120"/>
      <c r="G29" s="105"/>
      <c r="H29" s="105"/>
      <c r="I29" s="124"/>
      <c r="J29" s="125"/>
      <c r="K29" s="128"/>
      <c r="L29" s="128"/>
      <c r="M29" s="114">
        <f>E29</f>
        <v>0</v>
      </c>
    </row>
    <row r="30" spans="1:15" ht="19.5">
      <c r="A30" s="109"/>
      <c r="B30" s="110"/>
      <c r="C30" s="105"/>
      <c r="D30" s="110"/>
      <c r="E30" s="258"/>
      <c r="F30" s="105"/>
      <c r="G30" s="105"/>
      <c r="H30" s="105"/>
      <c r="I30" s="124"/>
      <c r="J30" s="125"/>
      <c r="K30" s="128"/>
      <c r="L30" s="128"/>
      <c r="M30" s="114"/>
    </row>
    <row r="31" spans="1:15" ht="19.5">
      <c r="A31" s="117">
        <f>+A29+1</f>
        <v>12</v>
      </c>
      <c r="B31" s="118"/>
      <c r="C31" s="113" t="s">
        <v>322</v>
      </c>
      <c r="D31" s="119"/>
      <c r="E31" s="258"/>
      <c r="F31" s="105"/>
      <c r="G31" s="114"/>
      <c r="H31" s="114"/>
      <c r="I31" s="114"/>
      <c r="J31" s="114"/>
      <c r="K31" s="114"/>
      <c r="L31" s="114"/>
      <c r="M31" s="114"/>
    </row>
    <row r="32" spans="1:15" ht="19.5">
      <c r="A32" s="117">
        <f>A31+1</f>
        <v>13</v>
      </c>
      <c r="B32" s="118"/>
      <c r="C32" s="105" t="s">
        <v>439</v>
      </c>
      <c r="D32" s="1271"/>
      <c r="E32" s="259">
        <f>'WS H-1-Detail of Tax Amts'!E75</f>
        <v>2511000</v>
      </c>
      <c r="F32" s="120"/>
      <c r="G32" s="114"/>
      <c r="H32" s="114"/>
      <c r="I32" s="114"/>
      <c r="J32" s="114"/>
      <c r="K32" s="114"/>
      <c r="L32" s="114"/>
      <c r="M32" s="114">
        <f>E32</f>
        <v>2511000</v>
      </c>
    </row>
    <row r="33" spans="1:13" ht="19.5">
      <c r="A33" s="109">
        <f>A32+1</f>
        <v>14</v>
      </c>
      <c r="B33" s="110"/>
      <c r="C33" s="105" t="s">
        <v>316</v>
      </c>
      <c r="D33" s="110"/>
      <c r="E33" s="160">
        <f>'WS H-1-Detail of Tax Amts'!E79</f>
        <v>0</v>
      </c>
      <c r="F33" s="105"/>
      <c r="G33" s="114"/>
      <c r="H33" s="114"/>
      <c r="I33" s="114"/>
      <c r="J33" s="114"/>
      <c r="K33" s="114">
        <f>+E33</f>
        <v>0</v>
      </c>
      <c r="L33" s="114"/>
      <c r="M33" s="114"/>
    </row>
    <row r="34" spans="1:13" ht="19.5">
      <c r="A34" s="109">
        <f t="shared" ref="A34:A40" si="0">+A33+1</f>
        <v>15</v>
      </c>
      <c r="B34" s="110"/>
      <c r="C34" s="105" t="s">
        <v>317</v>
      </c>
      <c r="D34"/>
      <c r="E34" s="160">
        <f>'WS H-1-Detail of Tax Amts'!E83</f>
        <v>0</v>
      </c>
      <c r="F34" s="105"/>
      <c r="G34" s="160"/>
      <c r="H34" s="160"/>
      <c r="I34" s="160"/>
      <c r="J34" s="160"/>
      <c r="K34" s="114">
        <f>+E34</f>
        <v>0</v>
      </c>
      <c r="L34" s="160"/>
      <c r="M34" s="114"/>
    </row>
    <row r="35" spans="1:13" ht="19.5">
      <c r="A35" s="109">
        <f>+A34+1</f>
        <v>16</v>
      </c>
      <c r="B35" s="110"/>
      <c r="C35" s="105" t="s">
        <v>318</v>
      </c>
      <c r="D35"/>
      <c r="E35" s="160">
        <f>'WS H-1-Detail of Tax Amts'!E93</f>
        <v>0</v>
      </c>
      <c r="F35" s="105"/>
      <c r="G35" s="114"/>
      <c r="H35" s="114"/>
      <c r="I35" s="114"/>
      <c r="J35" s="114"/>
      <c r="K35" s="114">
        <f>+E35</f>
        <v>0</v>
      </c>
      <c r="L35" s="114"/>
      <c r="M35" s="114"/>
    </row>
    <row r="36" spans="1:13" ht="19.5">
      <c r="A36" s="109">
        <f t="shared" si="0"/>
        <v>17</v>
      </c>
      <c r="B36" s="110"/>
      <c r="C36" s="105" t="s">
        <v>319</v>
      </c>
      <c r="D36" s="110"/>
      <c r="E36" s="160">
        <f>'WS H-1-Detail of Tax Amts'!E100</f>
        <v>0</v>
      </c>
      <c r="F36" s="105"/>
      <c r="G36" s="114"/>
      <c r="H36" s="114"/>
      <c r="I36" s="114"/>
      <c r="J36" s="114"/>
      <c r="K36" s="114">
        <f>+E36</f>
        <v>0</v>
      </c>
      <c r="L36" s="114"/>
      <c r="M36" s="114"/>
    </row>
    <row r="37" spans="1:13" ht="19.5">
      <c r="A37" s="109">
        <f t="shared" si="0"/>
        <v>18</v>
      </c>
      <c r="B37" s="110"/>
      <c r="C37" s="105" t="s">
        <v>320</v>
      </c>
      <c r="D37" s="110"/>
      <c r="E37" s="160">
        <f>'WS H-1-Detail of Tax Amts'!E103</f>
        <v>0</v>
      </c>
      <c r="F37" s="120"/>
      <c r="G37" s="114"/>
      <c r="H37" s="114"/>
      <c r="I37" s="114"/>
      <c r="J37" s="114"/>
      <c r="K37" s="114"/>
      <c r="L37" s="114"/>
      <c r="M37" s="114">
        <f>+E37</f>
        <v>0</v>
      </c>
    </row>
    <row r="38" spans="1:13" ht="19.5">
      <c r="A38" s="109">
        <f t="shared" si="0"/>
        <v>19</v>
      </c>
      <c r="B38" s="105"/>
      <c r="C38" s="105" t="s">
        <v>308</v>
      </c>
      <c r="D38" s="105"/>
      <c r="E38" s="160">
        <f>'WS H-1-Detail of Tax Amts'!E107</f>
        <v>0</v>
      </c>
      <c r="F38" s="105"/>
      <c r="G38" s="114"/>
      <c r="H38" s="114"/>
      <c r="I38" s="114"/>
      <c r="J38" s="114"/>
      <c r="K38" s="114"/>
      <c r="L38" s="114"/>
      <c r="M38" s="114">
        <f>+E38</f>
        <v>0</v>
      </c>
    </row>
    <row r="39" spans="1:13" ht="19.5">
      <c r="A39" s="109">
        <f t="shared" si="0"/>
        <v>20</v>
      </c>
      <c r="B39" s="105"/>
      <c r="C39" s="131" t="s">
        <v>1007</v>
      </c>
      <c r="D39" s="120"/>
      <c r="E39" s="160">
        <f>'WS H-1-Detail of Tax Amts'!E110</f>
        <v>10031000</v>
      </c>
      <c r="F39" s="120"/>
      <c r="G39" s="114"/>
      <c r="H39" s="114"/>
      <c r="I39" s="114"/>
      <c r="J39" s="114"/>
      <c r="K39" s="114"/>
      <c r="L39" s="114"/>
      <c r="M39" s="114">
        <f>+E39</f>
        <v>10031000</v>
      </c>
    </row>
    <row r="40" spans="1:13" ht="19.5">
      <c r="A40" s="109">
        <f t="shared" si="0"/>
        <v>21</v>
      </c>
      <c r="B40" s="105"/>
      <c r="C40" s="131"/>
      <c r="D40" s="120"/>
      <c r="E40" s="160"/>
      <c r="F40" s="120"/>
      <c r="G40" s="114"/>
      <c r="H40" s="114"/>
      <c r="I40" s="114"/>
      <c r="J40" s="114"/>
      <c r="K40" s="114"/>
      <c r="L40" s="114"/>
      <c r="M40" s="114"/>
    </row>
    <row r="41" spans="1:13" ht="20.25" thickBot="1">
      <c r="A41" s="109">
        <f>A40+1</f>
        <v>22</v>
      </c>
      <c r="B41" s="222"/>
      <c r="C41" s="105" t="s">
        <v>311</v>
      </c>
      <c r="D41"/>
      <c r="E41" s="130">
        <f>SUM(E17:E39)</f>
        <v>19783000</v>
      </c>
      <c r="F41" s="105"/>
      <c r="G41" s="130">
        <f>SUM(G17:G39)</f>
        <v>6336000</v>
      </c>
      <c r="H41" s="123"/>
      <c r="I41" s="130">
        <f>SUM(I17:I39)</f>
        <v>904000</v>
      </c>
      <c r="J41" s="126"/>
      <c r="K41" s="130">
        <f>SUM(K17:K39)</f>
        <v>0</v>
      </c>
      <c r="L41" s="129"/>
      <c r="M41" s="130">
        <f>SUM(M17:M39)</f>
        <v>12543000</v>
      </c>
    </row>
    <row r="42" spans="1:13" ht="20.25" thickTop="1">
      <c r="A42" s="5"/>
      <c r="B42" s="222"/>
      <c r="C42" s="105" t="s">
        <v>381</v>
      </c>
      <c r="D42"/>
      <c r="E42"/>
      <c r="F42" s="105"/>
      <c r="G42" s="123"/>
      <c r="H42" s="123"/>
      <c r="I42" s="126"/>
      <c r="J42" s="127"/>
      <c r="K42" s="129"/>
      <c r="L42" s="129"/>
      <c r="M42" s="129"/>
    </row>
    <row r="43" spans="1:13" ht="19.5">
      <c r="A43" s="5"/>
      <c r="B43" s="222"/>
      <c r="C43" s="120" t="s">
        <v>79</v>
      </c>
      <c r="D43"/>
      <c r="E43"/>
      <c r="F43" s="105"/>
      <c r="G43" s="123"/>
      <c r="H43" s="123"/>
      <c r="I43" s="126"/>
      <c r="J43" s="127"/>
      <c r="K43" s="129"/>
      <c r="L43" s="129"/>
      <c r="M43" s="129"/>
    </row>
    <row r="44" spans="1:13" ht="19.5">
      <c r="A44" s="5"/>
      <c r="B44" s="222"/>
      <c r="C44" s="1494" t="s">
        <v>462</v>
      </c>
      <c r="D44" s="1494"/>
      <c r="E44" s="1494"/>
      <c r="F44" s="1494"/>
      <c r="G44" s="1494"/>
      <c r="H44" s="1494"/>
      <c r="I44" s="1494"/>
      <c r="J44" s="1494"/>
      <c r="K44" s="1494"/>
      <c r="L44" s="1494"/>
      <c r="M44" s="1494"/>
    </row>
    <row r="45" spans="1:13" ht="19.5">
      <c r="A45" s="109"/>
      <c r="C45" s="105"/>
      <c r="D45" s="105"/>
      <c r="E45" s="133" t="s">
        <v>229</v>
      </c>
      <c r="G45" s="133" t="s">
        <v>333</v>
      </c>
      <c r="H45" s="133"/>
      <c r="I45" s="133" t="s">
        <v>438</v>
      </c>
      <c r="J45" s="133"/>
      <c r="K45" s="133" t="s">
        <v>334</v>
      </c>
      <c r="L45" s="133"/>
      <c r="M45" s="133" t="s">
        <v>118</v>
      </c>
    </row>
    <row r="46" spans="1:13" ht="19.5">
      <c r="A46" s="156">
        <f>+A41+1</f>
        <v>23</v>
      </c>
      <c r="B46" s="157"/>
      <c r="C46" s="236" t="str">
        <f>"Functionalized Net Plant (TCOS, Lns "&amp;TCOS!B90&amp;" thru "&amp;TCOS!B95&amp;")"</f>
        <v>Functionalized Net Plant (TCOS, Lns 41 thru 46)</v>
      </c>
      <c r="D46" s="120"/>
      <c r="E46" s="237">
        <f>TCOS!G90</f>
        <v>570804000</v>
      </c>
      <c r="F46" s="236"/>
      <c r="G46" s="237">
        <f>+TCOS!G91</f>
        <v>132173000</v>
      </c>
      <c r="H46" s="236"/>
      <c r="I46" s="237">
        <f>+TCOS!G92</f>
        <v>200353000</v>
      </c>
      <c r="J46" s="236"/>
      <c r="K46" s="238">
        <f>+TCOS!G93</f>
        <v>7586000</v>
      </c>
      <c r="L46" s="120"/>
      <c r="M46" s="158">
        <f>SUM(E46:K46)</f>
        <v>910916000</v>
      </c>
    </row>
    <row r="47" spans="1:13" ht="19.5">
      <c r="A47" s="156"/>
      <c r="B47" s="157"/>
      <c r="C47" s="115" t="s">
        <v>895</v>
      </c>
      <c r="D47" s="120"/>
      <c r="E47" s="158" t="s">
        <v>114</v>
      </c>
      <c r="F47" s="120"/>
      <c r="G47" s="1226"/>
      <c r="H47" s="120"/>
      <c r="I47" s="158"/>
      <c r="J47" s="120"/>
      <c r="K47" s="159"/>
      <c r="L47" s="120"/>
      <c r="M47" s="1227"/>
    </row>
    <row r="48" spans="1:13" ht="19.5">
      <c r="A48" s="156">
        <f>+A46+1</f>
        <v>24</v>
      </c>
      <c r="B48" s="157"/>
      <c r="C48" s="120" t="str">
        <f>"Percentage of Plant in "&amp;C47&amp;""</f>
        <v>Percentage of Plant in WEST VA JURISDICTION</v>
      </c>
      <c r="D48" s="120"/>
      <c r="E48" s="1228">
        <v>1</v>
      </c>
      <c r="F48" s="1229"/>
      <c r="G48" s="1228">
        <v>1</v>
      </c>
      <c r="H48" s="1229"/>
      <c r="I48" s="1228">
        <v>0.99974104335534297</v>
      </c>
      <c r="J48" s="1226"/>
      <c r="K48" s="1228">
        <v>0.95350156112137796</v>
      </c>
      <c r="L48" s="120"/>
      <c r="M48" s="1227"/>
    </row>
    <row r="49" spans="1:21" ht="19.5">
      <c r="A49" s="156">
        <f t="shared" ref="A49:A55" si="1">+A48+1</f>
        <v>25</v>
      </c>
      <c r="B49" s="157"/>
      <c r="C49" s="236" t="str">
        <f>"Net Plant in "&amp;C47&amp;" (Ln "&amp;A46&amp;" * Ln "&amp;A48&amp;")"</f>
        <v>Net Plant in WEST VA JURISDICTION (Ln 23 * Ln 24)</v>
      </c>
      <c r="D49" s="120"/>
      <c r="E49" s="158">
        <f>+E46*E48</f>
        <v>570804000</v>
      </c>
      <c r="F49" s="120"/>
      <c r="G49" s="158">
        <f>+G46*G48</f>
        <v>132173000</v>
      </c>
      <c r="H49" s="120"/>
      <c r="I49" s="158">
        <f>+I46*I48</f>
        <v>200301117.25937304</v>
      </c>
      <c r="J49" s="120"/>
      <c r="K49" s="158">
        <f>+K46*K48</f>
        <v>7233262.8426667731</v>
      </c>
      <c r="L49" s="120"/>
      <c r="M49" s="158">
        <f>SUM(E49:K49)</f>
        <v>910511380.10203981</v>
      </c>
      <c r="O49"/>
    </row>
    <row r="50" spans="1:21" ht="19.5">
      <c r="A50" s="156">
        <f t="shared" si="1"/>
        <v>26</v>
      </c>
      <c r="B50" s="157"/>
      <c r="C50" s="236" t="s">
        <v>225</v>
      </c>
      <c r="D50" s="120"/>
      <c r="E50" s="1421">
        <v>452468585</v>
      </c>
      <c r="F50" s="120"/>
      <c r="G50" s="206"/>
      <c r="H50" s="120"/>
      <c r="I50" s="206"/>
      <c r="J50" s="120"/>
      <c r="K50" s="207"/>
      <c r="L50" s="120"/>
      <c r="M50" s="158"/>
      <c r="O50"/>
    </row>
    <row r="51" spans="1:21" ht="19.5">
      <c r="A51" s="156">
        <f t="shared" si="1"/>
        <v>27</v>
      </c>
      <c r="B51" s="157"/>
      <c r="C51" s="120" t="str">
        <f>"Taxable Property Basis (Ln "&amp;A49&amp;" - Ln "&amp;A50&amp;")"</f>
        <v>Taxable Property Basis (Ln 25 - Ln 26)</v>
      </c>
      <c r="D51" s="120"/>
      <c r="E51" s="158">
        <f>+E49-E50</f>
        <v>118335415</v>
      </c>
      <c r="F51" s="120"/>
      <c r="G51" s="158">
        <f>+G49-G50</f>
        <v>132173000</v>
      </c>
      <c r="H51" s="120"/>
      <c r="I51" s="158">
        <f>+I49-I50</f>
        <v>200301117.25937304</v>
      </c>
      <c r="J51" s="120"/>
      <c r="K51" s="158">
        <f>+K49-K50</f>
        <v>7233262.8426667731</v>
      </c>
      <c r="L51" s="120"/>
      <c r="M51" s="158">
        <f>SUM(E51:K51)</f>
        <v>458042795.10203981</v>
      </c>
      <c r="O51"/>
    </row>
    <row r="52" spans="1:21" ht="19.5">
      <c r="A52" s="156">
        <f t="shared" si="1"/>
        <v>28</v>
      </c>
      <c r="B52" s="157"/>
      <c r="C52" s="160" t="s">
        <v>461</v>
      </c>
      <c r="D52" s="120"/>
      <c r="E52" s="1228">
        <v>1</v>
      </c>
      <c r="F52" s="1230"/>
      <c r="G52" s="1228">
        <v>1</v>
      </c>
      <c r="H52" s="1230"/>
      <c r="I52" s="1228">
        <v>1</v>
      </c>
      <c r="J52" s="1231"/>
      <c r="K52" s="1228">
        <v>1</v>
      </c>
      <c r="L52" s="120"/>
      <c r="M52" s="202">
        <f>SUM(E52:K52)</f>
        <v>4</v>
      </c>
      <c r="O52"/>
    </row>
    <row r="53" spans="1:21" ht="19.5">
      <c r="A53" s="156">
        <f t="shared" si="1"/>
        <v>29</v>
      </c>
      <c r="B53" s="157"/>
      <c r="C53" s="236" t="str">
        <f>"Weighted Net Plant (Ln "&amp;A51&amp;" * Ln "&amp;A52&amp;")"</f>
        <v>Weighted Net Plant (Ln 27 * Ln 28)</v>
      </c>
      <c r="D53" s="120"/>
      <c r="E53" s="158">
        <f>+E51*E52</f>
        <v>118335415</v>
      </c>
      <c r="F53" s="120"/>
      <c r="G53" s="158">
        <f>+G51*G52</f>
        <v>132173000</v>
      </c>
      <c r="H53" s="120"/>
      <c r="I53" s="158">
        <f>+I51*I52</f>
        <v>200301117.25937304</v>
      </c>
      <c r="J53" s="120"/>
      <c r="K53" s="158">
        <f>+K51*K52</f>
        <v>7233262.8426667731</v>
      </c>
      <c r="L53" s="120"/>
      <c r="M53" s="158"/>
      <c r="O53"/>
      <c r="P53"/>
      <c r="Q53"/>
      <c r="R53"/>
      <c r="S53"/>
      <c r="T53"/>
      <c r="U53"/>
    </row>
    <row r="54" spans="1:21" ht="19.5">
      <c r="A54" s="156">
        <f t="shared" si="1"/>
        <v>30</v>
      </c>
      <c r="B54" s="157"/>
      <c r="C54" s="120" t="str">
        <f>+"General Plant Allocator (Ln "&amp;A53&amp;" / (Total - General Plant))"</f>
        <v>General Plant Allocator (Ln 29 / (Total - General Plant))</v>
      </c>
      <c r="D54" s="120"/>
      <c r="E54" s="1232">
        <f>IF(E52=0,0,+E53/($E53+$G53+$I53))</f>
        <v>0.26249537006665546</v>
      </c>
      <c r="F54" s="120"/>
      <c r="G54" s="1232">
        <f>IF(G52=0,0,+G53/($E53+$G53+$I53))</f>
        <v>0.29319033991489407</v>
      </c>
      <c r="H54" s="120"/>
      <c r="I54" s="1232">
        <f>IF(I52=0,0,+I53/($E53+$G53+$I53))</f>
        <v>0.44431429001845035</v>
      </c>
      <c r="J54" s="120"/>
      <c r="K54" s="1232">
        <v>-1</v>
      </c>
      <c r="L54" s="120"/>
      <c r="M54" s="120"/>
      <c r="O54"/>
      <c r="P54"/>
      <c r="Q54"/>
      <c r="R54"/>
      <c r="S54"/>
      <c r="T54"/>
      <c r="U54"/>
    </row>
    <row r="55" spans="1:21" ht="19.5">
      <c r="A55" s="156">
        <f t="shared" si="1"/>
        <v>31</v>
      </c>
      <c r="B55" s="157"/>
      <c r="C55" s="120" t="str">
        <f>"Functionalized General Plant (Ln "&amp;A54&amp;" * General Plant)"</f>
        <v>Functionalized General Plant (Ln 30 * General Plant)</v>
      </c>
      <c r="D55" s="120"/>
      <c r="E55" s="1233">
        <f>ROUND($K53*E54,0)</f>
        <v>1898698</v>
      </c>
      <c r="F55" s="120"/>
      <c r="G55" s="1233">
        <f>+G54*K53</f>
        <v>2120722.7915352443</v>
      </c>
      <c r="H55" s="120"/>
      <c r="I55" s="1233">
        <f>ROUND($K53*I54,0)</f>
        <v>3213842</v>
      </c>
      <c r="J55" s="120"/>
      <c r="K55" s="1233">
        <f>ROUND($K53*K54,0)</f>
        <v>-7233263</v>
      </c>
      <c r="L55" s="120"/>
      <c r="M55" s="158">
        <f>IF(SUM(E55:K55)&lt;&gt;0,0,0)</f>
        <v>0</v>
      </c>
      <c r="O55"/>
      <c r="P55"/>
      <c r="Q55"/>
      <c r="R55"/>
      <c r="S55"/>
      <c r="T55"/>
      <c r="U55"/>
    </row>
    <row r="56" spans="1:21" ht="19.5">
      <c r="A56" s="156">
        <f>+A55+1</f>
        <v>32</v>
      </c>
      <c r="B56" s="157"/>
      <c r="C56" s="120" t="str">
        <f>"Weighted "&amp;C47&amp;" Plant (Ln "&amp;A53&amp;" + "&amp;A55&amp;")"</f>
        <v>Weighted WEST VA JURISDICTION Plant (Ln 29 + 31)</v>
      </c>
      <c r="D56" s="120"/>
      <c r="E56" s="158">
        <f>+E53+E55</f>
        <v>120234113</v>
      </c>
      <c r="F56" s="120"/>
      <c r="G56" s="159">
        <f>+G53+G55</f>
        <v>134293722.79153526</v>
      </c>
      <c r="H56" s="120"/>
      <c r="I56" s="158">
        <f>+I53+I55</f>
        <v>203514959.25937304</v>
      </c>
      <c r="J56" s="120"/>
      <c r="K56" s="158">
        <f>+K53+K55</f>
        <v>-0.15733322687447071</v>
      </c>
      <c r="L56" s="120"/>
      <c r="M56" s="158">
        <f>SUM(E56:K56)-SUM(E55:K55)</f>
        <v>458042795.10203981</v>
      </c>
      <c r="O56"/>
    </row>
    <row r="57" spans="1:21" ht="19.5">
      <c r="A57" s="156">
        <f>+A56+1</f>
        <v>33</v>
      </c>
      <c r="B57" s="157"/>
      <c r="C57" s="120" t="str">
        <f>"Functional Percentage (Ln "&amp;A56&amp;"/Total Ln "&amp;A56&amp;")"</f>
        <v>Functional Percentage (Ln 32/Total Ln 32)</v>
      </c>
      <c r="D57" s="120"/>
      <c r="E57" s="1226">
        <f>+E56/M56</f>
        <v>0.26249537005208218</v>
      </c>
      <c r="F57" s="120"/>
      <c r="G57" s="1234">
        <f>+G56/M56</f>
        <v>0.29319033991489413</v>
      </c>
      <c r="H57" s="120"/>
      <c r="I57" s="1226">
        <f>+I56/M56</f>
        <v>0.44431428992139327</v>
      </c>
      <c r="J57" s="120"/>
      <c r="K57"/>
      <c r="L57" s="120"/>
      <c r="M57" s="158"/>
      <c r="O57"/>
    </row>
    <row r="58" spans="1:21" ht="19.5">
      <c r="A58" s="156"/>
      <c r="B58" s="157"/>
      <c r="C58" s="120"/>
      <c r="D58" s="120"/>
      <c r="E58" s="205"/>
      <c r="F58" s="120"/>
      <c r="G58" s="205"/>
      <c r="H58" s="120"/>
      <c r="I58" s="205"/>
      <c r="J58" s="120"/>
      <c r="K58"/>
      <c r="L58" s="120"/>
      <c r="M58" s="159"/>
      <c r="O58"/>
    </row>
  </sheetData>
  <mergeCells count="7">
    <mergeCell ref="A8:M8"/>
    <mergeCell ref="A7:M7"/>
    <mergeCell ref="C44:M44"/>
    <mergeCell ref="A3:M3"/>
    <mergeCell ref="A4:M4"/>
    <mergeCell ref="A5:M5"/>
    <mergeCell ref="A6:M6"/>
  </mergeCells>
  <phoneticPr fontId="69"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24"/>
  <sheetViews>
    <sheetView view="pageBreakPreview" zoomScale="70" zoomScaleNormal="70" zoomScaleSheetLayoutView="70" workbookViewId="0">
      <selection activeCell="A5" sqref="A5:F5"/>
    </sheetView>
  </sheetViews>
  <sheetFormatPr defaultRowHeight="12.75"/>
  <cols>
    <col min="1" max="1" width="7.28515625" style="121" customWidth="1"/>
    <col min="2" max="2" width="1.7109375" style="122" customWidth="1"/>
    <col min="3" max="3" width="68.5703125" style="122" customWidth="1"/>
    <col min="4" max="4" width="19.140625" style="122" customWidth="1"/>
    <col min="5" max="5" width="20.42578125" style="116" customWidth="1"/>
    <col min="6" max="6" width="20.42578125" style="107" bestFit="1" customWidth="1"/>
    <col min="7" max="7" width="40.28515625" style="107" bestFit="1" customWidth="1"/>
    <col min="8" max="8" width="13" style="107" bestFit="1" customWidth="1"/>
    <col min="9" max="9" width="34" style="107" customWidth="1"/>
    <col min="10" max="16384" width="9.140625" style="107"/>
  </cols>
  <sheetData>
    <row r="1" spans="1:20" ht="15.75">
      <c r="A1" s="874"/>
    </row>
    <row r="2" spans="1:20" ht="15.75">
      <c r="A2" s="874"/>
    </row>
    <row r="3" spans="1:20" ht="18.75" customHeight="1">
      <c r="A3" s="1454" t="s">
        <v>387</v>
      </c>
      <c r="B3" s="1454"/>
      <c r="C3" s="1454"/>
      <c r="D3" s="1454"/>
      <c r="E3" s="1454"/>
      <c r="F3" s="1454"/>
    </row>
    <row r="4" spans="1:20" ht="18.75" customHeight="1">
      <c r="A4" s="1455" t="str">
        <f>"Cost of Service Formula Rate Using Actual/Projected FF1 Balances"</f>
        <v>Cost of Service Formula Rate Using Actual/Projected FF1 Balances</v>
      </c>
      <c r="B4" s="1455"/>
      <c r="C4" s="1455"/>
      <c r="D4" s="1455"/>
      <c r="E4" s="1455"/>
      <c r="F4" s="1455"/>
    </row>
    <row r="5" spans="1:20" ht="18.75" customHeight="1">
      <c r="A5" s="1455" t="s">
        <v>217</v>
      </c>
      <c r="B5" s="1455"/>
      <c r="C5" s="1455"/>
      <c r="D5" s="1455"/>
      <c r="E5" s="1455"/>
      <c r="F5" s="1455"/>
    </row>
    <row r="6" spans="1:20" ht="18" customHeight="1">
      <c r="A6" s="1462" t="str">
        <f>TCOS!F9</f>
        <v>WHEELING POWER COMPANY</v>
      </c>
      <c r="B6" s="1455"/>
      <c r="C6" s="1455"/>
      <c r="D6" s="1455"/>
      <c r="E6" s="1455"/>
      <c r="F6" s="1455"/>
    </row>
    <row r="7" spans="1:20" ht="18" customHeight="1">
      <c r="A7" s="1466"/>
      <c r="B7" s="1466"/>
      <c r="C7" s="1466"/>
      <c r="D7" s="1466"/>
      <c r="E7" s="1466"/>
      <c r="F7" s="1466"/>
    </row>
    <row r="8" spans="1:20" ht="19.5" customHeight="1">
      <c r="A8" s="109"/>
      <c r="B8" s="110"/>
      <c r="C8" s="34" t="s">
        <v>162</v>
      </c>
      <c r="E8" s="34" t="s">
        <v>163</v>
      </c>
      <c r="F8" s="245" t="s">
        <v>164</v>
      </c>
      <c r="G8" s="245" t="s">
        <v>165</v>
      </c>
    </row>
    <row r="9" spans="1:20" ht="18">
      <c r="A9" s="194"/>
      <c r="B9" s="195"/>
      <c r="C9" s="195"/>
      <c r="D9" s="195"/>
      <c r="E9"/>
      <c r="F9" s="15"/>
      <c r="G9" s="246"/>
      <c r="H9" s="37"/>
      <c r="I9" s="37"/>
      <c r="J9" s="37"/>
      <c r="K9" s="37"/>
      <c r="L9" s="37"/>
      <c r="M9" s="37"/>
      <c r="N9" s="37"/>
      <c r="O9" s="37"/>
      <c r="P9" s="37"/>
      <c r="Q9" s="37"/>
      <c r="R9" s="37"/>
      <c r="S9" s="37"/>
      <c r="T9" s="37"/>
    </row>
    <row r="10" spans="1:20" ht="18">
      <c r="A10" s="194" t="s">
        <v>169</v>
      </c>
      <c r="B10" s="195"/>
      <c r="C10" s="195"/>
      <c r="D10" s="195"/>
      <c r="E10" s="196" t="s">
        <v>118</v>
      </c>
      <c r="F10" s="247" t="s">
        <v>76</v>
      </c>
      <c r="G10" s="248"/>
    </row>
    <row r="11" spans="1:20" ht="18">
      <c r="A11" s="198" t="s">
        <v>117</v>
      </c>
      <c r="B11" s="249"/>
      <c r="C11" s="198" t="s">
        <v>30</v>
      </c>
      <c r="D11" s="1076"/>
      <c r="E11" s="199" t="s">
        <v>183</v>
      </c>
      <c r="F11" s="198" t="s">
        <v>77</v>
      </c>
      <c r="G11" s="199" t="s">
        <v>78</v>
      </c>
      <c r="H11" s="1076"/>
      <c r="I11" s="1076"/>
    </row>
    <row r="12" spans="1:20" ht="18">
      <c r="A12" s="111"/>
      <c r="B12" s="110"/>
      <c r="C12" s="106"/>
      <c r="D12" s="106"/>
      <c r="E12" s="106"/>
      <c r="F12" s="247"/>
      <c r="G12" s="250"/>
      <c r="H12" s="251"/>
      <c r="I12" s="1077"/>
    </row>
    <row r="13" spans="1:20" ht="18">
      <c r="A13" s="109"/>
      <c r="B13" s="110"/>
      <c r="C13" s="110"/>
      <c r="D13" s="110"/>
      <c r="E13" s="112"/>
      <c r="F13" s="106"/>
    </row>
    <row r="14" spans="1:20" ht="19.5">
      <c r="A14" s="109">
        <v>1</v>
      </c>
      <c r="B14" s="110"/>
      <c r="C14" s="113" t="s">
        <v>323</v>
      </c>
      <c r="D14" s="110"/>
      <c r="E14" s="120"/>
      <c r="F14" s="108"/>
    </row>
    <row r="15" spans="1:20" ht="19.5">
      <c r="A15" s="109">
        <f>+A14+1</f>
        <v>2</v>
      </c>
      <c r="B15" s="110"/>
      <c r="C15" s="105" t="s">
        <v>307</v>
      </c>
      <c r="D15"/>
      <c r="E15" s="259">
        <f>SUM(F16:F19)</f>
        <v>1000</v>
      </c>
      <c r="F15" s="120"/>
      <c r="G15" s="251"/>
      <c r="H15" s="251"/>
    </row>
    <row r="16" spans="1:20" ht="19.5">
      <c r="A16" s="109"/>
      <c r="B16" s="110"/>
      <c r="C16" s="115"/>
      <c r="D16"/>
      <c r="E16" s="258"/>
      <c r="F16" s="846">
        <v>1000</v>
      </c>
      <c r="G16" s="847"/>
      <c r="H16" s="251"/>
    </row>
    <row r="17" spans="1:9" ht="19.5">
      <c r="A17" s="109"/>
      <c r="B17" s="110"/>
      <c r="C17" s="115"/>
      <c r="D17"/>
      <c r="E17" s="258"/>
      <c r="F17" s="846"/>
      <c r="G17" s="847"/>
      <c r="H17" s="251"/>
    </row>
    <row r="18" spans="1:9" ht="19.5">
      <c r="A18" s="109"/>
      <c r="B18" s="110"/>
      <c r="C18" s="115"/>
      <c r="D18"/>
      <c r="E18" s="258"/>
      <c r="F18" s="846"/>
      <c r="G18" s="847"/>
      <c r="H18" s="251"/>
    </row>
    <row r="19" spans="1:9" ht="18" customHeight="1">
      <c r="A19" s="109"/>
      <c r="B19" s="110"/>
      <c r="C19" s="115"/>
      <c r="D19"/>
      <c r="E19" s="258"/>
      <c r="F19" s="846"/>
      <c r="G19" s="847"/>
      <c r="H19" s="251"/>
    </row>
    <row r="20" spans="1:9" ht="18" customHeight="1">
      <c r="A20" s="109"/>
      <c r="B20" s="110"/>
      <c r="C20" s="115"/>
      <c r="D20"/>
      <c r="E20" s="258"/>
      <c r="F20" s="846"/>
      <c r="G20" s="847"/>
      <c r="H20" s="251"/>
    </row>
    <row r="21" spans="1:9" ht="18" customHeight="1">
      <c r="A21" s="109"/>
      <c r="B21" s="110"/>
      <c r="C21" s="115"/>
      <c r="D21"/>
      <c r="E21" s="258"/>
      <c r="F21" s="876"/>
      <c r="G21" s="877"/>
      <c r="H21" s="251"/>
    </row>
    <row r="22" spans="1:9" ht="18" customHeight="1">
      <c r="A22" s="109"/>
      <c r="B22" s="110"/>
      <c r="C22" s="34" t="s">
        <v>162</v>
      </c>
      <c r="D22" s="34" t="s">
        <v>163</v>
      </c>
      <c r="E22" s="245" t="s">
        <v>164</v>
      </c>
      <c r="F22" s="245" t="s">
        <v>165</v>
      </c>
      <c r="G22" s="245" t="s">
        <v>84</v>
      </c>
      <c r="H22" s="1113" t="s">
        <v>85</v>
      </c>
      <c r="I22" s="245" t="s">
        <v>86</v>
      </c>
    </row>
    <row r="23" spans="1:9" ht="58.5" customHeight="1">
      <c r="A23" s="198"/>
      <c r="B23" s="249"/>
      <c r="C23" s="1114" t="s">
        <v>753</v>
      </c>
      <c r="D23" s="1115" t="s">
        <v>671</v>
      </c>
      <c r="E23" s="1116" t="s">
        <v>751</v>
      </c>
      <c r="F23" s="1117" t="s">
        <v>752</v>
      </c>
      <c r="G23" s="1118" t="s">
        <v>78</v>
      </c>
      <c r="H23" s="1116" t="s">
        <v>820</v>
      </c>
      <c r="I23" s="1117" t="s">
        <v>750</v>
      </c>
    </row>
    <row r="24" spans="1:9" ht="19.5">
      <c r="A24" s="109"/>
      <c r="B24" s="110"/>
      <c r="C24" s="301"/>
      <c r="D24" s="4"/>
      <c r="E24" s="258"/>
      <c r="F24" s="259"/>
      <c r="G24" s="1062"/>
      <c r="H24" s="251"/>
      <c r="I24" s="251"/>
    </row>
    <row r="25" spans="1:9" ht="39">
      <c r="A25" s="1060">
        <f>+A15+1</f>
        <v>3</v>
      </c>
      <c r="B25" s="1061"/>
      <c r="C25" s="1112" t="s">
        <v>749</v>
      </c>
      <c r="D25" s="1119"/>
      <c r="E25" s="1120">
        <f>E27+E33+E44+E50</f>
        <v>6336000</v>
      </c>
      <c r="F25" s="1121"/>
      <c r="G25" s="1078"/>
      <c r="H25" s="1122"/>
      <c r="I25" s="1120">
        <f>I27+I33+I44+I50</f>
        <v>1857653.9937007693</v>
      </c>
    </row>
    <row r="26" spans="1:9" ht="19.5">
      <c r="A26" s="109"/>
      <c r="B26" s="110"/>
      <c r="C26" s="113"/>
      <c r="D26"/>
      <c r="E26" s="258"/>
      <c r="F26" s="253"/>
      <c r="G26" s="1062"/>
      <c r="H26" s="1063"/>
      <c r="I26" s="1064"/>
    </row>
    <row r="27" spans="1:9" ht="19.5">
      <c r="A27" s="109">
        <f>+A25+1</f>
        <v>4</v>
      </c>
      <c r="B27" s="110"/>
      <c r="C27" s="1065" t="s">
        <v>596</v>
      </c>
      <c r="D27"/>
      <c r="E27" s="259">
        <f>SUM(F28:F32)</f>
        <v>6336000</v>
      </c>
      <c r="F27" s="253"/>
      <c r="G27" s="252"/>
      <c r="H27" s="254"/>
      <c r="I27" s="1059">
        <f>SUM(I28:I32)</f>
        <v>1857653.9937007693</v>
      </c>
    </row>
    <row r="28" spans="1:9" ht="19.5">
      <c r="A28" s="109"/>
      <c r="B28" s="110"/>
      <c r="C28" s="1065"/>
      <c r="D28" s="846"/>
      <c r="E28" s="259"/>
      <c r="F28" s="1272">
        <v>6336000</v>
      </c>
      <c r="G28" s="847"/>
      <c r="H28" s="1057">
        <f>'WS H Other Taxes'!G57</f>
        <v>0.29319033991489413</v>
      </c>
      <c r="I28" s="1128">
        <f>+F28*H28</f>
        <v>1857653.9937007693</v>
      </c>
    </row>
    <row r="29" spans="1:9" ht="19.5">
      <c r="A29" s="109"/>
      <c r="B29" s="110"/>
      <c r="C29" s="1065"/>
      <c r="D29" s="846"/>
      <c r="E29" s="259"/>
      <c r="F29" s="846"/>
      <c r="G29" s="847"/>
      <c r="H29" s="1057"/>
      <c r="I29" s="1128">
        <f>+F29*H29</f>
        <v>0</v>
      </c>
    </row>
    <row r="30" spans="1:9" ht="19.5">
      <c r="A30" s="109"/>
      <c r="B30" s="110"/>
      <c r="C30" s="1065"/>
      <c r="D30" s="846"/>
      <c r="E30" s="259"/>
      <c r="F30" s="846"/>
      <c r="G30" s="847"/>
      <c r="H30" s="1057"/>
      <c r="I30" s="1128">
        <f>+F30*H30</f>
        <v>0</v>
      </c>
    </row>
    <row r="31" spans="1:9" ht="19.5">
      <c r="A31" s="109"/>
      <c r="B31" s="110"/>
      <c r="C31" s="1065"/>
      <c r="D31" s="846"/>
      <c r="E31" s="259"/>
      <c r="F31" s="846"/>
      <c r="G31" s="847"/>
      <c r="H31" s="1057"/>
      <c r="I31" s="1128">
        <f t="shared" ref="I31:I42" si="0">F31*H31</f>
        <v>0</v>
      </c>
    </row>
    <row r="32" spans="1:9" ht="19.5">
      <c r="A32" s="109"/>
      <c r="B32" s="110"/>
      <c r="C32" s="1065"/>
      <c r="D32" s="846"/>
      <c r="E32" s="259"/>
      <c r="F32" s="846"/>
      <c r="G32" s="847"/>
      <c r="H32" s="1057"/>
      <c r="I32" s="1128">
        <f t="shared" si="0"/>
        <v>0</v>
      </c>
    </row>
    <row r="33" spans="1:9" ht="19.5">
      <c r="A33" s="109">
        <f>+A27+1</f>
        <v>5</v>
      </c>
      <c r="B33" s="110"/>
      <c r="C33" s="1065" t="s">
        <v>896</v>
      </c>
      <c r="D33"/>
      <c r="E33" s="259">
        <f>SUM(F34:F40)</f>
        <v>0</v>
      </c>
      <c r="F33" s="160"/>
      <c r="G33" s="252"/>
      <c r="H33" s="251"/>
      <c r="I33" s="1129">
        <f>SUM(I34:I42)</f>
        <v>0</v>
      </c>
    </row>
    <row r="34" spans="1:9" ht="19.5">
      <c r="A34" s="109"/>
      <c r="B34" s="110"/>
      <c r="C34" s="1065"/>
      <c r="D34" s="846"/>
      <c r="E34" s="259"/>
      <c r="F34" s="1272">
        <v>0</v>
      </c>
      <c r="G34" s="847"/>
      <c r="H34" s="1058">
        <v>0</v>
      </c>
      <c r="I34" s="1128">
        <f>F34*H34</f>
        <v>0</v>
      </c>
    </row>
    <row r="35" spans="1:9" ht="19.5">
      <c r="A35" s="109"/>
      <c r="B35" s="110"/>
      <c r="C35" s="1065"/>
      <c r="D35" s="846"/>
      <c r="E35" s="259"/>
      <c r="F35" s="846"/>
      <c r="G35" s="847"/>
      <c r="H35" s="847"/>
      <c r="I35" s="1128">
        <f t="shared" si="0"/>
        <v>0</v>
      </c>
    </row>
    <row r="36" spans="1:9" ht="19.5">
      <c r="A36" s="109"/>
      <c r="B36" s="110"/>
      <c r="C36" s="1065"/>
      <c r="D36" s="846"/>
      <c r="E36" s="259"/>
      <c r="F36" s="846"/>
      <c r="G36" s="847"/>
      <c r="H36" s="847"/>
      <c r="I36" s="1128">
        <f t="shared" si="0"/>
        <v>0</v>
      </c>
    </row>
    <row r="37" spans="1:9" ht="19.5">
      <c r="A37" s="109"/>
      <c r="B37" s="110"/>
      <c r="C37" s="1065"/>
      <c r="D37" s="846"/>
      <c r="E37" s="259"/>
      <c r="F37" s="846"/>
      <c r="G37" s="847"/>
      <c r="H37" s="847"/>
      <c r="I37" s="1128">
        <f t="shared" si="0"/>
        <v>0</v>
      </c>
    </row>
    <row r="38" spans="1:9" ht="19.5">
      <c r="A38" s="109"/>
      <c r="B38" s="110"/>
      <c r="C38" s="1065"/>
      <c r="D38" s="846"/>
      <c r="E38" s="259"/>
      <c r="F38" s="846"/>
      <c r="G38" s="847"/>
      <c r="H38" s="847"/>
      <c r="I38" s="1128">
        <f t="shared" si="0"/>
        <v>0</v>
      </c>
    </row>
    <row r="39" spans="1:9" ht="19.5">
      <c r="A39" s="109"/>
      <c r="B39" s="110"/>
      <c r="C39" s="1065"/>
      <c r="D39" s="846"/>
      <c r="E39" s="259"/>
      <c r="F39" s="846"/>
      <c r="G39" s="847"/>
      <c r="H39" s="847"/>
      <c r="I39" s="1128">
        <f t="shared" si="0"/>
        <v>0</v>
      </c>
    </row>
    <row r="40" spans="1:9" ht="19.5">
      <c r="A40" s="109"/>
      <c r="B40" s="110"/>
      <c r="C40" s="1065"/>
      <c r="D40" s="846"/>
      <c r="E40" s="259"/>
      <c r="F40" s="846"/>
      <c r="G40" s="847"/>
      <c r="H40" s="847"/>
      <c r="I40" s="1128">
        <f t="shared" si="0"/>
        <v>0</v>
      </c>
    </row>
    <row r="41" spans="1:9" ht="19.5">
      <c r="A41" s="109"/>
      <c r="B41" s="110"/>
      <c r="C41" s="1065"/>
      <c r="D41" s="846"/>
      <c r="E41" s="259"/>
      <c r="F41" s="846"/>
      <c r="G41" s="847"/>
      <c r="H41" s="847"/>
      <c r="I41" s="1128">
        <f t="shared" si="0"/>
        <v>0</v>
      </c>
    </row>
    <row r="42" spans="1:9" ht="19.5">
      <c r="A42" s="109"/>
      <c r="B42" s="110"/>
      <c r="C42" s="1065"/>
      <c r="D42" s="846"/>
      <c r="E42" s="259"/>
      <c r="F42" s="846"/>
      <c r="G42" s="847"/>
      <c r="H42" s="847"/>
      <c r="I42" s="1128">
        <f t="shared" si="0"/>
        <v>0</v>
      </c>
    </row>
    <row r="43" spans="1:9" ht="19.5">
      <c r="A43" s="109"/>
      <c r="B43" s="110"/>
      <c r="C43" s="1065"/>
      <c r="D43" s="108"/>
      <c r="E43" s="259"/>
      <c r="F43" s="5"/>
      <c r="G43" s="297"/>
      <c r="H43" s="251"/>
      <c r="I43" s="251"/>
    </row>
    <row r="44" spans="1:9" ht="19.5">
      <c r="A44" s="109">
        <f>+A33+1</f>
        <v>6</v>
      </c>
      <c r="B44" s="110"/>
      <c r="C44" s="1065" t="s">
        <v>595</v>
      </c>
      <c r="D44" s="213"/>
      <c r="E44" s="259">
        <f>SUM(F45:F48)</f>
        <v>0</v>
      </c>
      <c r="F44" s="120"/>
      <c r="G44" s="297" t="s">
        <v>114</v>
      </c>
      <c r="H44" s="251"/>
      <c r="I44" s="1129">
        <f>SUM(I45:I49)</f>
        <v>0</v>
      </c>
    </row>
    <row r="45" spans="1:9" ht="19.5">
      <c r="A45" s="109"/>
      <c r="B45" s="110"/>
      <c r="C45" s="1065"/>
      <c r="D45" s="846"/>
      <c r="E45" s="259"/>
      <c r="F45" s="1272">
        <v>0</v>
      </c>
      <c r="G45" s="847"/>
      <c r="H45" s="1058"/>
      <c r="I45" s="1128">
        <f>F45*H45</f>
        <v>0</v>
      </c>
    </row>
    <row r="46" spans="1:9" ht="19.5">
      <c r="A46" s="109"/>
      <c r="B46" s="110"/>
      <c r="C46" s="1065"/>
      <c r="D46" s="846"/>
      <c r="E46" s="259"/>
      <c r="F46" s="846"/>
      <c r="G46" s="847"/>
      <c r="H46" s="847"/>
      <c r="I46" s="1128">
        <f>F46*H46</f>
        <v>0</v>
      </c>
    </row>
    <row r="47" spans="1:9" ht="19.5">
      <c r="A47" s="109"/>
      <c r="B47" s="110"/>
      <c r="C47" s="1065"/>
      <c r="D47" s="846"/>
      <c r="E47" s="259"/>
      <c r="F47" s="846"/>
      <c r="G47" s="847"/>
      <c r="H47" s="847"/>
      <c r="I47" s="1128">
        <f>F47*H47</f>
        <v>0</v>
      </c>
    </row>
    <row r="48" spans="1:9" ht="19.5">
      <c r="A48" s="109"/>
      <c r="B48" s="110"/>
      <c r="C48" s="1065"/>
      <c r="D48" s="846"/>
      <c r="E48" s="259"/>
      <c r="F48" s="846"/>
      <c r="G48" s="847"/>
      <c r="H48" s="847"/>
      <c r="I48" s="1128">
        <f>F48*H48</f>
        <v>0</v>
      </c>
    </row>
    <row r="49" spans="1:9" ht="19.5">
      <c r="A49" s="109"/>
      <c r="B49" s="110"/>
      <c r="C49" s="1065"/>
      <c r="D49" s="846"/>
      <c r="E49" s="259"/>
      <c r="F49" s="846"/>
      <c r="G49" s="847"/>
      <c r="H49" s="847"/>
      <c r="I49" s="1128">
        <f>F49*H49</f>
        <v>0</v>
      </c>
    </row>
    <row r="50" spans="1:9" ht="19.5">
      <c r="A50" s="109"/>
      <c r="B50" s="110"/>
      <c r="C50" s="1065"/>
      <c r="D50" s="213"/>
      <c r="E50" s="259">
        <f>SUM(F51:F53)</f>
        <v>0</v>
      </c>
      <c r="F50" s="296"/>
      <c r="G50" s="297"/>
      <c r="H50" s="251"/>
      <c r="I50" s="1129">
        <f>SUM(I51:I53)</f>
        <v>0</v>
      </c>
    </row>
    <row r="51" spans="1:9" ht="19.5">
      <c r="A51" s="109">
        <f>A44+1</f>
        <v>7</v>
      </c>
      <c r="B51" s="110"/>
      <c r="C51" s="1065" t="s">
        <v>463</v>
      </c>
      <c r="D51" s="846"/>
      <c r="E51" s="259"/>
      <c r="F51" s="1272">
        <v>0</v>
      </c>
      <c r="G51" s="847"/>
      <c r="H51" s="847"/>
      <c r="I51" s="1128">
        <f>F51*H51</f>
        <v>0</v>
      </c>
    </row>
    <row r="52" spans="1:9" ht="19.5">
      <c r="A52" s="109"/>
      <c r="B52" s="110"/>
      <c r="C52" s="108"/>
      <c r="D52" s="846"/>
      <c r="E52" s="259"/>
      <c r="F52" s="846"/>
      <c r="G52" s="847"/>
      <c r="H52" s="847"/>
      <c r="I52" s="1128">
        <f>F52*H52</f>
        <v>0</v>
      </c>
    </row>
    <row r="53" spans="1:9" ht="19.5">
      <c r="A53" s="109"/>
      <c r="B53" s="110"/>
      <c r="C53" s="108"/>
      <c r="D53" s="846"/>
      <c r="E53" s="259"/>
      <c r="F53" s="846"/>
      <c r="G53" s="847"/>
      <c r="H53" s="847"/>
      <c r="I53" s="1128">
        <f>F53*H53</f>
        <v>0</v>
      </c>
    </row>
    <row r="54" spans="1:9" ht="19.5">
      <c r="A54" s="1079"/>
      <c r="B54" s="1080"/>
      <c r="C54" s="1081"/>
      <c r="D54" s="1082"/>
      <c r="E54" s="1083"/>
      <c r="F54" s="1082"/>
      <c r="G54" s="1084"/>
      <c r="H54" s="1084"/>
      <c r="I54" s="1085"/>
    </row>
    <row r="55" spans="1:9" ht="19.5">
      <c r="A55" s="109"/>
      <c r="B55" s="110"/>
      <c r="C55" s="108"/>
      <c r="D55" s="213"/>
      <c r="E55" s="259"/>
      <c r="F55" s="296"/>
      <c r="G55" s="297"/>
      <c r="H55" s="251"/>
    </row>
    <row r="56" spans="1:9" ht="18">
      <c r="A56" s="109"/>
      <c r="B56" s="110"/>
      <c r="C56" s="34" t="s">
        <v>162</v>
      </c>
      <c r="E56" s="34" t="s">
        <v>163</v>
      </c>
      <c r="F56" s="245" t="s">
        <v>164</v>
      </c>
      <c r="G56" s="245" t="s">
        <v>165</v>
      </c>
      <c r="H56" s="251"/>
    </row>
    <row r="57" spans="1:9" ht="18">
      <c r="A57" s="194"/>
      <c r="B57" s="195"/>
      <c r="C57" s="195"/>
      <c r="D57" s="195"/>
      <c r="E57"/>
      <c r="F57" s="15"/>
      <c r="G57" s="246"/>
      <c r="H57" s="251"/>
    </row>
    <row r="58" spans="1:9" ht="18">
      <c r="A58" s="194" t="s">
        <v>169</v>
      </c>
      <c r="B58" s="195"/>
      <c r="C58" s="195"/>
      <c r="D58" s="195"/>
      <c r="E58" s="196" t="s">
        <v>118</v>
      </c>
      <c r="F58" s="247" t="s">
        <v>76</v>
      </c>
      <c r="G58" s="248"/>
      <c r="H58" s="251"/>
    </row>
    <row r="59" spans="1:9" ht="18">
      <c r="A59" s="198" t="s">
        <v>117</v>
      </c>
      <c r="B59" s="249"/>
      <c r="C59" s="198" t="s">
        <v>30</v>
      </c>
      <c r="D59" s="1076"/>
      <c r="E59" s="199" t="s">
        <v>183</v>
      </c>
      <c r="F59" s="198" t="s">
        <v>77</v>
      </c>
      <c r="G59" s="199" t="s">
        <v>78</v>
      </c>
      <c r="H59" s="251"/>
    </row>
    <row r="60" spans="1:9" ht="19.5">
      <c r="A60" s="109">
        <f>+A51+1</f>
        <v>8</v>
      </c>
      <c r="B60" s="110"/>
      <c r="C60" s="113" t="s">
        <v>325</v>
      </c>
      <c r="D60" s="110"/>
      <c r="E60" s="258"/>
      <c r="F60" s="254" t="s">
        <v>114</v>
      </c>
      <c r="G60" s="252"/>
      <c r="H60" s="251"/>
    </row>
    <row r="61" spans="1:9" ht="19.5">
      <c r="A61" s="109">
        <f>+A60+1</f>
        <v>9</v>
      </c>
      <c r="B61" s="110"/>
      <c r="C61" s="108" t="s">
        <v>321</v>
      </c>
      <c r="D61" s="110"/>
      <c r="E61" s="259">
        <f>SUM(F62)</f>
        <v>876000</v>
      </c>
      <c r="F61" s="255"/>
      <c r="G61" s="252"/>
      <c r="H61" s="251"/>
    </row>
    <row r="62" spans="1:9" ht="19.5">
      <c r="A62" s="109"/>
      <c r="B62" s="110"/>
      <c r="C62" s="108"/>
      <c r="D62" s="110"/>
      <c r="E62" s="259"/>
      <c r="F62" s="1272">
        <v>876000</v>
      </c>
      <c r="G62" s="847"/>
      <c r="H62" s="251"/>
    </row>
    <row r="63" spans="1:9" ht="19.5">
      <c r="A63" s="109">
        <f>+A61+1</f>
        <v>10</v>
      </c>
      <c r="B63" s="110"/>
      <c r="C63" s="108" t="s">
        <v>314</v>
      </c>
      <c r="D63" s="110"/>
      <c r="E63" s="259">
        <f>SUM(F64)</f>
        <v>5000</v>
      </c>
      <c r="F63" s="120"/>
      <c r="G63" s="302"/>
      <c r="H63" s="251"/>
    </row>
    <row r="64" spans="1:9" ht="19.5">
      <c r="A64" s="109"/>
      <c r="B64" s="110"/>
      <c r="C64" s="108"/>
      <c r="D64" s="110"/>
      <c r="E64" s="259"/>
      <c r="F64" s="1272">
        <v>5000</v>
      </c>
      <c r="G64" s="847"/>
      <c r="H64" s="251"/>
    </row>
    <row r="65" spans="1:8" ht="19.5">
      <c r="A65" s="109">
        <f>+A63+1</f>
        <v>11</v>
      </c>
      <c r="B65" s="110"/>
      <c r="C65" s="108" t="s">
        <v>315</v>
      </c>
      <c r="D65" s="110"/>
      <c r="E65" s="259">
        <f>SUM(F66:F70)</f>
        <v>23000</v>
      </c>
      <c r="F65" s="120"/>
      <c r="G65" s="252"/>
      <c r="H65" s="251"/>
    </row>
    <row r="66" spans="1:8" ht="19.5">
      <c r="A66" s="109"/>
      <c r="B66" s="110"/>
      <c r="C66" s="108"/>
      <c r="D66" s="110"/>
      <c r="E66" s="259"/>
      <c r="F66" s="1272">
        <v>23000</v>
      </c>
      <c r="G66" s="847"/>
      <c r="H66" s="251"/>
    </row>
    <row r="67" spans="1:8" ht="19.5">
      <c r="A67" s="109"/>
      <c r="B67" s="110"/>
      <c r="C67" s="108"/>
      <c r="D67" s="110"/>
      <c r="E67" s="259"/>
      <c r="F67" s="846"/>
      <c r="G67" s="847"/>
      <c r="H67" s="251"/>
    </row>
    <row r="68" spans="1:8" ht="19.5">
      <c r="A68" s="109"/>
      <c r="B68" s="110"/>
      <c r="C68" s="108"/>
      <c r="D68" s="110"/>
      <c r="E68" s="259"/>
      <c r="F68" s="846"/>
      <c r="G68" s="847"/>
      <c r="H68" s="251"/>
    </row>
    <row r="69" spans="1:8" ht="19.5">
      <c r="A69" s="107"/>
      <c r="B69" s="107"/>
      <c r="C69" s="107"/>
      <c r="D69" s="110"/>
      <c r="E69" s="258"/>
      <c r="F69" s="846"/>
      <c r="G69" s="847"/>
      <c r="H69" s="251"/>
    </row>
    <row r="70" spans="1:8" ht="19.5">
      <c r="A70" s="107"/>
      <c r="B70" s="107"/>
      <c r="C70" s="107"/>
      <c r="D70" s="110"/>
      <c r="E70" s="258"/>
      <c r="F70" s="846"/>
      <c r="G70" s="847"/>
      <c r="H70" s="251"/>
    </row>
    <row r="71" spans="1:8" ht="19.5">
      <c r="A71" s="109">
        <f>A65+1</f>
        <v>12</v>
      </c>
      <c r="B71" s="110"/>
      <c r="C71" s="113" t="s">
        <v>440</v>
      </c>
      <c r="D71" s="110"/>
      <c r="E71" s="259">
        <f>SUM(F72:F72)</f>
        <v>0</v>
      </c>
      <c r="F71" s="296"/>
      <c r="G71" s="297"/>
      <c r="H71" s="251"/>
    </row>
    <row r="72" spans="1:8" ht="19.5">
      <c r="A72" s="109">
        <f>+A71+1</f>
        <v>13</v>
      </c>
      <c r="B72" s="110"/>
      <c r="C72" s="120" t="s">
        <v>441</v>
      </c>
      <c r="D72" s="213"/>
      <c r="E72" s="259"/>
      <c r="F72" s="1272">
        <v>0</v>
      </c>
      <c r="G72" s="847"/>
      <c r="H72" s="251"/>
    </row>
    <row r="73" spans="1:8" ht="19.5">
      <c r="A73" s="109"/>
      <c r="B73" s="110"/>
      <c r="C73" s="105"/>
      <c r="D73" s="110"/>
      <c r="E73" s="263"/>
      <c r="F73" s="296"/>
      <c r="G73" s="105"/>
      <c r="H73" s="251"/>
    </row>
    <row r="74" spans="1:8" ht="19.5">
      <c r="A74" s="117">
        <f>+A72+1</f>
        <v>14</v>
      </c>
      <c r="B74" s="110"/>
      <c r="C74" s="113" t="s">
        <v>322</v>
      </c>
      <c r="D74" s="119"/>
      <c r="E74" s="258"/>
      <c r="F74" s="120"/>
      <c r="G74" s="105"/>
      <c r="H74" s="251"/>
    </row>
    <row r="75" spans="1:8" ht="19.5">
      <c r="A75" s="117">
        <f>A74+1</f>
        <v>15</v>
      </c>
      <c r="B75" s="118"/>
      <c r="C75" s="105" t="s">
        <v>907</v>
      </c>
      <c r="D75" s="119"/>
      <c r="E75" s="259">
        <f>SUM(F76:F77)</f>
        <v>2511000</v>
      </c>
      <c r="F75" s="120"/>
      <c r="G75" s="105"/>
      <c r="H75" s="251"/>
    </row>
    <row r="76" spans="1:8" ht="19.5">
      <c r="A76" s="117"/>
      <c r="B76" s="118"/>
      <c r="C76" s="105"/>
      <c r="D76" s="107"/>
      <c r="E76" s="263"/>
      <c r="F76" s="1272">
        <v>2511000</v>
      </c>
      <c r="G76" s="847"/>
      <c r="H76" s="251"/>
    </row>
    <row r="77" spans="1:8" ht="19.5">
      <c r="A77" s="117"/>
      <c r="B77" s="118"/>
      <c r="C77" s="105"/>
      <c r="D77" s="107"/>
      <c r="E77" s="263"/>
      <c r="F77" s="846"/>
      <c r="G77" s="847"/>
      <c r="H77" s="251"/>
    </row>
    <row r="78" spans="1:8" ht="19.5">
      <c r="A78" s="117"/>
      <c r="B78" s="118"/>
      <c r="C78" s="105"/>
      <c r="D78" s="107"/>
      <c r="E78" s="263"/>
      <c r="F78" s="846"/>
      <c r="G78" s="847"/>
      <c r="H78" s="251"/>
    </row>
    <row r="79" spans="1:8" ht="19.5">
      <c r="A79" s="109">
        <f>A75+1</f>
        <v>16</v>
      </c>
      <c r="B79" s="118"/>
      <c r="C79" s="105" t="s">
        <v>316</v>
      </c>
      <c r="D79" s="110"/>
      <c r="E79" s="259">
        <f>SUM(F80:F81)</f>
        <v>0</v>
      </c>
      <c r="F79" s="120"/>
      <c r="G79" s="105"/>
      <c r="H79" s="251"/>
    </row>
    <row r="80" spans="1:8" ht="19.5">
      <c r="A80" s="109"/>
      <c r="B80" s="118"/>
      <c r="C80" s="105"/>
      <c r="D80" s="110"/>
      <c r="E80" s="160"/>
      <c r="F80" s="1272">
        <v>0</v>
      </c>
      <c r="G80" s="847"/>
      <c r="H80" s="251"/>
    </row>
    <row r="81" spans="1:8" ht="19.5">
      <c r="A81" s="109"/>
      <c r="B81" s="118"/>
      <c r="C81" s="105"/>
      <c r="D81" s="110"/>
      <c r="E81" s="160"/>
      <c r="F81" s="846"/>
      <c r="G81" s="847"/>
      <c r="H81" s="251"/>
    </row>
    <row r="82" spans="1:8" ht="19.5">
      <c r="A82" s="109"/>
      <c r="B82" s="118"/>
      <c r="C82" s="105"/>
      <c r="D82" s="110"/>
      <c r="E82" s="160"/>
      <c r="F82" s="846"/>
      <c r="G82" s="847"/>
      <c r="H82" s="251"/>
    </row>
    <row r="83" spans="1:8" ht="19.5">
      <c r="A83" s="109">
        <f>+A79+1</f>
        <v>17</v>
      </c>
      <c r="B83" s="110"/>
      <c r="C83" s="105" t="s">
        <v>317</v>
      </c>
      <c r="D83"/>
      <c r="E83" s="259">
        <f>SUM(F84:F91)</f>
        <v>0</v>
      </c>
      <c r="H83" s="251"/>
    </row>
    <row r="84" spans="1:8" ht="19.5">
      <c r="A84" s="109"/>
      <c r="B84" s="110"/>
      <c r="C84" s="105"/>
      <c r="D84"/>
      <c r="E84" s="160"/>
      <c r="F84" s="1272">
        <v>0</v>
      </c>
      <c r="G84" s="847"/>
      <c r="H84" s="251"/>
    </row>
    <row r="85" spans="1:8" ht="19.5">
      <c r="A85" s="109"/>
      <c r="B85" s="110"/>
      <c r="C85" s="105"/>
      <c r="D85"/>
      <c r="E85" s="160"/>
      <c r="F85" s="846"/>
      <c r="G85" s="847"/>
      <c r="H85" s="251"/>
    </row>
    <row r="86" spans="1:8" ht="19.5">
      <c r="A86" s="109"/>
      <c r="B86" s="110"/>
      <c r="C86" s="105"/>
      <c r="D86"/>
      <c r="E86" s="160"/>
      <c r="F86" s="846"/>
      <c r="G86" s="847"/>
      <c r="H86" s="251"/>
    </row>
    <row r="87" spans="1:8" ht="19.5">
      <c r="A87" s="109"/>
      <c r="B87" s="110"/>
      <c r="C87" s="105"/>
      <c r="D87"/>
      <c r="E87" s="160"/>
      <c r="F87" s="846"/>
      <c r="G87" s="847"/>
      <c r="H87" s="251"/>
    </row>
    <row r="88" spans="1:8" ht="19.5">
      <c r="A88" s="109"/>
      <c r="B88" s="110"/>
      <c r="C88" s="105"/>
      <c r="D88"/>
      <c r="E88" s="160"/>
      <c r="F88" s="846"/>
      <c r="G88" s="847"/>
      <c r="H88" s="251"/>
    </row>
    <row r="89" spans="1:8" ht="19.5">
      <c r="A89" s="109"/>
      <c r="B89" s="110"/>
      <c r="C89" s="105"/>
      <c r="D89"/>
      <c r="E89" s="160"/>
      <c r="F89" s="846"/>
      <c r="G89" s="847"/>
      <c r="H89" s="251"/>
    </row>
    <row r="90" spans="1:8" ht="19.5">
      <c r="A90" s="109"/>
      <c r="B90" s="110"/>
      <c r="C90" s="105"/>
      <c r="D90"/>
      <c r="E90" s="160"/>
      <c r="F90" s="846"/>
      <c r="G90" s="847"/>
      <c r="H90" s="251"/>
    </row>
    <row r="91" spans="1:8" ht="19.5">
      <c r="A91" s="109"/>
      <c r="B91" s="110"/>
      <c r="C91" s="105"/>
      <c r="D91"/>
      <c r="E91" s="160"/>
      <c r="F91" s="846"/>
      <c r="G91" s="847"/>
      <c r="H91" s="251"/>
    </row>
    <row r="92" spans="1:8" ht="19.5">
      <c r="A92" s="109"/>
      <c r="B92" s="110"/>
      <c r="C92" s="105"/>
      <c r="D92"/>
      <c r="E92" s="160"/>
      <c r="F92" s="120"/>
      <c r="G92" s="105"/>
      <c r="H92" s="251"/>
    </row>
    <row r="93" spans="1:8" ht="19.5">
      <c r="A93" s="109">
        <f>+A83+1</f>
        <v>18</v>
      </c>
      <c r="B93" s="110"/>
      <c r="C93" s="105" t="s">
        <v>318</v>
      </c>
      <c r="D93"/>
      <c r="E93" s="259">
        <f>SUM(F94:F99)</f>
        <v>0</v>
      </c>
      <c r="F93" s="120"/>
      <c r="G93" s="105"/>
      <c r="H93" s="251"/>
    </row>
    <row r="94" spans="1:8" ht="19.5">
      <c r="A94" s="109"/>
      <c r="B94" s="110"/>
      <c r="C94" s="105"/>
      <c r="D94"/>
      <c r="E94" s="160"/>
      <c r="F94" s="1272">
        <v>0</v>
      </c>
      <c r="G94" s="847"/>
      <c r="H94" s="251"/>
    </row>
    <row r="95" spans="1:8" ht="19.5">
      <c r="A95" s="109"/>
      <c r="B95" s="110"/>
      <c r="C95" s="105"/>
      <c r="D95"/>
      <c r="E95" s="160"/>
      <c r="F95" s="846"/>
      <c r="G95" s="847"/>
      <c r="H95" s="251"/>
    </row>
    <row r="96" spans="1:8" ht="19.5">
      <c r="A96" s="109"/>
      <c r="B96" s="110"/>
      <c r="C96" s="105"/>
      <c r="D96"/>
      <c r="E96" s="160"/>
      <c r="F96" s="846"/>
      <c r="G96" s="847"/>
      <c r="H96" s="251"/>
    </row>
    <row r="97" spans="1:8" ht="19.5">
      <c r="A97" s="109"/>
      <c r="B97" s="110"/>
      <c r="C97" s="105"/>
      <c r="D97"/>
      <c r="E97" s="160"/>
      <c r="F97" s="846"/>
      <c r="G97" s="847"/>
      <c r="H97" s="251"/>
    </row>
    <row r="98" spans="1:8" ht="19.5">
      <c r="A98" s="109"/>
      <c r="B98" s="110"/>
      <c r="C98" s="105"/>
      <c r="D98"/>
      <c r="E98" s="160"/>
      <c r="F98" s="846"/>
      <c r="G98" s="847"/>
      <c r="H98" s="251"/>
    </row>
    <row r="99" spans="1:8" ht="19.5">
      <c r="A99" s="109"/>
      <c r="B99" s="110"/>
      <c r="C99" s="105"/>
      <c r="D99"/>
      <c r="E99" s="160"/>
      <c r="F99" s="846"/>
      <c r="G99" s="847"/>
      <c r="H99" s="251"/>
    </row>
    <row r="100" spans="1:8" ht="19.5">
      <c r="A100" s="109">
        <f>+A93+1</f>
        <v>19</v>
      </c>
      <c r="B100" s="110"/>
      <c r="C100" s="105" t="s">
        <v>319</v>
      </c>
      <c r="D100" s="110"/>
      <c r="E100" s="259">
        <f>SUM(F101:F102)</f>
        <v>0</v>
      </c>
      <c r="F100" s="120"/>
      <c r="G100" s="297"/>
      <c r="H100" s="251"/>
    </row>
    <row r="101" spans="1:8" ht="19.5">
      <c r="A101" s="109"/>
      <c r="B101" s="110"/>
      <c r="C101" s="105"/>
      <c r="D101" s="110"/>
      <c r="E101" s="259"/>
      <c r="F101" s="1272">
        <v>0</v>
      </c>
      <c r="G101" s="847"/>
      <c r="H101" s="251"/>
    </row>
    <row r="102" spans="1:8" ht="19.5">
      <c r="A102" s="109"/>
      <c r="B102" s="110"/>
      <c r="C102" s="105"/>
      <c r="D102" s="110"/>
      <c r="E102" s="263"/>
      <c r="F102" s="846"/>
      <c r="G102" s="847"/>
      <c r="H102" s="251"/>
    </row>
    <row r="103" spans="1:8" ht="19.5">
      <c r="A103" s="109">
        <f>+A100+1</f>
        <v>20</v>
      </c>
      <c r="B103" s="110"/>
      <c r="C103" s="105" t="s">
        <v>320</v>
      </c>
      <c r="D103" s="107"/>
      <c r="E103" s="259">
        <f>SUM(F104:F106)</f>
        <v>0</v>
      </c>
      <c r="G103" s="105"/>
      <c r="H103" s="251"/>
    </row>
    <row r="104" spans="1:8" ht="19.5">
      <c r="A104" s="109"/>
      <c r="B104" s="110"/>
      <c r="C104" s="105"/>
      <c r="D104" s="110"/>
      <c r="E104" s="160"/>
      <c r="F104" s="1272">
        <v>0</v>
      </c>
      <c r="G104" s="847"/>
      <c r="H104" s="251"/>
    </row>
    <row r="105" spans="1:8" ht="19.5">
      <c r="A105" s="109"/>
      <c r="B105" s="110"/>
      <c r="C105" s="105"/>
      <c r="D105" s="110"/>
      <c r="E105" s="160"/>
      <c r="F105" s="846"/>
      <c r="G105" s="847"/>
      <c r="H105" s="251"/>
    </row>
    <row r="106" spans="1:8" ht="19.5">
      <c r="A106" s="109"/>
      <c r="B106" s="110"/>
      <c r="C106" s="105"/>
      <c r="D106" s="110"/>
      <c r="E106" s="160"/>
      <c r="F106" s="120"/>
      <c r="G106" s="105"/>
      <c r="H106" s="251"/>
    </row>
    <row r="107" spans="1:8" ht="19.5">
      <c r="A107" s="109">
        <f>+A103+1</f>
        <v>21</v>
      </c>
      <c r="B107" s="110"/>
      <c r="C107" s="105" t="s">
        <v>308</v>
      </c>
      <c r="D107" s="105"/>
      <c r="E107" s="259">
        <f>SUM(F108:F109)</f>
        <v>0</v>
      </c>
      <c r="F107" s="120"/>
      <c r="G107" s="105"/>
      <c r="H107" s="251"/>
    </row>
    <row r="108" spans="1:8" ht="19.5">
      <c r="A108" s="109"/>
      <c r="B108" s="110"/>
      <c r="C108" s="105"/>
      <c r="D108" s="105"/>
      <c r="E108" s="160"/>
      <c r="F108" s="1272">
        <v>0</v>
      </c>
      <c r="G108" s="847"/>
      <c r="H108" s="251"/>
    </row>
    <row r="109" spans="1:8" ht="19.5">
      <c r="A109" s="109"/>
      <c r="B109" s="110"/>
      <c r="C109" s="105"/>
      <c r="D109" s="105"/>
      <c r="E109" s="160"/>
      <c r="F109" s="846"/>
      <c r="G109" s="847"/>
      <c r="H109" s="251"/>
    </row>
    <row r="110" spans="1:8" ht="19.5">
      <c r="A110" s="109">
        <f>+A107+1</f>
        <v>22</v>
      </c>
      <c r="B110" s="105"/>
      <c r="C110" s="131" t="s">
        <v>1007</v>
      </c>
      <c r="D110" s="120"/>
      <c r="E110" s="259">
        <f>SUM(F111:F111)</f>
        <v>10031000</v>
      </c>
      <c r="F110" s="256"/>
      <c r="G110" s="105"/>
      <c r="H110" s="251"/>
    </row>
    <row r="111" spans="1:8" ht="19.5">
      <c r="A111" s="109"/>
      <c r="B111" s="105"/>
      <c r="C111" s="131"/>
      <c r="D111" s="120"/>
      <c r="E111" s="160"/>
      <c r="F111" s="1272">
        <v>10031000</v>
      </c>
      <c r="G111" s="847"/>
    </row>
    <row r="112" spans="1:8" ht="19.5">
      <c r="A112" s="5"/>
      <c r="B112" s="105"/>
      <c r="C112" s="234"/>
      <c r="D112"/>
      <c r="E112"/>
      <c r="F112" s="233"/>
      <c r="G112" s="257"/>
    </row>
    <row r="113" spans="1:7" ht="20.25" thickBot="1">
      <c r="A113" s="227">
        <f>+A110+1</f>
        <v>23</v>
      </c>
      <c r="B113" s="234"/>
      <c r="C113" s="105" t="s">
        <v>311</v>
      </c>
      <c r="D113"/>
      <c r="E113" s="130">
        <f>E15+E25+E61+E63+E65+E75+E79+E83+E110+E107+E103+E100+E93+E71</f>
        <v>19783000</v>
      </c>
      <c r="F113" s="130">
        <f>SUM(F15:F111)</f>
        <v>19783000</v>
      </c>
      <c r="G113" s="105"/>
    </row>
    <row r="114" spans="1:7" ht="20.25" thickTop="1">
      <c r="A114" s="5"/>
      <c r="B114" s="234"/>
      <c r="C114" s="105" t="s">
        <v>381</v>
      </c>
      <c r="D114"/>
      <c r="E114"/>
      <c r="F114" s="256"/>
      <c r="G114" s="105"/>
    </row>
    <row r="115" spans="1:7" ht="21">
      <c r="A115" s="5"/>
      <c r="B115" s="234"/>
      <c r="C115" s="105"/>
      <c r="D115"/>
      <c r="E115" s="273"/>
      <c r="F115" s="161" t="s">
        <v>114</v>
      </c>
      <c r="G115" s="105"/>
    </row>
    <row r="116" spans="1:7" ht="20.25" customHeight="1">
      <c r="A116" s="1496" t="s">
        <v>762</v>
      </c>
      <c r="B116" s="1496"/>
      <c r="C116" s="1496"/>
      <c r="D116" s="1496"/>
      <c r="E116" s="1496"/>
      <c r="F116" s="1496"/>
      <c r="G116" s="1496"/>
    </row>
    <row r="117" spans="1:7" ht="20.25" customHeight="1">
      <c r="A117" s="1496"/>
      <c r="B117" s="1496"/>
      <c r="C117" s="1496"/>
      <c r="D117" s="1496"/>
      <c r="E117" s="1496"/>
      <c r="F117" s="1496"/>
      <c r="G117" s="1496"/>
    </row>
    <row r="118" spans="1:7" ht="20.25" customHeight="1">
      <c r="A118" s="1496"/>
      <c r="B118" s="1496"/>
      <c r="C118" s="1496"/>
      <c r="D118" s="1496"/>
      <c r="E118" s="1496"/>
      <c r="F118" s="1496"/>
      <c r="G118" s="1496"/>
    </row>
    <row r="119" spans="1:7" ht="20.25" customHeight="1">
      <c r="A119" s="1496"/>
      <c r="B119" s="1496"/>
      <c r="C119" s="1496"/>
      <c r="D119" s="1496"/>
      <c r="E119" s="1496"/>
      <c r="F119" s="1496"/>
      <c r="G119" s="1496"/>
    </row>
    <row r="120" spans="1:7" ht="20.25" customHeight="1">
      <c r="A120" s="1496"/>
      <c r="B120" s="1496"/>
      <c r="C120" s="1496"/>
      <c r="D120" s="1496"/>
      <c r="E120" s="1496"/>
      <c r="F120" s="1496"/>
      <c r="G120" s="1496"/>
    </row>
    <row r="121" spans="1:7" ht="20.25" customHeight="1">
      <c r="A121" s="1123"/>
      <c r="B121" s="1123"/>
      <c r="C121" s="1123"/>
      <c r="D121" s="1123"/>
      <c r="E121" s="1123"/>
      <c r="F121" s="1123"/>
      <c r="G121" s="1123"/>
    </row>
    <row r="122" spans="1:7" ht="30.75" customHeight="1">
      <c r="A122" s="1495" t="s">
        <v>864</v>
      </c>
      <c r="B122" s="1495"/>
      <c r="C122" s="1495"/>
      <c r="D122" s="1495"/>
      <c r="E122" s="1495"/>
      <c r="F122" s="1495"/>
      <c r="G122" s="1495"/>
    </row>
    <row r="123" spans="1:7" ht="30.75" customHeight="1">
      <c r="A123" s="1495"/>
      <c r="B123" s="1495"/>
      <c r="C123" s="1495"/>
      <c r="D123" s="1495"/>
      <c r="E123" s="1495"/>
      <c r="F123" s="1495"/>
      <c r="G123" s="1495"/>
    </row>
    <row r="124" spans="1:7" ht="19.5">
      <c r="B124" s="157"/>
      <c r="F124" s="120"/>
      <c r="G124" s="105"/>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29"/>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74" t="s">
        <v>114</v>
      </c>
    </row>
    <row r="2" spans="1:29" ht="15.75">
      <c r="A2" s="874" t="s">
        <v>114</v>
      </c>
    </row>
    <row r="3" spans="1:29" ht="18">
      <c r="A3" s="1498" t="s">
        <v>387</v>
      </c>
      <c r="B3" s="1498"/>
      <c r="C3" s="1498"/>
      <c r="D3" s="1498"/>
      <c r="E3" s="1498"/>
      <c r="F3" s="1498"/>
      <c r="G3" s="1498"/>
      <c r="H3" s="1498"/>
      <c r="I3" s="1498"/>
      <c r="J3" s="1498"/>
      <c r="K3" s="151"/>
      <c r="L3" s="151"/>
      <c r="M3" s="151"/>
    </row>
    <row r="4" spans="1:29" ht="18">
      <c r="A4" s="1497" t="str">
        <f>"Cost of Service Formula Rate Using "&amp;TCOS!L4&amp;" FF1 Balances"</f>
        <v>Cost of Service Formula Rate Using 2023 FF1 Balances</v>
      </c>
      <c r="B4" s="1497"/>
      <c r="C4" s="1497"/>
      <c r="D4" s="1497"/>
      <c r="E4" s="1497"/>
      <c r="F4" s="1497"/>
      <c r="G4" s="1497"/>
      <c r="H4" s="1497"/>
      <c r="I4" s="1497"/>
      <c r="J4" s="1497"/>
      <c r="K4" s="92"/>
      <c r="L4" s="92"/>
      <c r="M4" s="92"/>
    </row>
    <row r="5" spans="1:29" ht="18">
      <c r="A5" s="1497" t="s">
        <v>546</v>
      </c>
      <c r="B5" s="1497"/>
      <c r="C5" s="1497"/>
      <c r="D5" s="1497"/>
      <c r="E5" s="1497"/>
      <c r="F5" s="1497"/>
      <c r="G5" s="1497"/>
      <c r="H5" s="1497"/>
      <c r="I5" s="1497"/>
      <c r="J5" s="1497"/>
      <c r="K5" s="152"/>
      <c r="L5" s="152"/>
      <c r="M5" s="152"/>
    </row>
    <row r="6" spans="1:29" ht="18">
      <c r="A6" s="1492" t="str">
        <f>+TCOS!F9</f>
        <v>WHEELING POWER COMPANY</v>
      </c>
      <c r="B6" s="1492"/>
      <c r="C6" s="1492"/>
      <c r="D6" s="1492"/>
      <c r="E6" s="1492"/>
      <c r="F6" s="1492"/>
      <c r="G6" s="1492"/>
      <c r="H6" s="1492"/>
      <c r="I6" s="1492"/>
      <c r="J6" s="1492"/>
      <c r="K6" s="162"/>
      <c r="L6" s="162"/>
      <c r="M6" s="162"/>
    </row>
    <row r="8" spans="1:29" ht="18">
      <c r="A8" s="168"/>
      <c r="B8" s="97"/>
      <c r="D8" s="99"/>
      <c r="E8" s="5"/>
      <c r="F8" s="101"/>
    </row>
    <row r="9" spans="1:29" ht="18">
      <c r="C9" s="6"/>
      <c r="D9" s="99"/>
      <c r="E9" s="5"/>
      <c r="F9" s="101"/>
      <c r="Q9" s="151"/>
      <c r="R9" s="151"/>
      <c r="S9" s="151"/>
      <c r="T9" s="151"/>
      <c r="U9" s="151"/>
      <c r="V9" s="151"/>
      <c r="W9" s="151"/>
      <c r="X9" s="151"/>
      <c r="Y9" s="151"/>
      <c r="Z9" s="151"/>
      <c r="AA9" s="151"/>
      <c r="AB9" s="151"/>
      <c r="AC9" s="151"/>
    </row>
    <row r="10" spans="1:29">
      <c r="C10" s="6"/>
      <c r="D10" s="99"/>
    </row>
    <row r="11" spans="1:29">
      <c r="C11" s="6"/>
      <c r="D11" s="99"/>
    </row>
    <row r="12" spans="1:29">
      <c r="C12" s="6"/>
      <c r="D12" s="99"/>
      <c r="H12" s="100"/>
    </row>
    <row r="13" spans="1:29">
      <c r="C13" s="6"/>
      <c r="D13" s="99"/>
      <c r="H13" s="100"/>
    </row>
    <row r="14" spans="1:29">
      <c r="C14" s="6"/>
      <c r="D14" s="99"/>
      <c r="E14" s="5"/>
      <c r="H14" s="100"/>
    </row>
    <row r="15" spans="1:29">
      <c r="C15" s="6"/>
      <c r="D15" s="99"/>
      <c r="E15" s="5"/>
      <c r="H15" s="101"/>
    </row>
    <row r="16" spans="1:29">
      <c r="C16" s="6"/>
      <c r="D16" s="99"/>
      <c r="E16" s="5"/>
      <c r="H16" s="163"/>
    </row>
    <row r="18" spans="1:12" ht="18">
      <c r="A18" s="168"/>
      <c r="B18" s="18"/>
    </row>
    <row r="20" spans="1:12">
      <c r="A20" s="17"/>
      <c r="B20" s="17"/>
      <c r="C20" s="164"/>
      <c r="E20" s="164"/>
      <c r="F20" s="164"/>
      <c r="G20" s="164"/>
      <c r="H20" s="164"/>
      <c r="I20" s="164"/>
      <c r="J20" s="165"/>
    </row>
    <row r="22" spans="1:12">
      <c r="E22" s="166"/>
      <c r="F22" s="167"/>
      <c r="G22" s="167"/>
      <c r="I22" s="167"/>
      <c r="L22" s="298"/>
    </row>
    <row r="23" spans="1:12">
      <c r="E23" s="103"/>
      <c r="F23" s="167"/>
      <c r="G23" s="167"/>
      <c r="I23" s="167"/>
      <c r="L23" s="298"/>
    </row>
    <row r="24" spans="1:12">
      <c r="E24" s="103"/>
      <c r="F24" s="167"/>
      <c r="G24" s="167"/>
      <c r="I24" s="167"/>
      <c r="L24" s="298"/>
    </row>
    <row r="25" spans="1:12">
      <c r="E25" s="103"/>
      <c r="F25" s="167"/>
      <c r="G25" s="167"/>
      <c r="I25" s="167"/>
      <c r="L25" s="298"/>
    </row>
    <row r="26" spans="1:12" ht="4.1500000000000004" customHeight="1">
      <c r="D26" s="171"/>
      <c r="H26" s="169"/>
    </row>
    <row r="27" spans="1:12">
      <c r="D27" s="171"/>
    </row>
    <row r="28" spans="1:12">
      <c r="D28" s="171"/>
      <c r="H28" s="99"/>
    </row>
    <row r="29" spans="1:12">
      <c r="D29" s="171"/>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0"/>
  <sheetViews>
    <sheetView view="pageBreakPreview" zoomScale="85" zoomScaleNormal="100" zoomScaleSheetLayoutView="85" workbookViewId="0">
      <selection activeCell="K110" sqref="K110"/>
    </sheetView>
  </sheetViews>
  <sheetFormatPr defaultColWidth="8.85546875" defaultRowHeight="12.75"/>
  <cols>
    <col min="1" max="1" width="4.7109375" style="322" customWidth="1"/>
    <col min="2" max="2" width="6.7109375" style="404" customWidth="1"/>
    <col min="3" max="3" width="42" style="322" customWidth="1"/>
    <col min="4" max="4" width="17.7109375" style="416" customWidth="1"/>
    <col min="5" max="7" width="17.7109375" style="322" customWidth="1"/>
    <col min="8" max="8" width="17.7109375" style="582" customWidth="1"/>
    <col min="9" max="9" width="17.7109375" style="322" bestFit="1" customWidth="1"/>
    <col min="10" max="10" width="2.140625" style="306" customWidth="1"/>
    <col min="11" max="11" width="20.7109375" style="322" customWidth="1"/>
    <col min="12" max="14" width="17.7109375" style="322" customWidth="1"/>
    <col min="15" max="15" width="16.7109375" style="322" customWidth="1"/>
    <col min="16" max="16" width="2.140625" style="535" customWidth="1"/>
    <col min="17" max="16384" width="8.85546875" style="322"/>
  </cols>
  <sheetData>
    <row r="1" spans="1:16" ht="15.75">
      <c r="A1" s="874" t="s">
        <v>114</v>
      </c>
    </row>
    <row r="2" spans="1:16" ht="15.75">
      <c r="A2" s="874" t="s">
        <v>114</v>
      </c>
    </row>
    <row r="3" spans="1:16" ht="15">
      <c r="A3" s="1485" t="s">
        <v>387</v>
      </c>
      <c r="B3" s="1485"/>
      <c r="C3" s="1485"/>
      <c r="D3" s="1485"/>
      <c r="E3" s="1485"/>
      <c r="F3" s="1485"/>
      <c r="G3" s="1485"/>
      <c r="H3" s="1485"/>
      <c r="I3" s="1485"/>
      <c r="J3" s="1485"/>
      <c r="K3" s="1485"/>
      <c r="L3" s="1485"/>
      <c r="M3" s="1485"/>
      <c r="N3" s="1485"/>
      <c r="O3" s="1485"/>
      <c r="P3" s="581"/>
    </row>
    <row r="4" spans="1:16" ht="15">
      <c r="A4" s="1486" t="str">
        <f>"Cost of Service Formula Rate Using "&amp;TCOS!L4&amp;" FF1 Balances"</f>
        <v>Cost of Service Formula Rate Using 2023 FF1 Balances</v>
      </c>
      <c r="B4" s="1486"/>
      <c r="C4" s="1486"/>
      <c r="D4" s="1486"/>
      <c r="E4" s="1486"/>
      <c r="F4" s="1486"/>
      <c r="G4" s="1486"/>
      <c r="H4" s="1486"/>
      <c r="I4" s="1486"/>
      <c r="J4" s="1486"/>
      <c r="K4" s="1486"/>
      <c r="L4" s="1486"/>
      <c r="M4" s="1486"/>
      <c r="N4" s="1486"/>
      <c r="O4" s="1486"/>
      <c r="P4" s="581"/>
    </row>
    <row r="5" spans="1:16" ht="15">
      <c r="A5" s="1486" t="s">
        <v>468</v>
      </c>
      <c r="B5" s="1486"/>
      <c r="C5" s="1486"/>
      <c r="D5" s="1486"/>
      <c r="E5" s="1486"/>
      <c r="F5" s="1486"/>
      <c r="G5" s="1486"/>
      <c r="H5" s="1486"/>
      <c r="I5" s="1486"/>
      <c r="J5" s="1486"/>
      <c r="K5" s="1486"/>
      <c r="L5" s="1486"/>
      <c r="M5" s="1486"/>
      <c r="N5" s="1486"/>
      <c r="O5" s="1486"/>
      <c r="P5" s="581"/>
    </row>
    <row r="6" spans="1:16" ht="15">
      <c r="A6" s="1487" t="str">
        <f>TCOS!F9</f>
        <v>WHEELING POWER COMPANY</v>
      </c>
      <c r="B6" s="1487"/>
      <c r="C6" s="1487"/>
      <c r="D6" s="1487"/>
      <c r="E6" s="1487"/>
      <c r="F6" s="1487"/>
      <c r="G6" s="1487"/>
      <c r="H6" s="1487"/>
      <c r="I6" s="1487"/>
      <c r="J6" s="1487"/>
      <c r="K6" s="1487"/>
      <c r="L6" s="1487"/>
      <c r="M6" s="1487"/>
      <c r="N6" s="1487"/>
      <c r="O6" s="1487"/>
      <c r="P6" s="581"/>
    </row>
    <row r="7" spans="1:16">
      <c r="P7" s="581"/>
    </row>
    <row r="8" spans="1:16" ht="20.25">
      <c r="A8" s="583"/>
      <c r="C8" s="404"/>
      <c r="N8" s="584" t="str">
        <f>"Page "&amp;P8&amp;" of "</f>
        <v xml:space="preserve">Page 1 of </v>
      </c>
      <c r="O8" s="585">
        <f>COUNT(P$8:P$55962)</f>
        <v>1</v>
      </c>
      <c r="P8" s="586">
        <v>1</v>
      </c>
    </row>
    <row r="9" spans="1:16" ht="18">
      <c r="C9" s="587"/>
      <c r="P9" s="581"/>
    </row>
    <row r="10" spans="1:16">
      <c r="P10" s="581"/>
    </row>
    <row r="11" spans="1:16" ht="18">
      <c r="B11" s="588" t="s">
        <v>171</v>
      </c>
      <c r="C11" s="1508" t="str">
        <f>"Calculate Return and Income Taxes with "&amp;F17&amp;" basis point ROE increase for Projects Qualified for Regional Billing."</f>
        <v>Calculate Return and Income Taxes with  basis point ROE increase for Projects Qualified for Regional Billing.</v>
      </c>
      <c r="D11" s="1509"/>
      <c r="E11" s="1509"/>
      <c r="F11" s="1509"/>
      <c r="G11" s="1509"/>
      <c r="H11" s="1509"/>
      <c r="P11" s="581"/>
    </row>
    <row r="12" spans="1:16" ht="18.75" customHeight="1">
      <c r="C12" s="1509"/>
      <c r="D12" s="1509"/>
      <c r="E12" s="1509"/>
      <c r="F12" s="1509"/>
      <c r="G12" s="1509"/>
      <c r="H12" s="1509"/>
      <c r="P12" s="581"/>
    </row>
    <row r="13" spans="1:16" ht="15.75" customHeight="1">
      <c r="C13" s="522"/>
      <c r="D13" s="522"/>
      <c r="E13" s="522"/>
      <c r="F13" s="522"/>
      <c r="G13" s="522"/>
      <c r="H13" s="522"/>
      <c r="P13" s="581"/>
    </row>
    <row r="14" spans="1:16" ht="15.75">
      <c r="C14" s="589" t="str">
        <f>"A.   Determine 'R' with hypothetical "&amp;F17&amp;" basis point increase in ROE for Identified Projects"</f>
        <v>A.   Determine 'R' with hypothetical  basis point increase in ROE for Identified Projects</v>
      </c>
      <c r="P14" s="581"/>
    </row>
    <row r="15" spans="1:16">
      <c r="C15" s="404"/>
      <c r="P15" s="581"/>
    </row>
    <row r="16" spans="1:16">
      <c r="C16" s="590" t="str">
        <f>"   ROE w/o incentives  (TCOS, ln "&amp;TCOS!B257&amp;")"</f>
        <v xml:space="preserve">   ROE w/o incentives  (TCOS, ln 156)</v>
      </c>
      <c r="E16" s="591"/>
      <c r="F16" s="592">
        <f>TCOS!J257</f>
        <v>0.10349999999999999</v>
      </c>
      <c r="G16" s="591"/>
      <c r="H16" s="593"/>
      <c r="I16" s="593"/>
      <c r="J16" s="594"/>
      <c r="K16" s="593"/>
      <c r="L16" s="593"/>
      <c r="M16" s="593"/>
      <c r="N16" s="593"/>
      <c r="O16" s="593"/>
      <c r="P16" s="594"/>
    </row>
    <row r="17" spans="3:16">
      <c r="C17" s="590" t="s">
        <v>252</v>
      </c>
      <c r="E17" s="591"/>
      <c r="F17" s="848"/>
      <c r="G17" s="595"/>
      <c r="H17" s="593"/>
      <c r="I17" s="593"/>
      <c r="J17" s="594"/>
    </row>
    <row r="18" spans="3:16">
      <c r="C18" s="590" t="str">
        <f>"   ROE with additional "&amp;F17&amp;" basis point incentive"</f>
        <v xml:space="preserve">   ROE with additional  basis point incentive</v>
      </c>
      <c r="D18" s="591"/>
      <c r="E18" s="591"/>
      <c r="F18" s="596">
        <f>IF((F16+(F17/10000)&gt;0.1274),"ERROR",F16+(F17/10000))</f>
        <v>0.10349999999999999</v>
      </c>
      <c r="G18" s="597"/>
      <c r="H18" s="593"/>
      <c r="I18" s="593"/>
      <c r="J18" s="594"/>
    </row>
    <row r="19" spans="3:16">
      <c r="C19" s="59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591"/>
      <c r="F19" s="598"/>
      <c r="G19" s="591"/>
      <c r="H19" s="593"/>
      <c r="I19" s="593"/>
      <c r="J19" s="594"/>
    </row>
    <row r="20" spans="3:16">
      <c r="C20" s="594"/>
      <c r="D20" s="599" t="s">
        <v>146</v>
      </c>
      <c r="E20" s="599" t="s">
        <v>145</v>
      </c>
      <c r="F20" s="600" t="s">
        <v>253</v>
      </c>
      <c r="G20" s="591"/>
      <c r="H20" s="593"/>
      <c r="I20" s="593"/>
      <c r="J20" s="594"/>
    </row>
    <row r="21" spans="3:16" ht="13.5" thickBot="1">
      <c r="C21" s="601" t="s">
        <v>257</v>
      </c>
      <c r="D21" s="602">
        <f>TCOS!H255</f>
        <v>0.53857719130517834</v>
      </c>
      <c r="E21" s="603">
        <f>TCOS!J255</f>
        <v>4.3859232175502742E-2</v>
      </c>
      <c r="F21" s="604">
        <f>E21*D21</f>
        <v>2.3621582077883972E-2</v>
      </c>
      <c r="G21" s="591"/>
      <c r="H21" s="593"/>
      <c r="I21" s="605"/>
      <c r="J21" s="606"/>
      <c r="K21" s="530"/>
      <c r="L21" s="530"/>
      <c r="M21" s="530"/>
      <c r="N21" s="530"/>
      <c r="O21" s="530"/>
    </row>
    <row r="22" spans="3:16">
      <c r="C22" s="601" t="s">
        <v>258</v>
      </c>
      <c r="D22" s="602">
        <f>TCOS!H256</f>
        <v>0</v>
      </c>
      <c r="E22" s="603">
        <f>TCOS!J256</f>
        <v>0</v>
      </c>
      <c r="F22" s="604">
        <f>E22*D22</f>
        <v>0</v>
      </c>
      <c r="G22" s="607"/>
      <c r="H22" s="607"/>
      <c r="I22" s="608"/>
      <c r="J22" s="609"/>
      <c r="K22" s="1502" t="s">
        <v>451</v>
      </c>
      <c r="L22" s="1503"/>
      <c r="M22" s="1503"/>
      <c r="N22" s="1503"/>
      <c r="O22" s="1504"/>
      <c r="P22" s="609"/>
    </row>
    <row r="23" spans="3:16">
      <c r="C23" s="610" t="s">
        <v>244</v>
      </c>
      <c r="D23" s="602">
        <f>TCOS!H257</f>
        <v>0.46142280869482166</v>
      </c>
      <c r="E23" s="603">
        <f>+F18</f>
        <v>0.10349999999999999</v>
      </c>
      <c r="F23" s="611">
        <f>E23*D23</f>
        <v>4.7757260699914039E-2</v>
      </c>
      <c r="G23" s="607"/>
      <c r="H23" s="607"/>
      <c r="I23" s="608"/>
      <c r="J23" s="609"/>
      <c r="K23" s="1505"/>
      <c r="L23" s="1506"/>
      <c r="M23" s="1506"/>
      <c r="N23" s="1506"/>
      <c r="O23" s="1507"/>
      <c r="P23" s="609"/>
    </row>
    <row r="24" spans="3:16">
      <c r="C24" s="612"/>
      <c r="D24" s="322"/>
      <c r="E24" s="613" t="s">
        <v>260</v>
      </c>
      <c r="F24" s="604">
        <f>SUM(F21:F23)</f>
        <v>7.1378842777798018E-2</v>
      </c>
      <c r="G24" s="607"/>
      <c r="H24" s="607"/>
      <c r="I24" s="608"/>
      <c r="J24" s="609"/>
      <c r="K24" s="614"/>
      <c r="L24" s="615"/>
      <c r="M24" s="616" t="s">
        <v>254</v>
      </c>
      <c r="N24" s="616" t="s">
        <v>255</v>
      </c>
      <c r="O24" s="617" t="s">
        <v>256</v>
      </c>
      <c r="P24" s="609"/>
    </row>
    <row r="25" spans="3:16">
      <c r="C25" s="535"/>
      <c r="D25" s="618"/>
      <c r="E25" s="618"/>
      <c r="F25" s="607"/>
      <c r="G25" s="607"/>
      <c r="H25" s="607"/>
      <c r="I25" s="607"/>
      <c r="J25" s="619"/>
      <c r="K25" s="620"/>
      <c r="L25" s="621"/>
      <c r="M25" s="621"/>
      <c r="N25" s="621"/>
      <c r="O25" s="622"/>
      <c r="P25" s="619"/>
    </row>
    <row r="26" spans="3:16" ht="16.5" thickBot="1">
      <c r="C26" s="589" t="str">
        <f>"B.   Determine Return using 'R' with hypothetical "&amp;F17&amp;" basis point ROE increase for Identified Projects."</f>
        <v>B.   Determine Return using 'R' with hypothetical  basis point ROE increase for Identified Projects.</v>
      </c>
      <c r="D26" s="618"/>
      <c r="E26" s="618"/>
      <c r="F26" s="623"/>
      <c r="G26" s="607"/>
      <c r="H26" s="591"/>
      <c r="I26" s="607"/>
      <c r="J26" s="619"/>
      <c r="K26" s="624" t="s">
        <v>261</v>
      </c>
      <c r="L26" s="625">
        <f>TCOS!L4</f>
        <v>2023</v>
      </c>
      <c r="M26" s="849">
        <f>N87</f>
        <v>110998.15536206175</v>
      </c>
      <c r="N26" s="849">
        <f>N88</f>
        <v>110998.15536206175</v>
      </c>
      <c r="O26" s="626">
        <f>+N26-M26</f>
        <v>0</v>
      </c>
      <c r="P26" s="619"/>
    </row>
    <row r="27" spans="3:16">
      <c r="C27" s="594"/>
      <c r="D27" s="618"/>
      <c r="E27" s="618"/>
      <c r="F27" s="619"/>
      <c r="G27" s="619"/>
      <c r="H27" s="619"/>
      <c r="I27" s="619"/>
      <c r="J27" s="619"/>
      <c r="K27" s="627"/>
      <c r="L27" s="627"/>
      <c r="M27" s="627"/>
      <c r="N27" s="627"/>
      <c r="O27" s="627"/>
      <c r="P27" s="619"/>
    </row>
    <row r="28" spans="3:16">
      <c r="C28" s="628" t="str">
        <f>"   Rate Base  (TCOS, ln "&amp;TCOS!B125&amp;")"</f>
        <v xml:space="preserve">   Rate Base  (TCOS, ln 68)</v>
      </c>
      <c r="D28" s="591"/>
      <c r="F28" s="629">
        <f>TCOS!L125</f>
        <v>103185072.24090236</v>
      </c>
      <c r="G28" s="619"/>
      <c r="H28" s="619"/>
      <c r="I28" s="619"/>
      <c r="J28" s="619"/>
      <c r="K28" s="627"/>
      <c r="L28" s="627"/>
      <c r="M28" s="627"/>
      <c r="N28" s="627"/>
      <c r="O28" s="630"/>
      <c r="P28" s="619"/>
    </row>
    <row r="29" spans="3:16">
      <c r="C29" s="594" t="s">
        <v>474</v>
      </c>
      <c r="D29" s="631"/>
      <c r="F29" s="604">
        <f>F24</f>
        <v>7.1378842777798018E-2</v>
      </c>
      <c r="G29" s="619"/>
      <c r="H29" s="619"/>
      <c r="I29" s="619"/>
      <c r="J29" s="619"/>
      <c r="K29" s="619"/>
      <c r="L29" s="619"/>
      <c r="M29" s="619"/>
      <c r="N29" s="619"/>
      <c r="O29" s="619"/>
      <c r="P29" s="619"/>
    </row>
    <row r="30" spans="3:16">
      <c r="C30" s="632" t="s">
        <v>262</v>
      </c>
      <c r="D30" s="632"/>
      <c r="F30" s="608">
        <f>F28*F29</f>
        <v>7365231.0484991008</v>
      </c>
      <c r="G30" s="619"/>
      <c r="H30" s="619"/>
      <c r="I30" s="609"/>
      <c r="J30" s="609"/>
      <c r="K30" s="609"/>
      <c r="L30" s="609"/>
      <c r="M30" s="609"/>
      <c r="N30" s="609"/>
      <c r="O30" s="619"/>
      <c r="P30" s="609"/>
    </row>
    <row r="31" spans="3:16">
      <c r="C31" s="633"/>
      <c r="D31" s="593"/>
      <c r="E31" s="593"/>
      <c r="F31" s="619"/>
      <c r="G31" s="619"/>
      <c r="H31" s="619"/>
      <c r="I31" s="609"/>
      <c r="J31" s="609"/>
      <c r="K31" s="609"/>
      <c r="L31" s="609"/>
      <c r="M31" s="609"/>
      <c r="N31" s="609"/>
      <c r="O31" s="619"/>
      <c r="P31" s="609"/>
    </row>
    <row r="32" spans="3:16" ht="15.75">
      <c r="C32" s="589" t="str">
        <f>"C.   Determine Income Taxes using Return with hypothetical "&amp;F17&amp;" basis point ROE increase for Identified Projects."</f>
        <v>C.   Determine Income Taxes using Return with hypothetical  basis point ROE increase for Identified Projects.</v>
      </c>
      <c r="D32" s="634"/>
      <c r="E32" s="634"/>
      <c r="F32" s="635"/>
      <c r="G32" s="635"/>
      <c r="H32" s="635"/>
      <c r="I32" s="636"/>
      <c r="J32" s="636"/>
      <c r="K32" s="636"/>
      <c r="L32" s="636"/>
      <c r="M32" s="636"/>
      <c r="N32" s="636"/>
      <c r="O32" s="635"/>
      <c r="P32" s="636"/>
    </row>
    <row r="33" spans="2:16">
      <c r="C33" s="612"/>
      <c r="D33" s="593"/>
      <c r="E33" s="593"/>
      <c r="F33" s="619"/>
      <c r="G33" s="619"/>
      <c r="H33" s="619"/>
      <c r="I33" s="609"/>
      <c r="J33" s="609"/>
      <c r="K33" s="609"/>
      <c r="L33" s="609"/>
      <c r="M33" s="609"/>
      <c r="N33" s="609"/>
      <c r="O33" s="619"/>
      <c r="P33" s="609"/>
    </row>
    <row r="34" spans="2:16">
      <c r="C34" s="594" t="s">
        <v>263</v>
      </c>
      <c r="D34" s="613"/>
      <c r="F34" s="637">
        <f>F30</f>
        <v>7365231.0484991008</v>
      </c>
      <c r="G34" s="619"/>
      <c r="H34" s="619"/>
      <c r="I34" s="619"/>
      <c r="J34" s="619"/>
      <c r="K34" s="619"/>
      <c r="L34" s="619"/>
      <c r="M34" s="619"/>
      <c r="N34" s="619"/>
      <c r="O34" s="619"/>
      <c r="P34" s="619"/>
    </row>
    <row r="35" spans="2:16">
      <c r="C35" s="628" t="str">
        <f>"   Effective Tax Rate  (TCOS, ln "&amp;TCOS!B190&amp;")"</f>
        <v xml:space="preserve">   Effective Tax Rate  (TCOS, ln 114)</v>
      </c>
      <c r="D35" s="556"/>
      <c r="F35" s="638">
        <f>TCOS!G190</f>
        <v>0.23541557897971535</v>
      </c>
      <c r="G35" s="535"/>
      <c r="H35" s="639"/>
      <c r="I35" s="535"/>
      <c r="J35" s="581"/>
      <c r="K35" s="535"/>
      <c r="L35" s="535"/>
      <c r="M35" s="535"/>
      <c r="N35" s="535"/>
      <c r="O35" s="535"/>
      <c r="P35" s="581"/>
    </row>
    <row r="36" spans="2:16">
      <c r="C36" s="633" t="s">
        <v>264</v>
      </c>
      <c r="D36" s="556"/>
      <c r="F36" s="640">
        <f>F34*F35</f>
        <v>1733890.1316017918</v>
      </c>
      <c r="G36" s="535"/>
      <c r="H36" s="639"/>
      <c r="I36" s="535"/>
      <c r="J36" s="581"/>
      <c r="K36" s="535"/>
      <c r="L36" s="535"/>
      <c r="M36" s="535"/>
      <c r="N36" s="535"/>
      <c r="O36" s="535"/>
      <c r="P36" s="581"/>
    </row>
    <row r="37" spans="2:16" ht="15">
      <c r="C37" s="612" t="s">
        <v>302</v>
      </c>
      <c r="D37" s="468"/>
      <c r="F37" s="641">
        <f>TCOS!L199</f>
        <v>0</v>
      </c>
      <c r="G37" s="468"/>
      <c r="H37" s="468"/>
      <c r="I37" s="468"/>
      <c r="J37" s="468"/>
      <c r="K37" s="468"/>
      <c r="L37" s="468"/>
      <c r="M37" s="468"/>
      <c r="N37" s="468"/>
      <c r="O37" s="380"/>
      <c r="P37" s="468"/>
    </row>
    <row r="38" spans="2:16" ht="15">
      <c r="C38" s="612" t="s">
        <v>532</v>
      </c>
      <c r="D38" s="468"/>
      <c r="F38" s="641">
        <f>TCOS!L200</f>
        <v>-123018.92053979459</v>
      </c>
      <c r="G38" s="468"/>
      <c r="H38" s="468"/>
      <c r="I38" s="468"/>
      <c r="J38" s="468"/>
      <c r="K38" s="468"/>
      <c r="L38" s="468"/>
      <c r="M38" s="468"/>
      <c r="N38" s="468"/>
      <c r="O38" s="380"/>
      <c r="P38" s="468"/>
    </row>
    <row r="39" spans="2:16" ht="15">
      <c r="C39" s="612" t="s">
        <v>533</v>
      </c>
      <c r="D39" s="468"/>
      <c r="F39" s="642">
        <f>TCOS!L201</f>
        <v>51370.538247386758</v>
      </c>
      <c r="G39" s="468"/>
      <c r="H39" s="468"/>
      <c r="I39" s="468"/>
      <c r="J39" s="468"/>
      <c r="K39" s="468"/>
      <c r="L39" s="468"/>
      <c r="M39" s="468"/>
      <c r="N39" s="468"/>
      <c r="O39" s="380"/>
      <c r="P39" s="468"/>
    </row>
    <row r="40" spans="2:16" ht="15">
      <c r="C40" s="633" t="s">
        <v>265</v>
      </c>
      <c r="D40" s="468"/>
      <c r="F40" s="641">
        <f>F36+F37+F38+F39</f>
        <v>1662241.749309384</v>
      </c>
      <c r="G40" s="468"/>
      <c r="H40" s="468"/>
      <c r="I40" s="468"/>
      <c r="J40" s="468"/>
      <c r="K40" s="468"/>
      <c r="L40" s="468"/>
      <c r="M40" s="468"/>
      <c r="N40" s="468"/>
      <c r="O40" s="338"/>
      <c r="P40" s="468"/>
    </row>
    <row r="41" spans="2:16" ht="12.75" customHeight="1">
      <c r="C41" s="388"/>
      <c r="D41" s="468"/>
      <c r="E41" s="468"/>
      <c r="F41" s="468"/>
      <c r="G41" s="468"/>
      <c r="H41" s="468"/>
      <c r="I41" s="468"/>
      <c r="J41" s="468"/>
      <c r="K41" s="468"/>
      <c r="L41" s="468"/>
      <c r="M41" s="468"/>
      <c r="N41" s="468"/>
      <c r="O41" s="338"/>
      <c r="P41" s="468"/>
    </row>
    <row r="42" spans="2:16" ht="18.75">
      <c r="B42" s="588" t="s">
        <v>172</v>
      </c>
      <c r="C42" s="587" t="str">
        <f>"Calculate Net Plant Carrying Charge Rate (Fixed Charge Rate or FCR) with hypothetical "&amp;F17&amp;""</f>
        <v xml:space="preserve">Calculate Net Plant Carrying Charge Rate (Fixed Charge Rate or FCR) with hypothetical </v>
      </c>
      <c r="D42" s="468"/>
      <c r="E42" s="468"/>
      <c r="F42" s="468"/>
      <c r="G42" s="468"/>
      <c r="H42" s="468"/>
      <c r="I42" s="468"/>
      <c r="J42" s="468"/>
      <c r="K42" s="468"/>
      <c r="L42" s="468"/>
      <c r="M42" s="468"/>
      <c r="N42" s="468"/>
      <c r="O42" s="338"/>
      <c r="P42" s="468"/>
    </row>
    <row r="43" spans="2:16" ht="18.75" customHeight="1">
      <c r="C43" s="587" t="str">
        <f>"basis point ROE increase."</f>
        <v>basis point ROE increase.</v>
      </c>
      <c r="D43" s="468"/>
      <c r="E43" s="468"/>
      <c r="F43" s="468"/>
      <c r="G43" s="468"/>
      <c r="H43" s="468"/>
      <c r="I43" s="468"/>
      <c r="J43" s="468"/>
      <c r="K43" s="468"/>
      <c r="L43" s="468"/>
      <c r="M43" s="468"/>
      <c r="N43" s="468"/>
      <c r="O43" s="338"/>
      <c r="P43" s="468"/>
    </row>
    <row r="44" spans="2:16" ht="12.75" customHeight="1">
      <c r="C44" s="587"/>
      <c r="D44" s="468"/>
      <c r="E44" s="468"/>
      <c r="F44" s="468"/>
      <c r="G44" s="468"/>
      <c r="H44" s="468"/>
      <c r="I44" s="468"/>
      <c r="J44" s="468"/>
      <c r="K44" s="468"/>
      <c r="L44" s="468"/>
      <c r="M44" s="468"/>
      <c r="N44" s="468"/>
      <c r="O44" s="338"/>
      <c r="P44" s="468"/>
    </row>
    <row r="45" spans="2:16" ht="15.75">
      <c r="C45" s="589" t="s">
        <v>465</v>
      </c>
      <c r="D45" s="468"/>
      <c r="E45" s="468"/>
      <c r="F45" s="467"/>
      <c r="G45" s="468"/>
      <c r="H45" s="468"/>
      <c r="I45" s="468"/>
      <c r="J45" s="468"/>
      <c r="K45" s="468"/>
      <c r="L45" s="468"/>
      <c r="M45" s="468"/>
      <c r="N45" s="468"/>
      <c r="O45" s="338"/>
      <c r="P45" s="468"/>
    </row>
    <row r="46" spans="2:16">
      <c r="B46" s="569"/>
      <c r="C46" s="590"/>
      <c r="D46" s="643"/>
      <c r="E46" s="643"/>
      <c r="F46" s="643"/>
      <c r="G46" s="643"/>
      <c r="H46" s="643"/>
      <c r="I46" s="643"/>
      <c r="J46" s="643"/>
      <c r="K46" s="643"/>
      <c r="L46" s="643"/>
      <c r="M46" s="643"/>
      <c r="N46" s="643"/>
      <c r="O46" s="641"/>
      <c r="P46" s="643"/>
    </row>
    <row r="47" spans="2:16" ht="12.75" customHeight="1">
      <c r="B47" s="569"/>
      <c r="C47" s="628" t="str">
        <f>"   Annual Revenue Requirement  (TCOS, ln "&amp;TCOS!B13&amp;")"</f>
        <v xml:space="preserve">   Annual Revenue Requirement  (TCOS, ln 1)</v>
      </c>
      <c r="D47" s="643"/>
      <c r="E47" s="643"/>
      <c r="G47" s="641">
        <f>TCOS!L13</f>
        <v>15127208.820315024</v>
      </c>
      <c r="H47" s="643"/>
      <c r="I47" s="643"/>
      <c r="J47" s="643"/>
      <c r="K47" s="643"/>
      <c r="L47" s="643"/>
      <c r="M47" s="643"/>
      <c r="N47" s="643"/>
      <c r="O47" s="641"/>
      <c r="P47" s="643"/>
    </row>
    <row r="48" spans="2:16" ht="12.75" customHeight="1">
      <c r="B48" s="569"/>
      <c r="C48" s="628" t="str">
        <f>"   Lease Payments (TCOS, Ln "&amp;TCOS!B168&amp;")"</f>
        <v xml:space="preserve">   Lease Payments (TCOS, Ln 95)</v>
      </c>
      <c r="D48" s="643"/>
      <c r="E48" s="643"/>
      <c r="G48" s="641">
        <f>TCOS!L168</f>
        <v>0</v>
      </c>
      <c r="H48" s="643"/>
      <c r="I48" s="643"/>
      <c r="J48" s="643"/>
      <c r="K48" s="643"/>
      <c r="L48" s="643"/>
      <c r="M48" s="643"/>
      <c r="N48" s="643"/>
      <c r="O48" s="641"/>
      <c r="P48" s="643"/>
    </row>
    <row r="49" spans="2:16">
      <c r="B49" s="569"/>
      <c r="C49" s="628" t="str">
        <f>"   Return  (TCOS, ln "&amp;TCOS!B205&amp;")"</f>
        <v xml:space="preserve">   Return  (TCOS, ln 126)</v>
      </c>
      <c r="D49" s="643"/>
      <c r="E49" s="643"/>
      <c r="G49" s="644">
        <f>TCOS!L205</f>
        <v>7365231.0484991008</v>
      </c>
      <c r="H49" s="645"/>
      <c r="I49" s="645"/>
      <c r="J49" s="645"/>
      <c r="K49" s="645"/>
      <c r="L49" s="645"/>
      <c r="M49" s="645"/>
      <c r="N49" s="645"/>
      <c r="O49" s="641"/>
      <c r="P49" s="645"/>
    </row>
    <row r="50" spans="2:16">
      <c r="B50" s="569"/>
      <c r="C50" s="628" t="str">
        <f>"   Income Taxes  (TCOS, ln "&amp;TCOS!B203&amp;")"</f>
        <v xml:space="preserve">   Income Taxes  (TCOS, ln 125)</v>
      </c>
      <c r="D50" s="643"/>
      <c r="E50" s="643"/>
      <c r="G50" s="646">
        <f>TCOS!L203</f>
        <v>1662241.749309384</v>
      </c>
      <c r="H50" s="643"/>
      <c r="I50" s="647"/>
      <c r="J50" s="647"/>
      <c r="K50" s="647"/>
      <c r="L50" s="647"/>
      <c r="M50" s="647"/>
      <c r="N50" s="647"/>
      <c r="O50" s="643"/>
      <c r="P50" s="647"/>
    </row>
    <row r="51" spans="2:16">
      <c r="B51" s="569"/>
      <c r="C51" s="648" t="s">
        <v>590</v>
      </c>
      <c r="D51" s="643"/>
      <c r="E51" s="643"/>
      <c r="G51" s="644">
        <f>G47-G49-G50-G48</f>
        <v>6099736.0225065388</v>
      </c>
      <c r="H51" s="643"/>
      <c r="I51" s="649"/>
      <c r="J51" s="649"/>
      <c r="K51" s="649"/>
      <c r="L51" s="649"/>
      <c r="M51" s="649"/>
      <c r="N51" s="649"/>
      <c r="O51" s="649"/>
      <c r="P51" s="649"/>
    </row>
    <row r="52" spans="2:16">
      <c r="B52" s="569"/>
      <c r="C52" s="590"/>
      <c r="D52" s="643"/>
      <c r="E52" s="643"/>
      <c r="F52" s="641"/>
      <c r="G52" s="650"/>
      <c r="H52" s="651"/>
      <c r="I52" s="651"/>
      <c r="J52" s="651"/>
      <c r="K52" s="651"/>
      <c r="L52" s="651"/>
      <c r="M52" s="651"/>
      <c r="N52" s="651"/>
      <c r="O52" s="651"/>
      <c r="P52" s="651"/>
    </row>
    <row r="53" spans="2:16" ht="15.75">
      <c r="B53" s="569"/>
      <c r="C53" s="589" t="str">
        <f>"B.   Determine Annual Revenue Requirement with hypothetical "&amp;F17&amp;" basis point increase in ROE."</f>
        <v>B.   Determine Annual Revenue Requirement with hypothetical  basis point increase in ROE.</v>
      </c>
      <c r="D53" s="652"/>
      <c r="E53" s="652"/>
      <c r="F53" s="641"/>
      <c r="G53" s="650"/>
      <c r="H53" s="651"/>
      <c r="I53" s="651"/>
      <c r="J53" s="651"/>
      <c r="K53" s="651"/>
      <c r="L53" s="651"/>
      <c r="M53" s="651"/>
      <c r="N53" s="651"/>
      <c r="O53" s="651"/>
      <c r="P53" s="651"/>
    </row>
    <row r="54" spans="2:16">
      <c r="B54" s="569"/>
      <c r="C54" s="590"/>
      <c r="D54" s="652"/>
      <c r="E54" s="652"/>
      <c r="F54" s="641"/>
      <c r="G54" s="650"/>
      <c r="H54" s="651"/>
      <c r="I54" s="651"/>
      <c r="J54" s="651"/>
      <c r="K54" s="651"/>
      <c r="L54" s="651"/>
      <c r="M54" s="651"/>
      <c r="N54" s="651"/>
      <c r="O54" s="651"/>
      <c r="P54" s="651"/>
    </row>
    <row r="55" spans="2:16">
      <c r="B55" s="569"/>
      <c r="C55" s="590" t="str">
        <f>C51</f>
        <v xml:space="preserve">   Annual Revenue Requirement, Less Lease Payments, Return and Taxes</v>
      </c>
      <c r="D55" s="652"/>
      <c r="E55" s="652"/>
      <c r="G55" s="641">
        <f>G51</f>
        <v>6099736.0225065388</v>
      </c>
      <c r="H55" s="643"/>
      <c r="I55" s="643"/>
      <c r="J55" s="643"/>
      <c r="K55" s="643"/>
      <c r="L55" s="643"/>
      <c r="M55" s="643"/>
      <c r="N55" s="643"/>
      <c r="O55" s="653"/>
      <c r="P55" s="643"/>
    </row>
    <row r="56" spans="2:16">
      <c r="B56" s="569"/>
      <c r="C56" s="594" t="s">
        <v>299</v>
      </c>
      <c r="D56" s="654"/>
      <c r="E56" s="648"/>
      <c r="G56" s="655">
        <f>F30</f>
        <v>7365231.0484991008</v>
      </c>
      <c r="H56" s="656"/>
      <c r="I56" s="648"/>
      <c r="J56" s="648"/>
      <c r="K56" s="648"/>
      <c r="L56" s="648"/>
      <c r="M56" s="648"/>
      <c r="N56" s="648"/>
      <c r="O56" s="648"/>
      <c r="P56" s="648"/>
    </row>
    <row r="57" spans="2:16" ht="12.75" customHeight="1">
      <c r="B57" s="569"/>
      <c r="C57" s="612" t="s">
        <v>266</v>
      </c>
      <c r="D57" s="643"/>
      <c r="E57" s="643"/>
      <c r="G57" s="646">
        <f>F40</f>
        <v>1662241.749309384</v>
      </c>
      <c r="H57" s="639"/>
      <c r="I57" s="535"/>
      <c r="J57" s="581"/>
      <c r="K57" s="535"/>
      <c r="L57" s="535"/>
      <c r="M57" s="535"/>
      <c r="N57" s="535"/>
      <c r="O57" s="535"/>
      <c r="P57" s="581"/>
    </row>
    <row r="58" spans="2:16">
      <c r="B58" s="569"/>
      <c r="C58" s="648" t="str">
        <f>"   Annual Revenue Requirement, with "&amp;F17&amp;" Basis Point ROE increase"</f>
        <v xml:space="preserve">   Annual Revenue Requirement, with  Basis Point ROE increase</v>
      </c>
      <c r="D58" s="556"/>
      <c r="E58" s="535"/>
      <c r="G58" s="640">
        <f>SUM(G55:G57)</f>
        <v>15127208.820315022</v>
      </c>
      <c r="H58" s="639"/>
      <c r="I58" s="535"/>
      <c r="J58" s="581"/>
      <c r="K58" s="535"/>
      <c r="L58" s="535"/>
      <c r="M58" s="535"/>
      <c r="N58" s="535"/>
      <c r="O58" s="535"/>
      <c r="P58" s="581"/>
    </row>
    <row r="59" spans="2:16">
      <c r="B59" s="569"/>
      <c r="C59" s="628" t="str">
        <f>"   Depreciation  (TCOS, ln "&amp;TCOS!B174&amp;")"</f>
        <v xml:space="preserve">   Depreciation  (TCOS, ln 100)</v>
      </c>
      <c r="D59" s="556"/>
      <c r="E59" s="535"/>
      <c r="G59" s="657">
        <f>TCOS!L174</f>
        <v>2659182.3434991976</v>
      </c>
      <c r="H59" s="639"/>
      <c r="I59" s="535"/>
      <c r="J59" s="581"/>
      <c r="K59" s="535"/>
      <c r="L59" s="535"/>
      <c r="M59" s="535"/>
      <c r="N59" s="535"/>
      <c r="O59" s="535"/>
      <c r="P59" s="581"/>
    </row>
    <row r="60" spans="2:16">
      <c r="B60" s="569"/>
      <c r="C60" s="648" t="str">
        <f>"   Annual Rev. Req, w/"&amp;F17&amp;" Basis Point ROE increase, less Depreciation"</f>
        <v xml:space="preserve">   Annual Rev. Req, w/ Basis Point ROE increase, less Depreciation</v>
      </c>
      <c r="D60" s="556"/>
      <c r="E60" s="535"/>
      <c r="G60" s="640">
        <f>G58-G59</f>
        <v>12468026.476815823</v>
      </c>
      <c r="H60" s="639"/>
      <c r="I60" s="535"/>
      <c r="J60" s="581"/>
      <c r="K60" s="535"/>
      <c r="L60" s="535"/>
      <c r="M60" s="535"/>
      <c r="N60" s="535"/>
      <c r="O60" s="535"/>
      <c r="P60" s="581"/>
    </row>
    <row r="61" spans="2:16">
      <c r="B61" s="569"/>
      <c r="C61" s="535"/>
      <c r="D61" s="556"/>
      <c r="E61" s="535"/>
      <c r="F61" s="535"/>
      <c r="G61" s="535"/>
      <c r="H61" s="639"/>
      <c r="I61" s="535"/>
      <c r="J61" s="581"/>
      <c r="K61" s="535"/>
      <c r="L61" s="535"/>
      <c r="M61" s="535"/>
      <c r="N61" s="535"/>
      <c r="O61" s="535"/>
      <c r="P61" s="581"/>
    </row>
    <row r="62" spans="2:16" ht="15.75">
      <c r="B62" s="569"/>
      <c r="C62" s="589" t="str">
        <f>"C.   Determine FCR with hypothetical "&amp;F17&amp;" basis point ROE increase."</f>
        <v>C.   Determine FCR with hypothetical  basis point ROE increase.</v>
      </c>
      <c r="D62" s="556"/>
      <c r="E62" s="535"/>
      <c r="F62" s="535"/>
      <c r="G62" s="535"/>
      <c r="H62" s="639"/>
      <c r="I62" s="535"/>
      <c r="J62" s="581"/>
      <c r="K62" s="535"/>
      <c r="L62" s="535"/>
      <c r="M62" s="535"/>
      <c r="N62" s="535"/>
      <c r="O62" s="535"/>
      <c r="P62" s="581"/>
    </row>
    <row r="63" spans="2:16">
      <c r="B63" s="569"/>
      <c r="C63" s="535"/>
      <c r="D63" s="556"/>
      <c r="E63" s="535"/>
      <c r="F63" s="535"/>
      <c r="G63" s="535"/>
      <c r="H63" s="639"/>
      <c r="I63" s="535"/>
      <c r="J63" s="581"/>
      <c r="K63" s="535"/>
      <c r="L63" s="535"/>
      <c r="M63" s="535"/>
      <c r="N63" s="535"/>
      <c r="O63" s="535"/>
      <c r="P63" s="581"/>
    </row>
    <row r="64" spans="2:16">
      <c r="B64" s="569"/>
      <c r="C64" s="628" t="str">
        <f>"   Net Transmission Plant  (TCOS, ln "&amp;TCOS!B91&amp;")"</f>
        <v xml:space="preserve">   Net Transmission Plant  (TCOS, ln 42)</v>
      </c>
      <c r="D64" s="556"/>
      <c r="E64" s="535"/>
      <c r="G64" s="640">
        <f>TCOS!L91</f>
        <v>126258000</v>
      </c>
      <c r="H64" s="658"/>
      <c r="I64" s="535"/>
      <c r="J64" s="581"/>
      <c r="K64" s="535"/>
      <c r="L64" s="535"/>
      <c r="M64" s="535"/>
      <c r="N64" s="535"/>
      <c r="O64" s="535"/>
      <c r="P64" s="581"/>
    </row>
    <row r="65" spans="2:16">
      <c r="B65" s="569"/>
      <c r="C65" s="648" t="str">
        <f>"   Annual Revenue Requirement, with "&amp;F17&amp;" Basis Point ROE increase"</f>
        <v xml:space="preserve">   Annual Revenue Requirement, with  Basis Point ROE increase</v>
      </c>
      <c r="D65" s="556"/>
      <c r="E65" s="535"/>
      <c r="G65" s="640">
        <f>G58</f>
        <v>15127208.820315022</v>
      </c>
      <c r="H65" s="639"/>
      <c r="I65" s="535"/>
      <c r="J65" s="581"/>
      <c r="K65" s="535"/>
      <c r="L65" s="535"/>
      <c r="M65" s="535"/>
      <c r="N65" s="535"/>
      <c r="O65" s="535"/>
      <c r="P65" s="581"/>
    </row>
    <row r="66" spans="2:16">
      <c r="B66" s="569"/>
      <c r="C66" s="648" t="str">
        <f>"   FCR with "&amp;F17&amp;" Basis Point increase in ROE"</f>
        <v xml:space="preserve">   FCR with  Basis Point increase in ROE</v>
      </c>
      <c r="D66" s="556"/>
      <c r="E66" s="535"/>
      <c r="G66" s="638">
        <f>G65/G64</f>
        <v>0.1198118837643161</v>
      </c>
      <c r="H66" s="639"/>
      <c r="I66" s="535"/>
      <c r="J66" s="581"/>
      <c r="K66" s="535"/>
      <c r="L66" s="535"/>
      <c r="M66" s="535"/>
      <c r="N66" s="535"/>
      <c r="O66" s="535"/>
      <c r="P66" s="581"/>
    </row>
    <row r="67" spans="2:16">
      <c r="B67" s="569"/>
      <c r="C67" s="360"/>
      <c r="D67" s="556"/>
      <c r="E67" s="535"/>
      <c r="G67" s="569"/>
      <c r="H67" s="639"/>
      <c r="I67" s="535"/>
      <c r="J67" s="581"/>
      <c r="K67" s="535"/>
      <c r="L67" s="535"/>
      <c r="M67" s="535"/>
      <c r="N67" s="535"/>
      <c r="O67" s="535"/>
      <c r="P67" s="581"/>
    </row>
    <row r="68" spans="2:16">
      <c r="B68" s="569"/>
      <c r="C68" s="648" t="str">
        <f>"   Annual Rev. Req, w / "&amp;F17&amp;" Basis Point ROE increase, less Dep."</f>
        <v xml:space="preserve">   Annual Rev. Req, w /  Basis Point ROE increase, less Dep.</v>
      </c>
      <c r="D68" s="556"/>
      <c r="E68" s="535"/>
      <c r="G68" s="640">
        <f>G60</f>
        <v>12468026.476815823</v>
      </c>
      <c r="H68" s="639"/>
      <c r="I68" s="535"/>
      <c r="J68" s="581"/>
      <c r="K68" s="535"/>
      <c r="L68" s="535"/>
      <c r="M68" s="535"/>
      <c r="N68" s="535"/>
      <c r="O68" s="535"/>
      <c r="P68" s="581"/>
    </row>
    <row r="69" spans="2:16">
      <c r="B69" s="569"/>
      <c r="C69" s="648" t="str">
        <f>"   FCR with "&amp;F17&amp;" Basis Point ROE increase, less Depreciation"</f>
        <v xml:space="preserve">   FCR with  Basis Point ROE increase, less Depreciation</v>
      </c>
      <c r="D69" s="556"/>
      <c r="E69" s="535"/>
      <c r="G69" s="638">
        <f>G68/G64</f>
        <v>9.8750387910594373E-2</v>
      </c>
      <c r="H69" s="639"/>
      <c r="I69" s="535"/>
      <c r="J69" s="581"/>
      <c r="K69" s="535"/>
      <c r="L69" s="535"/>
      <c r="M69" s="535"/>
      <c r="N69" s="535"/>
      <c r="O69" s="535"/>
      <c r="P69" s="581"/>
    </row>
    <row r="70" spans="2:16">
      <c r="B70" s="569"/>
      <c r="C70" s="628" t="str">
        <f>"   FCR less Depreciation  (TCOS, ln "&amp;TCOS!B34&amp;")"</f>
        <v xml:space="preserve">   FCR less Depreciation  (TCOS, ln 10)</v>
      </c>
      <c r="D70" s="556"/>
      <c r="E70" s="535"/>
      <c r="G70" s="659">
        <f>TCOS!L34</f>
        <v>9.87503879105944E-2</v>
      </c>
      <c r="H70" s="639"/>
      <c r="I70" s="535"/>
      <c r="J70" s="581"/>
      <c r="K70" s="535"/>
      <c r="L70" s="535"/>
      <c r="M70" s="535"/>
      <c r="N70" s="535"/>
      <c r="O70" s="535"/>
      <c r="P70" s="581"/>
    </row>
    <row r="71" spans="2:16">
      <c r="B71" s="569"/>
      <c r="C71" s="648" t="str">
        <f>"   Incremental FCR with "&amp;F17&amp;" Basis Point ROE increase, less Depreciation"</f>
        <v xml:space="preserve">   Incremental FCR with  Basis Point ROE increase, less Depreciation</v>
      </c>
      <c r="D71" s="556"/>
      <c r="E71" s="535"/>
      <c r="G71" s="638">
        <f>G69-G70</f>
        <v>0</v>
      </c>
      <c r="H71" s="639"/>
      <c r="I71" s="535"/>
      <c r="J71" s="581"/>
      <c r="K71" s="535"/>
      <c r="L71" s="535"/>
      <c r="M71" s="535"/>
      <c r="N71" s="535"/>
      <c r="O71" s="535"/>
      <c r="P71" s="581"/>
    </row>
    <row r="72" spans="2:16">
      <c r="B72" s="569"/>
      <c r="C72" s="648"/>
      <c r="D72" s="556"/>
      <c r="E72" s="535"/>
      <c r="F72" s="638"/>
      <c r="G72" s="535"/>
      <c r="H72" s="639"/>
      <c r="I72" s="535"/>
      <c r="J72" s="581"/>
      <c r="K72" s="535"/>
      <c r="L72" s="535"/>
      <c r="M72" s="535"/>
      <c r="N72" s="535"/>
      <c r="O72" s="535"/>
      <c r="P72" s="581"/>
    </row>
    <row r="73" spans="2:16" ht="18.75">
      <c r="B73" s="588" t="s">
        <v>173</v>
      </c>
      <c r="C73" s="587" t="s">
        <v>267</v>
      </c>
      <c r="D73" s="556"/>
      <c r="E73" s="535"/>
      <c r="F73" s="638"/>
      <c r="G73" s="535"/>
      <c r="H73" s="639"/>
      <c r="I73" s="535"/>
      <c r="J73" s="581"/>
      <c r="K73" s="535"/>
      <c r="L73" s="535"/>
      <c r="M73" s="535"/>
      <c r="N73" s="535"/>
      <c r="O73" s="535"/>
      <c r="P73" s="581"/>
    </row>
    <row r="74" spans="2:16">
      <c r="B74" s="569"/>
      <c r="C74" s="648"/>
      <c r="D74" s="556"/>
      <c r="E74" s="535"/>
      <c r="F74" s="638"/>
      <c r="G74" s="535"/>
      <c r="H74" s="639"/>
      <c r="I74" s="535"/>
      <c r="J74" s="581"/>
      <c r="K74" s="535"/>
      <c r="L74" s="535"/>
      <c r="M74" s="535"/>
      <c r="N74" s="535"/>
      <c r="O74" s="535"/>
      <c r="P74" s="581"/>
    </row>
    <row r="75" spans="2:16">
      <c r="B75" s="569"/>
      <c r="C75" s="648" t="str">
        <f>+"Average Transmission Plant Balance for "&amp;TCOS!L4&amp;" (TCOS, ln "&amp;TCOS!B68&amp;")"</f>
        <v>Average Transmission Plant Balance for 2023 (TCOS, ln 21)</v>
      </c>
      <c r="D75" s="556"/>
      <c r="G75" s="639">
        <f>TCOS!L68</f>
        <v>157340000</v>
      </c>
      <c r="I75" s="535"/>
      <c r="J75" s="581"/>
      <c r="K75" s="662"/>
      <c r="L75" s="535"/>
      <c r="M75" s="535"/>
      <c r="N75" s="535"/>
      <c r="O75" s="535"/>
      <c r="P75" s="581"/>
    </row>
    <row r="76" spans="2:16">
      <c r="B76" s="569"/>
      <c r="C76" s="660" t="str">
        <f>"Annual Depreciation and Amortization Expense  (TCOS, ln "&amp;TCOS!B174&amp;")"</f>
        <v>Annual Depreciation and Amortization Expense  (TCOS, ln 100)</v>
      </c>
      <c r="D76" s="556"/>
      <c r="E76" s="535"/>
      <c r="G76" s="661">
        <f>TCOS!L174</f>
        <v>2659182.3434991976</v>
      </c>
      <c r="H76" s="639"/>
      <c r="I76" s="535"/>
      <c r="J76" s="581"/>
      <c r="K76" s="535"/>
      <c r="L76" s="535"/>
      <c r="M76" s="535"/>
      <c r="N76" s="535"/>
      <c r="O76" s="535"/>
      <c r="P76" s="581"/>
    </row>
    <row r="77" spans="2:16">
      <c r="B77" s="569"/>
      <c r="C77" s="648" t="s">
        <v>268</v>
      </c>
      <c r="D77" s="556"/>
      <c r="E77" s="535"/>
      <c r="G77" s="638">
        <f>+G76/G75</f>
        <v>1.6900866553318912E-2</v>
      </c>
      <c r="H77" s="663"/>
      <c r="I77" s="535"/>
      <c r="J77" s="581"/>
      <c r="K77" s="535"/>
      <c r="L77" s="535"/>
      <c r="M77" s="535"/>
      <c r="N77" s="535"/>
      <c r="O77" s="535"/>
      <c r="P77" s="581"/>
    </row>
    <row r="78" spans="2:16">
      <c r="B78" s="569"/>
      <c r="C78" s="648" t="s">
        <v>269</v>
      </c>
      <c r="D78" s="556"/>
      <c r="E78" s="535"/>
      <c r="G78" s="663">
        <f>1/G77</f>
        <v>59.168563744657504</v>
      </c>
      <c r="H78" s="639"/>
      <c r="I78" s="535"/>
      <c r="J78" s="581"/>
      <c r="K78" s="535"/>
      <c r="L78" s="535"/>
      <c r="M78" s="535"/>
      <c r="N78" s="535"/>
      <c r="O78" s="535"/>
      <c r="P78" s="581"/>
    </row>
    <row r="79" spans="2:16">
      <c r="B79" s="569"/>
      <c r="C79" s="648" t="s">
        <v>270</v>
      </c>
      <c r="D79" s="556"/>
      <c r="E79" s="535"/>
      <c r="G79" s="664">
        <f>ROUND(G78,0)</f>
        <v>59</v>
      </c>
      <c r="H79" s="639"/>
      <c r="I79" s="535"/>
      <c r="J79" s="581"/>
      <c r="K79" s="535"/>
      <c r="L79" s="535"/>
      <c r="M79" s="535"/>
      <c r="N79" s="535"/>
      <c r="O79" s="535"/>
      <c r="P79" s="581"/>
    </row>
    <row r="80" spans="2:16">
      <c r="B80" s="569"/>
      <c r="C80" s="648"/>
      <c r="D80" s="556"/>
      <c r="E80" s="535"/>
      <c r="G80" s="664"/>
      <c r="H80" s="639"/>
      <c r="I80" s="535"/>
      <c r="J80" s="581"/>
      <c r="K80" s="535"/>
      <c r="L80" s="535"/>
      <c r="M80" s="535"/>
      <c r="N80" s="535"/>
      <c r="O80" s="535"/>
      <c r="P80" s="581"/>
    </row>
    <row r="81" spans="1:16" ht="20.25">
      <c r="A81" s="668" t="s">
        <v>897</v>
      </c>
      <c r="B81" s="569"/>
      <c r="C81" s="648"/>
      <c r="D81" s="556"/>
      <c r="E81" s="535"/>
      <c r="F81" s="638"/>
      <c r="G81" s="535"/>
      <c r="H81" s="1236"/>
      <c r="K81" s="669"/>
      <c r="L81" s="669"/>
      <c r="M81" s="669"/>
      <c r="N81" s="584" t="str">
        <f>"Page "&amp;SUM(P$6:P81)&amp;" of "</f>
        <v xml:space="preserve">Page 1 of </v>
      </c>
      <c r="O81" s="585">
        <f>COUNT(P$6:P$57707)</f>
        <v>1</v>
      </c>
      <c r="P81" s="667"/>
    </row>
    <row r="82" spans="1:16">
      <c r="B82" s="569"/>
      <c r="C82" s="535"/>
      <c r="D82" s="556"/>
      <c r="E82" s="535"/>
      <c r="F82" s="535"/>
      <c r="G82" s="535"/>
      <c r="H82" s="1236"/>
      <c r="I82" s="535"/>
      <c r="J82" s="581"/>
      <c r="K82" s="535"/>
      <c r="L82" s="535"/>
      <c r="M82" s="535"/>
      <c r="N82" s="535"/>
      <c r="O82" s="535"/>
    </row>
    <row r="83" spans="1:16" ht="18">
      <c r="B83" s="588" t="s">
        <v>174</v>
      </c>
      <c r="C83" s="670" t="s">
        <v>290</v>
      </c>
      <c r="D83" s="556"/>
      <c r="E83" s="535"/>
      <c r="F83" s="535"/>
      <c r="G83" s="535"/>
      <c r="H83" s="1236"/>
      <c r="I83" s="1236"/>
      <c r="J83" s="1237"/>
      <c r="K83" s="1236"/>
      <c r="L83" s="1236"/>
      <c r="M83" s="1236"/>
      <c r="N83" s="1236"/>
      <c r="O83" s="535"/>
    </row>
    <row r="84" spans="1:16" ht="18.75">
      <c r="B84" s="588"/>
      <c r="C84" s="587"/>
      <c r="D84" s="556"/>
      <c r="E84" s="535"/>
      <c r="F84" s="535"/>
      <c r="G84" s="535"/>
      <c r="H84" s="1236"/>
      <c r="I84" s="1236"/>
      <c r="J84" s="1237"/>
      <c r="K84" s="1236"/>
      <c r="L84" s="1236"/>
      <c r="M84" s="1236"/>
      <c r="N84" s="1236"/>
      <c r="O84" s="535"/>
    </row>
    <row r="85" spans="1:16" ht="18.75">
      <c r="B85" s="588"/>
      <c r="C85" s="587" t="s">
        <v>291</v>
      </c>
      <c r="D85" s="556"/>
      <c r="E85" s="535"/>
      <c r="F85" s="535"/>
      <c r="G85" s="535"/>
      <c r="H85" s="1236"/>
      <c r="I85" s="1236"/>
      <c r="J85" s="1237"/>
      <c r="K85" s="1236"/>
      <c r="L85" s="1236"/>
      <c r="M85" s="1236"/>
      <c r="N85" s="1236"/>
      <c r="O85" s="535"/>
    </row>
    <row r="86" spans="1:16" ht="15.75" thickBot="1">
      <c r="C86" s="388"/>
      <c r="D86" s="556"/>
      <c r="E86" s="535"/>
      <c r="F86" s="535"/>
      <c r="G86" s="535"/>
      <c r="H86" s="1236"/>
      <c r="I86" s="1236"/>
      <c r="J86" s="1237"/>
      <c r="K86" s="1236"/>
      <c r="L86" s="1236"/>
      <c r="M86" s="1236"/>
      <c r="N86" s="1236"/>
      <c r="O86" s="535"/>
    </row>
    <row r="87" spans="1:16" ht="15.75">
      <c r="C87" s="589" t="s">
        <v>292</v>
      </c>
      <c r="D87" s="556"/>
      <c r="E87" s="535"/>
      <c r="F87" s="535"/>
      <c r="G87" s="1238"/>
      <c r="H87" s="535" t="s">
        <v>271</v>
      </c>
      <c r="I87" s="535"/>
      <c r="J87" s="581"/>
      <c r="K87" s="671" t="s">
        <v>296</v>
      </c>
      <c r="L87" s="672"/>
      <c r="M87" s="673"/>
      <c r="N87" s="1239">
        <f>VLOOKUP(I93,C100:O159,5)</f>
        <v>110998.15536206175</v>
      </c>
      <c r="O87" s="535"/>
    </row>
    <row r="88" spans="1:16" ht="15.75">
      <c r="C88" s="589"/>
      <c r="D88" s="556"/>
      <c r="E88" s="535"/>
      <c r="F88" s="535"/>
      <c r="G88" s="535"/>
      <c r="H88" s="1240"/>
      <c r="I88" s="1240"/>
      <c r="J88" s="1241"/>
      <c r="K88" s="676" t="s">
        <v>297</v>
      </c>
      <c r="L88" s="1242"/>
      <c r="M88" s="581"/>
      <c r="N88" s="1243">
        <f>VLOOKUP(I93,C100:O159,6)</f>
        <v>110998.15536206175</v>
      </c>
      <c r="O88" s="535"/>
    </row>
    <row r="89" spans="1:16" ht="13.5" thickBot="1">
      <c r="C89" s="677" t="s">
        <v>293</v>
      </c>
      <c r="D89" s="1499" t="s">
        <v>904</v>
      </c>
      <c r="E89" s="1499"/>
      <c r="F89" s="1499"/>
      <c r="G89" s="1499"/>
      <c r="H89" s="1236"/>
      <c r="I89" s="1236"/>
      <c r="J89" s="1237"/>
      <c r="K89" s="1244" t="s">
        <v>450</v>
      </c>
      <c r="L89" s="1245"/>
      <c r="M89" s="1245"/>
      <c r="N89" s="1246">
        <f>+N88-N87</f>
        <v>0</v>
      </c>
      <c r="O89" s="535"/>
    </row>
    <row r="90" spans="1:16">
      <c r="C90" s="679"/>
      <c r="D90" s="680"/>
      <c r="E90" s="664"/>
      <c r="F90" s="664"/>
      <c r="G90" s="681"/>
      <c r="H90" s="1236"/>
      <c r="I90" s="1236"/>
      <c r="J90" s="1237"/>
      <c r="K90" s="1236"/>
      <c r="L90" s="1236"/>
      <c r="M90" s="1236"/>
      <c r="N90" s="1236"/>
      <c r="O90" s="535"/>
    </row>
    <row r="91" spans="1:16" ht="13.5" thickBot="1">
      <c r="C91" s="682"/>
      <c r="D91" s="1247"/>
      <c r="E91" s="681"/>
      <c r="F91" s="681"/>
      <c r="G91" s="681"/>
      <c r="H91" s="681"/>
      <c r="I91" s="681"/>
      <c r="J91" s="684"/>
      <c r="K91" s="681"/>
      <c r="L91" s="681"/>
      <c r="M91" s="681"/>
      <c r="N91" s="681"/>
      <c r="O91" s="569"/>
    </row>
    <row r="92" spans="1:16" ht="13.5" thickBot="1">
      <c r="C92" s="685" t="s">
        <v>294</v>
      </c>
      <c r="D92" s="686"/>
      <c r="E92" s="686"/>
      <c r="F92" s="686"/>
      <c r="G92" s="686"/>
      <c r="H92" s="686"/>
      <c r="I92" s="687"/>
      <c r="J92" s="688"/>
      <c r="K92" s="535"/>
      <c r="L92" s="535"/>
      <c r="M92" s="535"/>
      <c r="N92" s="535"/>
      <c r="O92" s="689"/>
    </row>
    <row r="93" spans="1:16" ht="15">
      <c r="C93" s="690" t="s">
        <v>272</v>
      </c>
      <c r="D93" s="1248">
        <v>1115334.06</v>
      </c>
      <c r="E93" s="648" t="s">
        <v>273</v>
      </c>
      <c r="G93" s="691"/>
      <c r="H93" s="691"/>
      <c r="I93" s="692">
        <f>$L$26</f>
        <v>2023</v>
      </c>
      <c r="J93" s="579"/>
      <c r="K93" s="1500" t="s">
        <v>459</v>
      </c>
      <c r="L93" s="1500"/>
      <c r="M93" s="1500"/>
      <c r="N93" s="1500"/>
      <c r="O93" s="1500"/>
    </row>
    <row r="94" spans="1:16">
      <c r="C94" s="690" t="s">
        <v>275</v>
      </c>
      <c r="D94" s="861">
        <v>2013</v>
      </c>
      <c r="E94" s="690" t="s">
        <v>276</v>
      </c>
      <c r="F94" s="691"/>
      <c r="H94" s="322"/>
      <c r="I94" s="1249">
        <f>IF(G87="",0,$F$15)</f>
        <v>0</v>
      </c>
      <c r="J94" s="693"/>
      <c r="K94" s="1237" t="s">
        <v>459</v>
      </c>
    </row>
    <row r="95" spans="1:16">
      <c r="C95" s="690" t="s">
        <v>277</v>
      </c>
      <c r="D95" s="1248">
        <v>10</v>
      </c>
      <c r="E95" s="690" t="s">
        <v>278</v>
      </c>
      <c r="F95" s="691"/>
      <c r="H95" s="322"/>
      <c r="I95" s="694">
        <f>$G$70</f>
        <v>9.87503879105944E-2</v>
      </c>
      <c r="J95" s="695"/>
      <c r="K95" s="322" t="str">
        <f>"          INPUT PROJECTED ARR (WITH &amp; WITHOUT INCENTIVES) FROM EACH PRIOR YEAR"</f>
        <v xml:space="preserve">          INPUT PROJECTED ARR (WITH &amp; WITHOUT INCENTIVES) FROM EACH PRIOR YEAR</v>
      </c>
    </row>
    <row r="96" spans="1:16">
      <c r="C96" s="690" t="s">
        <v>279</v>
      </c>
      <c r="D96" s="696">
        <f>G$79</f>
        <v>59</v>
      </c>
      <c r="E96" s="690" t="s">
        <v>280</v>
      </c>
      <c r="F96" s="691"/>
      <c r="H96" s="322"/>
      <c r="I96" s="694">
        <f>IF(G87="",I95,$G$67)</f>
        <v>9.87503879105944E-2</v>
      </c>
      <c r="J96" s="697"/>
      <c r="K96" s="322" t="s">
        <v>357</v>
      </c>
    </row>
    <row r="97" spans="1:15" ht="13.5" thickBot="1">
      <c r="C97" s="690" t="s">
        <v>281</v>
      </c>
      <c r="D97" s="853" t="s">
        <v>898</v>
      </c>
      <c r="E97" s="698" t="s">
        <v>282</v>
      </c>
      <c r="F97" s="699"/>
      <c r="G97" s="700"/>
      <c r="H97" s="700"/>
      <c r="I97" s="1246">
        <f>IF(D93=0,0,D93/D96)</f>
        <v>18903.967118644068</v>
      </c>
      <c r="J97" s="1237"/>
      <c r="K97" s="1237" t="s">
        <v>363</v>
      </c>
      <c r="L97" s="1237"/>
      <c r="M97" s="1237"/>
      <c r="N97" s="1237"/>
      <c r="O97" s="581"/>
    </row>
    <row r="98" spans="1:15" ht="51">
      <c r="A98" s="522"/>
      <c r="B98" s="1250"/>
      <c r="C98" s="701" t="s">
        <v>272</v>
      </c>
      <c r="D98" s="1251" t="s">
        <v>283</v>
      </c>
      <c r="E98" s="1252" t="s">
        <v>284</v>
      </c>
      <c r="F98" s="1251" t="s">
        <v>285</v>
      </c>
      <c r="G98" s="1252" t="s">
        <v>356</v>
      </c>
      <c r="H98" s="1253" t="s">
        <v>356</v>
      </c>
      <c r="I98" s="701" t="s">
        <v>295</v>
      </c>
      <c r="J98" s="705"/>
      <c r="K98" s="1252" t="s">
        <v>365</v>
      </c>
      <c r="L98" s="1254"/>
      <c r="M98" s="1252" t="s">
        <v>365</v>
      </c>
      <c r="N98" s="1254"/>
      <c r="O98" s="1254"/>
    </row>
    <row r="99" spans="1:15" ht="13.5" thickBot="1">
      <c r="C99" s="707" t="s">
        <v>177</v>
      </c>
      <c r="D99" s="708" t="s">
        <v>178</v>
      </c>
      <c r="E99" s="707" t="s">
        <v>37</v>
      </c>
      <c r="F99" s="708" t="s">
        <v>178</v>
      </c>
      <c r="G99" s="1255" t="s">
        <v>298</v>
      </c>
      <c r="H99" s="1256" t="s">
        <v>300</v>
      </c>
      <c r="I99" s="711" t="s">
        <v>389</v>
      </c>
      <c r="J99" s="712"/>
      <c r="K99" s="1255" t="s">
        <v>287</v>
      </c>
      <c r="L99" s="1257"/>
      <c r="M99" s="1255" t="s">
        <v>300</v>
      </c>
      <c r="N99" s="1257"/>
      <c r="O99" s="1257"/>
    </row>
    <row r="100" spans="1:15">
      <c r="C100" s="713">
        <f>IF(D94= "","-",D94)</f>
        <v>2013</v>
      </c>
      <c r="D100" s="666">
        <f>+D93</f>
        <v>1115334.06</v>
      </c>
      <c r="E100" s="1258">
        <f>+I97/12*(12-D95)</f>
        <v>3150.6611864406782</v>
      </c>
      <c r="F100" s="666">
        <f t="shared" ref="F100:F159" si="0">+D100-E100</f>
        <v>1112183.3988135594</v>
      </c>
      <c r="G100" s="1259">
        <f>+$I$95*((D100+F100)/2)+E100</f>
        <v>113134.7677541709</v>
      </c>
      <c r="H100" s="1260">
        <f>$I$96*((D100+F100)/2)+E100</f>
        <v>113134.7677541709</v>
      </c>
      <c r="I100" s="717">
        <f>+H100-G100</f>
        <v>0</v>
      </c>
      <c r="J100" s="717"/>
      <c r="K100" s="855">
        <v>44166</v>
      </c>
      <c r="L100" s="719"/>
      <c r="M100" s="855">
        <v>44166</v>
      </c>
      <c r="N100" s="719"/>
      <c r="O100" s="719"/>
    </row>
    <row r="101" spans="1:15">
      <c r="C101" s="713">
        <f>IF(D94="","-",+C100+1)</f>
        <v>2014</v>
      </c>
      <c r="D101" s="666">
        <f t="shared" ref="D101:D159" si="1">F100</f>
        <v>1112183.3988135594</v>
      </c>
      <c r="E101" s="720">
        <f>IF(D101&gt;$I$97,$I$97,D101)</f>
        <v>18903.967118644068</v>
      </c>
      <c r="F101" s="666">
        <f t="shared" si="0"/>
        <v>1093279.4316949153</v>
      </c>
      <c r="G101" s="1258">
        <f t="shared" ref="G101:G159" si="2">+$I$95*((D101+F101)/2)+E101</f>
        <v>127799.12213619877</v>
      </c>
      <c r="H101" s="1261">
        <f t="shared" ref="H101:H159" si="3">$I$96*((D101+F101)/2)+E101</f>
        <v>127799.12213619877</v>
      </c>
      <c r="I101" s="717">
        <f t="shared" ref="I101:I159" si="4">+H101-G101</f>
        <v>0</v>
      </c>
      <c r="J101" s="717"/>
      <c r="K101" s="856">
        <v>33234</v>
      </c>
      <c r="L101" s="723"/>
      <c r="M101" s="856">
        <v>33234</v>
      </c>
      <c r="N101" s="723"/>
      <c r="O101" s="723"/>
    </row>
    <row r="102" spans="1:15">
      <c r="C102" s="713">
        <f>IF(D94="","-",+C101+1)</f>
        <v>2015</v>
      </c>
      <c r="D102" s="666">
        <f t="shared" si="1"/>
        <v>1093279.4316949153</v>
      </c>
      <c r="E102" s="720">
        <f t="shared" ref="E102:E159" si="5">IF(D102&gt;$I$97,$I$97,D102)</f>
        <v>18903.967118644068</v>
      </c>
      <c r="F102" s="666">
        <f t="shared" si="0"/>
        <v>1074375.4645762711</v>
      </c>
      <c r="G102" s="1258">
        <f t="shared" si="2"/>
        <v>125932.34805018353</v>
      </c>
      <c r="H102" s="1261">
        <f t="shared" si="3"/>
        <v>125932.34805018353</v>
      </c>
      <c r="I102" s="717">
        <f t="shared" si="4"/>
        <v>0</v>
      </c>
      <c r="J102" s="717"/>
      <c r="K102" s="856">
        <v>58699</v>
      </c>
      <c r="L102" s="723"/>
      <c r="M102" s="856">
        <v>58699</v>
      </c>
      <c r="N102" s="723"/>
      <c r="O102" s="723"/>
    </row>
    <row r="103" spans="1:15">
      <c r="C103" s="713">
        <f>IF(D94="","-",+C102+1)</f>
        <v>2016</v>
      </c>
      <c r="D103" s="666">
        <f t="shared" si="1"/>
        <v>1074375.4645762711</v>
      </c>
      <c r="E103" s="720">
        <f t="shared" si="5"/>
        <v>18903.967118644068</v>
      </c>
      <c r="F103" s="666">
        <f t="shared" si="0"/>
        <v>1055471.497457627</v>
      </c>
      <c r="G103" s="1258">
        <f t="shared" si="2"/>
        <v>124065.5739641683</v>
      </c>
      <c r="H103" s="1261">
        <f t="shared" si="3"/>
        <v>124065.5739641683</v>
      </c>
      <c r="I103" s="717">
        <f t="shared" si="4"/>
        <v>0</v>
      </c>
      <c r="J103" s="717"/>
      <c r="K103" s="856">
        <v>107095</v>
      </c>
      <c r="L103" s="723"/>
      <c r="M103" s="856">
        <v>107095</v>
      </c>
      <c r="N103" s="723"/>
      <c r="O103" s="723"/>
    </row>
    <row r="104" spans="1:15">
      <c r="C104" s="713">
        <f>IF(D94="","-",+C103+1)</f>
        <v>2017</v>
      </c>
      <c r="D104" s="666">
        <f t="shared" si="1"/>
        <v>1055471.497457627</v>
      </c>
      <c r="E104" s="720">
        <f t="shared" si="5"/>
        <v>18903.967118644068</v>
      </c>
      <c r="F104" s="666">
        <f t="shared" si="0"/>
        <v>1036567.5303389829</v>
      </c>
      <c r="G104" s="1258">
        <f t="shared" si="2"/>
        <v>122198.79987815306</v>
      </c>
      <c r="H104" s="1261">
        <f t="shared" si="3"/>
        <v>122198.79987815306</v>
      </c>
      <c r="I104" s="717">
        <f t="shared" si="4"/>
        <v>0</v>
      </c>
      <c r="J104" s="717"/>
      <c r="K104" s="1262">
        <v>154474</v>
      </c>
      <c r="L104" s="723"/>
      <c r="M104" s="1262">
        <v>154474</v>
      </c>
      <c r="N104" s="723"/>
      <c r="O104" s="723"/>
    </row>
    <row r="105" spans="1:15">
      <c r="C105" s="1270">
        <f>IF(D94="","-",+C104+1)</f>
        <v>2018</v>
      </c>
      <c r="D105" s="666">
        <f t="shared" si="1"/>
        <v>1036567.5303389829</v>
      </c>
      <c r="E105" s="720">
        <f t="shared" si="5"/>
        <v>18903.967118644068</v>
      </c>
      <c r="F105" s="666">
        <f t="shared" si="0"/>
        <v>1017663.5632203389</v>
      </c>
      <c r="G105" s="1258">
        <f t="shared" si="2"/>
        <v>120332.02579213787</v>
      </c>
      <c r="H105" s="1261">
        <f t="shared" si="3"/>
        <v>120332.02579213787</v>
      </c>
      <c r="I105" s="717">
        <f t="shared" si="4"/>
        <v>0</v>
      </c>
      <c r="J105" s="717"/>
      <c r="K105" s="856">
        <v>130159</v>
      </c>
      <c r="L105" s="723"/>
      <c r="M105" s="856">
        <v>130159</v>
      </c>
      <c r="N105" s="723"/>
      <c r="O105" s="723"/>
    </row>
    <row r="106" spans="1:15">
      <c r="C106" s="713">
        <f>IF(D94="","-",+C105+1)</f>
        <v>2019</v>
      </c>
      <c r="D106" s="666">
        <f t="shared" si="1"/>
        <v>1017663.5632203389</v>
      </c>
      <c r="E106" s="720">
        <f t="shared" si="5"/>
        <v>18903.967118644068</v>
      </c>
      <c r="F106" s="666">
        <f t="shared" si="0"/>
        <v>998759.59610169486</v>
      </c>
      <c r="G106" s="1258">
        <f t="shared" si="2"/>
        <v>118465.25170612262</v>
      </c>
      <c r="H106" s="1261">
        <f t="shared" si="3"/>
        <v>118465.25170612262</v>
      </c>
      <c r="I106" s="717">
        <f t="shared" si="4"/>
        <v>0</v>
      </c>
      <c r="J106" s="717"/>
      <c r="K106" s="856">
        <v>131100</v>
      </c>
      <c r="L106" s="723"/>
      <c r="M106" s="856">
        <v>131100</v>
      </c>
      <c r="N106" s="723"/>
      <c r="O106" s="723"/>
    </row>
    <row r="107" spans="1:15">
      <c r="C107" s="713">
        <f>IF(D94="","-",+C106+1)</f>
        <v>2020</v>
      </c>
      <c r="D107" s="666">
        <f t="shared" si="1"/>
        <v>998759.59610169486</v>
      </c>
      <c r="E107" s="720">
        <f t="shared" si="5"/>
        <v>18903.967118644068</v>
      </c>
      <c r="F107" s="666">
        <f t="shared" si="0"/>
        <v>979855.62898305082</v>
      </c>
      <c r="G107" s="1258">
        <f t="shared" si="2"/>
        <v>116598.47762010741</v>
      </c>
      <c r="H107" s="1261">
        <f t="shared" si="3"/>
        <v>116598.47762010741</v>
      </c>
      <c r="I107" s="717">
        <f t="shared" si="4"/>
        <v>0</v>
      </c>
      <c r="J107" s="717"/>
      <c r="K107" s="856">
        <v>117846.80334090827</v>
      </c>
      <c r="L107" s="723"/>
      <c r="M107" s="856">
        <v>117846.80334090827</v>
      </c>
      <c r="N107" s="723"/>
      <c r="O107" s="723"/>
    </row>
    <row r="108" spans="1:15">
      <c r="C108" s="713">
        <f>IF(D94="","-",+C107+1)</f>
        <v>2021</v>
      </c>
      <c r="D108" s="666">
        <f t="shared" si="1"/>
        <v>979855.62898305082</v>
      </c>
      <c r="E108" s="720">
        <f t="shared" si="5"/>
        <v>18903.967118644068</v>
      </c>
      <c r="F108" s="666">
        <f t="shared" si="0"/>
        <v>960951.66186440678</v>
      </c>
      <c r="G108" s="1258">
        <f t="shared" si="2"/>
        <v>114731.70353409219</v>
      </c>
      <c r="H108" s="1261">
        <f t="shared" si="3"/>
        <v>114731.70353409219</v>
      </c>
      <c r="I108" s="717">
        <f t="shared" si="4"/>
        <v>0</v>
      </c>
      <c r="J108" s="717"/>
      <c r="K108" s="856">
        <v>118221.54112551096</v>
      </c>
      <c r="L108" s="723"/>
      <c r="M108" s="856">
        <v>118221.54112551096</v>
      </c>
      <c r="N108" s="723"/>
      <c r="O108" s="723"/>
    </row>
    <row r="109" spans="1:15">
      <c r="C109" s="1270">
        <f>IF(D94="","-",+C108+1)</f>
        <v>2022</v>
      </c>
      <c r="D109" s="1263">
        <f t="shared" si="1"/>
        <v>960951.66186440678</v>
      </c>
      <c r="E109" s="1264">
        <f t="shared" si="5"/>
        <v>18903.967118644068</v>
      </c>
      <c r="F109" s="1263">
        <f t="shared" si="0"/>
        <v>942047.69474576274</v>
      </c>
      <c r="G109" s="1265">
        <f t="shared" si="2"/>
        <v>112864.92944807697</v>
      </c>
      <c r="H109" s="1266">
        <f t="shared" si="3"/>
        <v>112864.92944807697</v>
      </c>
      <c r="I109" s="1267">
        <f t="shared" si="4"/>
        <v>0</v>
      </c>
      <c r="J109" s="717"/>
      <c r="K109" s="856">
        <v>116396.99706073492</v>
      </c>
      <c r="L109" s="723"/>
      <c r="M109" s="856">
        <v>116396.99706073492</v>
      </c>
      <c r="N109" s="723"/>
      <c r="O109" s="723"/>
    </row>
    <row r="110" spans="1:15">
      <c r="C110" s="713">
        <f>IF(D94="","-",+C109+1)</f>
        <v>2023</v>
      </c>
      <c r="D110" s="666">
        <f t="shared" si="1"/>
        <v>942047.69474576274</v>
      </c>
      <c r="E110" s="720">
        <f t="shared" si="5"/>
        <v>18903.967118644068</v>
      </c>
      <c r="F110" s="666">
        <f t="shared" si="0"/>
        <v>923143.7276271187</v>
      </c>
      <c r="G110" s="1258">
        <f t="shared" si="2"/>
        <v>110998.15536206175</v>
      </c>
      <c r="H110" s="1261">
        <f t="shared" si="3"/>
        <v>110998.15536206175</v>
      </c>
      <c r="I110" s="717">
        <f t="shared" si="4"/>
        <v>0</v>
      </c>
      <c r="J110" s="717"/>
      <c r="K110" s="856"/>
      <c r="L110" s="723"/>
      <c r="M110" s="856"/>
      <c r="N110" s="723"/>
      <c r="O110" s="723"/>
    </row>
    <row r="111" spans="1:15">
      <c r="C111" s="713">
        <f>IF(D94="","-",+C110+1)</f>
        <v>2024</v>
      </c>
      <c r="D111" s="666">
        <f t="shared" si="1"/>
        <v>923143.7276271187</v>
      </c>
      <c r="E111" s="720">
        <f t="shared" si="5"/>
        <v>18903.967118644068</v>
      </c>
      <c r="F111" s="666">
        <f t="shared" si="0"/>
        <v>904239.76050847466</v>
      </c>
      <c r="G111" s="1258">
        <f t="shared" si="2"/>
        <v>109131.38127604654</v>
      </c>
      <c r="H111" s="1261">
        <f t="shared" si="3"/>
        <v>109131.38127604654</v>
      </c>
      <c r="I111" s="717">
        <f t="shared" si="4"/>
        <v>0</v>
      </c>
      <c r="J111" s="717"/>
      <c r="K111" s="856"/>
      <c r="L111" s="723"/>
      <c r="M111" s="856"/>
      <c r="N111" s="723"/>
      <c r="O111" s="723"/>
    </row>
    <row r="112" spans="1:15">
      <c r="C112" s="713">
        <f>IF(D94="","-",+C111+1)</f>
        <v>2025</v>
      </c>
      <c r="D112" s="666">
        <f t="shared" si="1"/>
        <v>904239.76050847466</v>
      </c>
      <c r="E112" s="720">
        <f t="shared" si="5"/>
        <v>18903.967118644068</v>
      </c>
      <c r="F112" s="666">
        <f t="shared" si="0"/>
        <v>885335.79338983062</v>
      </c>
      <c r="G112" s="1258">
        <f t="shared" si="2"/>
        <v>107264.60719003131</v>
      </c>
      <c r="H112" s="1261">
        <f t="shared" si="3"/>
        <v>107264.60719003131</v>
      </c>
      <c r="I112" s="717">
        <f t="shared" si="4"/>
        <v>0</v>
      </c>
      <c r="J112" s="717"/>
      <c r="K112" s="856"/>
      <c r="L112" s="723"/>
      <c r="M112" s="856"/>
      <c r="N112" s="723"/>
      <c r="O112" s="723"/>
    </row>
    <row r="113" spans="3:15">
      <c r="C113" s="713">
        <f>IF(D94="","-",+C112+1)</f>
        <v>2026</v>
      </c>
      <c r="D113" s="666">
        <f t="shared" si="1"/>
        <v>885335.79338983062</v>
      </c>
      <c r="E113" s="720">
        <f t="shared" si="5"/>
        <v>18903.967118644068</v>
      </c>
      <c r="F113" s="666">
        <f t="shared" si="0"/>
        <v>866431.82627118658</v>
      </c>
      <c r="G113" s="1258">
        <f t="shared" si="2"/>
        <v>105397.8331040161</v>
      </c>
      <c r="H113" s="1261">
        <f t="shared" si="3"/>
        <v>105397.8331040161</v>
      </c>
      <c r="I113" s="717">
        <f t="shared" si="4"/>
        <v>0</v>
      </c>
      <c r="J113" s="717"/>
      <c r="K113" s="856"/>
      <c r="L113" s="723"/>
      <c r="M113" s="856"/>
      <c r="N113" s="723"/>
      <c r="O113" s="723"/>
    </row>
    <row r="114" spans="3:15">
      <c r="C114" s="713">
        <f>IF(D94="","-",+C113+1)</f>
        <v>2027</v>
      </c>
      <c r="D114" s="666">
        <f t="shared" si="1"/>
        <v>866431.82627118658</v>
      </c>
      <c r="E114" s="720">
        <f t="shared" si="5"/>
        <v>18903.967118644068</v>
      </c>
      <c r="F114" s="666">
        <f t="shared" si="0"/>
        <v>847527.85915254254</v>
      </c>
      <c r="G114" s="1258">
        <f t="shared" si="2"/>
        <v>103531.05901800086</v>
      </c>
      <c r="H114" s="1261">
        <f t="shared" si="3"/>
        <v>103531.05901800086</v>
      </c>
      <c r="I114" s="717">
        <f t="shared" si="4"/>
        <v>0</v>
      </c>
      <c r="J114" s="717"/>
      <c r="K114" s="856"/>
      <c r="L114" s="723"/>
      <c r="M114" s="856"/>
      <c r="N114" s="723"/>
      <c r="O114" s="723"/>
    </row>
    <row r="115" spans="3:15">
      <c r="C115" s="713">
        <f>IF(D94="","-",+C114+1)</f>
        <v>2028</v>
      </c>
      <c r="D115" s="666">
        <f t="shared" si="1"/>
        <v>847527.85915254254</v>
      </c>
      <c r="E115" s="720">
        <f t="shared" si="5"/>
        <v>18903.967118644068</v>
      </c>
      <c r="F115" s="666">
        <f t="shared" si="0"/>
        <v>828623.8920338985</v>
      </c>
      <c r="G115" s="1258">
        <f t="shared" si="2"/>
        <v>101664.28493198566</v>
      </c>
      <c r="H115" s="1261">
        <f t="shared" si="3"/>
        <v>101664.28493198566</v>
      </c>
      <c r="I115" s="717">
        <f t="shared" si="4"/>
        <v>0</v>
      </c>
      <c r="J115" s="717"/>
      <c r="K115" s="856"/>
      <c r="L115" s="723"/>
      <c r="M115" s="856"/>
      <c r="N115" s="723"/>
      <c r="O115" s="723"/>
    </row>
    <row r="116" spans="3:15">
      <c r="C116" s="713">
        <f>IF(D94="","-",+C115+1)</f>
        <v>2029</v>
      </c>
      <c r="D116" s="666">
        <f t="shared" si="1"/>
        <v>828623.8920338985</v>
      </c>
      <c r="E116" s="720">
        <f t="shared" si="5"/>
        <v>18903.967118644068</v>
      </c>
      <c r="F116" s="666">
        <f t="shared" si="0"/>
        <v>809719.92491525447</v>
      </c>
      <c r="G116" s="1258">
        <f t="shared" si="2"/>
        <v>99797.510845970421</v>
      </c>
      <c r="H116" s="1261">
        <f t="shared" si="3"/>
        <v>99797.510845970421</v>
      </c>
      <c r="I116" s="717">
        <f t="shared" si="4"/>
        <v>0</v>
      </c>
      <c r="J116" s="717"/>
      <c r="K116" s="856"/>
      <c r="L116" s="723"/>
      <c r="M116" s="856"/>
      <c r="N116" s="723"/>
      <c r="O116" s="723"/>
    </row>
    <row r="117" spans="3:15">
      <c r="C117" s="713">
        <f>IF(D94="","-",+C116+1)</f>
        <v>2030</v>
      </c>
      <c r="D117" s="666">
        <f t="shared" si="1"/>
        <v>809719.92491525447</v>
      </c>
      <c r="E117" s="720">
        <f t="shared" si="5"/>
        <v>18903.967118644068</v>
      </c>
      <c r="F117" s="666">
        <f t="shared" si="0"/>
        <v>790815.95779661043</v>
      </c>
      <c r="G117" s="1258">
        <f t="shared" si="2"/>
        <v>97930.736759955209</v>
      </c>
      <c r="H117" s="1261">
        <f t="shared" si="3"/>
        <v>97930.736759955209</v>
      </c>
      <c r="I117" s="717">
        <f t="shared" si="4"/>
        <v>0</v>
      </c>
      <c r="J117" s="717"/>
      <c r="K117" s="856"/>
      <c r="L117" s="723"/>
      <c r="M117" s="856"/>
      <c r="N117" s="723"/>
      <c r="O117" s="723"/>
    </row>
    <row r="118" spans="3:15">
      <c r="C118" s="713">
        <f>IF(D94="","-",+C117+1)</f>
        <v>2031</v>
      </c>
      <c r="D118" s="666">
        <f t="shared" si="1"/>
        <v>790815.95779661043</v>
      </c>
      <c r="E118" s="720">
        <f t="shared" si="5"/>
        <v>18903.967118644068</v>
      </c>
      <c r="F118" s="666">
        <f t="shared" si="0"/>
        <v>771911.99067796639</v>
      </c>
      <c r="G118" s="1258">
        <f t="shared" si="2"/>
        <v>96063.962673939983</v>
      </c>
      <c r="H118" s="1261">
        <f t="shared" si="3"/>
        <v>96063.962673939983</v>
      </c>
      <c r="I118" s="717">
        <f t="shared" si="4"/>
        <v>0</v>
      </c>
      <c r="J118" s="717"/>
      <c r="K118" s="856"/>
      <c r="L118" s="723"/>
      <c r="M118" s="856"/>
      <c r="N118" s="723"/>
      <c r="O118" s="723"/>
    </row>
    <row r="119" spans="3:15">
      <c r="C119" s="713">
        <f>IF(D94="","-",+C118+1)</f>
        <v>2032</v>
      </c>
      <c r="D119" s="666">
        <f t="shared" si="1"/>
        <v>771911.99067796639</v>
      </c>
      <c r="E119" s="720">
        <f t="shared" si="5"/>
        <v>18903.967118644068</v>
      </c>
      <c r="F119" s="666">
        <f t="shared" si="0"/>
        <v>753008.02355932235</v>
      </c>
      <c r="G119" s="1258">
        <f t="shared" si="2"/>
        <v>94197.188587924771</v>
      </c>
      <c r="H119" s="1261">
        <f t="shared" si="3"/>
        <v>94197.188587924771</v>
      </c>
      <c r="I119" s="717">
        <f t="shared" si="4"/>
        <v>0</v>
      </c>
      <c r="J119" s="717"/>
      <c r="K119" s="856"/>
      <c r="L119" s="723"/>
      <c r="M119" s="856"/>
      <c r="N119" s="723"/>
      <c r="O119" s="723"/>
    </row>
    <row r="120" spans="3:15">
      <c r="C120" s="713">
        <f>IF(D94="","-",+C119+1)</f>
        <v>2033</v>
      </c>
      <c r="D120" s="666">
        <f t="shared" si="1"/>
        <v>753008.02355932235</v>
      </c>
      <c r="E120" s="720">
        <f t="shared" si="5"/>
        <v>18903.967118644068</v>
      </c>
      <c r="F120" s="666">
        <f t="shared" si="0"/>
        <v>734104.05644067831</v>
      </c>
      <c r="G120" s="1258">
        <f t="shared" si="2"/>
        <v>92330.414501909545</v>
      </c>
      <c r="H120" s="1261">
        <f t="shared" si="3"/>
        <v>92330.414501909545</v>
      </c>
      <c r="I120" s="717">
        <f t="shared" si="4"/>
        <v>0</v>
      </c>
      <c r="J120" s="717"/>
      <c r="K120" s="856"/>
      <c r="L120" s="723"/>
      <c r="M120" s="856"/>
      <c r="N120" s="723"/>
      <c r="O120" s="723"/>
    </row>
    <row r="121" spans="3:15">
      <c r="C121" s="713">
        <f>IF(D94="","-",+C120+1)</f>
        <v>2034</v>
      </c>
      <c r="D121" s="666">
        <f t="shared" si="1"/>
        <v>734104.05644067831</v>
      </c>
      <c r="E121" s="720">
        <f t="shared" si="5"/>
        <v>18903.967118644068</v>
      </c>
      <c r="F121" s="666">
        <f t="shared" si="0"/>
        <v>715200.08932203427</v>
      </c>
      <c r="G121" s="1258">
        <f t="shared" si="2"/>
        <v>90463.640415894333</v>
      </c>
      <c r="H121" s="1261">
        <f t="shared" si="3"/>
        <v>90463.640415894333</v>
      </c>
      <c r="I121" s="717">
        <f t="shared" si="4"/>
        <v>0</v>
      </c>
      <c r="J121" s="717"/>
      <c r="K121" s="856"/>
      <c r="L121" s="723"/>
      <c r="M121" s="856"/>
      <c r="N121" s="723"/>
      <c r="O121" s="723"/>
    </row>
    <row r="122" spans="3:15">
      <c r="C122" s="713">
        <f>IF(D94="","-",+C121+1)</f>
        <v>2035</v>
      </c>
      <c r="D122" s="666">
        <f t="shared" si="1"/>
        <v>715200.08932203427</v>
      </c>
      <c r="E122" s="720">
        <f t="shared" si="5"/>
        <v>18903.967118644068</v>
      </c>
      <c r="F122" s="666">
        <f t="shared" si="0"/>
        <v>696296.12220339023</v>
      </c>
      <c r="G122" s="1258">
        <f t="shared" si="2"/>
        <v>88596.866329879107</v>
      </c>
      <c r="H122" s="1261">
        <f t="shared" si="3"/>
        <v>88596.866329879107</v>
      </c>
      <c r="I122" s="717">
        <f t="shared" si="4"/>
        <v>0</v>
      </c>
      <c r="J122" s="717"/>
      <c r="K122" s="856"/>
      <c r="L122" s="723"/>
      <c r="M122" s="856"/>
      <c r="N122" s="723"/>
      <c r="O122" s="723"/>
    </row>
    <row r="123" spans="3:15">
      <c r="C123" s="713">
        <f>IF(D94="","-",+C122+1)</f>
        <v>2036</v>
      </c>
      <c r="D123" s="666">
        <f t="shared" si="1"/>
        <v>696296.12220339023</v>
      </c>
      <c r="E123" s="720">
        <f t="shared" si="5"/>
        <v>18903.967118644068</v>
      </c>
      <c r="F123" s="666">
        <f t="shared" si="0"/>
        <v>677392.15508474619</v>
      </c>
      <c r="G123" s="1258">
        <f t="shared" si="2"/>
        <v>86730.092243863895</v>
      </c>
      <c r="H123" s="1261">
        <f t="shared" si="3"/>
        <v>86730.092243863895</v>
      </c>
      <c r="I123" s="717">
        <f t="shared" si="4"/>
        <v>0</v>
      </c>
      <c r="J123" s="717"/>
      <c r="K123" s="856"/>
      <c r="L123" s="723"/>
      <c r="M123" s="856"/>
      <c r="N123" s="723"/>
      <c r="O123" s="723"/>
    </row>
    <row r="124" spans="3:15">
      <c r="C124" s="713">
        <f>IF(D94="","-",+C123+1)</f>
        <v>2037</v>
      </c>
      <c r="D124" s="666">
        <f t="shared" si="1"/>
        <v>677392.15508474619</v>
      </c>
      <c r="E124" s="720">
        <f t="shared" si="5"/>
        <v>18903.967118644068</v>
      </c>
      <c r="F124" s="666">
        <f t="shared" si="0"/>
        <v>658488.18796610215</v>
      </c>
      <c r="G124" s="1258">
        <f t="shared" si="2"/>
        <v>84863.318157848655</v>
      </c>
      <c r="H124" s="1261">
        <f t="shared" si="3"/>
        <v>84863.318157848655</v>
      </c>
      <c r="I124" s="717">
        <f t="shared" si="4"/>
        <v>0</v>
      </c>
      <c r="J124" s="717"/>
      <c r="K124" s="856"/>
      <c r="L124" s="723"/>
      <c r="M124" s="856"/>
      <c r="N124" s="723"/>
      <c r="O124" s="723"/>
    </row>
    <row r="125" spans="3:15">
      <c r="C125" s="713">
        <f>IF(D94="","-",+C124+1)</f>
        <v>2038</v>
      </c>
      <c r="D125" s="666">
        <f t="shared" si="1"/>
        <v>658488.18796610215</v>
      </c>
      <c r="E125" s="720">
        <f t="shared" si="5"/>
        <v>18903.967118644068</v>
      </c>
      <c r="F125" s="666">
        <f t="shared" si="0"/>
        <v>639584.22084745811</v>
      </c>
      <c r="G125" s="1258">
        <f t="shared" si="2"/>
        <v>82996.544071833458</v>
      </c>
      <c r="H125" s="1261">
        <f t="shared" si="3"/>
        <v>82996.544071833458</v>
      </c>
      <c r="I125" s="717">
        <f t="shared" si="4"/>
        <v>0</v>
      </c>
      <c r="J125" s="717"/>
      <c r="K125" s="856"/>
      <c r="L125" s="723"/>
      <c r="M125" s="856"/>
      <c r="N125" s="723"/>
      <c r="O125" s="723"/>
    </row>
    <row r="126" spans="3:15">
      <c r="C126" s="713">
        <f>IF(D94="","-",+C125+1)</f>
        <v>2039</v>
      </c>
      <c r="D126" s="666">
        <f t="shared" si="1"/>
        <v>639584.22084745811</v>
      </c>
      <c r="E126" s="720">
        <f t="shared" si="5"/>
        <v>18903.967118644068</v>
      </c>
      <c r="F126" s="666">
        <f t="shared" si="0"/>
        <v>620680.25372881407</v>
      </c>
      <c r="G126" s="1258">
        <f t="shared" si="2"/>
        <v>81129.769985818217</v>
      </c>
      <c r="H126" s="1261">
        <f t="shared" si="3"/>
        <v>81129.769985818217</v>
      </c>
      <c r="I126" s="717">
        <f t="shared" si="4"/>
        <v>0</v>
      </c>
      <c r="J126" s="717"/>
      <c r="K126" s="856"/>
      <c r="L126" s="723"/>
      <c r="M126" s="856"/>
      <c r="N126" s="723"/>
      <c r="O126" s="723"/>
    </row>
    <row r="127" spans="3:15">
      <c r="C127" s="713">
        <f>IF(D94="","-",+C126+1)</f>
        <v>2040</v>
      </c>
      <c r="D127" s="666">
        <f t="shared" si="1"/>
        <v>620680.25372881407</v>
      </c>
      <c r="E127" s="720">
        <f t="shared" si="5"/>
        <v>18903.967118644068</v>
      </c>
      <c r="F127" s="666">
        <f t="shared" si="0"/>
        <v>601776.28661017003</v>
      </c>
      <c r="G127" s="1258">
        <f t="shared" si="2"/>
        <v>79262.995899803005</v>
      </c>
      <c r="H127" s="1261">
        <f t="shared" si="3"/>
        <v>79262.995899803005</v>
      </c>
      <c r="I127" s="717">
        <f t="shared" si="4"/>
        <v>0</v>
      </c>
      <c r="J127" s="717"/>
      <c r="K127" s="856"/>
      <c r="L127" s="723"/>
      <c r="M127" s="856"/>
      <c r="N127" s="723"/>
      <c r="O127" s="723"/>
    </row>
    <row r="128" spans="3:15">
      <c r="C128" s="713">
        <f>IF(D94="","-",+C127+1)</f>
        <v>2041</v>
      </c>
      <c r="D128" s="666">
        <f t="shared" si="1"/>
        <v>601776.28661017003</v>
      </c>
      <c r="E128" s="720">
        <f t="shared" si="5"/>
        <v>18903.967118644068</v>
      </c>
      <c r="F128" s="666">
        <f t="shared" si="0"/>
        <v>582872.319491526</v>
      </c>
      <c r="G128" s="1259">
        <f t="shared" si="2"/>
        <v>77396.221813787779</v>
      </c>
      <c r="H128" s="1261">
        <f t="shared" si="3"/>
        <v>77396.221813787779</v>
      </c>
      <c r="I128" s="717">
        <f t="shared" si="4"/>
        <v>0</v>
      </c>
      <c r="J128" s="717"/>
      <c r="K128" s="856"/>
      <c r="L128" s="723"/>
      <c r="M128" s="856"/>
      <c r="N128" s="723"/>
      <c r="O128" s="723"/>
    </row>
    <row r="129" spans="3:15">
      <c r="C129" s="713">
        <f>IF(D94="","-",+C128+1)</f>
        <v>2042</v>
      </c>
      <c r="D129" s="666">
        <f t="shared" si="1"/>
        <v>582872.319491526</v>
      </c>
      <c r="E129" s="720">
        <f t="shared" si="5"/>
        <v>18903.967118644068</v>
      </c>
      <c r="F129" s="666">
        <f t="shared" si="0"/>
        <v>563968.35237288196</v>
      </c>
      <c r="G129" s="1258">
        <f t="shared" si="2"/>
        <v>75529.447727772567</v>
      </c>
      <c r="H129" s="1261">
        <f t="shared" si="3"/>
        <v>75529.447727772567</v>
      </c>
      <c r="I129" s="717">
        <f t="shared" si="4"/>
        <v>0</v>
      </c>
      <c r="J129" s="717"/>
      <c r="K129" s="856"/>
      <c r="L129" s="723"/>
      <c r="M129" s="856"/>
      <c r="N129" s="723"/>
      <c r="O129" s="723"/>
    </row>
    <row r="130" spans="3:15">
      <c r="C130" s="713">
        <f>IF(D94="","-",+C129+1)</f>
        <v>2043</v>
      </c>
      <c r="D130" s="666">
        <f t="shared" si="1"/>
        <v>563968.35237288196</v>
      </c>
      <c r="E130" s="720">
        <f t="shared" si="5"/>
        <v>18903.967118644068</v>
      </c>
      <c r="F130" s="666">
        <f t="shared" si="0"/>
        <v>545064.38525423792</v>
      </c>
      <c r="G130" s="1258">
        <f t="shared" si="2"/>
        <v>73662.673641757341</v>
      </c>
      <c r="H130" s="1261">
        <f t="shared" si="3"/>
        <v>73662.673641757341</v>
      </c>
      <c r="I130" s="717">
        <f t="shared" si="4"/>
        <v>0</v>
      </c>
      <c r="J130" s="717"/>
      <c r="K130" s="856"/>
      <c r="L130" s="723"/>
      <c r="M130" s="856"/>
      <c r="N130" s="723"/>
      <c r="O130" s="723"/>
    </row>
    <row r="131" spans="3:15">
      <c r="C131" s="713">
        <f>IF(D94="","-",+C130+1)</f>
        <v>2044</v>
      </c>
      <c r="D131" s="666">
        <f t="shared" si="1"/>
        <v>545064.38525423792</v>
      </c>
      <c r="E131" s="720">
        <f t="shared" si="5"/>
        <v>18903.967118644068</v>
      </c>
      <c r="F131" s="666">
        <f t="shared" si="0"/>
        <v>526160.41813559388</v>
      </c>
      <c r="G131" s="1258">
        <f t="shared" si="2"/>
        <v>71795.899555742129</v>
      </c>
      <c r="H131" s="1261">
        <f t="shared" si="3"/>
        <v>71795.899555742129</v>
      </c>
      <c r="I131" s="717">
        <f t="shared" si="4"/>
        <v>0</v>
      </c>
      <c r="J131" s="717"/>
      <c r="K131" s="856"/>
      <c r="L131" s="723"/>
      <c r="M131" s="856"/>
      <c r="N131" s="723"/>
      <c r="O131" s="723"/>
    </row>
    <row r="132" spans="3:15">
      <c r="C132" s="713">
        <f>IF(D94="","-",+C131+1)</f>
        <v>2045</v>
      </c>
      <c r="D132" s="666">
        <f t="shared" si="1"/>
        <v>526160.41813559388</v>
      </c>
      <c r="E132" s="720">
        <f t="shared" si="5"/>
        <v>18903.967118644068</v>
      </c>
      <c r="F132" s="666">
        <f t="shared" si="0"/>
        <v>507256.45101694984</v>
      </c>
      <c r="G132" s="1258">
        <f t="shared" si="2"/>
        <v>69929.125469726903</v>
      </c>
      <c r="H132" s="1261">
        <f t="shared" si="3"/>
        <v>69929.125469726903</v>
      </c>
      <c r="I132" s="717">
        <f t="shared" si="4"/>
        <v>0</v>
      </c>
      <c r="J132" s="717"/>
      <c r="K132" s="856"/>
      <c r="L132" s="723"/>
      <c r="M132" s="856"/>
      <c r="N132" s="723"/>
      <c r="O132" s="723"/>
    </row>
    <row r="133" spans="3:15">
      <c r="C133" s="713">
        <f>IF(D94="","-",+C132+1)</f>
        <v>2046</v>
      </c>
      <c r="D133" s="666">
        <f t="shared" si="1"/>
        <v>507256.45101694984</v>
      </c>
      <c r="E133" s="720">
        <f t="shared" si="5"/>
        <v>18903.967118644068</v>
      </c>
      <c r="F133" s="666">
        <f t="shared" si="0"/>
        <v>488352.4838983058</v>
      </c>
      <c r="G133" s="1258">
        <f t="shared" si="2"/>
        <v>68062.351383711677</v>
      </c>
      <c r="H133" s="1261">
        <f t="shared" si="3"/>
        <v>68062.351383711677</v>
      </c>
      <c r="I133" s="717">
        <f t="shared" si="4"/>
        <v>0</v>
      </c>
      <c r="J133" s="717"/>
      <c r="K133" s="856"/>
      <c r="L133" s="723"/>
      <c r="M133" s="856"/>
      <c r="N133" s="723"/>
      <c r="O133" s="723"/>
    </row>
    <row r="134" spans="3:15">
      <c r="C134" s="713">
        <f>IF(D94="","-",+C133+1)</f>
        <v>2047</v>
      </c>
      <c r="D134" s="666">
        <f t="shared" si="1"/>
        <v>488352.4838983058</v>
      </c>
      <c r="E134" s="720">
        <f t="shared" si="5"/>
        <v>18903.967118644068</v>
      </c>
      <c r="F134" s="666">
        <f t="shared" si="0"/>
        <v>469448.51677966176</v>
      </c>
      <c r="G134" s="1258">
        <f t="shared" si="2"/>
        <v>66195.577297696465</v>
      </c>
      <c r="H134" s="1261">
        <f t="shared" si="3"/>
        <v>66195.577297696465</v>
      </c>
      <c r="I134" s="717">
        <f t="shared" si="4"/>
        <v>0</v>
      </c>
      <c r="J134" s="717"/>
      <c r="K134" s="856"/>
      <c r="L134" s="723"/>
      <c r="M134" s="856"/>
      <c r="N134" s="723"/>
      <c r="O134" s="723"/>
    </row>
    <row r="135" spans="3:15">
      <c r="C135" s="713">
        <f>IF(D94="","-",+C134+1)</f>
        <v>2048</v>
      </c>
      <c r="D135" s="666">
        <f t="shared" si="1"/>
        <v>469448.51677966176</v>
      </c>
      <c r="E135" s="720">
        <f t="shared" si="5"/>
        <v>18903.967118644068</v>
      </c>
      <c r="F135" s="666">
        <f t="shared" si="0"/>
        <v>450544.54966101772</v>
      </c>
      <c r="G135" s="1258">
        <f t="shared" si="2"/>
        <v>64328.803211681239</v>
      </c>
      <c r="H135" s="1261">
        <f t="shared" si="3"/>
        <v>64328.803211681239</v>
      </c>
      <c r="I135" s="717">
        <f t="shared" si="4"/>
        <v>0</v>
      </c>
      <c r="J135" s="717"/>
      <c r="K135" s="856"/>
      <c r="L135" s="723"/>
      <c r="M135" s="856"/>
      <c r="N135" s="723"/>
      <c r="O135" s="723"/>
    </row>
    <row r="136" spans="3:15">
      <c r="C136" s="713">
        <f>IF(D94="","-",+C135+1)</f>
        <v>2049</v>
      </c>
      <c r="D136" s="666">
        <f t="shared" si="1"/>
        <v>450544.54966101772</v>
      </c>
      <c r="E136" s="720">
        <f t="shared" si="5"/>
        <v>18903.967118644068</v>
      </c>
      <c r="F136" s="666">
        <f t="shared" si="0"/>
        <v>431640.58254237368</v>
      </c>
      <c r="G136" s="1258">
        <f t="shared" si="2"/>
        <v>62462.02912566602</v>
      </c>
      <c r="H136" s="1261">
        <f t="shared" si="3"/>
        <v>62462.02912566602</v>
      </c>
      <c r="I136" s="717">
        <f t="shared" si="4"/>
        <v>0</v>
      </c>
      <c r="J136" s="717"/>
      <c r="K136" s="856"/>
      <c r="L136" s="723"/>
      <c r="M136" s="856"/>
      <c r="N136" s="723"/>
      <c r="O136" s="723"/>
    </row>
    <row r="137" spans="3:15">
      <c r="C137" s="713">
        <f>IF(D94="","-",+C136+1)</f>
        <v>2050</v>
      </c>
      <c r="D137" s="666">
        <f t="shared" si="1"/>
        <v>431640.58254237368</v>
      </c>
      <c r="E137" s="720">
        <f t="shared" si="5"/>
        <v>18903.967118644068</v>
      </c>
      <c r="F137" s="666">
        <f t="shared" si="0"/>
        <v>412736.61542372964</v>
      </c>
      <c r="G137" s="1258">
        <f t="shared" si="2"/>
        <v>60595.255039650801</v>
      </c>
      <c r="H137" s="1261">
        <f t="shared" si="3"/>
        <v>60595.255039650801</v>
      </c>
      <c r="I137" s="717">
        <f t="shared" si="4"/>
        <v>0</v>
      </c>
      <c r="J137" s="717"/>
      <c r="K137" s="856"/>
      <c r="L137" s="723"/>
      <c r="M137" s="856"/>
      <c r="N137" s="723"/>
      <c r="O137" s="723"/>
    </row>
    <row r="138" spans="3:15">
      <c r="C138" s="713">
        <f>IF(D94="","-",+C137+1)</f>
        <v>2051</v>
      </c>
      <c r="D138" s="666">
        <f t="shared" si="1"/>
        <v>412736.61542372964</v>
      </c>
      <c r="E138" s="720">
        <f t="shared" si="5"/>
        <v>18903.967118644068</v>
      </c>
      <c r="F138" s="666">
        <f t="shared" si="0"/>
        <v>393832.6483050856</v>
      </c>
      <c r="G138" s="1258">
        <f t="shared" si="2"/>
        <v>58728.480953635582</v>
      </c>
      <c r="H138" s="1261">
        <f t="shared" si="3"/>
        <v>58728.480953635582</v>
      </c>
      <c r="I138" s="717">
        <f t="shared" si="4"/>
        <v>0</v>
      </c>
      <c r="J138" s="717"/>
      <c r="K138" s="856"/>
      <c r="L138" s="723"/>
      <c r="M138" s="856"/>
      <c r="N138" s="723"/>
      <c r="O138" s="723"/>
    </row>
    <row r="139" spans="3:15">
      <c r="C139" s="713">
        <f>IF(D94="","-",+C138+1)</f>
        <v>2052</v>
      </c>
      <c r="D139" s="666">
        <f t="shared" si="1"/>
        <v>393832.6483050856</v>
      </c>
      <c r="E139" s="720">
        <f t="shared" si="5"/>
        <v>18903.967118644068</v>
      </c>
      <c r="F139" s="666">
        <f t="shared" si="0"/>
        <v>374928.68118644156</v>
      </c>
      <c r="G139" s="1258">
        <f t="shared" si="2"/>
        <v>56861.706867620356</v>
      </c>
      <c r="H139" s="1261">
        <f t="shared" si="3"/>
        <v>56861.706867620356</v>
      </c>
      <c r="I139" s="717">
        <f t="shared" si="4"/>
        <v>0</v>
      </c>
      <c r="J139" s="717"/>
      <c r="K139" s="856"/>
      <c r="L139" s="723"/>
      <c r="M139" s="856"/>
      <c r="N139" s="723"/>
      <c r="O139" s="723"/>
    </row>
    <row r="140" spans="3:15">
      <c r="C140" s="713">
        <f>IF(D94="","-",+C139+1)</f>
        <v>2053</v>
      </c>
      <c r="D140" s="666">
        <f t="shared" si="1"/>
        <v>374928.68118644156</v>
      </c>
      <c r="E140" s="720">
        <f t="shared" si="5"/>
        <v>18903.967118644068</v>
      </c>
      <c r="F140" s="666">
        <f t="shared" si="0"/>
        <v>356024.71406779753</v>
      </c>
      <c r="G140" s="1258">
        <f t="shared" si="2"/>
        <v>54994.932781605137</v>
      </c>
      <c r="H140" s="1261">
        <f t="shared" si="3"/>
        <v>54994.932781605137</v>
      </c>
      <c r="I140" s="717">
        <f t="shared" si="4"/>
        <v>0</v>
      </c>
      <c r="J140" s="717"/>
      <c r="K140" s="856"/>
      <c r="L140" s="723"/>
      <c r="M140" s="856"/>
      <c r="N140" s="723"/>
      <c r="O140" s="723"/>
    </row>
    <row r="141" spans="3:15">
      <c r="C141" s="713">
        <f>IF(D94="","-",+C140+1)</f>
        <v>2054</v>
      </c>
      <c r="D141" s="666">
        <f t="shared" si="1"/>
        <v>356024.71406779753</v>
      </c>
      <c r="E141" s="720">
        <f t="shared" si="5"/>
        <v>18903.967118644068</v>
      </c>
      <c r="F141" s="666">
        <f t="shared" si="0"/>
        <v>337120.74694915349</v>
      </c>
      <c r="G141" s="1258">
        <f t="shared" si="2"/>
        <v>53128.158695589918</v>
      </c>
      <c r="H141" s="1261">
        <f t="shared" si="3"/>
        <v>53128.158695589918</v>
      </c>
      <c r="I141" s="717">
        <f t="shared" si="4"/>
        <v>0</v>
      </c>
      <c r="J141" s="717"/>
      <c r="K141" s="856"/>
      <c r="L141" s="723"/>
      <c r="M141" s="856"/>
      <c r="N141" s="723"/>
      <c r="O141" s="723"/>
    </row>
    <row r="142" spans="3:15">
      <c r="C142" s="713">
        <f>IF(D94="","-",+C141+1)</f>
        <v>2055</v>
      </c>
      <c r="D142" s="666">
        <f t="shared" si="1"/>
        <v>337120.74694915349</v>
      </c>
      <c r="E142" s="720">
        <f t="shared" si="5"/>
        <v>18903.967118644068</v>
      </c>
      <c r="F142" s="666">
        <f t="shared" si="0"/>
        <v>318216.77983050945</v>
      </c>
      <c r="G142" s="1258">
        <f t="shared" si="2"/>
        <v>51261.384609574699</v>
      </c>
      <c r="H142" s="1261">
        <f t="shared" si="3"/>
        <v>51261.384609574699</v>
      </c>
      <c r="I142" s="717">
        <f t="shared" si="4"/>
        <v>0</v>
      </c>
      <c r="J142" s="717"/>
      <c r="K142" s="856"/>
      <c r="L142" s="723"/>
      <c r="M142" s="856"/>
      <c r="N142" s="723"/>
      <c r="O142" s="723"/>
    </row>
    <row r="143" spans="3:15">
      <c r="C143" s="713">
        <f>IF(D94="","-",+C142+1)</f>
        <v>2056</v>
      </c>
      <c r="D143" s="666">
        <f t="shared" si="1"/>
        <v>318216.77983050945</v>
      </c>
      <c r="E143" s="720">
        <f t="shared" si="5"/>
        <v>18903.967118644068</v>
      </c>
      <c r="F143" s="666">
        <f t="shared" si="0"/>
        <v>299312.81271186541</v>
      </c>
      <c r="G143" s="1258">
        <f t="shared" si="2"/>
        <v>49394.610523559473</v>
      </c>
      <c r="H143" s="1261">
        <f t="shared" si="3"/>
        <v>49394.610523559473</v>
      </c>
      <c r="I143" s="717">
        <f t="shared" si="4"/>
        <v>0</v>
      </c>
      <c r="J143" s="717"/>
      <c r="K143" s="856"/>
      <c r="L143" s="723"/>
      <c r="M143" s="856"/>
      <c r="N143" s="723"/>
      <c r="O143" s="723"/>
    </row>
    <row r="144" spans="3:15">
      <c r="C144" s="713">
        <f>IF(D94="","-",+C143+1)</f>
        <v>2057</v>
      </c>
      <c r="D144" s="666">
        <f t="shared" si="1"/>
        <v>299312.81271186541</v>
      </c>
      <c r="E144" s="720">
        <f t="shared" si="5"/>
        <v>18903.967118644068</v>
      </c>
      <c r="F144" s="666">
        <f t="shared" si="0"/>
        <v>280408.84559322137</v>
      </c>
      <c r="G144" s="1258">
        <f t="shared" si="2"/>
        <v>47527.836437544262</v>
      </c>
      <c r="H144" s="1261">
        <f t="shared" si="3"/>
        <v>47527.836437544262</v>
      </c>
      <c r="I144" s="717">
        <f t="shared" si="4"/>
        <v>0</v>
      </c>
      <c r="J144" s="717"/>
      <c r="K144" s="856"/>
      <c r="L144" s="723"/>
      <c r="M144" s="856"/>
      <c r="N144" s="723"/>
      <c r="O144" s="723"/>
    </row>
    <row r="145" spans="3:15">
      <c r="C145" s="713">
        <f>IF(D94="","-",+C144+1)</f>
        <v>2058</v>
      </c>
      <c r="D145" s="666">
        <f t="shared" si="1"/>
        <v>280408.84559322137</v>
      </c>
      <c r="E145" s="720">
        <f t="shared" si="5"/>
        <v>18903.967118644068</v>
      </c>
      <c r="F145" s="666">
        <f t="shared" si="0"/>
        <v>261504.8784745773</v>
      </c>
      <c r="G145" s="1258">
        <f t="shared" si="2"/>
        <v>45661.062351529035</v>
      </c>
      <c r="H145" s="1261">
        <f t="shared" si="3"/>
        <v>45661.062351529035</v>
      </c>
      <c r="I145" s="717">
        <f t="shared" si="4"/>
        <v>0</v>
      </c>
      <c r="J145" s="717"/>
      <c r="K145" s="856"/>
      <c r="L145" s="723"/>
      <c r="M145" s="856"/>
      <c r="N145" s="723"/>
      <c r="O145" s="723"/>
    </row>
    <row r="146" spans="3:15">
      <c r="C146" s="713">
        <f>IF(D94="","-",+C145+1)</f>
        <v>2059</v>
      </c>
      <c r="D146" s="666">
        <f t="shared" si="1"/>
        <v>261504.8784745773</v>
      </c>
      <c r="E146" s="720">
        <f t="shared" si="5"/>
        <v>18903.967118644068</v>
      </c>
      <c r="F146" s="666">
        <f t="shared" si="0"/>
        <v>242600.91135593323</v>
      </c>
      <c r="G146" s="1258">
        <f t="shared" si="2"/>
        <v>43794.288265513809</v>
      </c>
      <c r="H146" s="1261">
        <f t="shared" si="3"/>
        <v>43794.288265513809</v>
      </c>
      <c r="I146" s="717">
        <f t="shared" si="4"/>
        <v>0</v>
      </c>
      <c r="J146" s="717"/>
      <c r="K146" s="856"/>
      <c r="L146" s="723"/>
      <c r="M146" s="856"/>
      <c r="N146" s="723"/>
      <c r="O146" s="723"/>
    </row>
    <row r="147" spans="3:15">
      <c r="C147" s="713">
        <f>IF(D94="","-",+C146+1)</f>
        <v>2060</v>
      </c>
      <c r="D147" s="666">
        <f t="shared" si="1"/>
        <v>242600.91135593323</v>
      </c>
      <c r="E147" s="720">
        <f t="shared" si="5"/>
        <v>18903.967118644068</v>
      </c>
      <c r="F147" s="666">
        <f t="shared" si="0"/>
        <v>223696.94423728916</v>
      </c>
      <c r="G147" s="1258">
        <f t="shared" si="2"/>
        <v>41927.51417949859</v>
      </c>
      <c r="H147" s="1261">
        <f t="shared" si="3"/>
        <v>41927.51417949859</v>
      </c>
      <c r="I147" s="717">
        <f t="shared" si="4"/>
        <v>0</v>
      </c>
      <c r="J147" s="717"/>
      <c r="K147" s="856"/>
      <c r="L147" s="723"/>
      <c r="M147" s="856"/>
      <c r="N147" s="723"/>
      <c r="O147" s="723"/>
    </row>
    <row r="148" spans="3:15">
      <c r="C148" s="713">
        <f>IF(D94="","-",+C147+1)</f>
        <v>2061</v>
      </c>
      <c r="D148" s="666">
        <f t="shared" si="1"/>
        <v>223696.94423728916</v>
      </c>
      <c r="E148" s="720">
        <f t="shared" si="5"/>
        <v>18903.967118644068</v>
      </c>
      <c r="F148" s="666">
        <f t="shared" si="0"/>
        <v>204792.9771186451</v>
      </c>
      <c r="G148" s="1258">
        <f t="shared" si="2"/>
        <v>40060.740093483364</v>
      </c>
      <c r="H148" s="1261">
        <f t="shared" si="3"/>
        <v>40060.740093483364</v>
      </c>
      <c r="I148" s="717">
        <f t="shared" si="4"/>
        <v>0</v>
      </c>
      <c r="J148" s="717"/>
      <c r="K148" s="856"/>
      <c r="L148" s="723"/>
      <c r="M148" s="856"/>
      <c r="N148" s="723"/>
      <c r="O148" s="723"/>
    </row>
    <row r="149" spans="3:15">
      <c r="C149" s="713">
        <f>IF(D94="","-",+C148+1)</f>
        <v>2062</v>
      </c>
      <c r="D149" s="666">
        <f t="shared" si="1"/>
        <v>204792.9771186451</v>
      </c>
      <c r="E149" s="720">
        <f t="shared" si="5"/>
        <v>18903.967118644068</v>
      </c>
      <c r="F149" s="666">
        <f t="shared" si="0"/>
        <v>185889.01000000103</v>
      </c>
      <c r="G149" s="1258">
        <f t="shared" si="2"/>
        <v>38193.966007468145</v>
      </c>
      <c r="H149" s="1261">
        <f t="shared" si="3"/>
        <v>38193.966007468145</v>
      </c>
      <c r="I149" s="717">
        <f t="shared" si="4"/>
        <v>0</v>
      </c>
      <c r="J149" s="717"/>
      <c r="K149" s="856"/>
      <c r="L149" s="723"/>
      <c r="M149" s="856"/>
      <c r="N149" s="723"/>
      <c r="O149" s="723"/>
    </row>
    <row r="150" spans="3:15">
      <c r="C150" s="713">
        <f>IF(D94="","-",+C149+1)</f>
        <v>2063</v>
      </c>
      <c r="D150" s="666">
        <f t="shared" si="1"/>
        <v>185889.01000000103</v>
      </c>
      <c r="E150" s="720">
        <f t="shared" si="5"/>
        <v>18903.967118644068</v>
      </c>
      <c r="F150" s="666">
        <f t="shared" si="0"/>
        <v>166985.04288135696</v>
      </c>
      <c r="G150" s="1258">
        <f t="shared" si="2"/>
        <v>36327.191921452919</v>
      </c>
      <c r="H150" s="1261">
        <f t="shared" si="3"/>
        <v>36327.191921452919</v>
      </c>
      <c r="I150" s="717">
        <f t="shared" si="4"/>
        <v>0</v>
      </c>
      <c r="J150" s="717"/>
      <c r="K150" s="856"/>
      <c r="L150" s="723"/>
      <c r="M150" s="856"/>
      <c r="N150" s="723"/>
      <c r="O150" s="723"/>
    </row>
    <row r="151" spans="3:15">
      <c r="C151" s="713">
        <f>IF(D94="","-",+C150+1)</f>
        <v>2064</v>
      </c>
      <c r="D151" s="666">
        <f t="shared" si="1"/>
        <v>166985.04288135696</v>
      </c>
      <c r="E151" s="720">
        <f t="shared" si="5"/>
        <v>18903.967118644068</v>
      </c>
      <c r="F151" s="666">
        <f t="shared" si="0"/>
        <v>148081.07576271289</v>
      </c>
      <c r="G151" s="1258">
        <f t="shared" si="2"/>
        <v>34460.4178354377</v>
      </c>
      <c r="H151" s="1261">
        <f t="shared" si="3"/>
        <v>34460.4178354377</v>
      </c>
      <c r="I151" s="717">
        <f t="shared" si="4"/>
        <v>0</v>
      </c>
      <c r="J151" s="717"/>
      <c r="K151" s="856"/>
      <c r="L151" s="723"/>
      <c r="M151" s="856"/>
      <c r="N151" s="723"/>
      <c r="O151" s="723"/>
    </row>
    <row r="152" spans="3:15">
      <c r="C152" s="713">
        <f>IF(D94="","-",+C151+1)</f>
        <v>2065</v>
      </c>
      <c r="D152" s="666">
        <f t="shared" si="1"/>
        <v>148081.07576271289</v>
      </c>
      <c r="E152" s="720">
        <f t="shared" si="5"/>
        <v>18903.967118644068</v>
      </c>
      <c r="F152" s="666">
        <f t="shared" si="0"/>
        <v>129177.10864406882</v>
      </c>
      <c r="G152" s="1258">
        <f t="shared" si="2"/>
        <v>32593.643749422474</v>
      </c>
      <c r="H152" s="1261">
        <f t="shared" si="3"/>
        <v>32593.643749422474</v>
      </c>
      <c r="I152" s="717">
        <f t="shared" si="4"/>
        <v>0</v>
      </c>
      <c r="J152" s="717"/>
      <c r="K152" s="856"/>
      <c r="L152" s="723"/>
      <c r="M152" s="856"/>
      <c r="N152" s="723"/>
      <c r="O152" s="723"/>
    </row>
    <row r="153" spans="3:15">
      <c r="C153" s="713">
        <f>IF(D94="","-",+C152+1)</f>
        <v>2066</v>
      </c>
      <c r="D153" s="666">
        <f t="shared" si="1"/>
        <v>129177.10864406882</v>
      </c>
      <c r="E153" s="720">
        <f t="shared" si="5"/>
        <v>18903.967118644068</v>
      </c>
      <c r="F153" s="666">
        <f t="shared" si="0"/>
        <v>110273.14152542475</v>
      </c>
      <c r="G153" s="1258">
        <f t="shared" si="2"/>
        <v>30726.869663407248</v>
      </c>
      <c r="H153" s="1261">
        <f t="shared" si="3"/>
        <v>30726.869663407248</v>
      </c>
      <c r="I153" s="717">
        <f t="shared" si="4"/>
        <v>0</v>
      </c>
      <c r="J153" s="717"/>
      <c r="K153" s="856"/>
      <c r="L153" s="723"/>
      <c r="M153" s="856"/>
      <c r="N153" s="723"/>
      <c r="O153" s="723"/>
    </row>
    <row r="154" spans="3:15">
      <c r="C154" s="713">
        <f>IF(D94="","-",+C153+1)</f>
        <v>2067</v>
      </c>
      <c r="D154" s="666">
        <f t="shared" si="1"/>
        <v>110273.14152542475</v>
      </c>
      <c r="E154" s="720">
        <f t="shared" si="5"/>
        <v>18903.967118644068</v>
      </c>
      <c r="F154" s="666">
        <f t="shared" si="0"/>
        <v>91369.174406780687</v>
      </c>
      <c r="G154" s="1258">
        <f t="shared" si="2"/>
        <v>28860.095577392029</v>
      </c>
      <c r="H154" s="1261">
        <f t="shared" si="3"/>
        <v>28860.095577392029</v>
      </c>
      <c r="I154" s="717">
        <f t="shared" si="4"/>
        <v>0</v>
      </c>
      <c r="J154" s="717"/>
      <c r="K154" s="856"/>
      <c r="L154" s="723"/>
      <c r="M154" s="856"/>
      <c r="N154" s="723"/>
      <c r="O154" s="723"/>
    </row>
    <row r="155" spans="3:15">
      <c r="C155" s="713">
        <f>IF(D94="","-",+C154+1)</f>
        <v>2068</v>
      </c>
      <c r="D155" s="666">
        <f t="shared" si="1"/>
        <v>91369.174406780687</v>
      </c>
      <c r="E155" s="720">
        <f t="shared" si="5"/>
        <v>18903.967118644068</v>
      </c>
      <c r="F155" s="666">
        <f t="shared" si="0"/>
        <v>72465.207288136618</v>
      </c>
      <c r="G155" s="1258">
        <f t="shared" si="2"/>
        <v>26993.321491376802</v>
      </c>
      <c r="H155" s="1261">
        <f t="shared" si="3"/>
        <v>26993.321491376802</v>
      </c>
      <c r="I155" s="717">
        <f t="shared" si="4"/>
        <v>0</v>
      </c>
      <c r="J155" s="717"/>
      <c r="K155" s="856"/>
      <c r="L155" s="723"/>
      <c r="M155" s="856"/>
      <c r="N155" s="723"/>
      <c r="O155" s="723"/>
    </row>
    <row r="156" spans="3:15">
      <c r="C156" s="713">
        <f>IF(D94="","-",+C155+1)</f>
        <v>2069</v>
      </c>
      <c r="D156" s="666">
        <f t="shared" si="1"/>
        <v>72465.207288136618</v>
      </c>
      <c r="E156" s="720">
        <f t="shared" si="5"/>
        <v>18903.967118644068</v>
      </c>
      <c r="F156" s="666">
        <f t="shared" si="0"/>
        <v>53561.24016949255</v>
      </c>
      <c r="G156" s="1258">
        <f t="shared" si="2"/>
        <v>25126.54740536158</v>
      </c>
      <c r="H156" s="1261">
        <f t="shared" si="3"/>
        <v>25126.54740536158</v>
      </c>
      <c r="I156" s="717">
        <f t="shared" si="4"/>
        <v>0</v>
      </c>
      <c r="J156" s="717"/>
      <c r="K156" s="856"/>
      <c r="L156" s="723"/>
      <c r="M156" s="856"/>
      <c r="N156" s="723"/>
      <c r="O156" s="723"/>
    </row>
    <row r="157" spans="3:15">
      <c r="C157" s="713">
        <f>IF(D94="","-",+C156+1)</f>
        <v>2070</v>
      </c>
      <c r="D157" s="666">
        <f t="shared" si="1"/>
        <v>53561.24016949255</v>
      </c>
      <c r="E157" s="720">
        <f t="shared" si="5"/>
        <v>18903.967118644068</v>
      </c>
      <c r="F157" s="666">
        <f t="shared" si="0"/>
        <v>34657.273050848482</v>
      </c>
      <c r="G157" s="1258">
        <f t="shared" si="2"/>
        <v>23259.773319346357</v>
      </c>
      <c r="H157" s="1261">
        <f t="shared" si="3"/>
        <v>23259.773319346357</v>
      </c>
      <c r="I157" s="717">
        <f t="shared" si="4"/>
        <v>0</v>
      </c>
      <c r="J157" s="717"/>
      <c r="K157" s="856"/>
      <c r="L157" s="723"/>
      <c r="M157" s="856"/>
      <c r="N157" s="723"/>
      <c r="O157" s="723"/>
    </row>
    <row r="158" spans="3:15">
      <c r="C158" s="713">
        <f>IF(D94="","-",+C157+1)</f>
        <v>2071</v>
      </c>
      <c r="D158" s="666">
        <f t="shared" si="1"/>
        <v>34657.273050848482</v>
      </c>
      <c r="E158" s="720">
        <f t="shared" si="5"/>
        <v>18903.967118644068</v>
      </c>
      <c r="F158" s="666">
        <f t="shared" si="0"/>
        <v>15753.305932204414</v>
      </c>
      <c r="G158" s="1258">
        <f t="shared" si="2"/>
        <v>21392.999233331135</v>
      </c>
      <c r="H158" s="1261">
        <f t="shared" si="3"/>
        <v>21392.999233331135</v>
      </c>
      <c r="I158" s="717">
        <f t="shared" si="4"/>
        <v>0</v>
      </c>
      <c r="J158" s="717"/>
      <c r="K158" s="856"/>
      <c r="L158" s="723"/>
      <c r="M158" s="856"/>
      <c r="N158" s="723"/>
      <c r="O158" s="723"/>
    </row>
    <row r="159" spans="3:15" ht="13.5" thickBot="1">
      <c r="C159" s="724">
        <f>IF(D94="","-",+C158+1)</f>
        <v>2072</v>
      </c>
      <c r="D159" s="725">
        <f t="shared" si="1"/>
        <v>15753.305932204414</v>
      </c>
      <c r="E159" s="726">
        <f t="shared" si="5"/>
        <v>15753.305932204414</v>
      </c>
      <c r="F159" s="725">
        <f t="shared" si="0"/>
        <v>0</v>
      </c>
      <c r="G159" s="1268">
        <f t="shared" si="2"/>
        <v>16531.128468044142</v>
      </c>
      <c r="H159" s="1268">
        <f t="shared" si="3"/>
        <v>16531.128468044142</v>
      </c>
      <c r="I159" s="728">
        <f t="shared" si="4"/>
        <v>0</v>
      </c>
      <c r="J159" s="717"/>
      <c r="K159" s="857"/>
      <c r="L159" s="730"/>
      <c r="M159" s="857"/>
      <c r="N159" s="730"/>
      <c r="O159" s="730"/>
    </row>
    <row r="160" spans="3:15">
      <c r="C160" s="666" t="s">
        <v>288</v>
      </c>
      <c r="D160" s="1237"/>
      <c r="E160" s="666"/>
      <c r="F160" s="1237"/>
      <c r="G160" s="1237">
        <f>SUM(G100:G159)</f>
        <v>4456237.4159385813</v>
      </c>
      <c r="H160" s="1237">
        <f>SUM(H100:H159)</f>
        <v>4456237.4159385813</v>
      </c>
      <c r="I160" s="1237">
        <f>SUM(I100:I159)</f>
        <v>0</v>
      </c>
      <c r="J160" s="1237"/>
      <c r="K160" s="1237"/>
      <c r="L160" s="1237"/>
      <c r="M160" s="1237"/>
      <c r="N160" s="1237"/>
      <c r="O160" s="535"/>
    </row>
    <row r="161" spans="3:15">
      <c r="D161" s="556"/>
      <c r="E161" s="535"/>
      <c r="F161" s="535"/>
      <c r="G161" s="535"/>
      <c r="H161" s="1236"/>
      <c r="I161" s="1236"/>
      <c r="J161" s="1237"/>
      <c r="K161" s="1236"/>
      <c r="L161" s="1236"/>
      <c r="M161" s="1236"/>
      <c r="N161" s="1236"/>
      <c r="O161" s="535"/>
    </row>
    <row r="162" spans="3:15">
      <c r="C162" s="535" t="s">
        <v>597</v>
      </c>
      <c r="D162" s="556"/>
      <c r="E162" s="535"/>
      <c r="F162" s="535"/>
      <c r="G162" s="535"/>
      <c r="H162" s="1236"/>
      <c r="I162" s="1236"/>
      <c r="J162" s="1237"/>
      <c r="K162" s="1236"/>
      <c r="L162" s="1236"/>
      <c r="M162" s="1236"/>
      <c r="N162" s="1236"/>
      <c r="O162" s="535"/>
    </row>
    <row r="163" spans="3:15">
      <c r="C163" s="535"/>
      <c r="D163" s="556"/>
      <c r="E163" s="535"/>
      <c r="F163" s="535"/>
      <c r="G163" s="535"/>
      <c r="H163" s="1236"/>
      <c r="I163" s="1236"/>
      <c r="J163" s="1237"/>
      <c r="K163" s="1236"/>
      <c r="L163" s="1236"/>
      <c r="M163" s="1236"/>
      <c r="N163" s="1236"/>
      <c r="O163" s="535"/>
    </row>
    <row r="164" spans="3:15">
      <c r="C164" s="677" t="s">
        <v>899</v>
      </c>
      <c r="D164" s="666"/>
      <c r="E164" s="666"/>
      <c r="F164" s="666"/>
      <c r="G164" s="1278"/>
      <c r="H164" s="1237"/>
      <c r="I164" s="667"/>
      <c r="J164" s="667"/>
      <c r="K164" s="667"/>
      <c r="L164" s="1281"/>
      <c r="M164" s="667"/>
      <c r="N164" s="667"/>
      <c r="O164" s="535"/>
    </row>
    <row r="165" spans="3:15">
      <c r="C165" s="677" t="s">
        <v>476</v>
      </c>
      <c r="D165" s="666"/>
      <c r="E165" s="666"/>
      <c r="F165" s="666"/>
      <c r="G165" s="1237"/>
      <c r="H165" s="1237"/>
      <c r="I165" s="667"/>
      <c r="J165" s="667"/>
      <c r="K165" s="667"/>
      <c r="L165" s="667"/>
      <c r="M165" s="667"/>
      <c r="N165" s="667"/>
      <c r="O165" s="535"/>
    </row>
    <row r="166" spans="3:15">
      <c r="C166" s="665" t="s">
        <v>289</v>
      </c>
      <c r="D166" s="666"/>
      <c r="E166" s="666"/>
      <c r="F166" s="666"/>
      <c r="G166" s="1237"/>
      <c r="H166" s="1237"/>
      <c r="I166" s="667"/>
      <c r="J166" s="667"/>
      <c r="K166" s="667"/>
      <c r="L166" s="667"/>
      <c r="M166" s="667"/>
      <c r="N166" s="667"/>
      <c r="O166" s="535"/>
    </row>
    <row r="167" spans="3:15" ht="12.75" customHeight="1">
      <c r="C167" s="665"/>
      <c r="D167" s="666"/>
      <c r="E167" s="666"/>
      <c r="F167" s="666"/>
      <c r="G167" s="1237"/>
      <c r="H167" s="1237"/>
      <c r="I167" s="667"/>
      <c r="J167" s="667"/>
      <c r="K167" s="667"/>
      <c r="L167" s="667"/>
      <c r="M167" s="667"/>
      <c r="N167" s="667"/>
      <c r="O167" s="535"/>
    </row>
    <row r="168" spans="3:15">
      <c r="C168" s="1501" t="s">
        <v>460</v>
      </c>
      <c r="D168" s="1501"/>
      <c r="E168" s="1501"/>
      <c r="F168" s="1501"/>
      <c r="G168" s="1501"/>
      <c r="H168" s="1501"/>
      <c r="I168" s="1501"/>
      <c r="J168" s="1501"/>
      <c r="K168" s="1501"/>
      <c r="L168" s="1501"/>
      <c r="M168" s="1501"/>
      <c r="N168" s="1501"/>
      <c r="O168" s="1501"/>
    </row>
    <row r="169" spans="3:15">
      <c r="C169" s="1501"/>
      <c r="D169" s="1501"/>
      <c r="E169" s="1501"/>
      <c r="F169" s="1501"/>
      <c r="G169" s="1501"/>
      <c r="H169" s="1501"/>
      <c r="I169" s="1501"/>
      <c r="J169" s="1501"/>
      <c r="K169" s="1501"/>
      <c r="L169" s="1501"/>
      <c r="M169" s="1501"/>
      <c r="N169" s="1501"/>
      <c r="O169" s="1501"/>
    </row>
    <row r="170" spans="3:15">
      <c r="H170" s="1269"/>
    </row>
  </sheetData>
  <mergeCells count="9">
    <mergeCell ref="D89:G89"/>
    <mergeCell ref="K93:O93"/>
    <mergeCell ref="C168:O169"/>
    <mergeCell ref="K22:O23"/>
    <mergeCell ref="A3:O3"/>
    <mergeCell ref="C11:H12"/>
    <mergeCell ref="A4:O4"/>
    <mergeCell ref="A5:O5"/>
    <mergeCell ref="A6:O6"/>
  </mergeCells>
  <phoneticPr fontId="0" type="noConversion"/>
  <conditionalFormatting sqref="C100:C159">
    <cfRule type="cellIs" dxfId="22" priority="20"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 manualBreakCount="1">
    <brk id="8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topLeftCell="A88" zoomScale="85" zoomScaleNormal="100" zoomScaleSheetLayoutView="85" workbookViewId="0"/>
  </sheetViews>
  <sheetFormatPr defaultColWidth="8.85546875" defaultRowHeight="12.75"/>
  <cols>
    <col min="1" max="1" width="4.7109375" style="322" customWidth="1"/>
    <col min="2" max="2" width="6.7109375" style="404" customWidth="1"/>
    <col min="3" max="3" width="32.28515625" style="322" customWidth="1"/>
    <col min="4" max="4" width="17.7109375" style="416" customWidth="1"/>
    <col min="5" max="8" width="17.7109375" style="322" customWidth="1"/>
    <col min="9" max="9" width="17.7109375" style="582" customWidth="1"/>
    <col min="10" max="10" width="17.7109375" style="322" bestFit="1" customWidth="1"/>
    <col min="11" max="11" width="2.140625" style="306" customWidth="1"/>
    <col min="12" max="12" width="17.7109375" style="535" customWidth="1"/>
    <col min="13" max="13" width="31.85546875" style="535" customWidth="1"/>
    <col min="14" max="15" width="17.7109375" style="535" customWidth="1"/>
    <col min="16" max="16" width="16.7109375" style="535" customWidth="1"/>
    <col min="17" max="17" width="2.140625" style="535" customWidth="1"/>
    <col min="18" max="16384" width="8.85546875" style="322"/>
  </cols>
  <sheetData>
    <row r="1" spans="1:17" ht="15.75">
      <c r="A1" s="874" t="s">
        <v>626</v>
      </c>
    </row>
    <row r="2" spans="1:17" ht="15.75">
      <c r="A2" s="874" t="s">
        <v>627</v>
      </c>
    </row>
    <row r="3" spans="1:17" ht="15">
      <c r="A3" s="1485" t="s">
        <v>387</v>
      </c>
      <c r="B3" s="1485"/>
      <c r="C3" s="1485"/>
      <c r="D3" s="1485"/>
      <c r="E3" s="1485"/>
      <c r="F3" s="1485"/>
      <c r="G3" s="1485"/>
      <c r="H3" s="1485"/>
      <c r="I3" s="1485"/>
      <c r="J3" s="1485"/>
      <c r="K3" s="1485"/>
      <c r="L3" s="1485"/>
      <c r="M3" s="1485"/>
      <c r="N3" s="1485"/>
      <c r="O3" s="1485"/>
      <c r="P3" s="1485"/>
      <c r="Q3" s="581"/>
    </row>
    <row r="4" spans="1:17" ht="15">
      <c r="A4" s="1486" t="str">
        <f>"Cost of Service Formula Rate Using "&amp;TCOS!L4&amp;" FF1 Balances"</f>
        <v>Cost of Service Formula Rate Using 2023 FF1 Balances</v>
      </c>
      <c r="B4" s="1486"/>
      <c r="C4" s="1486"/>
      <c r="D4" s="1486"/>
      <c r="E4" s="1486"/>
      <c r="F4" s="1486"/>
      <c r="G4" s="1486"/>
      <c r="H4" s="1486"/>
      <c r="I4" s="1486"/>
      <c r="J4" s="1486"/>
      <c r="K4" s="1486"/>
      <c r="L4" s="1486"/>
      <c r="M4" s="1486"/>
      <c r="N4" s="1486"/>
      <c r="O4" s="1486"/>
      <c r="P4" s="1486"/>
      <c r="Q4" s="581"/>
    </row>
    <row r="5" spans="1:17" ht="15">
      <c r="A5" s="1486" t="s">
        <v>469</v>
      </c>
      <c r="B5" s="1486"/>
      <c r="C5" s="1486"/>
      <c r="D5" s="1486"/>
      <c r="E5" s="1486"/>
      <c r="F5" s="1486"/>
      <c r="G5" s="1486"/>
      <c r="H5" s="1486"/>
      <c r="I5" s="1486"/>
      <c r="J5" s="1486"/>
      <c r="K5" s="1486"/>
      <c r="L5" s="1486"/>
      <c r="M5" s="1486"/>
      <c r="N5" s="1486"/>
      <c r="O5" s="1486"/>
      <c r="P5" s="1486"/>
      <c r="Q5" s="581"/>
    </row>
    <row r="6" spans="1:17" ht="15">
      <c r="A6" s="1487" t="str">
        <f>TCOS!F9</f>
        <v>WHEELING POWER COMPANY</v>
      </c>
      <c r="B6" s="1487"/>
      <c r="C6" s="1487"/>
      <c r="D6" s="1487"/>
      <c r="E6" s="1487"/>
      <c r="F6" s="1487"/>
      <c r="G6" s="1487"/>
      <c r="H6" s="1487"/>
      <c r="I6" s="1487"/>
      <c r="J6" s="1487"/>
      <c r="K6" s="1487"/>
      <c r="L6" s="1487"/>
      <c r="M6" s="1487"/>
      <c r="N6" s="1487"/>
      <c r="O6" s="1487"/>
      <c r="P6" s="1487"/>
      <c r="Q6" s="581"/>
    </row>
    <row r="7" spans="1:17">
      <c r="Q7" s="581"/>
    </row>
    <row r="8" spans="1:17" ht="20.25">
      <c r="A8" s="583"/>
      <c r="C8" s="404"/>
      <c r="O8" s="584" t="str">
        <f>"Page "&amp;Q8&amp;" of "</f>
        <v xml:space="preserve">Page 1 of </v>
      </c>
      <c r="P8" s="585">
        <f>COUNT(Q$8:Q$58122)</f>
        <v>2</v>
      </c>
      <c r="Q8" s="586">
        <v>1</v>
      </c>
    </row>
    <row r="9" spans="1:17" ht="18">
      <c r="C9" s="587"/>
      <c r="Q9" s="581"/>
    </row>
    <row r="10" spans="1:17">
      <c r="Q10" s="581"/>
    </row>
    <row r="11" spans="1:17" ht="18">
      <c r="B11" s="588" t="s">
        <v>171</v>
      </c>
      <c r="C11" s="1508" t="str">
        <f>"Calculate Return and Income Taxes with "&amp;F17&amp;" basis point ROE increase for Projects Qualified for Regional Billing."</f>
        <v>Calculate Return and Income Taxes with 0 basis point ROE increase for Projects Qualified for Regional Billing.</v>
      </c>
      <c r="D11" s="1509"/>
      <c r="E11" s="1509"/>
      <c r="F11" s="1509"/>
      <c r="G11" s="1509"/>
      <c r="H11" s="1509"/>
      <c r="I11" s="1509"/>
      <c r="Q11" s="581"/>
    </row>
    <row r="12" spans="1:17" ht="18.75" customHeight="1">
      <c r="C12" s="1509"/>
      <c r="D12" s="1509"/>
      <c r="E12" s="1509"/>
      <c r="F12" s="1509"/>
      <c r="G12" s="1509"/>
      <c r="H12" s="1509"/>
      <c r="I12" s="1509"/>
      <c r="Q12" s="581"/>
    </row>
    <row r="13" spans="1:17" ht="15.75" customHeight="1">
      <c r="C13" s="522"/>
      <c r="D13" s="522"/>
      <c r="E13" s="522"/>
      <c r="F13" s="522"/>
      <c r="G13" s="522"/>
      <c r="H13" s="522"/>
      <c r="I13" s="522"/>
      <c r="Q13" s="581"/>
    </row>
    <row r="14" spans="1:17" ht="15.75">
      <c r="C14" s="589" t="str">
        <f>"A.   Determine 'R' with hypothetical "&amp;F17&amp;" basis point increase in ROE for Identified Projects"</f>
        <v>A.   Determine 'R' with hypothetical 0 basis point increase in ROE for Identified Projects</v>
      </c>
      <c r="D14" s="371"/>
      <c r="Q14" s="581"/>
    </row>
    <row r="15" spans="1:17">
      <c r="C15" s="360"/>
      <c r="D15" s="371"/>
      <c r="Q15" s="581"/>
    </row>
    <row r="16" spans="1:17">
      <c r="C16" s="590" t="str">
        <f>"   ROE w/o incentives  (TCOS, ln "&amp;TCOS!B257&amp;")"</f>
        <v xml:space="preserve">   ROE w/o incentives  (TCOS, ln 156)</v>
      </c>
      <c r="D16" s="371"/>
      <c r="E16" s="591"/>
      <c r="F16" s="732">
        <f>TCOS!J257</f>
        <v>0.10349999999999999</v>
      </c>
      <c r="G16" s="732"/>
      <c r="H16" s="591"/>
      <c r="I16" s="593"/>
      <c r="J16" s="593"/>
      <c r="K16" s="594"/>
      <c r="L16" s="593"/>
      <c r="M16" s="593"/>
      <c r="N16" s="593"/>
      <c r="O16" s="593"/>
      <c r="P16" s="593"/>
      <c r="Q16" s="594"/>
    </row>
    <row r="17" spans="3:17" ht="13.5" thickBot="1">
      <c r="C17" s="612" t="s">
        <v>252</v>
      </c>
      <c r="D17" s="371"/>
      <c r="E17" s="591"/>
      <c r="F17" s="848">
        <v>0</v>
      </c>
      <c r="G17" s="591"/>
      <c r="H17" s="591"/>
      <c r="I17" s="593"/>
      <c r="J17" s="593"/>
      <c r="K17" s="594"/>
      <c r="L17" s="593"/>
      <c r="M17" s="593"/>
      <c r="N17" s="593"/>
      <c r="O17" s="593"/>
      <c r="P17" s="593"/>
      <c r="Q17" s="594"/>
    </row>
    <row r="18" spans="3:17">
      <c r="C18" s="612" t="str">
        <f>"   ROE with additional "&amp;F17&amp;" basis point incentive"</f>
        <v xml:space="preserve">   ROE with additional 0 basis point incentive</v>
      </c>
      <c r="D18" s="591"/>
      <c r="E18" s="591"/>
      <c r="F18" s="596">
        <f>IF((F16+(F17/10000)&gt;0.125),"ERROR",F16+(F17/10000))</f>
        <v>0.10349999999999999</v>
      </c>
      <c r="G18" s="597"/>
      <c r="H18" s="591"/>
      <c r="I18" s="593"/>
      <c r="J18" s="593"/>
      <c r="K18" s="594"/>
      <c r="L18" s="733" t="s">
        <v>454</v>
      </c>
      <c r="M18" s="734"/>
      <c r="N18" s="734"/>
      <c r="O18" s="734"/>
      <c r="P18" s="735"/>
      <c r="Q18" s="594"/>
    </row>
    <row r="19" spans="3:17">
      <c r="C19" s="59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71"/>
      <c r="E19" s="591"/>
      <c r="F19" s="598"/>
      <c r="G19" s="598"/>
      <c r="H19" s="591"/>
      <c r="I19" s="593"/>
      <c r="J19" s="593"/>
      <c r="K19" s="594"/>
      <c r="L19" s="736"/>
      <c r="M19" s="594"/>
      <c r="N19" s="594" t="s">
        <v>254</v>
      </c>
      <c r="O19" s="594" t="s">
        <v>255</v>
      </c>
      <c r="P19" s="737" t="s">
        <v>256</v>
      </c>
      <c r="Q19" s="594"/>
    </row>
    <row r="20" spans="3:17">
      <c r="C20" s="594"/>
      <c r="D20" s="599" t="s">
        <v>146</v>
      </c>
      <c r="E20" s="599" t="s">
        <v>145</v>
      </c>
      <c r="F20" s="600" t="s">
        <v>253</v>
      </c>
      <c r="G20" s="600"/>
      <c r="H20" s="591"/>
      <c r="I20" s="593"/>
      <c r="J20" s="593"/>
      <c r="K20" s="594"/>
      <c r="L20" s="736" t="s">
        <v>452</v>
      </c>
      <c r="M20" s="738">
        <f>+TCOS!L4</f>
        <v>2023</v>
      </c>
      <c r="N20" s="581"/>
      <c r="O20" s="581"/>
      <c r="P20" s="739"/>
      <c r="Q20" s="594"/>
    </row>
    <row r="21" spans="3:17">
      <c r="C21" s="601" t="s">
        <v>257</v>
      </c>
      <c r="D21" s="740">
        <f>TCOS!H255</f>
        <v>0.53857719130517834</v>
      </c>
      <c r="E21" s="603">
        <f>TCOS!J255</f>
        <v>4.3859232175502742E-2</v>
      </c>
      <c r="F21" s="604">
        <f>E21*D21</f>
        <v>2.3621582077883972E-2</v>
      </c>
      <c r="G21" s="604"/>
      <c r="H21" s="591"/>
      <c r="I21" s="593"/>
      <c r="J21" s="605"/>
      <c r="K21" s="606"/>
      <c r="L21" s="741"/>
      <c r="M21" s="742" t="s">
        <v>453</v>
      </c>
      <c r="N21" s="858" t="e">
        <f>M90+#REF!+#REF!+#REF!+#REF!+#REF!+#REF!+#REF!+#REF!</f>
        <v>#N/A</v>
      </c>
      <c r="O21" s="858" t="e">
        <f>N90+#REF!+#REF!+#REF!+#REF!+#REF!+#REF!+#REF!+#REF!</f>
        <v>#N/A</v>
      </c>
      <c r="P21" s="743" t="e">
        <f>+O21-N21</f>
        <v>#N/A</v>
      </c>
      <c r="Q21" s="606"/>
    </row>
    <row r="22" spans="3:17" ht="13.5" thickBot="1">
      <c r="C22" s="601" t="s">
        <v>258</v>
      </c>
      <c r="D22" s="740">
        <f>TCOS!H256</f>
        <v>0</v>
      </c>
      <c r="E22" s="603">
        <f>TCOS!J256</f>
        <v>0</v>
      </c>
      <c r="F22" s="604">
        <f>E22*D22</f>
        <v>0</v>
      </c>
      <c r="G22" s="604"/>
      <c r="H22" s="607"/>
      <c r="I22" s="607"/>
      <c r="J22" s="608"/>
      <c r="K22" s="609"/>
      <c r="L22" s="741"/>
      <c r="M22" s="742" t="s">
        <v>259</v>
      </c>
      <c r="N22" s="859" t="e">
        <f>M91+#REF!+#REF!+#REF!+#REF!+#REF!+#REF!+#REF!+#REF!</f>
        <v>#N/A</v>
      </c>
      <c r="O22" s="859" t="e">
        <f>N91+#REF!+#REF!+#REF!+#REF!+#REF!+#REF!+#REF!+#REF!</f>
        <v>#N/A</v>
      </c>
      <c r="P22" s="744" t="e">
        <f>+O22-N22</f>
        <v>#N/A</v>
      </c>
      <c r="Q22" s="609"/>
    </row>
    <row r="23" spans="3:17">
      <c r="C23" s="610" t="s">
        <v>244</v>
      </c>
      <c r="D23" s="740">
        <f>TCOS!H257</f>
        <v>0.46142280869482166</v>
      </c>
      <c r="E23" s="603">
        <f>+F18</f>
        <v>0.10349999999999999</v>
      </c>
      <c r="F23" s="611">
        <f>E23*D23</f>
        <v>4.7757260699914039E-2</v>
      </c>
      <c r="G23" s="611"/>
      <c r="H23" s="607"/>
      <c r="I23" s="607"/>
      <c r="J23" s="608"/>
      <c r="K23" s="609"/>
      <c r="L23" s="741"/>
      <c r="M23" s="742" t="str">
        <f>"True-up of ARR For "&amp;TCOS!L4&amp;""</f>
        <v>True-up of ARR For 2023</v>
      </c>
      <c r="N23" s="666" t="e">
        <f>+N22-N21</f>
        <v>#N/A</v>
      </c>
      <c r="O23" s="666" t="e">
        <f>+O22-O21</f>
        <v>#N/A</v>
      </c>
      <c r="P23" s="745" t="e">
        <f>+P22-P21</f>
        <v>#N/A</v>
      </c>
      <c r="Q23" s="609"/>
    </row>
    <row r="24" spans="3:17">
      <c r="C24" s="612"/>
      <c r="D24" s="322"/>
      <c r="E24" s="613" t="s">
        <v>260</v>
      </c>
      <c r="F24" s="604">
        <f>SUM(F21:F23)</f>
        <v>7.1378842777798018E-2</v>
      </c>
      <c r="G24" s="604"/>
      <c r="H24" s="607"/>
      <c r="I24" s="607"/>
      <c r="J24" s="608"/>
      <c r="K24" s="609"/>
      <c r="L24" s="741"/>
      <c r="M24" s="581"/>
      <c r="N24" s="581"/>
      <c r="O24" s="581"/>
      <c r="P24" s="739"/>
      <c r="Q24" s="609"/>
    </row>
    <row r="25" spans="3:17" ht="13.5" thickBot="1">
      <c r="C25" s="360"/>
      <c r="D25" s="618"/>
      <c r="E25" s="618"/>
      <c r="F25" s="607"/>
      <c r="G25" s="607"/>
      <c r="H25" s="607"/>
      <c r="I25" s="607"/>
      <c r="J25" s="607"/>
      <c r="K25" s="619"/>
      <c r="L25" s="746"/>
      <c r="M25" s="747"/>
      <c r="N25" s="748"/>
      <c r="O25" s="748"/>
      <c r="P25" s="744"/>
      <c r="Q25" s="619"/>
    </row>
    <row r="26" spans="3:17" ht="15.75">
      <c r="C26" s="589" t="str">
        <f>"B.   Determine Return using 'R' with hypothetical "&amp;F17&amp;" basis point ROE increase for Identified Projects."</f>
        <v>B.   Determine Return using 'R' with hypothetical 0 basis point ROE increase for Identified Projects.</v>
      </c>
      <c r="D26" s="618"/>
      <c r="E26" s="618"/>
      <c r="F26" s="623"/>
      <c r="G26" s="623"/>
      <c r="H26" s="607"/>
      <c r="I26" s="591"/>
      <c r="J26" s="607"/>
      <c r="K26" s="619"/>
      <c r="L26" s="607"/>
      <c r="M26" s="607"/>
      <c r="N26" s="607"/>
      <c r="O26" s="607"/>
      <c r="P26" s="607"/>
      <c r="Q26" s="619"/>
    </row>
    <row r="27" spans="3:17">
      <c r="C27" s="594"/>
      <c r="D27" s="618"/>
      <c r="E27" s="618"/>
      <c r="F27" s="619"/>
      <c r="G27" s="619"/>
      <c r="H27" s="619"/>
      <c r="I27" s="619"/>
      <c r="J27" s="619"/>
      <c r="K27" s="619"/>
      <c r="L27" s="619"/>
      <c r="M27" s="619"/>
      <c r="N27" s="619"/>
      <c r="O27" s="619"/>
      <c r="P27" s="619"/>
      <c r="Q27" s="619"/>
    </row>
    <row r="28" spans="3:17">
      <c r="C28" s="628" t="str">
        <f>"   Rate Base  (TCOS, ln "&amp;TCOS!B125&amp;")"</f>
        <v xml:space="preserve">   Rate Base  (TCOS, ln 68)</v>
      </c>
      <c r="D28" s="591"/>
      <c r="E28" s="629">
        <f>TCOS!L125</f>
        <v>103185072.24090236</v>
      </c>
      <c r="F28" s="749"/>
      <c r="G28" s="749"/>
      <c r="H28" s="619"/>
      <c r="I28" s="619"/>
      <c r="J28" s="619"/>
      <c r="K28" s="619"/>
      <c r="L28" s="619"/>
      <c r="M28" s="619"/>
      <c r="N28" s="619"/>
      <c r="O28" s="619"/>
      <c r="P28" s="749"/>
      <c r="Q28" s="619"/>
    </row>
    <row r="29" spans="3:17">
      <c r="C29" s="594" t="s">
        <v>474</v>
      </c>
      <c r="D29" s="631"/>
      <c r="E29" s="604">
        <f>F24</f>
        <v>7.1378842777798018E-2</v>
      </c>
      <c r="F29" s="619"/>
      <c r="G29" s="619"/>
      <c r="H29" s="619"/>
      <c r="I29" s="619"/>
      <c r="J29" s="619"/>
      <c r="K29" s="619"/>
      <c r="L29" s="619"/>
      <c r="M29" s="619"/>
      <c r="N29" s="619"/>
      <c r="O29" s="619"/>
      <c r="P29" s="619"/>
      <c r="Q29" s="619"/>
    </row>
    <row r="30" spans="3:17">
      <c r="C30" s="632" t="s">
        <v>262</v>
      </c>
      <c r="D30" s="632"/>
      <c r="E30" s="608">
        <f>E28*E29</f>
        <v>7365231.0484991008</v>
      </c>
      <c r="F30" s="619"/>
      <c r="G30" s="619"/>
      <c r="H30" s="619"/>
      <c r="I30" s="619"/>
      <c r="J30" s="609"/>
      <c r="K30" s="609"/>
      <c r="L30" s="609"/>
      <c r="M30" s="609"/>
      <c r="N30" s="609"/>
      <c r="O30" s="609"/>
      <c r="P30" s="619"/>
      <c r="Q30" s="609"/>
    </row>
    <row r="31" spans="3:17">
      <c r="C31" s="633"/>
      <c r="D31" s="593"/>
      <c r="E31" s="593"/>
      <c r="F31" s="619"/>
      <c r="G31" s="619"/>
      <c r="H31" s="619"/>
      <c r="I31" s="619"/>
      <c r="J31" s="609"/>
      <c r="K31" s="609"/>
      <c r="L31" s="609"/>
      <c r="M31" s="609"/>
      <c r="N31" s="609"/>
      <c r="O31" s="609"/>
      <c r="P31" s="619"/>
      <c r="Q31" s="609"/>
    </row>
    <row r="32" spans="3:17" ht="15.75">
      <c r="C32" s="589" t="str">
        <f>"C.   Determine Income Taxes using Return with hypothetical "&amp;F17&amp;" basis point ROE increase for Identified Projects."</f>
        <v>C.   Determine Income Taxes using Return with hypothetical 0 basis point ROE increase for Identified Projects.</v>
      </c>
      <c r="D32" s="634"/>
      <c r="E32" s="634"/>
      <c r="F32" s="635"/>
      <c r="G32" s="635"/>
      <c r="H32" s="635"/>
      <c r="I32" s="635"/>
      <c r="J32" s="636"/>
      <c r="K32" s="636"/>
      <c r="L32" s="636"/>
      <c r="M32" s="636"/>
      <c r="N32" s="636"/>
      <c r="O32" s="636"/>
      <c r="P32" s="635"/>
      <c r="Q32" s="636"/>
    </row>
    <row r="33" spans="2:17">
      <c r="C33" s="612"/>
      <c r="D33" s="593"/>
      <c r="E33" s="593"/>
      <c r="F33" s="619"/>
      <c r="G33" s="619"/>
      <c r="H33" s="619"/>
      <c r="I33" s="619"/>
      <c r="J33" s="609"/>
      <c r="K33" s="609"/>
      <c r="L33" s="609"/>
      <c r="M33" s="609"/>
      <c r="N33" s="609"/>
      <c r="O33" s="609"/>
      <c r="P33" s="619"/>
      <c r="Q33" s="609"/>
    </row>
    <row r="34" spans="2:17">
      <c r="C34" s="594" t="s">
        <v>263</v>
      </c>
      <c r="D34" s="613"/>
      <c r="E34" s="637">
        <f>E30</f>
        <v>7365231.0484991008</v>
      </c>
      <c r="F34" s="619"/>
      <c r="G34" s="619"/>
      <c r="H34" s="619"/>
      <c r="I34" s="619"/>
      <c r="J34" s="619"/>
      <c r="K34" s="619"/>
      <c r="L34" s="619"/>
      <c r="M34" s="619"/>
      <c r="N34" s="619"/>
      <c r="O34" s="619"/>
      <c r="P34" s="619"/>
      <c r="Q34" s="619"/>
    </row>
    <row r="35" spans="2:17">
      <c r="C35" s="628" t="str">
        <f>"   Effective Tax Rate  (TCOS, ln "&amp;TCOS!B190&amp;")"</f>
        <v xml:space="preserve">   Effective Tax Rate  (TCOS, ln 114)</v>
      </c>
      <c r="D35" s="556"/>
      <c r="E35" s="638">
        <f>TCOS!G190</f>
        <v>0.23541557897971535</v>
      </c>
      <c r="F35" s="535"/>
      <c r="G35" s="535"/>
      <c r="H35" s="535"/>
      <c r="I35" s="639"/>
      <c r="J35" s="535"/>
      <c r="K35" s="581"/>
      <c r="Q35" s="581"/>
    </row>
    <row r="36" spans="2:17">
      <c r="C36" s="633" t="s">
        <v>264</v>
      </c>
      <c r="D36" s="556"/>
      <c r="E36" s="640">
        <f>E34*E35</f>
        <v>1733890.1316017918</v>
      </c>
      <c r="F36" s="535"/>
      <c r="G36" s="535"/>
      <c r="H36" s="535"/>
      <c r="I36" s="639"/>
      <c r="J36" s="535"/>
      <c r="K36" s="581"/>
      <c r="Q36" s="581"/>
    </row>
    <row r="37" spans="2:17" ht="15">
      <c r="C37" s="612" t="s">
        <v>302</v>
      </c>
      <c r="D37" s="468"/>
      <c r="E37" s="641">
        <f>TCOS!L199</f>
        <v>0</v>
      </c>
      <c r="F37" s="468"/>
      <c r="G37" s="468"/>
      <c r="H37" s="468"/>
      <c r="I37" s="468"/>
      <c r="J37" s="468"/>
      <c r="K37" s="468"/>
      <c r="L37" s="468"/>
      <c r="M37" s="468"/>
      <c r="N37" s="468"/>
      <c r="O37" s="468"/>
      <c r="P37" s="380"/>
      <c r="Q37" s="468"/>
    </row>
    <row r="38" spans="2:17" ht="15">
      <c r="C38" s="612" t="s">
        <v>532</v>
      </c>
      <c r="D38" s="468"/>
      <c r="E38" s="641">
        <f>TCOS!L200</f>
        <v>-123018.92053979459</v>
      </c>
      <c r="F38" s="468"/>
      <c r="G38" s="468"/>
      <c r="H38" s="468"/>
      <c r="I38" s="468"/>
      <c r="J38" s="468"/>
      <c r="K38" s="468"/>
      <c r="L38" s="468"/>
      <c r="M38" s="468"/>
      <c r="N38" s="468"/>
      <c r="O38" s="468"/>
      <c r="P38" s="380"/>
      <c r="Q38" s="468"/>
    </row>
    <row r="39" spans="2:17" ht="15">
      <c r="C39" s="612" t="s">
        <v>533</v>
      </c>
      <c r="D39" s="468"/>
      <c r="E39" s="642">
        <f>TCOS!L201</f>
        <v>51370.538247386758</v>
      </c>
      <c r="F39" s="468"/>
      <c r="G39" s="468"/>
      <c r="H39" s="468"/>
      <c r="I39" s="468"/>
      <c r="J39" s="468"/>
      <c r="K39" s="468"/>
      <c r="L39" s="468"/>
      <c r="M39" s="468"/>
      <c r="N39" s="468"/>
      <c r="O39" s="468"/>
      <c r="P39" s="380"/>
      <c r="Q39" s="468"/>
    </row>
    <row r="40" spans="2:17" ht="15">
      <c r="C40" s="633" t="s">
        <v>265</v>
      </c>
      <c r="D40" s="468"/>
      <c r="E40" s="641">
        <f>E36+E37+E38+E39</f>
        <v>1662241.749309384</v>
      </c>
      <c r="F40" s="468"/>
      <c r="G40" s="468"/>
      <c r="H40" s="468"/>
      <c r="I40" s="468"/>
      <c r="J40" s="468"/>
      <c r="K40" s="468"/>
      <c r="L40" s="468"/>
      <c r="M40" s="468"/>
      <c r="N40" s="468"/>
      <c r="O40" s="468"/>
      <c r="P40" s="338"/>
      <c r="Q40" s="468"/>
    </row>
    <row r="41" spans="2:17" ht="12.75" customHeight="1">
      <c r="C41" s="388"/>
      <c r="D41" s="468"/>
      <c r="E41" s="468"/>
      <c r="F41" s="468"/>
      <c r="G41" s="468"/>
      <c r="H41" s="468"/>
      <c r="I41" s="468"/>
      <c r="J41" s="468"/>
      <c r="K41" s="468"/>
      <c r="L41" s="468"/>
      <c r="M41" s="468"/>
      <c r="N41" s="468"/>
      <c r="O41" s="468"/>
      <c r="P41" s="338"/>
      <c r="Q41" s="468"/>
    </row>
    <row r="42" spans="2:17" ht="18.75">
      <c r="B42" s="588" t="s">
        <v>172</v>
      </c>
      <c r="C42" s="587" t="str">
        <f>"Calculate Net Plant Carrying Charge Rate (Fixed Charge Rate or FCR) with hypothetical "&amp;F17&amp;""</f>
        <v>Calculate Net Plant Carrying Charge Rate (Fixed Charge Rate or FCR) with hypothetical 0</v>
      </c>
      <c r="D42" s="468"/>
      <c r="E42" s="468"/>
      <c r="F42" s="468"/>
      <c r="G42" s="468"/>
      <c r="H42" s="468"/>
      <c r="I42" s="468"/>
      <c r="J42" s="468"/>
      <c r="K42" s="468"/>
      <c r="L42" s="468"/>
      <c r="M42" s="468"/>
      <c r="N42" s="468"/>
      <c r="O42" s="468"/>
      <c r="P42" s="338"/>
      <c r="Q42" s="468"/>
    </row>
    <row r="43" spans="2:17" ht="18.75" customHeight="1">
      <c r="C43" s="587" t="str">
        <f>"basis point ROE increase."</f>
        <v>basis point ROE increase.</v>
      </c>
      <c r="D43" s="468"/>
      <c r="E43" s="468"/>
      <c r="F43" s="468"/>
      <c r="G43" s="468"/>
      <c r="H43" s="468"/>
      <c r="I43" s="468"/>
      <c r="J43" s="468"/>
      <c r="K43" s="468"/>
      <c r="L43" s="468"/>
      <c r="M43" s="468"/>
      <c r="N43" s="468"/>
      <c r="O43" s="468"/>
      <c r="P43" s="338"/>
      <c r="Q43" s="468"/>
    </row>
    <row r="44" spans="2:17" ht="12.75" customHeight="1">
      <c r="C44" s="587"/>
      <c r="D44" s="468"/>
      <c r="E44" s="468"/>
      <c r="F44" s="468"/>
      <c r="G44" s="468"/>
      <c r="H44" s="468"/>
      <c r="I44" s="468"/>
      <c r="J44" s="468"/>
      <c r="K44" s="468"/>
      <c r="L44" s="468"/>
      <c r="M44" s="468"/>
      <c r="N44" s="468"/>
      <c r="O44" s="468"/>
      <c r="P44" s="338"/>
      <c r="Q44" s="468"/>
    </row>
    <row r="45" spans="2:17" ht="15.75">
      <c r="C45" s="589" t="s">
        <v>465</v>
      </c>
      <c r="D45" s="468"/>
      <c r="E45" s="468"/>
      <c r="F45" s="467"/>
      <c r="G45" s="467"/>
      <c r="H45" s="468"/>
      <c r="I45" s="468"/>
      <c r="J45" s="468"/>
      <c r="K45" s="468"/>
      <c r="L45" s="468"/>
      <c r="M45" s="468"/>
      <c r="N45" s="468"/>
      <c r="O45" s="468"/>
      <c r="P45" s="338"/>
      <c r="Q45" s="468"/>
    </row>
    <row r="46" spans="2:17">
      <c r="B46" s="569"/>
      <c r="C46" s="590"/>
      <c r="D46" s="643"/>
      <c r="E46" s="643"/>
      <c r="F46" s="643"/>
      <c r="G46" s="643"/>
      <c r="H46" s="643"/>
      <c r="I46" s="643"/>
      <c r="J46" s="643"/>
      <c r="K46" s="643"/>
      <c r="L46" s="643"/>
      <c r="M46" s="643"/>
      <c r="N46" s="643"/>
      <c r="O46" s="643"/>
      <c r="P46" s="641"/>
      <c r="Q46" s="643"/>
    </row>
    <row r="47" spans="2:17" ht="12.75" customHeight="1">
      <c r="B47" s="569"/>
      <c r="C47" s="628" t="str">
        <f>"   Annual Revenue Requirement  (TCOS, ln "&amp;TCOS!B13&amp;")"</f>
        <v xml:space="preserve">   Annual Revenue Requirement  (TCOS, ln 1)</v>
      </c>
      <c r="D47" s="643"/>
      <c r="E47" s="643"/>
      <c r="F47" s="641">
        <f>TCOS!L13</f>
        <v>15127208.820315024</v>
      </c>
      <c r="G47" s="641"/>
      <c r="H47" s="750" t="s">
        <v>114</v>
      </c>
      <c r="I47" s="643"/>
      <c r="J47" s="643"/>
      <c r="K47" s="643"/>
      <c r="L47" s="643"/>
      <c r="M47" s="643"/>
      <c r="N47" s="643"/>
      <c r="O47" s="643"/>
      <c r="P47" s="641"/>
      <c r="Q47" s="643"/>
    </row>
    <row r="48" spans="2:17" ht="12.75" customHeight="1">
      <c r="B48" s="569"/>
      <c r="C48" s="628" t="str">
        <f>"   Lease Payments (TCOS, Ln "&amp;TCOS!B168&amp;")"</f>
        <v xml:space="preserve">   Lease Payments (TCOS, Ln 95)</v>
      </c>
      <c r="D48" s="643"/>
      <c r="E48" s="643"/>
      <c r="F48" s="641">
        <f>TCOS!L168</f>
        <v>0</v>
      </c>
      <c r="G48" s="641"/>
      <c r="H48" s="750"/>
      <c r="I48" s="643"/>
      <c r="J48" s="643"/>
      <c r="K48" s="643"/>
      <c r="L48" s="643"/>
      <c r="M48" s="643"/>
      <c r="N48" s="643"/>
      <c r="O48" s="643"/>
      <c r="P48" s="641"/>
      <c r="Q48" s="643"/>
    </row>
    <row r="49" spans="2:17">
      <c r="B49" s="569"/>
      <c r="C49" s="628" t="str">
        <f>"   Return  (TCOS, ln "&amp;TCOS!B205&amp;")"</f>
        <v xml:space="preserve">   Return  (TCOS, ln 126)</v>
      </c>
      <c r="D49" s="643"/>
      <c r="E49" s="643"/>
      <c r="F49" s="644">
        <f>TCOS!L205</f>
        <v>7365231.0484991008</v>
      </c>
      <c r="G49" s="644"/>
      <c r="H49" s="645"/>
      <c r="I49" s="645"/>
      <c r="J49" s="645"/>
      <c r="K49" s="645"/>
      <c r="L49" s="645"/>
      <c r="M49" s="645"/>
      <c r="N49" s="645"/>
      <c r="O49" s="645"/>
      <c r="P49" s="641"/>
      <c r="Q49" s="645"/>
    </row>
    <row r="50" spans="2:17">
      <c r="B50" s="569"/>
      <c r="C50" s="628" t="str">
        <f>"   Income Taxes  (TCOS, ln "&amp;TCOS!B203&amp;")"</f>
        <v xml:space="preserve">   Income Taxes  (TCOS, ln 125)</v>
      </c>
      <c r="D50" s="643"/>
      <c r="E50" s="643"/>
      <c r="F50" s="646">
        <f>TCOS!L203</f>
        <v>1662241.749309384</v>
      </c>
      <c r="G50" s="646"/>
      <c r="H50" s="643"/>
      <c r="I50" s="643"/>
      <c r="J50" s="647"/>
      <c r="K50" s="647"/>
      <c r="L50" s="647"/>
      <c r="M50" s="647"/>
      <c r="N50" s="647"/>
      <c r="O50" s="647"/>
      <c r="P50" s="643"/>
      <c r="Q50" s="647"/>
    </row>
    <row r="51" spans="2:17">
      <c r="B51" s="569"/>
      <c r="C51" s="1510" t="s">
        <v>590</v>
      </c>
      <c r="D51" s="1509"/>
      <c r="E51" s="643"/>
      <c r="F51" s="644">
        <f>F47-F49-F50-F48</f>
        <v>6099736.0225065388</v>
      </c>
      <c r="G51" s="644"/>
      <c r="H51" s="649"/>
      <c r="I51" s="643"/>
      <c r="J51" s="649"/>
      <c r="K51" s="649"/>
      <c r="L51" s="649"/>
      <c r="M51" s="649"/>
      <c r="N51" s="649"/>
      <c r="O51" s="649"/>
      <c r="P51" s="649"/>
      <c r="Q51" s="649"/>
    </row>
    <row r="52" spans="2:17">
      <c r="B52" s="569"/>
      <c r="C52" s="1509"/>
      <c r="D52" s="1509"/>
      <c r="E52" s="643"/>
      <c r="F52" s="641"/>
      <c r="G52" s="641"/>
      <c r="H52" s="650"/>
      <c r="I52" s="651"/>
      <c r="J52" s="651"/>
      <c r="K52" s="651"/>
      <c r="L52" s="651"/>
      <c r="M52" s="651"/>
      <c r="N52" s="651"/>
      <c r="O52" s="651"/>
      <c r="P52" s="651"/>
      <c r="Q52" s="651"/>
    </row>
    <row r="53" spans="2:17" ht="15.75">
      <c r="B53" s="569"/>
      <c r="C53" s="589" t="str">
        <f>"B.   Determine Annual Revenue Requirement with hypothetical "&amp;F17&amp;" basis point increase in ROE."</f>
        <v>B.   Determine Annual Revenue Requirement with hypothetical 0 basis point increase in ROE.</v>
      </c>
      <c r="D53" s="652"/>
      <c r="E53" s="652"/>
      <c r="F53" s="641"/>
      <c r="G53" s="641"/>
      <c r="H53" s="650"/>
      <c r="I53" s="651"/>
      <c r="J53" s="651"/>
      <c r="K53" s="651"/>
      <c r="L53" s="651"/>
      <c r="M53" s="651"/>
      <c r="N53" s="651"/>
      <c r="O53" s="651"/>
      <c r="P53" s="651"/>
      <c r="Q53" s="651"/>
    </row>
    <row r="54" spans="2:17">
      <c r="B54" s="569"/>
      <c r="C54" s="590"/>
      <c r="D54" s="652"/>
      <c r="E54" s="652"/>
      <c r="F54" s="641"/>
      <c r="G54" s="641"/>
      <c r="H54" s="650"/>
      <c r="I54" s="651"/>
      <c r="J54" s="651"/>
      <c r="K54" s="651"/>
      <c r="L54" s="651"/>
      <c r="M54" s="651"/>
      <c r="N54" s="651"/>
      <c r="O54" s="651"/>
      <c r="P54" s="651"/>
      <c r="Q54" s="651"/>
    </row>
    <row r="55" spans="2:17">
      <c r="B55" s="569"/>
      <c r="C55" s="590" t="str">
        <f>C51</f>
        <v xml:space="preserve">   Annual Revenue Requirement, Less Lease Payments, Return and Taxes</v>
      </c>
      <c r="D55" s="652"/>
      <c r="E55" s="652"/>
      <c r="F55" s="641">
        <f>F51</f>
        <v>6099736.0225065388</v>
      </c>
      <c r="G55" s="641"/>
      <c r="H55" s="643"/>
      <c r="I55" s="643"/>
      <c r="J55" s="643"/>
      <c r="K55" s="643"/>
      <c r="L55" s="643"/>
      <c r="M55" s="643"/>
      <c r="N55" s="643"/>
      <c r="O55" s="643"/>
      <c r="P55" s="653"/>
      <c r="Q55" s="643"/>
    </row>
    <row r="56" spans="2:17">
      <c r="B56" s="569"/>
      <c r="C56" s="594" t="s">
        <v>299</v>
      </c>
      <c r="D56" s="654"/>
      <c r="E56" s="648"/>
      <c r="F56" s="655">
        <f>E30</f>
        <v>7365231.0484991008</v>
      </c>
      <c r="G56" s="655"/>
      <c r="H56" s="648"/>
      <c r="I56" s="656"/>
      <c r="J56" s="648"/>
      <c r="K56" s="648"/>
      <c r="L56" s="648"/>
      <c r="M56" s="648"/>
      <c r="N56" s="648"/>
      <c r="O56" s="648"/>
      <c r="P56" s="648"/>
      <c r="Q56" s="648"/>
    </row>
    <row r="57" spans="2:17" ht="12.75" customHeight="1">
      <c r="B57" s="569"/>
      <c r="C57" s="612" t="s">
        <v>266</v>
      </c>
      <c r="D57" s="643"/>
      <c r="E57" s="643"/>
      <c r="F57" s="646">
        <f>E40</f>
        <v>1662241.749309384</v>
      </c>
      <c r="G57" s="646"/>
      <c r="H57" s="535"/>
      <c r="I57" s="639"/>
      <c r="J57" s="535"/>
      <c r="K57" s="581"/>
      <c r="Q57" s="581"/>
    </row>
    <row r="58" spans="2:17">
      <c r="B58" s="569"/>
      <c r="C58" s="648" t="str">
        <f>"   Annual Revenue Requirement, with "&amp;F17&amp;" Basis Point ROE increase"</f>
        <v xml:space="preserve">   Annual Revenue Requirement, with 0 Basis Point ROE increase</v>
      </c>
      <c r="D58" s="556"/>
      <c r="E58" s="535"/>
      <c r="F58" s="640">
        <f>SUM(F55:F57)</f>
        <v>15127208.820315022</v>
      </c>
      <c r="G58" s="640"/>
      <c r="H58" s="535"/>
      <c r="I58" s="639"/>
      <c r="J58" s="535"/>
      <c r="K58" s="581"/>
      <c r="Q58" s="581"/>
    </row>
    <row r="59" spans="2:17">
      <c r="B59" s="569"/>
      <c r="C59" s="628" t="str">
        <f>"   Depreciation  (TCOS, ln "&amp;TCOS!B174&amp;")"</f>
        <v xml:space="preserve">   Depreciation  (TCOS, ln 100)</v>
      </c>
      <c r="D59" s="556"/>
      <c r="E59" s="535"/>
      <c r="F59" s="657">
        <f>TCOS!L174</f>
        <v>2659182.3434991976</v>
      </c>
      <c r="G59" s="657"/>
      <c r="H59" s="640"/>
      <c r="I59" s="639"/>
      <c r="J59" s="535"/>
      <c r="K59" s="581"/>
      <c r="Q59" s="581"/>
    </row>
    <row r="60" spans="2:17">
      <c r="B60" s="569"/>
      <c r="C60" s="1510" t="str">
        <f>"   Annual Rev. Req, w/ "&amp;F17&amp;" Basis Point ROE increase, less Depreciation"</f>
        <v xml:space="preserve">   Annual Rev. Req, w/ 0 Basis Point ROE increase, less Depreciation</v>
      </c>
      <c r="D60" s="1509"/>
      <c r="E60" s="535"/>
      <c r="F60" s="640">
        <f>F58-F59</f>
        <v>12468026.476815823</v>
      </c>
      <c r="G60" s="640"/>
      <c r="H60" s="535"/>
      <c r="I60" s="639"/>
      <c r="J60" s="535"/>
      <c r="K60" s="581"/>
      <c r="Q60" s="581"/>
    </row>
    <row r="61" spans="2:17">
      <c r="B61" s="569"/>
      <c r="C61" s="1509"/>
      <c r="D61" s="1509"/>
      <c r="E61" s="535"/>
      <c r="F61" s="535"/>
      <c r="G61" s="535"/>
      <c r="H61" s="535"/>
      <c r="I61" s="639"/>
      <c r="J61" s="535"/>
      <c r="K61" s="581"/>
      <c r="Q61" s="581"/>
    </row>
    <row r="62" spans="2:17" ht="15.75">
      <c r="B62" s="569"/>
      <c r="C62" s="589" t="str">
        <f>"C.   Determine FCR with hypothetical "&amp;F17&amp;" basis point ROE increase."</f>
        <v>C.   Determine FCR with hypothetical 0 basis point ROE increase.</v>
      </c>
      <c r="D62" s="556"/>
      <c r="E62" s="535"/>
      <c r="F62" s="535"/>
      <c r="G62" s="535"/>
      <c r="H62" s="535"/>
      <c r="I62" s="639"/>
      <c r="J62" s="535"/>
      <c r="K62" s="581"/>
      <c r="Q62" s="581"/>
    </row>
    <row r="63" spans="2:17">
      <c r="B63" s="569"/>
      <c r="C63" s="535"/>
      <c r="D63" s="556"/>
      <c r="E63" s="535"/>
      <c r="F63" s="535"/>
      <c r="G63" s="535"/>
      <c r="H63" s="535"/>
      <c r="I63" s="639"/>
      <c r="J63" s="535"/>
      <c r="K63" s="581"/>
      <c r="Q63" s="581"/>
    </row>
    <row r="64" spans="2:17">
      <c r="B64" s="569"/>
      <c r="C64" s="628" t="str">
        <f>"   Net Transmission Plant  (TCOS, ln "&amp;TCOS!B91&amp;")"</f>
        <v xml:space="preserve">   Net Transmission Plant  (TCOS, ln 42)</v>
      </c>
      <c r="D64" s="556"/>
      <c r="E64" s="535"/>
      <c r="F64" s="640">
        <f>TCOS!L91</f>
        <v>126258000</v>
      </c>
      <c r="G64" s="640"/>
      <c r="H64" s="640"/>
      <c r="I64" s="658"/>
      <c r="J64" s="535"/>
      <c r="K64" s="581"/>
      <c r="Q64" s="581"/>
    </row>
    <row r="65" spans="2:17">
      <c r="B65" s="569"/>
      <c r="C65" s="648" t="str">
        <f>"   Annual Revenue Requirement, with "&amp;F17&amp;" Basis Point ROE increase"</f>
        <v xml:space="preserve">   Annual Revenue Requirement, with 0 Basis Point ROE increase</v>
      </c>
      <c r="D65" s="556"/>
      <c r="E65" s="535"/>
      <c r="F65" s="640">
        <f>F58</f>
        <v>15127208.820315022</v>
      </c>
      <c r="G65" s="640"/>
      <c r="H65" s="535"/>
      <c r="I65" s="639"/>
      <c r="J65" s="535"/>
      <c r="K65" s="581"/>
      <c r="Q65" s="581"/>
    </row>
    <row r="66" spans="2:17">
      <c r="B66" s="569"/>
      <c r="C66" s="648" t="str">
        <f>"   FCR with "&amp;F17&amp;" Basis Point increase in ROE"</f>
        <v xml:space="preserve">   FCR with 0 Basis Point increase in ROE</v>
      </c>
      <c r="D66" s="556"/>
      <c r="E66" s="535"/>
      <c r="F66" s="638">
        <f>F65/F64</f>
        <v>0.1198118837643161</v>
      </c>
      <c r="G66" s="638"/>
      <c r="H66" s="638"/>
      <c r="I66" s="639"/>
      <c r="J66" s="535"/>
      <c r="K66" s="581"/>
      <c r="Q66" s="581"/>
    </row>
    <row r="67" spans="2:17">
      <c r="B67" s="569"/>
      <c r="C67" s="360"/>
      <c r="D67" s="556"/>
      <c r="E67" s="535"/>
      <c r="F67" s="569"/>
      <c r="G67" s="569"/>
      <c r="H67" s="535"/>
      <c r="I67" s="639"/>
      <c r="J67" s="535"/>
      <c r="K67" s="581"/>
      <c r="Q67" s="581"/>
    </row>
    <row r="68" spans="2:17">
      <c r="B68" s="569"/>
      <c r="C68" s="648" t="str">
        <f>"   Annual Rev. Req, w / "&amp;F17&amp;" Basis Point ROE increase, less Dep."</f>
        <v xml:space="preserve">   Annual Rev. Req, w / 0 Basis Point ROE increase, less Dep.</v>
      </c>
      <c r="D68" s="556"/>
      <c r="E68" s="535"/>
      <c r="F68" s="640">
        <f>F60</f>
        <v>12468026.476815823</v>
      </c>
      <c r="G68" s="640"/>
      <c r="H68" s="535"/>
      <c r="I68" s="639"/>
      <c r="J68" s="535"/>
      <c r="K68" s="581"/>
      <c r="Q68" s="581"/>
    </row>
    <row r="69" spans="2:17">
      <c r="B69" s="569"/>
      <c r="C69" s="648" t="str">
        <f>"   FCR with "&amp;F17&amp;" Basis Point ROE increase, less Depreciation"</f>
        <v xml:space="preserve">   FCR with 0 Basis Point ROE increase, less Depreciation</v>
      </c>
      <c r="D69" s="556"/>
      <c r="E69" s="535"/>
      <c r="F69" s="638">
        <f>F68/F64</f>
        <v>9.8750387910594373E-2</v>
      </c>
      <c r="G69" s="638"/>
      <c r="H69" s="535"/>
      <c r="I69" s="639"/>
      <c r="J69" s="535"/>
      <c r="K69" s="581"/>
      <c r="Q69" s="581"/>
    </row>
    <row r="70" spans="2:17">
      <c r="B70" s="569"/>
      <c r="C70" s="628" t="str">
        <f>"   FCR less Depreciation  (TCOS, ln "&amp;TCOS!B34&amp;")"</f>
        <v xml:space="preserve">   FCR less Depreciation  (TCOS, ln 10)</v>
      </c>
      <c r="D70" s="556"/>
      <c r="E70" s="535"/>
      <c r="F70" s="659">
        <f>TCOS!L34</f>
        <v>9.87503879105944E-2</v>
      </c>
      <c r="G70" s="659"/>
      <c r="H70" s="535"/>
      <c r="I70" s="639"/>
      <c r="J70" s="535"/>
      <c r="K70" s="581"/>
      <c r="Q70" s="581"/>
    </row>
    <row r="71" spans="2:17">
      <c r="B71" s="569"/>
      <c r="C71" s="1510" t="str">
        <f>"   Incremental FCR with "&amp;F17&amp;" Basis Point ROE increase, less Depreciation"</f>
        <v xml:space="preserve">   Incremental FCR with 0 Basis Point ROE increase, less Depreciation</v>
      </c>
      <c r="D71" s="1509"/>
      <c r="E71" s="535"/>
      <c r="F71" s="638">
        <f>F69-F70</f>
        <v>0</v>
      </c>
      <c r="G71" s="638"/>
      <c r="H71" s="535"/>
      <c r="I71" s="639"/>
      <c r="J71" s="535"/>
      <c r="K71" s="581"/>
      <c r="Q71" s="581"/>
    </row>
    <row r="72" spans="2:17">
      <c r="B72" s="569"/>
      <c r="C72" s="1509"/>
      <c r="D72" s="1509"/>
      <c r="E72" s="535"/>
      <c r="F72" s="638"/>
      <c r="G72" s="638"/>
      <c r="H72" s="535"/>
      <c r="I72" s="639"/>
      <c r="J72" s="535"/>
      <c r="K72" s="581"/>
      <c r="Q72" s="581"/>
    </row>
    <row r="73" spans="2:17" ht="18.75">
      <c r="B73" s="588" t="s">
        <v>173</v>
      </c>
      <c r="C73" s="587" t="s">
        <v>267</v>
      </c>
      <c r="D73" s="556"/>
      <c r="E73" s="535"/>
      <c r="F73" s="638"/>
      <c r="G73" s="638"/>
      <c r="H73" s="535"/>
      <c r="I73" s="639"/>
      <c r="J73" s="535"/>
      <c r="K73" s="581"/>
      <c r="Q73" s="581"/>
    </row>
    <row r="74" spans="2:17">
      <c r="B74" s="569"/>
      <c r="C74" s="648"/>
      <c r="D74" s="556"/>
      <c r="E74" s="535"/>
      <c r="F74" s="638"/>
      <c r="G74" s="638"/>
      <c r="H74" s="535"/>
      <c r="I74" s="639"/>
      <c r="J74" s="535"/>
      <c r="K74" s="581"/>
      <c r="Q74" s="581"/>
    </row>
    <row r="75" spans="2:17">
      <c r="B75" s="569"/>
      <c r="C75" s="648" t="str">
        <f>+"Average Transmission Plant Balance for "&amp;TCOS!L4&amp;" (TCOS, ln "&amp;TCOS!B68&amp;")"</f>
        <v>Average Transmission Plant Balance for 2023 (TCOS, ln 21)</v>
      </c>
      <c r="D75" s="556"/>
      <c r="H75" s="639">
        <f>TCOS!L68</f>
        <v>157340000</v>
      </c>
      <c r="J75" s="535"/>
      <c r="K75" s="581"/>
      <c r="Q75" s="581"/>
    </row>
    <row r="76" spans="2:17">
      <c r="B76" s="569"/>
      <c r="C76" s="660" t="str">
        <f>"Annual Depreciation and Amortization Expense (TCOS, ln "&amp;TCOS!B174&amp;")"</f>
        <v>Annual Depreciation and Amortization Expense (TCOS, ln 100)</v>
      </c>
      <c r="D76" s="556"/>
      <c r="E76" s="535"/>
      <c r="H76" s="661">
        <f>TCOS!L174</f>
        <v>2659182.3434991976</v>
      </c>
      <c r="I76" s="639"/>
      <c r="J76" s="535"/>
      <c r="K76" s="581"/>
      <c r="Q76" s="581"/>
    </row>
    <row r="77" spans="2:17">
      <c r="B77" s="569"/>
      <c r="C77" s="648" t="s">
        <v>268</v>
      </c>
      <c r="D77" s="556"/>
      <c r="E77" s="535"/>
      <c r="H77" s="638">
        <f>+H76/H75</f>
        <v>1.6900866553318912E-2</v>
      </c>
      <c r="I77" s="663"/>
      <c r="J77" s="535"/>
      <c r="K77" s="581"/>
      <c r="Q77" s="581"/>
    </row>
    <row r="78" spans="2:17">
      <c r="B78" s="569"/>
      <c r="C78" s="648" t="s">
        <v>269</v>
      </c>
      <c r="D78" s="556"/>
      <c r="E78" s="535"/>
      <c r="H78" s="663">
        <f>1/H77</f>
        <v>59.168563744657504</v>
      </c>
      <c r="I78" s="639"/>
      <c r="J78" s="535"/>
      <c r="K78" s="581"/>
      <c r="Q78" s="581"/>
    </row>
    <row r="79" spans="2:17">
      <c r="B79" s="569"/>
      <c r="C79" s="648" t="s">
        <v>270</v>
      </c>
      <c r="D79" s="556"/>
      <c r="E79" s="535"/>
      <c r="H79" s="664">
        <f>ROUND(H78,0)</f>
        <v>59</v>
      </c>
      <c r="I79" s="639"/>
      <c r="J79" s="535"/>
      <c r="K79" s="581"/>
      <c r="Q79" s="581"/>
    </row>
    <row r="80" spans="2:17">
      <c r="B80" s="569"/>
      <c r="C80" s="648"/>
      <c r="D80" s="556"/>
      <c r="E80" s="535"/>
      <c r="H80" s="664"/>
      <c r="I80" s="639"/>
      <c r="J80" s="535"/>
      <c r="K80" s="581"/>
      <c r="Q80" s="581"/>
    </row>
    <row r="81" spans="1:17">
      <c r="C81" s="665"/>
      <c r="D81" s="666"/>
      <c r="E81" s="666"/>
      <c r="F81" s="666"/>
      <c r="G81" s="666"/>
      <c r="H81" s="662"/>
      <c r="I81" s="662"/>
      <c r="J81" s="667"/>
      <c r="K81" s="667"/>
      <c r="L81" s="667"/>
      <c r="M81" s="667"/>
      <c r="N81" s="667"/>
      <c r="O81" s="667"/>
      <c r="Q81" s="667"/>
    </row>
    <row r="82" spans="1:17">
      <c r="B82" s="322"/>
      <c r="C82" s="665"/>
      <c r="D82" s="666"/>
      <c r="E82" s="666"/>
      <c r="F82" s="666"/>
      <c r="G82" s="666"/>
      <c r="H82" s="662"/>
      <c r="I82" s="662"/>
      <c r="J82" s="667"/>
      <c r="K82" s="667"/>
      <c r="L82" s="667"/>
      <c r="M82" s="667"/>
      <c r="N82" s="667"/>
      <c r="O82" s="667"/>
      <c r="Q82" s="667"/>
    </row>
    <row r="83" spans="1:17" ht="20.25">
      <c r="A83" s="668" t="s">
        <v>768</v>
      </c>
      <c r="B83" s="535"/>
      <c r="C83" s="648"/>
      <c r="D83" s="556"/>
      <c r="E83" s="535"/>
      <c r="F83" s="638"/>
      <c r="G83" s="638"/>
      <c r="H83" s="535"/>
      <c r="I83" s="639"/>
      <c r="L83" s="669"/>
      <c r="M83" s="669"/>
      <c r="N83" s="669"/>
      <c r="O83" s="584" t="str">
        <f>"Page "&amp;SUM(Q$3:Q83)&amp;" of "</f>
        <v xml:space="preserve">Page 2 of </v>
      </c>
      <c r="P83" s="585">
        <f>COUNT(Q$8:Q$58122)</f>
        <v>2</v>
      </c>
      <c r="Q83" s="751">
        <v>1</v>
      </c>
    </row>
    <row r="84" spans="1:17">
      <c r="B84" s="535"/>
      <c r="C84" s="535"/>
      <c r="D84" s="556"/>
      <c r="E84" s="535"/>
      <c r="F84" s="535"/>
      <c r="G84" s="535"/>
      <c r="H84" s="535"/>
      <c r="I84" s="639"/>
      <c r="J84" s="535"/>
      <c r="K84" s="581"/>
      <c r="Q84" s="581"/>
    </row>
    <row r="85" spans="1:17" ht="18">
      <c r="B85" s="588" t="s">
        <v>174</v>
      </c>
      <c r="C85" s="670" t="s">
        <v>290</v>
      </c>
      <c r="D85" s="556"/>
      <c r="E85" s="535"/>
      <c r="F85" s="535"/>
      <c r="G85" s="535"/>
      <c r="H85" s="535"/>
      <c r="I85" s="639"/>
      <c r="J85" s="639"/>
      <c r="K85" s="662"/>
      <c r="L85" s="639"/>
      <c r="M85" s="639"/>
      <c r="N85" s="639"/>
      <c r="O85" s="639"/>
      <c r="Q85" s="662"/>
    </row>
    <row r="86" spans="1:17" ht="18.75">
      <c r="B86" s="588"/>
      <c r="C86" s="587"/>
      <c r="D86" s="556"/>
      <c r="E86" s="535"/>
      <c r="F86" s="535"/>
      <c r="G86" s="535"/>
      <c r="H86" s="535"/>
      <c r="I86" s="639"/>
      <c r="J86" s="639"/>
      <c r="K86" s="662"/>
      <c r="L86" s="639"/>
      <c r="M86" s="639"/>
      <c r="N86" s="639"/>
      <c r="O86" s="639"/>
      <c r="Q86" s="662"/>
    </row>
    <row r="87" spans="1:17" ht="18.75">
      <c r="B87" s="588"/>
      <c r="C87" s="587" t="s">
        <v>291</v>
      </c>
      <c r="D87" s="556"/>
      <c r="E87" s="535"/>
      <c r="F87" s="535"/>
      <c r="G87" s="535"/>
      <c r="H87" s="535"/>
      <c r="I87" s="639"/>
      <c r="J87" s="639"/>
      <c r="K87" s="662"/>
      <c r="L87" s="639"/>
      <c r="M87" s="639"/>
      <c r="N87" s="639"/>
      <c r="O87" s="639"/>
      <c r="Q87" s="662"/>
    </row>
    <row r="88" spans="1:17" ht="15.75" thickBot="1">
      <c r="B88" s="322"/>
      <c r="C88" s="388"/>
      <c r="D88" s="556"/>
      <c r="E88" s="535"/>
      <c r="F88" s="535"/>
      <c r="G88" s="535"/>
      <c r="H88" s="535"/>
      <c r="I88" s="639"/>
      <c r="J88" s="639"/>
      <c r="K88" s="662"/>
      <c r="L88" s="639"/>
      <c r="M88" s="639"/>
      <c r="N88" s="639"/>
      <c r="O88" s="639"/>
      <c r="Q88" s="662"/>
    </row>
    <row r="89" spans="1:17" ht="15.75">
      <c r="B89" s="322"/>
      <c r="C89" s="589" t="s">
        <v>292</v>
      </c>
      <c r="D89" s="556"/>
      <c r="E89" s="535"/>
      <c r="F89" s="535"/>
      <c r="G89" s="535"/>
      <c r="H89" s="850"/>
      <c r="I89" s="535" t="s">
        <v>271</v>
      </c>
      <c r="J89" s="535"/>
      <c r="K89" s="581"/>
      <c r="L89" s="752">
        <f>+J95</f>
        <v>2016</v>
      </c>
      <c r="M89" s="734" t="s">
        <v>254</v>
      </c>
      <c r="N89" s="734" t="s">
        <v>255</v>
      </c>
      <c r="O89" s="735" t="s">
        <v>256</v>
      </c>
      <c r="Q89" s="581"/>
    </row>
    <row r="90" spans="1:17" ht="15.75">
      <c r="B90" s="322"/>
      <c r="C90" s="589"/>
      <c r="D90" s="556"/>
      <c r="E90" s="535"/>
      <c r="F90" s="535"/>
      <c r="H90" s="535"/>
      <c r="I90" s="674"/>
      <c r="J90" s="674"/>
      <c r="K90" s="675"/>
      <c r="L90" s="753" t="s">
        <v>455</v>
      </c>
      <c r="M90" s="754" t="e">
        <f>VLOOKUP(J95,C102:P161,10)</f>
        <v>#N/A</v>
      </c>
      <c r="N90" s="754" t="e">
        <f>VLOOKUP(J95,C102:P161,12)</f>
        <v>#N/A</v>
      </c>
      <c r="O90" s="755" t="e">
        <f>+N90-M90</f>
        <v>#N/A</v>
      </c>
      <c r="Q90" s="675"/>
    </row>
    <row r="91" spans="1:17">
      <c r="B91" s="322"/>
      <c r="C91" s="677" t="s">
        <v>293</v>
      </c>
      <c r="D91" s="860"/>
      <c r="E91" s="860"/>
      <c r="F91" s="860"/>
      <c r="G91" s="860"/>
      <c r="H91" s="860"/>
      <c r="I91" s="639"/>
      <c r="J91" s="639"/>
      <c r="K91" s="662"/>
      <c r="L91" s="753" t="s">
        <v>456</v>
      </c>
      <c r="M91" s="756" t="e">
        <f>VLOOKUP(J95,C102:P161,6)</f>
        <v>#N/A</v>
      </c>
      <c r="N91" s="756" t="e">
        <f>VLOOKUP(J95,C102:P161,7)</f>
        <v>#N/A</v>
      </c>
      <c r="O91" s="757" t="e">
        <f>+N91-M91</f>
        <v>#N/A</v>
      </c>
      <c r="Q91" s="662"/>
    </row>
    <row r="92" spans="1:17" ht="13.5" thickBot="1">
      <c r="B92" s="322"/>
      <c r="C92" s="679"/>
      <c r="D92" s="680"/>
      <c r="E92" s="664"/>
      <c r="F92" s="664"/>
      <c r="G92" s="664"/>
      <c r="H92" s="681"/>
      <c r="I92" s="639"/>
      <c r="J92" s="639"/>
      <c r="K92" s="662"/>
      <c r="L92" s="698" t="s">
        <v>457</v>
      </c>
      <c r="M92" s="758" t="e">
        <f>+M91-M90</f>
        <v>#N/A</v>
      </c>
      <c r="N92" s="758" t="e">
        <f>+N91-N90</f>
        <v>#N/A</v>
      </c>
      <c r="O92" s="759" t="e">
        <f>+O91-O90</f>
        <v>#N/A</v>
      </c>
      <c r="Q92" s="662"/>
    </row>
    <row r="93" spans="1:17" ht="13.5" thickBot="1">
      <c r="B93" s="322"/>
      <c r="C93" s="682"/>
      <c r="D93" s="683"/>
      <c r="E93" s="681"/>
      <c r="F93" s="681"/>
      <c r="G93" s="681"/>
      <c r="H93" s="681"/>
      <c r="I93" s="681"/>
      <c r="J93" s="681"/>
      <c r="K93" s="684"/>
      <c r="L93" s="681"/>
      <c r="M93" s="681"/>
      <c r="N93" s="681"/>
      <c r="O93" s="681"/>
      <c r="P93" s="569"/>
      <c r="Q93" s="684"/>
    </row>
    <row r="94" spans="1:17" ht="13.5" thickBot="1">
      <c r="B94" s="322"/>
      <c r="C94" s="685" t="s">
        <v>294</v>
      </c>
      <c r="D94" s="686"/>
      <c r="E94" s="686"/>
      <c r="F94" s="686"/>
      <c r="G94" s="686"/>
      <c r="H94" s="686"/>
      <c r="I94" s="686"/>
      <c r="J94" s="686"/>
      <c r="K94" s="688"/>
      <c r="P94" s="689"/>
      <c r="Q94" s="688"/>
    </row>
    <row r="95" spans="1:17" ht="15">
      <c r="A95" s="731"/>
      <c r="B95" s="322"/>
      <c r="C95" s="690" t="s">
        <v>272</v>
      </c>
      <c r="D95" s="851"/>
      <c r="E95" s="648" t="s">
        <v>273</v>
      </c>
      <c r="H95" s="691"/>
      <c r="I95" s="691"/>
      <c r="J95" s="692">
        <v>2016</v>
      </c>
      <c r="K95" s="579"/>
      <c r="L95" s="1511" t="s">
        <v>274</v>
      </c>
      <c r="M95" s="1511"/>
      <c r="N95" s="1511"/>
      <c r="O95" s="1511"/>
      <c r="P95" s="581"/>
      <c r="Q95" s="579"/>
    </row>
    <row r="96" spans="1:17">
      <c r="A96" s="731"/>
      <c r="B96" s="322"/>
      <c r="C96" s="690" t="s">
        <v>275</v>
      </c>
      <c r="D96" s="861"/>
      <c r="E96" s="690" t="s">
        <v>276</v>
      </c>
      <c r="F96" s="691"/>
      <c r="G96" s="691"/>
      <c r="I96" s="322"/>
      <c r="J96" s="854">
        <v>0</v>
      </c>
      <c r="K96" s="693"/>
      <c r="L96" s="662" t="s">
        <v>475</v>
      </c>
      <c r="P96" s="581"/>
      <c r="Q96" s="693"/>
    </row>
    <row r="97" spans="1:17">
      <c r="A97" s="731"/>
      <c r="B97" s="322"/>
      <c r="C97" s="690" t="s">
        <v>277</v>
      </c>
      <c r="D97" s="852"/>
      <c r="E97" s="690" t="s">
        <v>278</v>
      </c>
      <c r="F97" s="691"/>
      <c r="G97" s="691"/>
      <c r="I97" s="322"/>
      <c r="J97" s="694">
        <f>$F$70</f>
        <v>9.87503879105944E-2</v>
      </c>
      <c r="K97" s="695"/>
      <c r="L97" s="535" t="str">
        <f>"          INPUT TRUE-UP ARR (WITH &amp; WITHOUT INCENTIVES) FROM EACH PRIOR YEAR"</f>
        <v xml:space="preserve">          INPUT TRUE-UP ARR (WITH &amp; WITHOUT INCENTIVES) FROM EACH PRIOR YEAR</v>
      </c>
      <c r="P97" s="581"/>
      <c r="Q97" s="695"/>
    </row>
    <row r="98" spans="1:17">
      <c r="A98" s="731"/>
      <c r="B98" s="322"/>
      <c r="C98" s="690" t="s">
        <v>279</v>
      </c>
      <c r="D98" s="696">
        <f>H79</f>
        <v>59</v>
      </c>
      <c r="E98" s="690" t="s">
        <v>280</v>
      </c>
      <c r="F98" s="691"/>
      <c r="G98" s="691"/>
      <c r="I98" s="322"/>
      <c r="J98" s="694">
        <f>IF(H89="",J97,$F$69)</f>
        <v>9.87503879105944E-2</v>
      </c>
      <c r="K98" s="697"/>
      <c r="L98" s="535" t="s">
        <v>362</v>
      </c>
      <c r="M98" s="697"/>
      <c r="N98" s="697"/>
      <c r="O98" s="697"/>
      <c r="P98" s="581"/>
      <c r="Q98" s="697"/>
    </row>
    <row r="99" spans="1:17" ht="13.5" thickBot="1">
      <c r="A99" s="731"/>
      <c r="B99" s="322"/>
      <c r="C99" s="690" t="s">
        <v>281</v>
      </c>
      <c r="D99" s="853"/>
      <c r="E99" s="698" t="s">
        <v>282</v>
      </c>
      <c r="F99" s="699"/>
      <c r="G99" s="699"/>
      <c r="H99" s="700"/>
      <c r="I99" s="700"/>
      <c r="J99" s="678">
        <f>IF(D95=0,0,D95/D98)</f>
        <v>0</v>
      </c>
      <c r="K99" s="662"/>
      <c r="L99" s="662" t="s">
        <v>363</v>
      </c>
      <c r="M99" s="662"/>
      <c r="N99" s="662"/>
      <c r="O99" s="662"/>
      <c r="P99" s="581"/>
      <c r="Q99" s="662"/>
    </row>
    <row r="100" spans="1:17" ht="38.25">
      <c r="A100" s="522"/>
      <c r="B100" s="522"/>
      <c r="C100" s="701" t="s">
        <v>272</v>
      </c>
      <c r="D100" s="702" t="s">
        <v>283</v>
      </c>
      <c r="E100" s="703" t="s">
        <v>284</v>
      </c>
      <c r="F100" s="702" t="s">
        <v>285</v>
      </c>
      <c r="G100" s="702" t="s">
        <v>458</v>
      </c>
      <c r="H100" s="703" t="s">
        <v>356</v>
      </c>
      <c r="I100" s="704" t="s">
        <v>356</v>
      </c>
      <c r="J100" s="701" t="s">
        <v>295</v>
      </c>
      <c r="K100" s="705"/>
      <c r="L100" s="703" t="s">
        <v>358</v>
      </c>
      <c r="M100" s="703" t="s">
        <v>364</v>
      </c>
      <c r="N100" s="703" t="s">
        <v>358</v>
      </c>
      <c r="O100" s="703" t="s">
        <v>366</v>
      </c>
      <c r="P100" s="703" t="s">
        <v>286</v>
      </c>
      <c r="Q100" s="706"/>
    </row>
    <row r="101" spans="1:17" ht="13.5" thickBot="1">
      <c r="B101" s="322"/>
      <c r="C101" s="707" t="s">
        <v>177</v>
      </c>
      <c r="D101" s="708" t="s">
        <v>178</v>
      </c>
      <c r="E101" s="707" t="s">
        <v>37</v>
      </c>
      <c r="F101" s="708" t="s">
        <v>178</v>
      </c>
      <c r="G101" s="708" t="s">
        <v>178</v>
      </c>
      <c r="H101" s="709" t="s">
        <v>298</v>
      </c>
      <c r="I101" s="710" t="s">
        <v>300</v>
      </c>
      <c r="J101" s="711" t="s">
        <v>389</v>
      </c>
      <c r="K101" s="712"/>
      <c r="L101" s="709" t="s">
        <v>287</v>
      </c>
      <c r="M101" s="709" t="s">
        <v>287</v>
      </c>
      <c r="N101" s="709" t="s">
        <v>467</v>
      </c>
      <c r="O101" s="709" t="s">
        <v>467</v>
      </c>
      <c r="P101" s="709" t="s">
        <v>467</v>
      </c>
      <c r="Q101" s="579"/>
    </row>
    <row r="102" spans="1:17">
      <c r="B102" s="322"/>
      <c r="C102" s="713" t="str">
        <f>IF(D96= "","-",D96)</f>
        <v>-</v>
      </c>
      <c r="D102" s="666">
        <f>+D95</f>
        <v>0</v>
      </c>
      <c r="E102" s="714">
        <f>+J99/12*(12-D97)</f>
        <v>0</v>
      </c>
      <c r="F102" s="760">
        <f t="shared" ref="F102:F133" si="0">+D102-E102</f>
        <v>0</v>
      </c>
      <c r="G102" s="666">
        <f t="shared" ref="G102:G133" si="1">+(D102+F102)/2</f>
        <v>0</v>
      </c>
      <c r="H102" s="715">
        <f>+J97*G102+E102</f>
        <v>0</v>
      </c>
      <c r="I102" s="716">
        <f>+J98*G102+E102</f>
        <v>0</v>
      </c>
      <c r="J102" s="717">
        <f t="shared" ref="J102:J133" si="2">+I102-H102</f>
        <v>0</v>
      </c>
      <c r="K102" s="717"/>
      <c r="L102" s="718"/>
      <c r="M102" s="761">
        <f t="shared" ref="M102:M133" si="3">IF(L102&lt;&gt;0,+H102-L102,0)</f>
        <v>0</v>
      </c>
      <c r="N102" s="718"/>
      <c r="O102" s="761">
        <f t="shared" ref="O102:O133" si="4">IF(N102&lt;&gt;0,+I102-N102,0)</f>
        <v>0</v>
      </c>
      <c r="P102" s="761">
        <f t="shared" ref="P102:P133" si="5">+O102-M102</f>
        <v>0</v>
      </c>
      <c r="Q102" s="667"/>
    </row>
    <row r="103" spans="1:17">
      <c r="B103" s="322"/>
      <c r="C103" s="713" t="str">
        <f>IF(D96="","-",+C102+1)</f>
        <v>-</v>
      </c>
      <c r="D103" s="666">
        <f t="shared" ref="D103:D134" si="6">F102</f>
        <v>0</v>
      </c>
      <c r="E103" s="720">
        <f t="shared" ref="E103:E134" si="7">IF(D103&gt;$J$99,$J$99,D103)</f>
        <v>0</v>
      </c>
      <c r="F103" s="720">
        <f t="shared" si="0"/>
        <v>0</v>
      </c>
      <c r="G103" s="666">
        <f t="shared" si="1"/>
        <v>0</v>
      </c>
      <c r="H103" s="714">
        <f>+J97*G103+E103</f>
        <v>0</v>
      </c>
      <c r="I103" s="721">
        <f>+J98*G103+E103</f>
        <v>0</v>
      </c>
      <c r="J103" s="717">
        <f t="shared" si="2"/>
        <v>0</v>
      </c>
      <c r="K103" s="717"/>
      <c r="L103" s="722"/>
      <c r="M103" s="717">
        <f t="shared" si="3"/>
        <v>0</v>
      </c>
      <c r="N103" s="722"/>
      <c r="O103" s="717">
        <f t="shared" si="4"/>
        <v>0</v>
      </c>
      <c r="P103" s="717">
        <f t="shared" si="5"/>
        <v>0</v>
      </c>
      <c r="Q103" s="667"/>
    </row>
    <row r="104" spans="1:17">
      <c r="B104" s="322"/>
      <c r="C104" s="713" t="str">
        <f>IF(D96="","-",+C103+1)</f>
        <v>-</v>
      </c>
      <c r="D104" s="666">
        <f t="shared" si="6"/>
        <v>0</v>
      </c>
      <c r="E104" s="720">
        <f t="shared" si="7"/>
        <v>0</v>
      </c>
      <c r="F104" s="720">
        <f t="shared" si="0"/>
        <v>0</v>
      </c>
      <c r="G104" s="666">
        <f t="shared" si="1"/>
        <v>0</v>
      </c>
      <c r="H104" s="714">
        <f>+J97*G104+E104</f>
        <v>0</v>
      </c>
      <c r="I104" s="721">
        <f>+J98*G104+E104</f>
        <v>0</v>
      </c>
      <c r="J104" s="717">
        <f t="shared" si="2"/>
        <v>0</v>
      </c>
      <c r="K104" s="717"/>
      <c r="L104" s="722"/>
      <c r="M104" s="717">
        <f t="shared" si="3"/>
        <v>0</v>
      </c>
      <c r="N104" s="722"/>
      <c r="O104" s="717">
        <f t="shared" si="4"/>
        <v>0</v>
      </c>
      <c r="P104" s="717">
        <f t="shared" si="5"/>
        <v>0</v>
      </c>
      <c r="Q104" s="667"/>
    </row>
    <row r="105" spans="1:17">
      <c r="B105" s="322"/>
      <c r="C105" s="713" t="str">
        <f>IF(D96="","-",+C104+1)</f>
        <v>-</v>
      </c>
      <c r="D105" s="666">
        <f t="shared" si="6"/>
        <v>0</v>
      </c>
      <c r="E105" s="720">
        <f t="shared" si="7"/>
        <v>0</v>
      </c>
      <c r="F105" s="720">
        <f t="shared" si="0"/>
        <v>0</v>
      </c>
      <c r="G105" s="666">
        <f t="shared" si="1"/>
        <v>0</v>
      </c>
      <c r="H105" s="714">
        <f>+J97*G105+E105</f>
        <v>0</v>
      </c>
      <c r="I105" s="721">
        <f>+J98*G105+E105</f>
        <v>0</v>
      </c>
      <c r="J105" s="717">
        <f t="shared" si="2"/>
        <v>0</v>
      </c>
      <c r="K105" s="717"/>
      <c r="L105" s="722"/>
      <c r="M105" s="717">
        <f t="shared" si="3"/>
        <v>0</v>
      </c>
      <c r="N105" s="722"/>
      <c r="O105" s="717">
        <f t="shared" si="4"/>
        <v>0</v>
      </c>
      <c r="P105" s="717">
        <f t="shared" si="5"/>
        <v>0</v>
      </c>
      <c r="Q105" s="667"/>
    </row>
    <row r="106" spans="1:17">
      <c r="B106" s="322"/>
      <c r="C106" s="713" t="str">
        <f>IF(D96="","-",+C105+1)</f>
        <v>-</v>
      </c>
      <c r="D106" s="666">
        <f t="shared" si="6"/>
        <v>0</v>
      </c>
      <c r="E106" s="720">
        <f t="shared" si="7"/>
        <v>0</v>
      </c>
      <c r="F106" s="720">
        <f t="shared" si="0"/>
        <v>0</v>
      </c>
      <c r="G106" s="666">
        <f t="shared" si="1"/>
        <v>0</v>
      </c>
      <c r="H106" s="714">
        <f>+J97*G106+E106</f>
        <v>0</v>
      </c>
      <c r="I106" s="721">
        <f>+J98*G106+E106</f>
        <v>0</v>
      </c>
      <c r="J106" s="717">
        <f t="shared" si="2"/>
        <v>0</v>
      </c>
      <c r="K106" s="717"/>
      <c r="L106" s="722"/>
      <c r="M106" s="717">
        <f t="shared" si="3"/>
        <v>0</v>
      </c>
      <c r="N106" s="722"/>
      <c r="O106" s="717">
        <f t="shared" si="4"/>
        <v>0</v>
      </c>
      <c r="P106" s="717">
        <f t="shared" si="5"/>
        <v>0</v>
      </c>
      <c r="Q106" s="667"/>
    </row>
    <row r="107" spans="1:17">
      <c r="B107" s="322"/>
      <c r="C107" s="713" t="str">
        <f>IF(D96="","-",+C106+1)</f>
        <v>-</v>
      </c>
      <c r="D107" s="666">
        <f t="shared" si="6"/>
        <v>0</v>
      </c>
      <c r="E107" s="720">
        <f t="shared" si="7"/>
        <v>0</v>
      </c>
      <c r="F107" s="720">
        <f t="shared" si="0"/>
        <v>0</v>
      </c>
      <c r="G107" s="666">
        <f t="shared" si="1"/>
        <v>0</v>
      </c>
      <c r="H107" s="714">
        <f>+J97*G107+E107</f>
        <v>0</v>
      </c>
      <c r="I107" s="721">
        <f>+J98*G107+E107</f>
        <v>0</v>
      </c>
      <c r="J107" s="717">
        <f t="shared" si="2"/>
        <v>0</v>
      </c>
      <c r="K107" s="717"/>
      <c r="L107" s="722"/>
      <c r="M107" s="717">
        <f t="shared" si="3"/>
        <v>0</v>
      </c>
      <c r="N107" s="722"/>
      <c r="O107" s="717">
        <f t="shared" si="4"/>
        <v>0</v>
      </c>
      <c r="P107" s="717">
        <f t="shared" si="5"/>
        <v>0</v>
      </c>
      <c r="Q107" s="667"/>
    </row>
    <row r="108" spans="1:17">
      <c r="B108" s="322"/>
      <c r="C108" s="713" t="str">
        <f>IF(D96="","-",+C107+1)</f>
        <v>-</v>
      </c>
      <c r="D108" s="666">
        <f t="shared" si="6"/>
        <v>0</v>
      </c>
      <c r="E108" s="720">
        <f t="shared" si="7"/>
        <v>0</v>
      </c>
      <c r="F108" s="720">
        <f t="shared" si="0"/>
        <v>0</v>
      </c>
      <c r="G108" s="666">
        <f t="shared" si="1"/>
        <v>0</v>
      </c>
      <c r="H108" s="714">
        <f>+J97*G108+E108</f>
        <v>0</v>
      </c>
      <c r="I108" s="721">
        <f>+J98*G108+E108</f>
        <v>0</v>
      </c>
      <c r="J108" s="717">
        <f t="shared" si="2"/>
        <v>0</v>
      </c>
      <c r="K108" s="717"/>
      <c r="L108" s="722"/>
      <c r="M108" s="717">
        <f t="shared" si="3"/>
        <v>0</v>
      </c>
      <c r="N108" s="722"/>
      <c r="O108" s="717">
        <f t="shared" si="4"/>
        <v>0</v>
      </c>
      <c r="P108" s="717">
        <f t="shared" si="5"/>
        <v>0</v>
      </c>
      <c r="Q108" s="667"/>
    </row>
    <row r="109" spans="1:17">
      <c r="B109" s="322"/>
      <c r="C109" s="713" t="str">
        <f>IF(D96="","-",+C108+1)</f>
        <v>-</v>
      </c>
      <c r="D109" s="666">
        <f t="shared" si="6"/>
        <v>0</v>
      </c>
      <c r="E109" s="720">
        <f t="shared" si="7"/>
        <v>0</v>
      </c>
      <c r="F109" s="720">
        <f t="shared" si="0"/>
        <v>0</v>
      </c>
      <c r="G109" s="666">
        <f t="shared" si="1"/>
        <v>0</v>
      </c>
      <c r="H109" s="714">
        <f>+J97*G109+E109</f>
        <v>0</v>
      </c>
      <c r="I109" s="721">
        <f>+J98*G109+E109</f>
        <v>0</v>
      </c>
      <c r="J109" s="717">
        <f t="shared" si="2"/>
        <v>0</v>
      </c>
      <c r="K109" s="717"/>
      <c r="L109" s="722"/>
      <c r="M109" s="717">
        <f t="shared" si="3"/>
        <v>0</v>
      </c>
      <c r="N109" s="722"/>
      <c r="O109" s="717">
        <f t="shared" si="4"/>
        <v>0</v>
      </c>
      <c r="P109" s="717">
        <f t="shared" si="5"/>
        <v>0</v>
      </c>
      <c r="Q109" s="667"/>
    </row>
    <row r="110" spans="1:17">
      <c r="B110" s="322"/>
      <c r="C110" s="713" t="str">
        <f>IF(D96="","-",+C109+1)</f>
        <v>-</v>
      </c>
      <c r="D110" s="666">
        <f t="shared" si="6"/>
        <v>0</v>
      </c>
      <c r="E110" s="720">
        <f t="shared" si="7"/>
        <v>0</v>
      </c>
      <c r="F110" s="720">
        <f t="shared" si="0"/>
        <v>0</v>
      </c>
      <c r="G110" s="666">
        <f t="shared" si="1"/>
        <v>0</v>
      </c>
      <c r="H110" s="714">
        <f>+J97*G110+E110</f>
        <v>0</v>
      </c>
      <c r="I110" s="721">
        <f>+J98*G110+E110</f>
        <v>0</v>
      </c>
      <c r="J110" s="717">
        <f t="shared" si="2"/>
        <v>0</v>
      </c>
      <c r="K110" s="717"/>
      <c r="L110" s="722"/>
      <c r="M110" s="717">
        <f t="shared" si="3"/>
        <v>0</v>
      </c>
      <c r="N110" s="722"/>
      <c r="O110" s="717">
        <f t="shared" si="4"/>
        <v>0</v>
      </c>
      <c r="P110" s="717">
        <f t="shared" si="5"/>
        <v>0</v>
      </c>
      <c r="Q110" s="667"/>
    </row>
    <row r="111" spans="1:17">
      <c r="B111" s="322"/>
      <c r="C111" s="713" t="str">
        <f>IF(D96="","-",+C110+1)</f>
        <v>-</v>
      </c>
      <c r="D111" s="666">
        <f t="shared" si="6"/>
        <v>0</v>
      </c>
      <c r="E111" s="720">
        <f t="shared" si="7"/>
        <v>0</v>
      </c>
      <c r="F111" s="720">
        <f t="shared" si="0"/>
        <v>0</v>
      </c>
      <c r="G111" s="666">
        <f t="shared" si="1"/>
        <v>0</v>
      </c>
      <c r="H111" s="714">
        <f>+J97*G111+E111</f>
        <v>0</v>
      </c>
      <c r="I111" s="721">
        <f>+J98*G111+E111</f>
        <v>0</v>
      </c>
      <c r="J111" s="717">
        <f t="shared" si="2"/>
        <v>0</v>
      </c>
      <c r="K111" s="717"/>
      <c r="L111" s="722"/>
      <c r="M111" s="717">
        <f t="shared" si="3"/>
        <v>0</v>
      </c>
      <c r="N111" s="722"/>
      <c r="O111" s="717">
        <f t="shared" si="4"/>
        <v>0</v>
      </c>
      <c r="P111" s="717">
        <f t="shared" si="5"/>
        <v>0</v>
      </c>
      <c r="Q111" s="667"/>
    </row>
    <row r="112" spans="1:17">
      <c r="B112" s="322"/>
      <c r="C112" s="713" t="str">
        <f>IF(D96="","-",+C111+1)</f>
        <v>-</v>
      </c>
      <c r="D112" s="666">
        <f t="shared" si="6"/>
        <v>0</v>
      </c>
      <c r="E112" s="720">
        <f t="shared" si="7"/>
        <v>0</v>
      </c>
      <c r="F112" s="720">
        <f t="shared" si="0"/>
        <v>0</v>
      </c>
      <c r="G112" s="666">
        <f t="shared" si="1"/>
        <v>0</v>
      </c>
      <c r="H112" s="714">
        <f>+J97*G112+E112</f>
        <v>0</v>
      </c>
      <c r="I112" s="721">
        <f>+J98*G112+E112</f>
        <v>0</v>
      </c>
      <c r="J112" s="717">
        <f t="shared" si="2"/>
        <v>0</v>
      </c>
      <c r="K112" s="717"/>
      <c r="L112" s="722"/>
      <c r="M112" s="717">
        <f t="shared" si="3"/>
        <v>0</v>
      </c>
      <c r="N112" s="722"/>
      <c r="O112" s="717">
        <f t="shared" si="4"/>
        <v>0</v>
      </c>
      <c r="P112" s="717">
        <f t="shared" si="5"/>
        <v>0</v>
      </c>
      <c r="Q112" s="667"/>
    </row>
    <row r="113" spans="2:17">
      <c r="B113" s="322"/>
      <c r="C113" s="713" t="str">
        <f>IF(D96="","-",+C112+1)</f>
        <v>-</v>
      </c>
      <c r="D113" s="666">
        <f t="shared" si="6"/>
        <v>0</v>
      </c>
      <c r="E113" s="720">
        <f t="shared" si="7"/>
        <v>0</v>
      </c>
      <c r="F113" s="720">
        <f t="shared" si="0"/>
        <v>0</v>
      </c>
      <c r="G113" s="666">
        <f t="shared" si="1"/>
        <v>0</v>
      </c>
      <c r="H113" s="714">
        <f>+J97*G113+E113</f>
        <v>0</v>
      </c>
      <c r="I113" s="721">
        <f>+J98*G113+E113</f>
        <v>0</v>
      </c>
      <c r="J113" s="717">
        <f t="shared" si="2"/>
        <v>0</v>
      </c>
      <c r="K113" s="717"/>
      <c r="L113" s="722"/>
      <c r="M113" s="717">
        <f t="shared" si="3"/>
        <v>0</v>
      </c>
      <c r="N113" s="722"/>
      <c r="O113" s="717">
        <f t="shared" si="4"/>
        <v>0</v>
      </c>
      <c r="P113" s="717">
        <f t="shared" si="5"/>
        <v>0</v>
      </c>
      <c r="Q113" s="667"/>
    </row>
    <row r="114" spans="2:17">
      <c r="B114" s="322"/>
      <c r="C114" s="713" t="str">
        <f>IF(D96="","-",+C113+1)</f>
        <v>-</v>
      </c>
      <c r="D114" s="666">
        <f t="shared" si="6"/>
        <v>0</v>
      </c>
      <c r="E114" s="720">
        <f t="shared" si="7"/>
        <v>0</v>
      </c>
      <c r="F114" s="720">
        <f t="shared" si="0"/>
        <v>0</v>
      </c>
      <c r="G114" s="666">
        <f t="shared" si="1"/>
        <v>0</v>
      </c>
      <c r="H114" s="714">
        <f>+J97*G114+E114</f>
        <v>0</v>
      </c>
      <c r="I114" s="721">
        <f>+J98*G114+E114</f>
        <v>0</v>
      </c>
      <c r="J114" s="717">
        <f t="shared" si="2"/>
        <v>0</v>
      </c>
      <c r="K114" s="717"/>
      <c r="L114" s="722"/>
      <c r="M114" s="717">
        <f t="shared" si="3"/>
        <v>0</v>
      </c>
      <c r="N114" s="722"/>
      <c r="O114" s="717">
        <f t="shared" si="4"/>
        <v>0</v>
      </c>
      <c r="P114" s="717">
        <f t="shared" si="5"/>
        <v>0</v>
      </c>
      <c r="Q114" s="667"/>
    </row>
    <row r="115" spans="2:17">
      <c r="B115" s="322"/>
      <c r="C115" s="713" t="str">
        <f>IF(D96="","-",+C114+1)</f>
        <v>-</v>
      </c>
      <c r="D115" s="666">
        <f t="shared" si="6"/>
        <v>0</v>
      </c>
      <c r="E115" s="720">
        <f t="shared" si="7"/>
        <v>0</v>
      </c>
      <c r="F115" s="720">
        <f t="shared" si="0"/>
        <v>0</v>
      </c>
      <c r="G115" s="666">
        <f t="shared" si="1"/>
        <v>0</v>
      </c>
      <c r="H115" s="714">
        <f>+J97*G115+E115</f>
        <v>0</v>
      </c>
      <c r="I115" s="721">
        <f>+J98*G115+E115</f>
        <v>0</v>
      </c>
      <c r="J115" s="717">
        <f t="shared" si="2"/>
        <v>0</v>
      </c>
      <c r="K115" s="717"/>
      <c r="L115" s="722"/>
      <c r="M115" s="717">
        <f t="shared" si="3"/>
        <v>0</v>
      </c>
      <c r="N115" s="722"/>
      <c r="O115" s="717">
        <f t="shared" si="4"/>
        <v>0</v>
      </c>
      <c r="P115" s="717">
        <f t="shared" si="5"/>
        <v>0</v>
      </c>
      <c r="Q115" s="667"/>
    </row>
    <row r="116" spans="2:17">
      <c r="B116" s="322"/>
      <c r="C116" s="713" t="str">
        <f>IF(D96="","-",+C115+1)</f>
        <v>-</v>
      </c>
      <c r="D116" s="666">
        <f t="shared" si="6"/>
        <v>0</v>
      </c>
      <c r="E116" s="720">
        <f t="shared" si="7"/>
        <v>0</v>
      </c>
      <c r="F116" s="720">
        <f t="shared" si="0"/>
        <v>0</v>
      </c>
      <c r="G116" s="666">
        <f t="shared" si="1"/>
        <v>0</v>
      </c>
      <c r="H116" s="714">
        <f>+J97*G116+E116</f>
        <v>0</v>
      </c>
      <c r="I116" s="721">
        <f>+J98*G116+E116</f>
        <v>0</v>
      </c>
      <c r="J116" s="717">
        <f t="shared" si="2"/>
        <v>0</v>
      </c>
      <c r="K116" s="717"/>
      <c r="L116" s="722"/>
      <c r="M116" s="717">
        <f t="shared" si="3"/>
        <v>0</v>
      </c>
      <c r="N116" s="722"/>
      <c r="O116" s="717">
        <f t="shared" si="4"/>
        <v>0</v>
      </c>
      <c r="P116" s="717">
        <f t="shared" si="5"/>
        <v>0</v>
      </c>
      <c r="Q116" s="667"/>
    </row>
    <row r="117" spans="2:17">
      <c r="B117" s="322"/>
      <c r="C117" s="713" t="str">
        <f>IF(D96="","-",+C116+1)</f>
        <v>-</v>
      </c>
      <c r="D117" s="666">
        <f t="shared" si="6"/>
        <v>0</v>
      </c>
      <c r="E117" s="720">
        <f t="shared" si="7"/>
        <v>0</v>
      </c>
      <c r="F117" s="720">
        <f t="shared" si="0"/>
        <v>0</v>
      </c>
      <c r="G117" s="666">
        <f t="shared" si="1"/>
        <v>0</v>
      </c>
      <c r="H117" s="714">
        <f>+J97*G117+E117</f>
        <v>0</v>
      </c>
      <c r="I117" s="721">
        <f>+J98*G117+E117</f>
        <v>0</v>
      </c>
      <c r="J117" s="717">
        <f t="shared" si="2"/>
        <v>0</v>
      </c>
      <c r="K117" s="717"/>
      <c r="L117" s="722"/>
      <c r="M117" s="717">
        <f t="shared" si="3"/>
        <v>0</v>
      </c>
      <c r="N117" s="722"/>
      <c r="O117" s="717">
        <f t="shared" si="4"/>
        <v>0</v>
      </c>
      <c r="P117" s="717">
        <f t="shared" si="5"/>
        <v>0</v>
      </c>
      <c r="Q117" s="667"/>
    </row>
    <row r="118" spans="2:17">
      <c r="B118" s="322"/>
      <c r="C118" s="713" t="str">
        <f>IF(D96="","-",+C117+1)</f>
        <v>-</v>
      </c>
      <c r="D118" s="666">
        <f t="shared" si="6"/>
        <v>0</v>
      </c>
      <c r="E118" s="720">
        <f t="shared" si="7"/>
        <v>0</v>
      </c>
      <c r="F118" s="720">
        <f t="shared" si="0"/>
        <v>0</v>
      </c>
      <c r="G118" s="666">
        <f t="shared" si="1"/>
        <v>0</v>
      </c>
      <c r="H118" s="714">
        <f>+J97*G118+E118</f>
        <v>0</v>
      </c>
      <c r="I118" s="721">
        <f>+J98*G118+E118</f>
        <v>0</v>
      </c>
      <c r="J118" s="717">
        <f t="shared" si="2"/>
        <v>0</v>
      </c>
      <c r="K118" s="717"/>
      <c r="L118" s="722"/>
      <c r="M118" s="717">
        <f t="shared" si="3"/>
        <v>0</v>
      </c>
      <c r="N118" s="722"/>
      <c r="O118" s="717">
        <f t="shared" si="4"/>
        <v>0</v>
      </c>
      <c r="P118" s="717">
        <f t="shared" si="5"/>
        <v>0</v>
      </c>
      <c r="Q118" s="667"/>
    </row>
    <row r="119" spans="2:17">
      <c r="B119" s="322"/>
      <c r="C119" s="713" t="str">
        <f>IF(D96="","-",+C118+1)</f>
        <v>-</v>
      </c>
      <c r="D119" s="666">
        <f t="shared" si="6"/>
        <v>0</v>
      </c>
      <c r="E119" s="720">
        <f t="shared" si="7"/>
        <v>0</v>
      </c>
      <c r="F119" s="720">
        <f t="shared" si="0"/>
        <v>0</v>
      </c>
      <c r="G119" s="666">
        <f t="shared" si="1"/>
        <v>0</v>
      </c>
      <c r="H119" s="714">
        <f>+J97*G119+E119</f>
        <v>0</v>
      </c>
      <c r="I119" s="721">
        <f>+J98*G119+E119</f>
        <v>0</v>
      </c>
      <c r="J119" s="717">
        <f t="shared" si="2"/>
        <v>0</v>
      </c>
      <c r="K119" s="717"/>
      <c r="L119" s="722"/>
      <c r="M119" s="717">
        <f t="shared" si="3"/>
        <v>0</v>
      </c>
      <c r="N119" s="722"/>
      <c r="O119" s="717">
        <f t="shared" si="4"/>
        <v>0</v>
      </c>
      <c r="P119" s="717">
        <f t="shared" si="5"/>
        <v>0</v>
      </c>
      <c r="Q119" s="667"/>
    </row>
    <row r="120" spans="2:17">
      <c r="B120" s="322"/>
      <c r="C120" s="713" t="str">
        <f>IF(D96="","-",+C119+1)</f>
        <v>-</v>
      </c>
      <c r="D120" s="666">
        <f t="shared" si="6"/>
        <v>0</v>
      </c>
      <c r="E120" s="720">
        <f t="shared" si="7"/>
        <v>0</v>
      </c>
      <c r="F120" s="720">
        <f t="shared" si="0"/>
        <v>0</v>
      </c>
      <c r="G120" s="666">
        <f t="shared" si="1"/>
        <v>0</v>
      </c>
      <c r="H120" s="714">
        <f>+J97*G120+E120</f>
        <v>0</v>
      </c>
      <c r="I120" s="721">
        <f>+J98*G120+E120</f>
        <v>0</v>
      </c>
      <c r="J120" s="717">
        <f t="shared" si="2"/>
        <v>0</v>
      </c>
      <c r="K120" s="717"/>
      <c r="L120" s="722"/>
      <c r="M120" s="717">
        <f t="shared" si="3"/>
        <v>0</v>
      </c>
      <c r="N120" s="722"/>
      <c r="O120" s="717">
        <f t="shared" si="4"/>
        <v>0</v>
      </c>
      <c r="P120" s="717">
        <f t="shared" si="5"/>
        <v>0</v>
      </c>
      <c r="Q120" s="667"/>
    </row>
    <row r="121" spans="2:17">
      <c r="B121" s="322"/>
      <c r="C121" s="713" t="str">
        <f>IF(D96="","-",+C120+1)</f>
        <v>-</v>
      </c>
      <c r="D121" s="666">
        <f t="shared" si="6"/>
        <v>0</v>
      </c>
      <c r="E121" s="720">
        <f t="shared" si="7"/>
        <v>0</v>
      </c>
      <c r="F121" s="720">
        <f t="shared" si="0"/>
        <v>0</v>
      </c>
      <c r="G121" s="666">
        <f t="shared" si="1"/>
        <v>0</v>
      </c>
      <c r="H121" s="714">
        <f>+J97*G121+E121</f>
        <v>0</v>
      </c>
      <c r="I121" s="721">
        <f>+J98*G121+E121</f>
        <v>0</v>
      </c>
      <c r="J121" s="717">
        <f t="shared" si="2"/>
        <v>0</v>
      </c>
      <c r="K121" s="717"/>
      <c r="L121" s="722"/>
      <c r="M121" s="717">
        <f t="shared" si="3"/>
        <v>0</v>
      </c>
      <c r="N121" s="722"/>
      <c r="O121" s="717">
        <f t="shared" si="4"/>
        <v>0</v>
      </c>
      <c r="P121" s="717">
        <f t="shared" si="5"/>
        <v>0</v>
      </c>
      <c r="Q121" s="667"/>
    </row>
    <row r="122" spans="2:17">
      <c r="B122" s="322"/>
      <c r="C122" s="713" t="str">
        <f>IF(D96="","-",+C121+1)</f>
        <v>-</v>
      </c>
      <c r="D122" s="666">
        <f t="shared" si="6"/>
        <v>0</v>
      </c>
      <c r="E122" s="720">
        <f t="shared" si="7"/>
        <v>0</v>
      </c>
      <c r="F122" s="720">
        <f t="shared" si="0"/>
        <v>0</v>
      </c>
      <c r="G122" s="666">
        <f t="shared" si="1"/>
        <v>0</v>
      </c>
      <c r="H122" s="714">
        <f>+J97*G122+E122</f>
        <v>0</v>
      </c>
      <c r="I122" s="721">
        <f>+J98*G122+E122</f>
        <v>0</v>
      </c>
      <c r="J122" s="717">
        <f t="shared" si="2"/>
        <v>0</v>
      </c>
      <c r="K122" s="717"/>
      <c r="L122" s="722"/>
      <c r="M122" s="717">
        <f t="shared" si="3"/>
        <v>0</v>
      </c>
      <c r="N122" s="722"/>
      <c r="O122" s="717">
        <f t="shared" si="4"/>
        <v>0</v>
      </c>
      <c r="P122" s="717">
        <f t="shared" si="5"/>
        <v>0</v>
      </c>
      <c r="Q122" s="667"/>
    </row>
    <row r="123" spans="2:17">
      <c r="B123" s="322"/>
      <c r="C123" s="713" t="str">
        <f>IF(D96="","-",+C122+1)</f>
        <v>-</v>
      </c>
      <c r="D123" s="666">
        <f t="shared" si="6"/>
        <v>0</v>
      </c>
      <c r="E123" s="720">
        <f t="shared" si="7"/>
        <v>0</v>
      </c>
      <c r="F123" s="720">
        <f t="shared" si="0"/>
        <v>0</v>
      </c>
      <c r="G123" s="666">
        <f t="shared" si="1"/>
        <v>0</v>
      </c>
      <c r="H123" s="714">
        <f>+J97*G123+E123</f>
        <v>0</v>
      </c>
      <c r="I123" s="721">
        <f>+J98*G123+E123</f>
        <v>0</v>
      </c>
      <c r="J123" s="717">
        <f t="shared" si="2"/>
        <v>0</v>
      </c>
      <c r="K123" s="717"/>
      <c r="L123" s="722"/>
      <c r="M123" s="717">
        <f t="shared" si="3"/>
        <v>0</v>
      </c>
      <c r="N123" s="722"/>
      <c r="O123" s="717">
        <f t="shared" si="4"/>
        <v>0</v>
      </c>
      <c r="P123" s="717">
        <f t="shared" si="5"/>
        <v>0</v>
      </c>
      <c r="Q123" s="667"/>
    </row>
    <row r="124" spans="2:17">
      <c r="B124" s="322"/>
      <c r="C124" s="713" t="str">
        <f>IF(D96="","-",+C123+1)</f>
        <v>-</v>
      </c>
      <c r="D124" s="666">
        <f t="shared" si="6"/>
        <v>0</v>
      </c>
      <c r="E124" s="720">
        <f t="shared" si="7"/>
        <v>0</v>
      </c>
      <c r="F124" s="720">
        <f t="shared" si="0"/>
        <v>0</v>
      </c>
      <c r="G124" s="666">
        <f t="shared" si="1"/>
        <v>0</v>
      </c>
      <c r="H124" s="714">
        <f>+J97*G124+E124</f>
        <v>0</v>
      </c>
      <c r="I124" s="721">
        <f>+J98*G124+E124</f>
        <v>0</v>
      </c>
      <c r="J124" s="717">
        <f t="shared" si="2"/>
        <v>0</v>
      </c>
      <c r="K124" s="717"/>
      <c r="L124" s="722"/>
      <c r="M124" s="717">
        <f t="shared" si="3"/>
        <v>0</v>
      </c>
      <c r="N124" s="722"/>
      <c r="O124" s="717">
        <f t="shared" si="4"/>
        <v>0</v>
      </c>
      <c r="P124" s="717">
        <f t="shared" si="5"/>
        <v>0</v>
      </c>
      <c r="Q124" s="667"/>
    </row>
    <row r="125" spans="2:17">
      <c r="B125" s="322"/>
      <c r="C125" s="713" t="str">
        <f>IF(D96="","-",+C124+1)</f>
        <v>-</v>
      </c>
      <c r="D125" s="666">
        <f t="shared" si="6"/>
        <v>0</v>
      </c>
      <c r="E125" s="720">
        <f t="shared" si="7"/>
        <v>0</v>
      </c>
      <c r="F125" s="720">
        <f t="shared" si="0"/>
        <v>0</v>
      </c>
      <c r="G125" s="666">
        <f t="shared" si="1"/>
        <v>0</v>
      </c>
      <c r="H125" s="714">
        <f>+J97*G125+E125</f>
        <v>0</v>
      </c>
      <c r="I125" s="721">
        <f>+J98*G125+E125</f>
        <v>0</v>
      </c>
      <c r="J125" s="717">
        <f t="shared" si="2"/>
        <v>0</v>
      </c>
      <c r="K125" s="717"/>
      <c r="L125" s="722"/>
      <c r="M125" s="717">
        <f t="shared" si="3"/>
        <v>0</v>
      </c>
      <c r="N125" s="722"/>
      <c r="O125" s="717">
        <f t="shared" si="4"/>
        <v>0</v>
      </c>
      <c r="P125" s="717">
        <f t="shared" si="5"/>
        <v>0</v>
      </c>
      <c r="Q125" s="667"/>
    </row>
    <row r="126" spans="2:17">
      <c r="B126" s="322"/>
      <c r="C126" s="713" t="str">
        <f>IF(D96="","-",+C125+1)</f>
        <v>-</v>
      </c>
      <c r="D126" s="666">
        <f t="shared" si="6"/>
        <v>0</v>
      </c>
      <c r="E126" s="720">
        <f t="shared" si="7"/>
        <v>0</v>
      </c>
      <c r="F126" s="720">
        <f t="shared" si="0"/>
        <v>0</v>
      </c>
      <c r="G126" s="666">
        <f t="shared" si="1"/>
        <v>0</v>
      </c>
      <c r="H126" s="714">
        <f>+J97*G126+E126</f>
        <v>0</v>
      </c>
      <c r="I126" s="721">
        <f>+J98*G126+E126</f>
        <v>0</v>
      </c>
      <c r="J126" s="717">
        <f t="shared" si="2"/>
        <v>0</v>
      </c>
      <c r="K126" s="717"/>
      <c r="L126" s="722"/>
      <c r="M126" s="717">
        <f t="shared" si="3"/>
        <v>0</v>
      </c>
      <c r="N126" s="722"/>
      <c r="O126" s="717">
        <f t="shared" si="4"/>
        <v>0</v>
      </c>
      <c r="P126" s="717">
        <f t="shared" si="5"/>
        <v>0</v>
      </c>
      <c r="Q126" s="667"/>
    </row>
    <row r="127" spans="2:17">
      <c r="B127" s="322"/>
      <c r="C127" s="713" t="str">
        <f>IF(D96="","-",+C126+1)</f>
        <v>-</v>
      </c>
      <c r="D127" s="666">
        <f t="shared" si="6"/>
        <v>0</v>
      </c>
      <c r="E127" s="720">
        <f t="shared" si="7"/>
        <v>0</v>
      </c>
      <c r="F127" s="720">
        <f t="shared" si="0"/>
        <v>0</v>
      </c>
      <c r="G127" s="666">
        <f t="shared" si="1"/>
        <v>0</v>
      </c>
      <c r="H127" s="714">
        <f>+J97*G127+E127</f>
        <v>0</v>
      </c>
      <c r="I127" s="721">
        <f>+J98*G127+E127</f>
        <v>0</v>
      </c>
      <c r="J127" s="717">
        <f t="shared" si="2"/>
        <v>0</v>
      </c>
      <c r="K127" s="717"/>
      <c r="L127" s="722"/>
      <c r="M127" s="717">
        <f t="shared" si="3"/>
        <v>0</v>
      </c>
      <c r="N127" s="722"/>
      <c r="O127" s="717">
        <f t="shared" si="4"/>
        <v>0</v>
      </c>
      <c r="P127" s="717">
        <f t="shared" si="5"/>
        <v>0</v>
      </c>
      <c r="Q127" s="667"/>
    </row>
    <row r="128" spans="2:17">
      <c r="B128" s="322"/>
      <c r="C128" s="713" t="str">
        <f>IF(D96="","-",+C127+1)</f>
        <v>-</v>
      </c>
      <c r="D128" s="666">
        <f t="shared" si="6"/>
        <v>0</v>
      </c>
      <c r="E128" s="720">
        <f t="shared" si="7"/>
        <v>0</v>
      </c>
      <c r="F128" s="720">
        <f t="shared" si="0"/>
        <v>0</v>
      </c>
      <c r="G128" s="666">
        <f t="shared" si="1"/>
        <v>0</v>
      </c>
      <c r="H128" s="714">
        <f>+J97*G128+E128</f>
        <v>0</v>
      </c>
      <c r="I128" s="721">
        <f>+J98*G128+E128</f>
        <v>0</v>
      </c>
      <c r="J128" s="717">
        <f t="shared" si="2"/>
        <v>0</v>
      </c>
      <c r="K128" s="717"/>
      <c r="L128" s="722"/>
      <c r="M128" s="717">
        <f t="shared" si="3"/>
        <v>0</v>
      </c>
      <c r="N128" s="722"/>
      <c r="O128" s="717">
        <f t="shared" si="4"/>
        <v>0</v>
      </c>
      <c r="P128" s="717">
        <f t="shared" si="5"/>
        <v>0</v>
      </c>
      <c r="Q128" s="667"/>
    </row>
    <row r="129" spans="2:17">
      <c r="B129" s="322"/>
      <c r="C129" s="713" t="str">
        <f>IF(D96="","-",+C128+1)</f>
        <v>-</v>
      </c>
      <c r="D129" s="666">
        <f t="shared" si="6"/>
        <v>0</v>
      </c>
      <c r="E129" s="720">
        <f t="shared" si="7"/>
        <v>0</v>
      </c>
      <c r="F129" s="720">
        <f t="shared" si="0"/>
        <v>0</v>
      </c>
      <c r="G129" s="666">
        <f t="shared" si="1"/>
        <v>0</v>
      </c>
      <c r="H129" s="714">
        <f>+J97*G129+E129</f>
        <v>0</v>
      </c>
      <c r="I129" s="721">
        <f>+J98*G129+E129</f>
        <v>0</v>
      </c>
      <c r="J129" s="717">
        <f t="shared" si="2"/>
        <v>0</v>
      </c>
      <c r="K129" s="717"/>
      <c r="L129" s="722"/>
      <c r="M129" s="717">
        <f t="shared" si="3"/>
        <v>0</v>
      </c>
      <c r="N129" s="722"/>
      <c r="O129" s="717">
        <f t="shared" si="4"/>
        <v>0</v>
      </c>
      <c r="P129" s="717">
        <f t="shared" si="5"/>
        <v>0</v>
      </c>
      <c r="Q129" s="667"/>
    </row>
    <row r="130" spans="2:17">
      <c r="B130" s="322"/>
      <c r="C130" s="713" t="str">
        <f>IF(D96="","-",+C129+1)</f>
        <v>-</v>
      </c>
      <c r="D130" s="666">
        <f t="shared" si="6"/>
        <v>0</v>
      </c>
      <c r="E130" s="720">
        <f t="shared" si="7"/>
        <v>0</v>
      </c>
      <c r="F130" s="720">
        <f t="shared" si="0"/>
        <v>0</v>
      </c>
      <c r="G130" s="666">
        <f t="shared" si="1"/>
        <v>0</v>
      </c>
      <c r="H130" s="714">
        <f>+J97*G130+E130</f>
        <v>0</v>
      </c>
      <c r="I130" s="721">
        <f>+J98*G130+E130</f>
        <v>0</v>
      </c>
      <c r="J130" s="717">
        <f t="shared" si="2"/>
        <v>0</v>
      </c>
      <c r="K130" s="717"/>
      <c r="L130" s="722"/>
      <c r="M130" s="717">
        <f t="shared" si="3"/>
        <v>0</v>
      </c>
      <c r="N130" s="722"/>
      <c r="O130" s="717">
        <f t="shared" si="4"/>
        <v>0</v>
      </c>
      <c r="P130" s="717">
        <f t="shared" si="5"/>
        <v>0</v>
      </c>
      <c r="Q130" s="667"/>
    </row>
    <row r="131" spans="2:17">
      <c r="B131" s="322"/>
      <c r="C131" s="713" t="str">
        <f>IF(D96="","-",+C130+1)</f>
        <v>-</v>
      </c>
      <c r="D131" s="666">
        <f t="shared" si="6"/>
        <v>0</v>
      </c>
      <c r="E131" s="720">
        <f t="shared" si="7"/>
        <v>0</v>
      </c>
      <c r="F131" s="720">
        <f t="shared" si="0"/>
        <v>0</v>
      </c>
      <c r="G131" s="666">
        <f t="shared" si="1"/>
        <v>0</v>
      </c>
      <c r="H131" s="714">
        <f>+J97*G131+E131</f>
        <v>0</v>
      </c>
      <c r="I131" s="721">
        <f>+J98*G131+E131</f>
        <v>0</v>
      </c>
      <c r="J131" s="717">
        <f t="shared" si="2"/>
        <v>0</v>
      </c>
      <c r="K131" s="717"/>
      <c r="L131" s="722"/>
      <c r="M131" s="717">
        <f t="shared" si="3"/>
        <v>0</v>
      </c>
      <c r="N131" s="722"/>
      <c r="O131" s="717">
        <f t="shared" si="4"/>
        <v>0</v>
      </c>
      <c r="P131" s="717">
        <f t="shared" si="5"/>
        <v>0</v>
      </c>
      <c r="Q131" s="667"/>
    </row>
    <row r="132" spans="2:17">
      <c r="B132" s="322"/>
      <c r="C132" s="713" t="str">
        <f>IF(D96="","-",+C131+1)</f>
        <v>-</v>
      </c>
      <c r="D132" s="666">
        <f t="shared" si="6"/>
        <v>0</v>
      </c>
      <c r="E132" s="720">
        <f t="shared" si="7"/>
        <v>0</v>
      </c>
      <c r="F132" s="720">
        <f t="shared" si="0"/>
        <v>0</v>
      </c>
      <c r="G132" s="666">
        <f t="shared" si="1"/>
        <v>0</v>
      </c>
      <c r="H132" s="714">
        <f>+J97*G132+E132</f>
        <v>0</v>
      </c>
      <c r="I132" s="721">
        <f>+J98*G132+E132</f>
        <v>0</v>
      </c>
      <c r="J132" s="717">
        <f t="shared" si="2"/>
        <v>0</v>
      </c>
      <c r="K132" s="717"/>
      <c r="L132" s="722"/>
      <c r="M132" s="717">
        <f t="shared" si="3"/>
        <v>0</v>
      </c>
      <c r="N132" s="722"/>
      <c r="O132" s="717">
        <f t="shared" si="4"/>
        <v>0</v>
      </c>
      <c r="P132" s="717">
        <f t="shared" si="5"/>
        <v>0</v>
      </c>
      <c r="Q132" s="667"/>
    </row>
    <row r="133" spans="2:17">
      <c r="B133" s="322"/>
      <c r="C133" s="713" t="str">
        <f>IF(D96="","-",+C132+1)</f>
        <v>-</v>
      </c>
      <c r="D133" s="666">
        <f t="shared" si="6"/>
        <v>0</v>
      </c>
      <c r="E133" s="720">
        <f t="shared" si="7"/>
        <v>0</v>
      </c>
      <c r="F133" s="720">
        <f t="shared" si="0"/>
        <v>0</v>
      </c>
      <c r="G133" s="666">
        <f t="shared" si="1"/>
        <v>0</v>
      </c>
      <c r="H133" s="714">
        <f>+J97*G133+E133</f>
        <v>0</v>
      </c>
      <c r="I133" s="721">
        <f>+J98*G133+E133</f>
        <v>0</v>
      </c>
      <c r="J133" s="717">
        <f t="shared" si="2"/>
        <v>0</v>
      </c>
      <c r="K133" s="717"/>
      <c r="L133" s="722"/>
      <c r="M133" s="717">
        <f t="shared" si="3"/>
        <v>0</v>
      </c>
      <c r="N133" s="722"/>
      <c r="O133" s="717">
        <f t="shared" si="4"/>
        <v>0</v>
      </c>
      <c r="P133" s="717">
        <f t="shared" si="5"/>
        <v>0</v>
      </c>
      <c r="Q133" s="667"/>
    </row>
    <row r="134" spans="2:17">
      <c r="B134" s="322"/>
      <c r="C134" s="713" t="str">
        <f>IF(D96="","-",+C133+1)</f>
        <v>-</v>
      </c>
      <c r="D134" s="666">
        <f t="shared" si="6"/>
        <v>0</v>
      </c>
      <c r="E134" s="720">
        <f t="shared" si="7"/>
        <v>0</v>
      </c>
      <c r="F134" s="720">
        <f t="shared" ref="F134:F161" si="8">+D134-E134</f>
        <v>0</v>
      </c>
      <c r="G134" s="666">
        <f t="shared" ref="G134:G161" si="9">+(D134+F134)/2</f>
        <v>0</v>
      </c>
      <c r="H134" s="714">
        <f>+J97*G134+E134</f>
        <v>0</v>
      </c>
      <c r="I134" s="721">
        <f>+J98*G134+E134</f>
        <v>0</v>
      </c>
      <c r="J134" s="717">
        <f t="shared" ref="J134:J161" si="10">+I134-H134</f>
        <v>0</v>
      </c>
      <c r="K134" s="717"/>
      <c r="L134" s="722"/>
      <c r="M134" s="717">
        <f t="shared" ref="M134:M161" si="11">IF(L134&lt;&gt;0,+H134-L134,0)</f>
        <v>0</v>
      </c>
      <c r="N134" s="722"/>
      <c r="O134" s="717">
        <f t="shared" ref="O134:O161" si="12">IF(N134&lt;&gt;0,+I134-N134,0)</f>
        <v>0</v>
      </c>
      <c r="P134" s="717">
        <f t="shared" ref="P134:P161" si="13">+O134-M134</f>
        <v>0</v>
      </c>
      <c r="Q134" s="667"/>
    </row>
    <row r="135" spans="2:17">
      <c r="B135" s="322"/>
      <c r="C135" s="713" t="str">
        <f>IF(D96="","-",+C134+1)</f>
        <v>-</v>
      </c>
      <c r="D135" s="666">
        <f t="shared" ref="D135:D161" si="14">F134</f>
        <v>0</v>
      </c>
      <c r="E135" s="720">
        <f t="shared" ref="E135:E161" si="15">IF(D135&gt;$J$99,$J$99,D135)</f>
        <v>0</v>
      </c>
      <c r="F135" s="720">
        <f t="shared" si="8"/>
        <v>0</v>
      </c>
      <c r="G135" s="666">
        <f t="shared" si="9"/>
        <v>0</v>
      </c>
      <c r="H135" s="714">
        <f>+J97*G135+E135</f>
        <v>0</v>
      </c>
      <c r="I135" s="721">
        <f>+J98*G135+E135</f>
        <v>0</v>
      </c>
      <c r="J135" s="717">
        <f t="shared" si="10"/>
        <v>0</v>
      </c>
      <c r="K135" s="717"/>
      <c r="L135" s="722"/>
      <c r="M135" s="717">
        <f t="shared" si="11"/>
        <v>0</v>
      </c>
      <c r="N135" s="722"/>
      <c r="O135" s="717">
        <f t="shared" si="12"/>
        <v>0</v>
      </c>
      <c r="P135" s="717">
        <f t="shared" si="13"/>
        <v>0</v>
      </c>
      <c r="Q135" s="667"/>
    </row>
    <row r="136" spans="2:17">
      <c r="B136" s="322"/>
      <c r="C136" s="713" t="str">
        <f>IF(D96="","-",+C135+1)</f>
        <v>-</v>
      </c>
      <c r="D136" s="666">
        <f t="shared" si="14"/>
        <v>0</v>
      </c>
      <c r="E136" s="720">
        <f t="shared" si="15"/>
        <v>0</v>
      </c>
      <c r="F136" s="720">
        <f t="shared" si="8"/>
        <v>0</v>
      </c>
      <c r="G136" s="666">
        <f t="shared" si="9"/>
        <v>0</v>
      </c>
      <c r="H136" s="714">
        <f>+J97*G136+E136</f>
        <v>0</v>
      </c>
      <c r="I136" s="721">
        <f>+J98*G136+E136</f>
        <v>0</v>
      </c>
      <c r="J136" s="717">
        <f t="shared" si="10"/>
        <v>0</v>
      </c>
      <c r="K136" s="717"/>
      <c r="L136" s="722"/>
      <c r="M136" s="717">
        <f t="shared" si="11"/>
        <v>0</v>
      </c>
      <c r="N136" s="722"/>
      <c r="O136" s="717">
        <f t="shared" si="12"/>
        <v>0</v>
      </c>
      <c r="P136" s="717">
        <f t="shared" si="13"/>
        <v>0</v>
      </c>
      <c r="Q136" s="667"/>
    </row>
    <row r="137" spans="2:17">
      <c r="B137" s="322"/>
      <c r="C137" s="713" t="str">
        <f>IF(D96="","-",+C136+1)</f>
        <v>-</v>
      </c>
      <c r="D137" s="666">
        <f t="shared" si="14"/>
        <v>0</v>
      </c>
      <c r="E137" s="720">
        <f t="shared" si="15"/>
        <v>0</v>
      </c>
      <c r="F137" s="720">
        <f t="shared" si="8"/>
        <v>0</v>
      </c>
      <c r="G137" s="666">
        <f t="shared" si="9"/>
        <v>0</v>
      </c>
      <c r="H137" s="714">
        <f>+J97*G137+E137</f>
        <v>0</v>
      </c>
      <c r="I137" s="721">
        <f>+J98*G137+E137</f>
        <v>0</v>
      </c>
      <c r="J137" s="717">
        <f t="shared" si="10"/>
        <v>0</v>
      </c>
      <c r="K137" s="717"/>
      <c r="L137" s="722"/>
      <c r="M137" s="717">
        <f t="shared" si="11"/>
        <v>0</v>
      </c>
      <c r="N137" s="722"/>
      <c r="O137" s="717">
        <f t="shared" si="12"/>
        <v>0</v>
      </c>
      <c r="P137" s="717">
        <f t="shared" si="13"/>
        <v>0</v>
      </c>
      <c r="Q137" s="667"/>
    </row>
    <row r="138" spans="2:17">
      <c r="B138" s="322"/>
      <c r="C138" s="713" t="str">
        <f>IF(D96="","-",+C137+1)</f>
        <v>-</v>
      </c>
      <c r="D138" s="666">
        <f t="shared" si="14"/>
        <v>0</v>
      </c>
      <c r="E138" s="720">
        <f t="shared" si="15"/>
        <v>0</v>
      </c>
      <c r="F138" s="720">
        <f t="shared" si="8"/>
        <v>0</v>
      </c>
      <c r="G138" s="666">
        <f t="shared" si="9"/>
        <v>0</v>
      </c>
      <c r="H138" s="714">
        <f>+J97*G138+E138</f>
        <v>0</v>
      </c>
      <c r="I138" s="721">
        <f>+J98*G138+E138</f>
        <v>0</v>
      </c>
      <c r="J138" s="717">
        <f t="shared" si="10"/>
        <v>0</v>
      </c>
      <c r="K138" s="717"/>
      <c r="L138" s="722"/>
      <c r="M138" s="717">
        <f t="shared" si="11"/>
        <v>0</v>
      </c>
      <c r="N138" s="722"/>
      <c r="O138" s="717">
        <f t="shared" si="12"/>
        <v>0</v>
      </c>
      <c r="P138" s="717">
        <f t="shared" si="13"/>
        <v>0</v>
      </c>
      <c r="Q138" s="667"/>
    </row>
    <row r="139" spans="2:17">
      <c r="B139" s="322"/>
      <c r="C139" s="713" t="str">
        <f>IF(D96="","-",+C138+1)</f>
        <v>-</v>
      </c>
      <c r="D139" s="666">
        <f t="shared" si="14"/>
        <v>0</v>
      </c>
      <c r="E139" s="720">
        <f t="shared" si="15"/>
        <v>0</v>
      </c>
      <c r="F139" s="720">
        <f t="shared" si="8"/>
        <v>0</v>
      </c>
      <c r="G139" s="666">
        <f t="shared" si="9"/>
        <v>0</v>
      </c>
      <c r="H139" s="714">
        <f>+J97*G139+E139</f>
        <v>0</v>
      </c>
      <c r="I139" s="721">
        <f>+J98*G139+E139</f>
        <v>0</v>
      </c>
      <c r="J139" s="717">
        <f t="shared" si="10"/>
        <v>0</v>
      </c>
      <c r="K139" s="717"/>
      <c r="L139" s="722"/>
      <c r="M139" s="717">
        <f t="shared" si="11"/>
        <v>0</v>
      </c>
      <c r="N139" s="722"/>
      <c r="O139" s="717">
        <f t="shared" si="12"/>
        <v>0</v>
      </c>
      <c r="P139" s="717">
        <f t="shared" si="13"/>
        <v>0</v>
      </c>
      <c r="Q139" s="667"/>
    </row>
    <row r="140" spans="2:17">
      <c r="B140" s="322"/>
      <c r="C140" s="713" t="str">
        <f>IF(D96="","-",+C139+1)</f>
        <v>-</v>
      </c>
      <c r="D140" s="666">
        <f t="shared" si="14"/>
        <v>0</v>
      </c>
      <c r="E140" s="720">
        <f t="shared" si="15"/>
        <v>0</v>
      </c>
      <c r="F140" s="720">
        <f t="shared" si="8"/>
        <v>0</v>
      </c>
      <c r="G140" s="666">
        <f t="shared" si="9"/>
        <v>0</v>
      </c>
      <c r="H140" s="714">
        <f>+J97*G140+E140</f>
        <v>0</v>
      </c>
      <c r="I140" s="721">
        <f>+J98*G140+E140</f>
        <v>0</v>
      </c>
      <c r="J140" s="717">
        <f t="shared" si="10"/>
        <v>0</v>
      </c>
      <c r="K140" s="717"/>
      <c r="L140" s="722"/>
      <c r="M140" s="717">
        <f t="shared" si="11"/>
        <v>0</v>
      </c>
      <c r="N140" s="722"/>
      <c r="O140" s="717">
        <f t="shared" si="12"/>
        <v>0</v>
      </c>
      <c r="P140" s="717">
        <f t="shared" si="13"/>
        <v>0</v>
      </c>
      <c r="Q140" s="667"/>
    </row>
    <row r="141" spans="2:17">
      <c r="B141" s="322"/>
      <c r="C141" s="713" t="str">
        <f>IF(D96="","-",+C140+1)</f>
        <v>-</v>
      </c>
      <c r="D141" s="666">
        <f t="shared" si="14"/>
        <v>0</v>
      </c>
      <c r="E141" s="720">
        <f t="shared" si="15"/>
        <v>0</v>
      </c>
      <c r="F141" s="720">
        <f t="shared" si="8"/>
        <v>0</v>
      </c>
      <c r="G141" s="666">
        <f t="shared" si="9"/>
        <v>0</v>
      </c>
      <c r="H141" s="714">
        <f>+J97*G141+E141</f>
        <v>0</v>
      </c>
      <c r="I141" s="721">
        <f>+J98*G141+E141</f>
        <v>0</v>
      </c>
      <c r="J141" s="717">
        <f t="shared" si="10"/>
        <v>0</v>
      </c>
      <c r="K141" s="717"/>
      <c r="L141" s="722"/>
      <c r="M141" s="717">
        <f t="shared" si="11"/>
        <v>0</v>
      </c>
      <c r="N141" s="722"/>
      <c r="O141" s="717">
        <f t="shared" si="12"/>
        <v>0</v>
      </c>
      <c r="P141" s="717">
        <f t="shared" si="13"/>
        <v>0</v>
      </c>
      <c r="Q141" s="667"/>
    </row>
    <row r="142" spans="2:17">
      <c r="B142" s="322"/>
      <c r="C142" s="713" t="str">
        <f>IF(D96="","-",+C141+1)</f>
        <v>-</v>
      </c>
      <c r="D142" s="666">
        <f t="shared" si="14"/>
        <v>0</v>
      </c>
      <c r="E142" s="720">
        <f t="shared" si="15"/>
        <v>0</v>
      </c>
      <c r="F142" s="720">
        <f t="shared" si="8"/>
        <v>0</v>
      </c>
      <c r="G142" s="666">
        <f t="shared" si="9"/>
        <v>0</v>
      </c>
      <c r="H142" s="714">
        <f>+J97*G142+E142</f>
        <v>0</v>
      </c>
      <c r="I142" s="721">
        <f>+J98*G142+E142</f>
        <v>0</v>
      </c>
      <c r="J142" s="717">
        <f t="shared" si="10"/>
        <v>0</v>
      </c>
      <c r="K142" s="717"/>
      <c r="L142" s="722"/>
      <c r="M142" s="717">
        <f t="shared" si="11"/>
        <v>0</v>
      </c>
      <c r="N142" s="722"/>
      <c r="O142" s="717">
        <f t="shared" si="12"/>
        <v>0</v>
      </c>
      <c r="P142" s="717">
        <f t="shared" si="13"/>
        <v>0</v>
      </c>
      <c r="Q142" s="667"/>
    </row>
    <row r="143" spans="2:17">
      <c r="B143" s="322"/>
      <c r="C143" s="713" t="str">
        <f>IF(D96="","-",+C142+1)</f>
        <v>-</v>
      </c>
      <c r="D143" s="666">
        <f t="shared" si="14"/>
        <v>0</v>
      </c>
      <c r="E143" s="720">
        <f t="shared" si="15"/>
        <v>0</v>
      </c>
      <c r="F143" s="720">
        <f t="shared" si="8"/>
        <v>0</v>
      </c>
      <c r="G143" s="666">
        <f t="shared" si="9"/>
        <v>0</v>
      </c>
      <c r="H143" s="714">
        <f>+J97*G143+E143</f>
        <v>0</v>
      </c>
      <c r="I143" s="721">
        <f>+J98*G143+E143</f>
        <v>0</v>
      </c>
      <c r="J143" s="717">
        <f t="shared" si="10"/>
        <v>0</v>
      </c>
      <c r="K143" s="717"/>
      <c r="L143" s="722"/>
      <c r="M143" s="717">
        <f t="shared" si="11"/>
        <v>0</v>
      </c>
      <c r="N143" s="722"/>
      <c r="O143" s="717">
        <f t="shared" si="12"/>
        <v>0</v>
      </c>
      <c r="P143" s="717">
        <f t="shared" si="13"/>
        <v>0</v>
      </c>
      <c r="Q143" s="667"/>
    </row>
    <row r="144" spans="2:17">
      <c r="B144" s="322"/>
      <c r="C144" s="713" t="str">
        <f>IF(D96="","-",+C143+1)</f>
        <v>-</v>
      </c>
      <c r="D144" s="666">
        <f t="shared" si="14"/>
        <v>0</v>
      </c>
      <c r="E144" s="720">
        <f t="shared" si="15"/>
        <v>0</v>
      </c>
      <c r="F144" s="720">
        <f t="shared" si="8"/>
        <v>0</v>
      </c>
      <c r="G144" s="666">
        <f t="shared" si="9"/>
        <v>0</v>
      </c>
      <c r="H144" s="714">
        <f>+J97*G144+E144</f>
        <v>0</v>
      </c>
      <c r="I144" s="721">
        <f>+J98*G144+E144</f>
        <v>0</v>
      </c>
      <c r="J144" s="717">
        <f t="shared" si="10"/>
        <v>0</v>
      </c>
      <c r="K144" s="717"/>
      <c r="L144" s="722"/>
      <c r="M144" s="717">
        <f t="shared" si="11"/>
        <v>0</v>
      </c>
      <c r="N144" s="722"/>
      <c r="O144" s="717">
        <f t="shared" si="12"/>
        <v>0</v>
      </c>
      <c r="P144" s="717">
        <f t="shared" si="13"/>
        <v>0</v>
      </c>
      <c r="Q144" s="667"/>
    </row>
    <row r="145" spans="2:17">
      <c r="B145" s="322"/>
      <c r="C145" s="713" t="str">
        <f>IF(D96="","-",+C144+1)</f>
        <v>-</v>
      </c>
      <c r="D145" s="666">
        <f t="shared" si="14"/>
        <v>0</v>
      </c>
      <c r="E145" s="720">
        <f t="shared" si="15"/>
        <v>0</v>
      </c>
      <c r="F145" s="720">
        <f t="shared" si="8"/>
        <v>0</v>
      </c>
      <c r="G145" s="666">
        <f t="shared" si="9"/>
        <v>0</v>
      </c>
      <c r="H145" s="714">
        <f>+J97*G145+E145</f>
        <v>0</v>
      </c>
      <c r="I145" s="721">
        <f>+J98*G145+E145</f>
        <v>0</v>
      </c>
      <c r="J145" s="717">
        <f t="shared" si="10"/>
        <v>0</v>
      </c>
      <c r="K145" s="717"/>
      <c r="L145" s="722"/>
      <c r="M145" s="717">
        <f t="shared" si="11"/>
        <v>0</v>
      </c>
      <c r="N145" s="722"/>
      <c r="O145" s="717">
        <f t="shared" si="12"/>
        <v>0</v>
      </c>
      <c r="P145" s="717">
        <f t="shared" si="13"/>
        <v>0</v>
      </c>
      <c r="Q145" s="667"/>
    </row>
    <row r="146" spans="2:17">
      <c r="B146" s="322"/>
      <c r="C146" s="713" t="str">
        <f>IF(D96="","-",+C145+1)</f>
        <v>-</v>
      </c>
      <c r="D146" s="666">
        <f t="shared" si="14"/>
        <v>0</v>
      </c>
      <c r="E146" s="720">
        <f t="shared" si="15"/>
        <v>0</v>
      </c>
      <c r="F146" s="720">
        <f t="shared" si="8"/>
        <v>0</v>
      </c>
      <c r="G146" s="666">
        <f t="shared" si="9"/>
        <v>0</v>
      </c>
      <c r="H146" s="714">
        <f>+J97*G146+E146</f>
        <v>0</v>
      </c>
      <c r="I146" s="721">
        <f>+J98*G146+E146</f>
        <v>0</v>
      </c>
      <c r="J146" s="717">
        <f t="shared" si="10"/>
        <v>0</v>
      </c>
      <c r="K146" s="717"/>
      <c r="L146" s="722"/>
      <c r="M146" s="717">
        <f t="shared" si="11"/>
        <v>0</v>
      </c>
      <c r="N146" s="722"/>
      <c r="O146" s="717">
        <f t="shared" si="12"/>
        <v>0</v>
      </c>
      <c r="P146" s="717">
        <f t="shared" si="13"/>
        <v>0</v>
      </c>
      <c r="Q146" s="667"/>
    </row>
    <row r="147" spans="2:17">
      <c r="B147" s="322"/>
      <c r="C147" s="713" t="str">
        <f>IF(D96="","-",+C146+1)</f>
        <v>-</v>
      </c>
      <c r="D147" s="666">
        <f t="shared" si="14"/>
        <v>0</v>
      </c>
      <c r="E147" s="720">
        <f t="shared" si="15"/>
        <v>0</v>
      </c>
      <c r="F147" s="720">
        <f t="shared" si="8"/>
        <v>0</v>
      </c>
      <c r="G147" s="666">
        <f t="shared" si="9"/>
        <v>0</v>
      </c>
      <c r="H147" s="714">
        <f>+J97*G147+E147</f>
        <v>0</v>
      </c>
      <c r="I147" s="721">
        <f>+J98*G147+E147</f>
        <v>0</v>
      </c>
      <c r="J147" s="717">
        <f t="shared" si="10"/>
        <v>0</v>
      </c>
      <c r="K147" s="717"/>
      <c r="L147" s="722"/>
      <c r="M147" s="717">
        <f t="shared" si="11"/>
        <v>0</v>
      </c>
      <c r="N147" s="722"/>
      <c r="O147" s="717">
        <f t="shared" si="12"/>
        <v>0</v>
      </c>
      <c r="P147" s="717">
        <f t="shared" si="13"/>
        <v>0</v>
      </c>
      <c r="Q147" s="667"/>
    </row>
    <row r="148" spans="2:17">
      <c r="B148" s="322"/>
      <c r="C148" s="713" t="str">
        <f>IF(D96="","-",+C147+1)</f>
        <v>-</v>
      </c>
      <c r="D148" s="666">
        <f t="shared" si="14"/>
        <v>0</v>
      </c>
      <c r="E148" s="720">
        <f t="shared" si="15"/>
        <v>0</v>
      </c>
      <c r="F148" s="720">
        <f t="shared" si="8"/>
        <v>0</v>
      </c>
      <c r="G148" s="666">
        <f t="shared" si="9"/>
        <v>0</v>
      </c>
      <c r="H148" s="714">
        <f>+J97*G148+E148</f>
        <v>0</v>
      </c>
      <c r="I148" s="721">
        <f>+J98*G148+E148</f>
        <v>0</v>
      </c>
      <c r="J148" s="717">
        <f t="shared" si="10"/>
        <v>0</v>
      </c>
      <c r="K148" s="717"/>
      <c r="L148" s="722"/>
      <c r="M148" s="717">
        <f t="shared" si="11"/>
        <v>0</v>
      </c>
      <c r="N148" s="722"/>
      <c r="O148" s="717">
        <f t="shared" si="12"/>
        <v>0</v>
      </c>
      <c r="P148" s="717">
        <f t="shared" si="13"/>
        <v>0</v>
      </c>
      <c r="Q148" s="667"/>
    </row>
    <row r="149" spans="2:17">
      <c r="B149" s="322"/>
      <c r="C149" s="713" t="str">
        <f>IF(D96="","-",+C148+1)</f>
        <v>-</v>
      </c>
      <c r="D149" s="666">
        <f t="shared" si="14"/>
        <v>0</v>
      </c>
      <c r="E149" s="720">
        <f t="shared" si="15"/>
        <v>0</v>
      </c>
      <c r="F149" s="720">
        <f t="shared" si="8"/>
        <v>0</v>
      </c>
      <c r="G149" s="666">
        <f t="shared" si="9"/>
        <v>0</v>
      </c>
      <c r="H149" s="714">
        <f>+J97*G149+E149</f>
        <v>0</v>
      </c>
      <c r="I149" s="721">
        <f>+J98*G149+E149</f>
        <v>0</v>
      </c>
      <c r="J149" s="717">
        <f t="shared" si="10"/>
        <v>0</v>
      </c>
      <c r="K149" s="717"/>
      <c r="L149" s="722"/>
      <c r="M149" s="717">
        <f t="shared" si="11"/>
        <v>0</v>
      </c>
      <c r="N149" s="722"/>
      <c r="O149" s="717">
        <f t="shared" si="12"/>
        <v>0</v>
      </c>
      <c r="P149" s="717">
        <f t="shared" si="13"/>
        <v>0</v>
      </c>
      <c r="Q149" s="667"/>
    </row>
    <row r="150" spans="2:17">
      <c r="B150" s="322"/>
      <c r="C150" s="713" t="str">
        <f>IF(D96="","-",+C149+1)</f>
        <v>-</v>
      </c>
      <c r="D150" s="666">
        <f t="shared" si="14"/>
        <v>0</v>
      </c>
      <c r="E150" s="720">
        <f t="shared" si="15"/>
        <v>0</v>
      </c>
      <c r="F150" s="720">
        <f t="shared" si="8"/>
        <v>0</v>
      </c>
      <c r="G150" s="666">
        <f t="shared" si="9"/>
        <v>0</v>
      </c>
      <c r="H150" s="714">
        <f>+J97*G150+E150</f>
        <v>0</v>
      </c>
      <c r="I150" s="721">
        <f>+J98*G150+E150</f>
        <v>0</v>
      </c>
      <c r="J150" s="717">
        <f t="shared" si="10"/>
        <v>0</v>
      </c>
      <c r="K150" s="717"/>
      <c r="L150" s="722"/>
      <c r="M150" s="717">
        <f t="shared" si="11"/>
        <v>0</v>
      </c>
      <c r="N150" s="722"/>
      <c r="O150" s="717">
        <f t="shared" si="12"/>
        <v>0</v>
      </c>
      <c r="P150" s="717">
        <f t="shared" si="13"/>
        <v>0</v>
      </c>
      <c r="Q150" s="667"/>
    </row>
    <row r="151" spans="2:17">
      <c r="B151" s="322"/>
      <c r="C151" s="713" t="str">
        <f>IF(D96="","-",+C150+1)</f>
        <v>-</v>
      </c>
      <c r="D151" s="666">
        <f t="shared" si="14"/>
        <v>0</v>
      </c>
      <c r="E151" s="720">
        <f t="shared" si="15"/>
        <v>0</v>
      </c>
      <c r="F151" s="720">
        <f t="shared" si="8"/>
        <v>0</v>
      </c>
      <c r="G151" s="666">
        <f t="shared" si="9"/>
        <v>0</v>
      </c>
      <c r="H151" s="714">
        <f>+J97*G151+E151</f>
        <v>0</v>
      </c>
      <c r="I151" s="721">
        <f>+J98*G151+E151</f>
        <v>0</v>
      </c>
      <c r="J151" s="717">
        <f t="shared" si="10"/>
        <v>0</v>
      </c>
      <c r="K151" s="717"/>
      <c r="L151" s="722"/>
      <c r="M151" s="717">
        <f t="shared" si="11"/>
        <v>0</v>
      </c>
      <c r="N151" s="722"/>
      <c r="O151" s="717">
        <f t="shared" si="12"/>
        <v>0</v>
      </c>
      <c r="P151" s="717">
        <f t="shared" si="13"/>
        <v>0</v>
      </c>
      <c r="Q151" s="667"/>
    </row>
    <row r="152" spans="2:17">
      <c r="B152" s="322"/>
      <c r="C152" s="713" t="str">
        <f>IF(D96="","-",+C151+1)</f>
        <v>-</v>
      </c>
      <c r="D152" s="666">
        <f t="shared" si="14"/>
        <v>0</v>
      </c>
      <c r="E152" s="720">
        <f t="shared" si="15"/>
        <v>0</v>
      </c>
      <c r="F152" s="720">
        <f t="shared" si="8"/>
        <v>0</v>
      </c>
      <c r="G152" s="666">
        <f t="shared" si="9"/>
        <v>0</v>
      </c>
      <c r="H152" s="714">
        <f>+J97*G152+E152</f>
        <v>0</v>
      </c>
      <c r="I152" s="721">
        <f>+J98*G152+E152</f>
        <v>0</v>
      </c>
      <c r="J152" s="717">
        <f t="shared" si="10"/>
        <v>0</v>
      </c>
      <c r="K152" s="717"/>
      <c r="L152" s="722"/>
      <c r="M152" s="717">
        <f t="shared" si="11"/>
        <v>0</v>
      </c>
      <c r="N152" s="722"/>
      <c r="O152" s="717">
        <f t="shared" si="12"/>
        <v>0</v>
      </c>
      <c r="P152" s="717">
        <f t="shared" si="13"/>
        <v>0</v>
      </c>
      <c r="Q152" s="667"/>
    </row>
    <row r="153" spans="2:17">
      <c r="B153" s="322"/>
      <c r="C153" s="713" t="str">
        <f>IF(D96="","-",+C152+1)</f>
        <v>-</v>
      </c>
      <c r="D153" s="666">
        <f t="shared" si="14"/>
        <v>0</v>
      </c>
      <c r="E153" s="720">
        <f t="shared" si="15"/>
        <v>0</v>
      </c>
      <c r="F153" s="720">
        <f t="shared" si="8"/>
        <v>0</v>
      </c>
      <c r="G153" s="666">
        <f t="shared" si="9"/>
        <v>0</v>
      </c>
      <c r="H153" s="714">
        <f>+J97*G153+E153</f>
        <v>0</v>
      </c>
      <c r="I153" s="721">
        <f>+J98*G153+E153</f>
        <v>0</v>
      </c>
      <c r="J153" s="717">
        <f t="shared" si="10"/>
        <v>0</v>
      </c>
      <c r="K153" s="717"/>
      <c r="L153" s="722"/>
      <c r="M153" s="717">
        <f t="shared" si="11"/>
        <v>0</v>
      </c>
      <c r="N153" s="722"/>
      <c r="O153" s="717">
        <f t="shared" si="12"/>
        <v>0</v>
      </c>
      <c r="P153" s="717">
        <f t="shared" si="13"/>
        <v>0</v>
      </c>
      <c r="Q153" s="667"/>
    </row>
    <row r="154" spans="2:17">
      <c r="B154" s="322"/>
      <c r="C154" s="713" t="str">
        <f>IF(D96="","-",+C153+1)</f>
        <v>-</v>
      </c>
      <c r="D154" s="666">
        <f t="shared" si="14"/>
        <v>0</v>
      </c>
      <c r="E154" s="720">
        <f t="shared" si="15"/>
        <v>0</v>
      </c>
      <c r="F154" s="720">
        <f t="shared" si="8"/>
        <v>0</v>
      </c>
      <c r="G154" s="666">
        <f t="shared" si="9"/>
        <v>0</v>
      </c>
      <c r="H154" s="714">
        <f>+J97*G154+E154</f>
        <v>0</v>
      </c>
      <c r="I154" s="721">
        <f>+J98*G154+E154</f>
        <v>0</v>
      </c>
      <c r="J154" s="717">
        <f t="shared" si="10"/>
        <v>0</v>
      </c>
      <c r="K154" s="717"/>
      <c r="L154" s="722"/>
      <c r="M154" s="717">
        <f t="shared" si="11"/>
        <v>0</v>
      </c>
      <c r="N154" s="722"/>
      <c r="O154" s="717">
        <f t="shared" si="12"/>
        <v>0</v>
      </c>
      <c r="P154" s="717">
        <f t="shared" si="13"/>
        <v>0</v>
      </c>
      <c r="Q154" s="667"/>
    </row>
    <row r="155" spans="2:17">
      <c r="B155" s="322"/>
      <c r="C155" s="713" t="str">
        <f>IF(D96="","-",+C154+1)</f>
        <v>-</v>
      </c>
      <c r="D155" s="666">
        <f t="shared" si="14"/>
        <v>0</v>
      </c>
      <c r="E155" s="720">
        <f t="shared" si="15"/>
        <v>0</v>
      </c>
      <c r="F155" s="720">
        <f t="shared" si="8"/>
        <v>0</v>
      </c>
      <c r="G155" s="666">
        <f t="shared" si="9"/>
        <v>0</v>
      </c>
      <c r="H155" s="714">
        <f>+J97*G155+E155</f>
        <v>0</v>
      </c>
      <c r="I155" s="721">
        <f>+J98*G155+E155</f>
        <v>0</v>
      </c>
      <c r="J155" s="717">
        <f t="shared" si="10"/>
        <v>0</v>
      </c>
      <c r="K155" s="717"/>
      <c r="L155" s="722"/>
      <c r="M155" s="717">
        <f t="shared" si="11"/>
        <v>0</v>
      </c>
      <c r="N155" s="722"/>
      <c r="O155" s="717">
        <f t="shared" si="12"/>
        <v>0</v>
      </c>
      <c r="P155" s="717">
        <f t="shared" si="13"/>
        <v>0</v>
      </c>
      <c r="Q155" s="667"/>
    </row>
    <row r="156" spans="2:17">
      <c r="B156" s="322"/>
      <c r="C156" s="713" t="str">
        <f>IF(D96="","-",+C155+1)</f>
        <v>-</v>
      </c>
      <c r="D156" s="666">
        <f t="shared" si="14"/>
        <v>0</v>
      </c>
      <c r="E156" s="720">
        <f t="shared" si="15"/>
        <v>0</v>
      </c>
      <c r="F156" s="720">
        <f t="shared" si="8"/>
        <v>0</v>
      </c>
      <c r="G156" s="666">
        <f t="shared" si="9"/>
        <v>0</v>
      </c>
      <c r="H156" s="714">
        <f>+J97*G156+E156</f>
        <v>0</v>
      </c>
      <c r="I156" s="721">
        <f>+J98*G156+E156</f>
        <v>0</v>
      </c>
      <c r="J156" s="717">
        <f t="shared" si="10"/>
        <v>0</v>
      </c>
      <c r="K156" s="717"/>
      <c r="L156" s="722"/>
      <c r="M156" s="717">
        <f t="shared" si="11"/>
        <v>0</v>
      </c>
      <c r="N156" s="722"/>
      <c r="O156" s="717">
        <f t="shared" si="12"/>
        <v>0</v>
      </c>
      <c r="P156" s="717">
        <f t="shared" si="13"/>
        <v>0</v>
      </c>
      <c r="Q156" s="667"/>
    </row>
    <row r="157" spans="2:17">
      <c r="B157" s="322"/>
      <c r="C157" s="713" t="str">
        <f>IF(D96="","-",+C156+1)</f>
        <v>-</v>
      </c>
      <c r="D157" s="666">
        <f t="shared" si="14"/>
        <v>0</v>
      </c>
      <c r="E157" s="720">
        <f t="shared" si="15"/>
        <v>0</v>
      </c>
      <c r="F157" s="720">
        <f t="shared" si="8"/>
        <v>0</v>
      </c>
      <c r="G157" s="666">
        <f t="shared" si="9"/>
        <v>0</v>
      </c>
      <c r="H157" s="714">
        <f>+J97*G157+E157</f>
        <v>0</v>
      </c>
      <c r="I157" s="721">
        <f>+J98*G157+E157</f>
        <v>0</v>
      </c>
      <c r="J157" s="717">
        <f t="shared" si="10"/>
        <v>0</v>
      </c>
      <c r="K157" s="717"/>
      <c r="L157" s="722"/>
      <c r="M157" s="717">
        <f t="shared" si="11"/>
        <v>0</v>
      </c>
      <c r="N157" s="722"/>
      <c r="O157" s="717">
        <f t="shared" si="12"/>
        <v>0</v>
      </c>
      <c r="P157" s="717">
        <f t="shared" si="13"/>
        <v>0</v>
      </c>
      <c r="Q157" s="667"/>
    </row>
    <row r="158" spans="2:17">
      <c r="B158" s="322"/>
      <c r="C158" s="713" t="str">
        <f>IF(D96="","-",+C157+1)</f>
        <v>-</v>
      </c>
      <c r="D158" s="666">
        <f t="shared" si="14"/>
        <v>0</v>
      </c>
      <c r="E158" s="720">
        <f t="shared" si="15"/>
        <v>0</v>
      </c>
      <c r="F158" s="720">
        <f t="shared" si="8"/>
        <v>0</v>
      </c>
      <c r="G158" s="666">
        <f t="shared" si="9"/>
        <v>0</v>
      </c>
      <c r="H158" s="714">
        <f>+J97*G158+E158</f>
        <v>0</v>
      </c>
      <c r="I158" s="721">
        <f>+J98*G158+E158</f>
        <v>0</v>
      </c>
      <c r="J158" s="717">
        <f t="shared" si="10"/>
        <v>0</v>
      </c>
      <c r="K158" s="717"/>
      <c r="L158" s="722"/>
      <c r="M158" s="717">
        <f t="shared" si="11"/>
        <v>0</v>
      </c>
      <c r="N158" s="722"/>
      <c r="O158" s="717">
        <f t="shared" si="12"/>
        <v>0</v>
      </c>
      <c r="P158" s="717">
        <f t="shared" si="13"/>
        <v>0</v>
      </c>
      <c r="Q158" s="667"/>
    </row>
    <row r="159" spans="2:17">
      <c r="B159" s="322"/>
      <c r="C159" s="713" t="str">
        <f>IF(D96="","-",+C158+1)</f>
        <v>-</v>
      </c>
      <c r="D159" s="666">
        <f t="shared" si="14"/>
        <v>0</v>
      </c>
      <c r="E159" s="720">
        <f t="shared" si="15"/>
        <v>0</v>
      </c>
      <c r="F159" s="720">
        <f t="shared" si="8"/>
        <v>0</v>
      </c>
      <c r="G159" s="666">
        <f t="shared" si="9"/>
        <v>0</v>
      </c>
      <c r="H159" s="714">
        <f>+J97*G159+E159</f>
        <v>0</v>
      </c>
      <c r="I159" s="721">
        <f>+J98*G159+E159</f>
        <v>0</v>
      </c>
      <c r="J159" s="717">
        <f t="shared" si="10"/>
        <v>0</v>
      </c>
      <c r="K159" s="717"/>
      <c r="L159" s="722"/>
      <c r="M159" s="717">
        <f t="shared" si="11"/>
        <v>0</v>
      </c>
      <c r="N159" s="722"/>
      <c r="O159" s="717">
        <f t="shared" si="12"/>
        <v>0</v>
      </c>
      <c r="P159" s="717">
        <f t="shared" si="13"/>
        <v>0</v>
      </c>
      <c r="Q159" s="667"/>
    </row>
    <row r="160" spans="2:17">
      <c r="B160" s="322"/>
      <c r="C160" s="713" t="str">
        <f>IF(D96="","-",+C159+1)</f>
        <v>-</v>
      </c>
      <c r="D160" s="666">
        <f t="shared" si="14"/>
        <v>0</v>
      </c>
      <c r="E160" s="720">
        <f t="shared" si="15"/>
        <v>0</v>
      </c>
      <c r="F160" s="720">
        <f t="shared" si="8"/>
        <v>0</v>
      </c>
      <c r="G160" s="666">
        <f t="shared" si="9"/>
        <v>0</v>
      </c>
      <c r="H160" s="714">
        <f>+J97*G160+E160</f>
        <v>0</v>
      </c>
      <c r="I160" s="721">
        <f>+J98*G160+E160</f>
        <v>0</v>
      </c>
      <c r="J160" s="717">
        <f t="shared" si="10"/>
        <v>0</v>
      </c>
      <c r="K160" s="717"/>
      <c r="L160" s="722"/>
      <c r="M160" s="717">
        <f t="shared" si="11"/>
        <v>0</v>
      </c>
      <c r="N160" s="722"/>
      <c r="O160" s="717">
        <f t="shared" si="12"/>
        <v>0</v>
      </c>
      <c r="P160" s="717">
        <f t="shared" si="13"/>
        <v>0</v>
      </c>
      <c r="Q160" s="667"/>
    </row>
    <row r="161" spans="2:17" ht="13.5" thickBot="1">
      <c r="B161" s="322"/>
      <c r="C161" s="724" t="str">
        <f>IF(D96="","-",+C160+1)</f>
        <v>-</v>
      </c>
      <c r="D161" s="725">
        <f t="shared" si="14"/>
        <v>0</v>
      </c>
      <c r="E161" s="726">
        <f t="shared" si="15"/>
        <v>0</v>
      </c>
      <c r="F161" s="726">
        <f t="shared" si="8"/>
        <v>0</v>
      </c>
      <c r="G161" s="725">
        <f t="shared" si="9"/>
        <v>0</v>
      </c>
      <c r="H161" s="727">
        <f>+J97*G161+E161</f>
        <v>0</v>
      </c>
      <c r="I161" s="727">
        <f>+J98*G161+E161</f>
        <v>0</v>
      </c>
      <c r="J161" s="728">
        <f t="shared" si="10"/>
        <v>0</v>
      </c>
      <c r="K161" s="717"/>
      <c r="L161" s="729"/>
      <c r="M161" s="728">
        <f t="shared" si="11"/>
        <v>0</v>
      </c>
      <c r="N161" s="729"/>
      <c r="O161" s="728">
        <f t="shared" si="12"/>
        <v>0</v>
      </c>
      <c r="P161" s="728">
        <f t="shared" si="13"/>
        <v>0</v>
      </c>
      <c r="Q161" s="667"/>
    </row>
    <row r="162" spans="2:17">
      <c r="B162" s="322"/>
      <c r="C162" s="666" t="s">
        <v>288</v>
      </c>
      <c r="D162" s="662"/>
      <c r="E162" s="662">
        <f>SUM(E102:E161)</f>
        <v>0</v>
      </c>
      <c r="F162" s="662"/>
      <c r="G162" s="662"/>
      <c r="H162" s="662">
        <f>SUM(H102:H161)</f>
        <v>0</v>
      </c>
      <c r="I162" s="662">
        <f>SUM(I102:I161)</f>
        <v>0</v>
      </c>
      <c r="J162" s="662">
        <f>SUM(J102:J161)</f>
        <v>0</v>
      </c>
      <c r="K162" s="662"/>
      <c r="L162" s="662"/>
      <c r="M162" s="662"/>
      <c r="N162" s="662"/>
      <c r="O162" s="662"/>
      <c r="Q162" s="662"/>
    </row>
    <row r="163" spans="2:17">
      <c r="B163" s="322"/>
      <c r="D163" s="556"/>
      <c r="E163" s="535"/>
      <c r="F163" s="535"/>
      <c r="G163" s="535"/>
      <c r="H163" s="535"/>
      <c r="I163" s="639"/>
      <c r="J163" s="639"/>
      <c r="K163" s="662"/>
      <c r="L163" s="639"/>
      <c r="M163" s="639"/>
      <c r="N163" s="639"/>
      <c r="O163" s="639"/>
      <c r="Q163" s="662"/>
    </row>
    <row r="164" spans="2:17">
      <c r="B164" s="322"/>
      <c r="C164" s="535" t="s">
        <v>597</v>
      </c>
      <c r="D164" s="556"/>
      <c r="E164" s="535"/>
      <c r="F164" s="535"/>
      <c r="G164" s="535"/>
      <c r="H164" s="535"/>
      <c r="I164" s="639"/>
      <c r="J164" s="639"/>
      <c r="K164" s="662"/>
      <c r="L164" s="639"/>
      <c r="M164" s="639"/>
      <c r="N164" s="639"/>
      <c r="O164" s="639"/>
      <c r="Q164" s="662"/>
    </row>
    <row r="165" spans="2:17">
      <c r="B165" s="322"/>
      <c r="D165" s="556"/>
      <c r="E165" s="535"/>
      <c r="F165" s="535"/>
      <c r="G165" s="535"/>
      <c r="H165" s="535"/>
      <c r="I165" s="639"/>
      <c r="J165" s="639"/>
      <c r="K165" s="662"/>
      <c r="L165" s="639"/>
      <c r="M165" s="639"/>
      <c r="N165" s="639"/>
      <c r="O165" s="639"/>
      <c r="Q165" s="662"/>
    </row>
    <row r="166" spans="2:17">
      <c r="B166" s="322"/>
      <c r="C166" s="569" t="s">
        <v>598</v>
      </c>
      <c r="D166" s="666"/>
      <c r="E166" s="666"/>
      <c r="F166" s="666"/>
      <c r="G166" s="666"/>
      <c r="H166" s="662"/>
      <c r="I166" s="662"/>
      <c r="J166" s="667"/>
      <c r="K166" s="667"/>
      <c r="L166" s="667"/>
      <c r="M166" s="667"/>
      <c r="N166" s="667"/>
      <c r="O166" s="667"/>
      <c r="Q166" s="667"/>
    </row>
    <row r="167" spans="2:17">
      <c r="B167" s="322"/>
      <c r="C167" s="569" t="s">
        <v>476</v>
      </c>
      <c r="D167" s="666"/>
      <c r="E167" s="666"/>
      <c r="F167" s="666"/>
      <c r="G167" s="666"/>
      <c r="H167" s="662"/>
      <c r="I167" s="662"/>
      <c r="J167" s="667"/>
      <c r="K167" s="667"/>
      <c r="L167" s="667"/>
      <c r="M167" s="667"/>
      <c r="N167" s="667"/>
      <c r="O167" s="667"/>
      <c r="Q167" s="667"/>
    </row>
    <row r="168" spans="2:17">
      <c r="B168" s="322"/>
      <c r="C168" s="569" t="s">
        <v>289</v>
      </c>
      <c r="D168" s="666"/>
      <c r="E168" s="666"/>
      <c r="F168" s="666"/>
      <c r="G168" s="666"/>
      <c r="H168" s="662"/>
      <c r="I168" s="662"/>
      <c r="J168" s="667"/>
      <c r="K168" s="667"/>
      <c r="L168" s="667"/>
      <c r="M168" s="667"/>
      <c r="N168" s="667"/>
      <c r="O168" s="667"/>
      <c r="Q168" s="667"/>
    </row>
    <row r="169" spans="2:17">
      <c r="B169" s="322"/>
      <c r="Q169" s="322"/>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29"/>
    <col min="2" max="2" width="37.5703125" style="175" customWidth="1"/>
    <col min="3" max="3" width="31.5703125" style="172" customWidth="1"/>
    <col min="4" max="4" width="14.85546875" style="172" customWidth="1"/>
    <col min="5" max="5" width="18" style="172" customWidth="1"/>
    <col min="6" max="7" width="11.140625" style="172" bestFit="1" customWidth="1"/>
    <col min="8" max="8" width="11.140625" style="244" bestFit="1" customWidth="1"/>
    <col min="9" max="16384" width="9.140625" style="172"/>
  </cols>
  <sheetData>
    <row r="1" spans="1:30" ht="15.75">
      <c r="A1" s="874" t="s">
        <v>114</v>
      </c>
    </row>
    <row r="2" spans="1:30" ht="15.75">
      <c r="A2" s="874" t="s">
        <v>114</v>
      </c>
    </row>
    <row r="3" spans="1:30" ht="15">
      <c r="B3" s="1454" t="s">
        <v>387</v>
      </c>
      <c r="C3" s="1454"/>
      <c r="D3" s="1454"/>
      <c r="E3" s="1454"/>
      <c r="F3" s="1454"/>
      <c r="G3" s="37"/>
      <c r="H3" s="240"/>
      <c r="I3" s="37"/>
      <c r="J3" s="37"/>
      <c r="K3" s="37"/>
      <c r="L3" s="37"/>
      <c r="M3" s="37"/>
      <c r="N3" s="37"/>
      <c r="O3" s="37"/>
      <c r="P3" s="37"/>
    </row>
    <row r="4" spans="1:30" ht="15">
      <c r="B4" s="1455" t="str">
        <f>"Cost of Service Formula Rate Using "&amp;TCOS!L4&amp;" FF1 Balances"</f>
        <v>Cost of Service Formula Rate Using 2023 FF1 Balances</v>
      </c>
      <c r="C4" s="1455"/>
      <c r="D4" s="1455"/>
      <c r="E4" s="1455"/>
      <c r="F4" s="1455"/>
      <c r="G4" s="92"/>
      <c r="H4" s="241"/>
      <c r="I4" s="92"/>
      <c r="J4" s="92"/>
      <c r="K4" s="92"/>
      <c r="L4" s="92"/>
      <c r="M4" s="92"/>
      <c r="N4" s="92"/>
      <c r="O4" s="92"/>
      <c r="P4" s="92"/>
    </row>
    <row r="5" spans="1:30" ht="18">
      <c r="B5" s="1454" t="s">
        <v>547</v>
      </c>
      <c r="C5" s="1454"/>
      <c r="D5" s="1454"/>
      <c r="E5" s="1454"/>
      <c r="F5" s="1454"/>
      <c r="G5" s="152"/>
      <c r="H5" s="242"/>
      <c r="I5" s="152"/>
      <c r="J5" s="152"/>
      <c r="K5" s="152"/>
    </row>
    <row r="6" spans="1:30" ht="18">
      <c r="B6" s="1466" t="str">
        <f>+TCOS!F9</f>
        <v>WHEELING POWER COMPANY</v>
      </c>
      <c r="C6" s="1454"/>
      <c r="D6" s="1454"/>
      <c r="E6" s="1454"/>
      <c r="F6" s="1454"/>
      <c r="G6" s="162"/>
      <c r="H6" s="243"/>
      <c r="I6" s="162"/>
      <c r="J6" s="162"/>
      <c r="K6" s="162"/>
    </row>
    <row r="8" spans="1:30" ht="18.75" customHeight="1">
      <c r="B8" s="18"/>
      <c r="C8" s="141"/>
      <c r="D8" s="174"/>
    </row>
    <row r="10" spans="1:30" ht="18">
      <c r="B10" s="7"/>
      <c r="C10" s="7"/>
      <c r="D10" s="7"/>
      <c r="E10" s="7"/>
      <c r="F10" s="7"/>
      <c r="R10" s="151"/>
      <c r="S10" s="151"/>
      <c r="T10" s="151"/>
      <c r="U10" s="151"/>
      <c r="V10" s="151"/>
      <c r="W10" s="151"/>
      <c r="X10" s="151"/>
      <c r="Y10" s="151"/>
      <c r="Z10" s="151"/>
      <c r="AA10" s="151"/>
      <c r="AB10" s="186"/>
      <c r="AC10" s="186"/>
      <c r="AD10" s="186"/>
    </row>
    <row r="11" spans="1:30">
      <c r="A11" s="862"/>
      <c r="B11" s="173"/>
      <c r="C11" s="174"/>
    </row>
    <row r="12" spans="1:30">
      <c r="A12" s="221"/>
      <c r="B12" s="11"/>
      <c r="C12" s="11"/>
      <c r="D12" s="11"/>
      <c r="E12" s="11"/>
      <c r="F12" s="11"/>
      <c r="G12" s="10"/>
    </row>
    <row r="13" spans="1:30">
      <c r="A13" s="223"/>
      <c r="B13" s="11"/>
      <c r="C13" s="11"/>
      <c r="D13" s="11"/>
      <c r="E13" s="11"/>
      <c r="F13" s="11"/>
      <c r="G13" s="10"/>
    </row>
    <row r="14" spans="1:30">
      <c r="A14" s="262"/>
      <c r="B14" s="11"/>
      <c r="C14" s="11"/>
      <c r="D14" s="11"/>
      <c r="E14" s="11"/>
      <c r="F14" s="11"/>
      <c r="H14" s="172"/>
    </row>
    <row r="15" spans="1:30">
      <c r="A15" s="262"/>
      <c r="B15" s="11"/>
      <c r="C15" s="11"/>
      <c r="D15" s="11"/>
      <c r="E15" s="11"/>
      <c r="F15" s="11"/>
      <c r="H15" s="172"/>
    </row>
    <row r="16" spans="1:30">
      <c r="A16" s="262"/>
      <c r="B16" s="11"/>
      <c r="C16" s="11"/>
      <c r="D16" s="11"/>
      <c r="E16" s="11"/>
      <c r="F16" s="11"/>
      <c r="H16" s="172"/>
    </row>
    <row r="17" spans="1:8" ht="12.75" customHeight="1">
      <c r="A17" s="262"/>
      <c r="B17" s="11"/>
      <c r="C17" s="11"/>
      <c r="D17" s="11"/>
      <c r="E17" s="11"/>
      <c r="F17" s="11"/>
      <c r="H17" s="172"/>
    </row>
    <row r="18" spans="1:8">
      <c r="A18" s="262"/>
      <c r="B18" s="11"/>
      <c r="C18" s="11"/>
      <c r="D18" s="11"/>
      <c r="E18" s="11"/>
      <c r="F18" s="11"/>
      <c r="H18" s="172"/>
    </row>
    <row r="19" spans="1:8">
      <c r="A19" s="262"/>
      <c r="B19" s="11"/>
      <c r="C19" s="11"/>
      <c r="D19" s="11"/>
      <c r="E19" s="11"/>
      <c r="F19" s="11"/>
      <c r="H19" s="172"/>
    </row>
    <row r="20" spans="1:8">
      <c r="A20" s="262"/>
      <c r="B20" s="11"/>
      <c r="C20" s="11"/>
      <c r="D20" s="11"/>
      <c r="E20" s="11"/>
      <c r="F20" s="11"/>
      <c r="H20" s="172"/>
    </row>
    <row r="21" spans="1:8">
      <c r="A21" s="262"/>
      <c r="B21" s="11"/>
      <c r="C21" s="11"/>
      <c r="D21" s="11"/>
      <c r="E21" s="11"/>
      <c r="F21" s="11"/>
      <c r="H21" s="172"/>
    </row>
    <row r="22" spans="1:8">
      <c r="A22" s="262"/>
      <c r="B22" s="11"/>
      <c r="C22" s="11"/>
      <c r="D22" s="11"/>
      <c r="E22" s="11"/>
      <c r="F22" s="11"/>
      <c r="H22" s="172"/>
    </row>
    <row r="23" spans="1:8" ht="12.75" customHeight="1">
      <c r="A23" s="262"/>
      <c r="B23" s="11"/>
      <c r="C23" s="11"/>
      <c r="D23" s="11"/>
      <c r="E23" s="11"/>
      <c r="F23" s="11"/>
      <c r="H23" s="172"/>
    </row>
    <row r="24" spans="1:8" ht="12.75" customHeight="1">
      <c r="A24" s="262"/>
      <c r="B24" s="11"/>
      <c r="C24" s="11"/>
      <c r="D24" s="11"/>
      <c r="E24" s="11"/>
      <c r="F24" s="11"/>
      <c r="H24" s="172"/>
    </row>
    <row r="25" spans="1:8" ht="12.75" customHeight="1">
      <c r="A25" s="262"/>
      <c r="B25" s="11"/>
      <c r="C25" s="11"/>
      <c r="D25" s="11"/>
      <c r="E25" s="11"/>
      <c r="F25" s="11"/>
      <c r="H25" s="172"/>
    </row>
    <row r="26" spans="1:8" ht="12.75" customHeight="1">
      <c r="A26" s="262"/>
      <c r="B26" s="11"/>
      <c r="C26" s="11"/>
      <c r="D26" s="11"/>
      <c r="E26" s="11"/>
      <c r="F26" s="11"/>
      <c r="H26" s="172"/>
    </row>
    <row r="27" spans="1:8" ht="12.75" customHeight="1">
      <c r="A27" s="262"/>
      <c r="B27" s="11"/>
      <c r="C27" s="11"/>
      <c r="D27" s="11"/>
      <c r="E27" s="11"/>
      <c r="F27" s="11"/>
      <c r="H27" s="172"/>
    </row>
    <row r="28" spans="1:8" ht="12.75" customHeight="1">
      <c r="A28" s="262"/>
      <c r="B28" s="11"/>
      <c r="C28" s="11"/>
      <c r="D28" s="11"/>
      <c r="E28" s="11"/>
      <c r="F28" s="11"/>
      <c r="H28" s="172"/>
    </row>
    <row r="29" spans="1:8" ht="12.75" customHeight="1">
      <c r="A29" s="262"/>
      <c r="B29" s="11"/>
      <c r="C29" s="11"/>
      <c r="D29" s="11"/>
      <c r="E29" s="11"/>
      <c r="F29" s="11"/>
      <c r="H29" s="172"/>
    </row>
    <row r="30" spans="1:8" ht="12.75" customHeight="1">
      <c r="A30" s="262"/>
      <c r="B30" s="11"/>
      <c r="C30" s="11"/>
      <c r="D30" s="11"/>
      <c r="E30" s="11"/>
      <c r="F30" s="11"/>
      <c r="H30" s="172"/>
    </row>
    <row r="31" spans="1:8" ht="12.75" customHeight="1">
      <c r="A31" s="262"/>
      <c r="B31" s="11"/>
      <c r="C31" s="11"/>
      <c r="D31" s="11"/>
      <c r="E31" s="11"/>
      <c r="F31" s="11"/>
      <c r="H31" s="172"/>
    </row>
    <row r="32" spans="1:8" ht="12.75" customHeight="1">
      <c r="A32" s="262"/>
      <c r="B32" s="11"/>
      <c r="C32" s="11"/>
      <c r="D32" s="11"/>
      <c r="E32" s="11"/>
      <c r="F32" s="11"/>
      <c r="H32" s="172"/>
    </row>
    <row r="33" spans="1:8" ht="12.75" customHeight="1">
      <c r="A33" s="262"/>
      <c r="B33" s="11"/>
      <c r="C33" s="11"/>
      <c r="D33" s="11"/>
      <c r="E33" s="11"/>
      <c r="F33" s="11"/>
      <c r="H33" s="172"/>
    </row>
    <row r="34" spans="1:8" ht="12.75" customHeight="1">
      <c r="A34" s="262"/>
      <c r="B34" s="11"/>
      <c r="C34" s="11"/>
      <c r="D34" s="11"/>
      <c r="E34" s="11"/>
      <c r="F34" s="11"/>
      <c r="H34" s="172"/>
    </row>
    <row r="35" spans="1:8" ht="12.75" customHeight="1">
      <c r="A35" s="262"/>
      <c r="B35" s="11"/>
      <c r="C35" s="11"/>
      <c r="D35" s="11"/>
      <c r="E35" s="11"/>
      <c r="F35" s="11"/>
      <c r="H35" s="172"/>
    </row>
    <row r="36" spans="1:8" ht="12.75" customHeight="1">
      <c r="A36" s="262"/>
      <c r="B36" s="11"/>
      <c r="C36" s="11"/>
      <c r="D36" s="11"/>
      <c r="E36" s="11"/>
      <c r="F36" s="11"/>
      <c r="H36" s="172"/>
    </row>
    <row r="37" spans="1:8" ht="12.75" customHeight="1">
      <c r="A37" s="262"/>
      <c r="B37" s="11"/>
      <c r="C37" s="11"/>
      <c r="D37" s="11"/>
      <c r="E37" s="11"/>
      <c r="F37" s="11"/>
      <c r="H37" s="172"/>
    </row>
    <row r="38" spans="1:8" ht="12.75" customHeight="1">
      <c r="A38" s="262"/>
      <c r="B38" s="11"/>
      <c r="C38" s="11"/>
      <c r="D38" s="11"/>
      <c r="E38" s="11"/>
      <c r="F38" s="11"/>
      <c r="H38" s="172"/>
    </row>
    <row r="39" spans="1:8" ht="12.75" customHeight="1">
      <c r="A39" s="262"/>
      <c r="B39" s="11"/>
      <c r="C39" s="11"/>
      <c r="D39" s="11"/>
      <c r="E39" s="11"/>
      <c r="F39" s="11"/>
      <c r="H39" s="172"/>
    </row>
    <row r="40" spans="1:8" ht="12.75" customHeight="1">
      <c r="A40" s="262"/>
      <c r="B40" s="11"/>
      <c r="C40" s="11"/>
      <c r="D40" s="11"/>
      <c r="E40" s="11"/>
      <c r="F40" s="11"/>
      <c r="H40" s="172"/>
    </row>
    <row r="41" spans="1:8" ht="12.75" customHeight="1">
      <c r="A41" s="262"/>
      <c r="B41" s="11"/>
      <c r="C41" s="11"/>
      <c r="D41" s="11"/>
      <c r="E41" s="11"/>
      <c r="F41" s="11"/>
      <c r="H41" s="172"/>
    </row>
    <row r="42" spans="1:8" ht="12.75" customHeight="1">
      <c r="A42" s="262"/>
      <c r="B42" s="11"/>
      <c r="C42" s="11"/>
      <c r="D42" s="11"/>
      <c r="E42" s="11"/>
      <c r="F42" s="11"/>
      <c r="H42" s="172"/>
    </row>
    <row r="43" spans="1:8" ht="12.6" customHeight="1">
      <c r="A43" s="262"/>
      <c r="B43" s="11"/>
      <c r="C43" s="11"/>
      <c r="D43" s="11"/>
      <c r="E43" s="11"/>
      <c r="F43" s="11"/>
      <c r="H43" s="172"/>
    </row>
    <row r="44" spans="1:8" ht="12.75" customHeight="1">
      <c r="A44" s="262"/>
      <c r="B44" s="11"/>
      <c r="C44" s="11"/>
      <c r="D44" s="11"/>
      <c r="E44" s="11"/>
      <c r="F44" s="11"/>
      <c r="H44" s="172"/>
    </row>
    <row r="45" spans="1:8">
      <c r="B45" s="11"/>
      <c r="C45" s="11"/>
      <c r="D45" s="11"/>
      <c r="E45" s="11"/>
      <c r="F45" s="11"/>
      <c r="H45" s="172"/>
    </row>
    <row r="46" spans="1:8">
      <c r="B46" s="11"/>
      <c r="C46" s="11"/>
      <c r="D46" s="11"/>
      <c r="E46" s="11"/>
      <c r="F46" s="11"/>
      <c r="H46" s="172"/>
    </row>
    <row r="47" spans="1:8">
      <c r="B47" s="11"/>
      <c r="C47" s="11"/>
      <c r="D47" s="11"/>
      <c r="E47" s="11"/>
      <c r="F47" s="11"/>
      <c r="H47" s="172"/>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164"/>
  <sheetViews>
    <sheetView view="pageBreakPreview" topLeftCell="A31" zoomScale="85" zoomScaleNormal="90" zoomScaleSheetLayoutView="85" zoomScalePageLayoutView="85" workbookViewId="0">
      <selection activeCell="D51" sqref="D51"/>
    </sheetView>
  </sheetViews>
  <sheetFormatPr defaultColWidth="11.42578125" defaultRowHeight="12.75"/>
  <cols>
    <col min="1" max="1" width="10.28515625" style="959" customWidth="1"/>
    <col min="2" max="2" width="52.28515625" style="939" customWidth="1"/>
    <col min="3" max="7" width="20.28515625" style="939" customWidth="1"/>
    <col min="8" max="8" width="23" style="939" customWidth="1"/>
    <col min="9" max="11" width="20.28515625" style="939" customWidth="1"/>
    <col min="12" max="12" width="20" style="939" customWidth="1"/>
    <col min="13" max="14" width="15.140625" style="939" customWidth="1"/>
    <col min="15" max="16384" width="11.42578125" style="939"/>
  </cols>
  <sheetData>
    <row r="1" spans="1:12" ht="15">
      <c r="A1" s="1454" t="s">
        <v>387</v>
      </c>
      <c r="B1" s="1454"/>
      <c r="C1" s="1454"/>
      <c r="D1" s="1454"/>
      <c r="E1" s="1454"/>
      <c r="F1" s="1454"/>
      <c r="G1" s="1454"/>
      <c r="H1" s="882"/>
    </row>
    <row r="2" spans="1:12" ht="15">
      <c r="A2" s="1455" t="str">
        <f>"Cost of Service Formula Rate Using Actual/Projected FF1 Balances"</f>
        <v>Cost of Service Formula Rate Using Actual/Projected FF1 Balances</v>
      </c>
      <c r="B2" s="1455"/>
      <c r="C2" s="1455"/>
      <c r="D2" s="1455"/>
      <c r="E2" s="1455"/>
      <c r="F2" s="1455"/>
      <c r="G2" s="1455"/>
      <c r="H2" s="940"/>
      <c r="I2" s="940"/>
      <c r="J2" s="940"/>
      <c r="L2" s="941"/>
    </row>
    <row r="3" spans="1:12" ht="15">
      <c r="A3" s="1455" t="s">
        <v>674</v>
      </c>
      <c r="B3" s="1455"/>
      <c r="C3" s="1455"/>
      <c r="D3" s="1455"/>
      <c r="E3" s="1455"/>
      <c r="F3" s="1455"/>
      <c r="G3" s="1455"/>
      <c r="H3" s="940"/>
      <c r="I3" s="940"/>
      <c r="J3" s="940"/>
    </row>
    <row r="4" spans="1:12" ht="15">
      <c r="A4" s="1462" t="str">
        <f>TCOS!F9</f>
        <v>WHEELING POWER COMPANY</v>
      </c>
      <c r="B4" s="1462"/>
      <c r="C4" s="1462"/>
      <c r="D4" s="1462"/>
      <c r="E4" s="1462"/>
      <c r="F4" s="1462"/>
      <c r="G4" s="1462"/>
      <c r="H4" s="940"/>
      <c r="I4" s="940"/>
      <c r="J4" s="940"/>
    </row>
    <row r="5" spans="1:12">
      <c r="A5" s="940"/>
      <c r="B5" s="942"/>
      <c r="C5" s="942"/>
      <c r="D5" s="942"/>
      <c r="E5" s="943"/>
      <c r="F5" s="944"/>
      <c r="H5"/>
      <c r="I5"/>
      <c r="J5"/>
      <c r="K5"/>
      <c r="L5"/>
    </row>
    <row r="6" spans="1:12" ht="12.75" customHeight="1">
      <c r="A6" s="882"/>
      <c r="B6" s="922"/>
      <c r="C6" s="1456" t="s">
        <v>6</v>
      </c>
      <c r="D6" s="1457"/>
      <c r="E6" s="1457"/>
      <c r="F6" s="1457"/>
      <c r="G6" s="1458"/>
      <c r="H6" s="5"/>
      <c r="I6"/>
      <c r="J6"/>
      <c r="K6"/>
      <c r="L6"/>
    </row>
    <row r="7" spans="1:12" s="946" customFormat="1" ht="38.25">
      <c r="A7" s="921" t="s">
        <v>648</v>
      </c>
      <c r="B7" s="920" t="s">
        <v>647</v>
      </c>
      <c r="C7" s="899" t="s">
        <v>675</v>
      </c>
      <c r="D7" s="898" t="s">
        <v>368</v>
      </c>
      <c r="E7" s="898" t="s">
        <v>676</v>
      </c>
      <c r="F7" s="898" t="s">
        <v>677</v>
      </c>
      <c r="G7" s="945" t="s">
        <v>6</v>
      </c>
      <c r="H7" s="5"/>
      <c r="I7"/>
      <c r="J7"/>
      <c r="K7"/>
      <c r="L7"/>
    </row>
    <row r="8" spans="1:12" s="948" customFormat="1">
      <c r="A8" s="889"/>
      <c r="B8" s="895" t="s">
        <v>642</v>
      </c>
      <c r="C8" s="896" t="s">
        <v>641</v>
      </c>
      <c r="D8" s="894" t="s">
        <v>640</v>
      </c>
      <c r="E8" s="894" t="s">
        <v>639</v>
      </c>
      <c r="F8" s="894" t="s">
        <v>638</v>
      </c>
      <c r="G8" s="947" t="s">
        <v>678</v>
      </c>
      <c r="H8" s="5"/>
      <c r="I8"/>
      <c r="J8"/>
      <c r="K8"/>
      <c r="L8"/>
    </row>
    <row r="9" spans="1:12" s="948" customFormat="1" ht="44.25" customHeight="1">
      <c r="A9" s="889"/>
      <c r="B9" s="895" t="s">
        <v>637</v>
      </c>
      <c r="C9" s="949" t="s">
        <v>679</v>
      </c>
      <c r="D9" s="917" t="s">
        <v>680</v>
      </c>
      <c r="E9" s="917" t="s">
        <v>681</v>
      </c>
      <c r="F9" s="917" t="s">
        <v>682</v>
      </c>
      <c r="G9" s="950"/>
      <c r="H9" s="5"/>
      <c r="I9"/>
      <c r="J9"/>
      <c r="K9"/>
      <c r="L9"/>
    </row>
    <row r="10" spans="1:12">
      <c r="A10" s="889">
        <v>1</v>
      </c>
      <c r="B10" s="914" t="s">
        <v>635</v>
      </c>
      <c r="C10" s="951">
        <v>450047000</v>
      </c>
      <c r="D10" s="951"/>
      <c r="E10" s="951"/>
      <c r="F10" s="951">
        <v>865000</v>
      </c>
      <c r="G10" s="952">
        <f t="shared" ref="G10:G22" si="0">+C10-D10-E10-F10</f>
        <v>449182000</v>
      </c>
      <c r="H10" s="5"/>
      <c r="I10"/>
      <c r="J10"/>
      <c r="K10"/>
      <c r="L10"/>
    </row>
    <row r="11" spans="1:12">
      <c r="A11" s="889">
        <f t="shared" ref="A11:A23" si="1">+A10+1</f>
        <v>2</v>
      </c>
      <c r="B11" s="914" t="s">
        <v>185</v>
      </c>
      <c r="C11" s="951">
        <v>454409000</v>
      </c>
      <c r="D11" s="1219"/>
      <c r="E11" s="1219"/>
      <c r="F11" s="951">
        <v>865000</v>
      </c>
      <c r="G11" s="952">
        <f t="shared" si="0"/>
        <v>453544000</v>
      </c>
      <c r="H11" s="5"/>
      <c r="I11"/>
      <c r="J11"/>
      <c r="K11"/>
      <c r="L11"/>
    </row>
    <row r="12" spans="1:12">
      <c r="A12" s="889">
        <f t="shared" si="1"/>
        <v>3</v>
      </c>
      <c r="B12" s="913" t="s">
        <v>559</v>
      </c>
      <c r="C12" s="951">
        <v>457053000</v>
      </c>
      <c r="D12" s="1219"/>
      <c r="E12" s="1219"/>
      <c r="F12" s="951">
        <v>865000</v>
      </c>
      <c r="G12" s="952">
        <f t="shared" si="0"/>
        <v>456188000</v>
      </c>
      <c r="H12" s="5"/>
      <c r="I12"/>
      <c r="J12"/>
      <c r="K12"/>
      <c r="L12"/>
    </row>
    <row r="13" spans="1:12">
      <c r="A13" s="889">
        <f t="shared" si="1"/>
        <v>4</v>
      </c>
      <c r="B13" s="913" t="s">
        <v>634</v>
      </c>
      <c r="C13" s="951">
        <v>460270000</v>
      </c>
      <c r="D13" s="1219"/>
      <c r="E13" s="1219"/>
      <c r="F13" s="951">
        <v>865000</v>
      </c>
      <c r="G13" s="952">
        <f t="shared" si="0"/>
        <v>459405000</v>
      </c>
      <c r="H13" s="5"/>
      <c r="I13"/>
      <c r="J13"/>
      <c r="K13"/>
      <c r="L13"/>
    </row>
    <row r="14" spans="1:12">
      <c r="A14" s="889">
        <f t="shared" si="1"/>
        <v>5</v>
      </c>
      <c r="B14" s="913" t="s">
        <v>187</v>
      </c>
      <c r="C14" s="951">
        <v>462136000</v>
      </c>
      <c r="D14" s="1219"/>
      <c r="E14" s="1219"/>
      <c r="F14" s="951">
        <v>865000</v>
      </c>
      <c r="G14" s="952">
        <f t="shared" si="0"/>
        <v>461271000</v>
      </c>
      <c r="H14" s="5"/>
      <c r="I14"/>
      <c r="J14"/>
      <c r="K14"/>
      <c r="L14"/>
    </row>
    <row r="15" spans="1:12">
      <c r="A15" s="889">
        <f t="shared" si="1"/>
        <v>6</v>
      </c>
      <c r="B15" s="913" t="s">
        <v>188</v>
      </c>
      <c r="C15" s="951">
        <v>464858000</v>
      </c>
      <c r="D15" s="1219"/>
      <c r="E15" s="1219"/>
      <c r="F15" s="951">
        <v>865000</v>
      </c>
      <c r="G15" s="952">
        <f t="shared" si="0"/>
        <v>463993000</v>
      </c>
      <c r="H15" s="5"/>
      <c r="I15"/>
      <c r="J15"/>
      <c r="K15"/>
      <c r="L15"/>
    </row>
    <row r="16" spans="1:12">
      <c r="A16" s="889">
        <f t="shared" si="1"/>
        <v>7</v>
      </c>
      <c r="B16" s="913" t="s">
        <v>382</v>
      </c>
      <c r="C16" s="951">
        <v>467498000</v>
      </c>
      <c r="D16" s="1219"/>
      <c r="E16" s="1219"/>
      <c r="F16" s="951">
        <v>865000</v>
      </c>
      <c r="G16" s="952">
        <f t="shared" si="0"/>
        <v>466633000</v>
      </c>
      <c r="H16" s="5"/>
      <c r="I16"/>
      <c r="J16"/>
      <c r="K16"/>
      <c r="L16"/>
    </row>
    <row r="17" spans="1:12">
      <c r="A17" s="889">
        <f t="shared" si="1"/>
        <v>8</v>
      </c>
      <c r="B17" s="913" t="s">
        <v>189</v>
      </c>
      <c r="C17" s="951">
        <v>471716000</v>
      </c>
      <c r="D17" s="1219"/>
      <c r="E17" s="1219"/>
      <c r="F17" s="951">
        <v>865000</v>
      </c>
      <c r="G17" s="952">
        <f t="shared" si="0"/>
        <v>470851000</v>
      </c>
      <c r="H17" s="5"/>
      <c r="I17"/>
      <c r="J17"/>
      <c r="K17"/>
      <c r="L17"/>
    </row>
    <row r="18" spans="1:12">
      <c r="A18" s="889">
        <f t="shared" si="1"/>
        <v>9</v>
      </c>
      <c r="B18" s="913" t="s">
        <v>633</v>
      </c>
      <c r="C18" s="951">
        <v>475922000</v>
      </c>
      <c r="D18" s="1219"/>
      <c r="E18" s="1219"/>
      <c r="F18" s="951">
        <v>865000</v>
      </c>
      <c r="G18" s="952">
        <f t="shared" si="0"/>
        <v>475057000</v>
      </c>
      <c r="H18" s="5"/>
      <c r="I18"/>
      <c r="J18"/>
      <c r="K18"/>
      <c r="L18"/>
    </row>
    <row r="19" spans="1:12">
      <c r="A19" s="889">
        <f t="shared" si="1"/>
        <v>10</v>
      </c>
      <c r="B19" s="913" t="s">
        <v>192</v>
      </c>
      <c r="C19" s="951">
        <v>479477000</v>
      </c>
      <c r="D19" s="1219"/>
      <c r="E19" s="1219"/>
      <c r="F19" s="951">
        <v>865000</v>
      </c>
      <c r="G19" s="952">
        <f t="shared" si="0"/>
        <v>478612000</v>
      </c>
      <c r="H19" s="5"/>
      <c r="I19"/>
      <c r="J19"/>
      <c r="K19"/>
      <c r="L19"/>
    </row>
    <row r="20" spans="1:12">
      <c r="A20" s="889">
        <f t="shared" si="1"/>
        <v>11</v>
      </c>
      <c r="B20" s="913" t="s">
        <v>560</v>
      </c>
      <c r="C20" s="951">
        <v>483216000</v>
      </c>
      <c r="D20" s="1219"/>
      <c r="E20" s="1219"/>
      <c r="F20" s="951">
        <v>865000</v>
      </c>
      <c r="G20" s="952">
        <f t="shared" si="0"/>
        <v>482351000</v>
      </c>
      <c r="H20" s="5"/>
      <c r="I20"/>
      <c r="J20"/>
      <c r="K20"/>
      <c r="L20"/>
    </row>
    <row r="21" spans="1:12">
      <c r="A21" s="889">
        <f t="shared" si="1"/>
        <v>12</v>
      </c>
      <c r="B21" s="913" t="s">
        <v>561</v>
      </c>
      <c r="C21" s="951">
        <v>486946000</v>
      </c>
      <c r="D21" s="1219"/>
      <c r="E21" s="1219"/>
      <c r="F21" s="951">
        <v>865000</v>
      </c>
      <c r="G21" s="952">
        <f t="shared" si="0"/>
        <v>486081000</v>
      </c>
      <c r="H21" s="5"/>
      <c r="I21"/>
      <c r="J21"/>
      <c r="K21"/>
      <c r="L21"/>
    </row>
    <row r="22" spans="1:12">
      <c r="A22" s="888">
        <f t="shared" si="1"/>
        <v>13</v>
      </c>
      <c r="B22" s="912" t="s">
        <v>632</v>
      </c>
      <c r="C22" s="951">
        <v>489998000</v>
      </c>
      <c r="D22" s="951"/>
      <c r="E22" s="951"/>
      <c r="F22" s="951">
        <v>865000</v>
      </c>
      <c r="G22" s="952">
        <f t="shared" si="0"/>
        <v>489133000</v>
      </c>
      <c r="H22" s="5"/>
      <c r="I22"/>
      <c r="J22"/>
      <c r="K22"/>
      <c r="L22"/>
    </row>
    <row r="23" spans="1:12" ht="13.5" thickBot="1">
      <c r="A23" s="910">
        <f t="shared" si="1"/>
        <v>14</v>
      </c>
      <c r="B23" s="909" t="s">
        <v>863</v>
      </c>
      <c r="C23" s="884">
        <f>ROUND(SUM(C10:C22)/13,-3)</f>
        <v>469504000</v>
      </c>
      <c r="D23" s="883">
        <f>ROUND(SUM(D10:D22)/13,-3)</f>
        <v>0</v>
      </c>
      <c r="E23" s="883">
        <f>ROUND(SUM(E10:E22)/13,-3)</f>
        <v>0</v>
      </c>
      <c r="F23" s="884">
        <f>ROUND(SUM(F10:F22)/13,-3)</f>
        <v>865000</v>
      </c>
      <c r="G23" s="953">
        <f>SUM(G10:G22)/13</f>
        <v>468638538.46153843</v>
      </c>
      <c r="H23" s="5"/>
      <c r="I23"/>
      <c r="J23"/>
      <c r="K23"/>
      <c r="L23"/>
    </row>
    <row r="24" spans="1:12" ht="13.5" thickTop="1">
      <c r="A24" s="882"/>
      <c r="B24" s="881"/>
      <c r="C24" s="906"/>
      <c r="D24" s="879"/>
      <c r="E24" s="879"/>
      <c r="F24" s="879"/>
      <c r="G24" s="906"/>
      <c r="H24" s="906"/>
      <c r="I24"/>
      <c r="J24"/>
      <c r="K24"/>
      <c r="L24"/>
    </row>
    <row r="25" spans="1:12" ht="12.75" customHeight="1">
      <c r="A25" s="882"/>
      <c r="B25" s="922"/>
      <c r="C25" s="1518" t="s">
        <v>683</v>
      </c>
      <c r="D25" s="1519"/>
      <c r="E25" s="1519"/>
      <c r="F25" s="1519"/>
      <c r="G25" s="1519"/>
      <c r="H25" s="1520"/>
      <c r="I25"/>
      <c r="J25"/>
      <c r="K25"/>
      <c r="L25"/>
    </row>
    <row r="26" spans="1:12" s="946" customFormat="1" ht="38.25">
      <c r="A26" s="921" t="s">
        <v>648</v>
      </c>
      <c r="B26" s="920" t="s">
        <v>647</v>
      </c>
      <c r="C26" s="899" t="s">
        <v>695</v>
      </c>
      <c r="D26" s="898" t="s">
        <v>694</v>
      </c>
      <c r="E26" s="898" t="s">
        <v>693</v>
      </c>
      <c r="F26" s="898" t="s">
        <v>692</v>
      </c>
      <c r="G26" s="898" t="s">
        <v>684</v>
      </c>
      <c r="H26" s="945" t="s">
        <v>628</v>
      </c>
      <c r="I26"/>
      <c r="J26"/>
      <c r="K26"/>
      <c r="L26"/>
    </row>
    <row r="27" spans="1:12" s="948" customFormat="1">
      <c r="A27" s="889"/>
      <c r="B27" s="895" t="s">
        <v>642</v>
      </c>
      <c r="C27" s="896" t="s">
        <v>641</v>
      </c>
      <c r="D27" s="894" t="s">
        <v>640</v>
      </c>
      <c r="E27" s="894" t="s">
        <v>639</v>
      </c>
      <c r="F27" s="894" t="s">
        <v>638</v>
      </c>
      <c r="G27" s="894" t="s">
        <v>660</v>
      </c>
      <c r="H27" s="947" t="s">
        <v>685</v>
      </c>
      <c r="I27"/>
      <c r="J27"/>
      <c r="K27"/>
      <c r="L27"/>
    </row>
    <row r="28" spans="1:12" s="948" customFormat="1" ht="44.25" customHeight="1">
      <c r="A28" s="889"/>
      <c r="B28" s="895" t="s">
        <v>637</v>
      </c>
      <c r="C28" s="949" t="s">
        <v>686</v>
      </c>
      <c r="D28" s="917" t="s">
        <v>687</v>
      </c>
      <c r="E28" s="917" t="s">
        <v>688</v>
      </c>
      <c r="F28" s="917" t="s">
        <v>689</v>
      </c>
      <c r="G28" s="917" t="s">
        <v>690</v>
      </c>
      <c r="H28" s="954"/>
      <c r="I28"/>
      <c r="J28"/>
      <c r="K28"/>
      <c r="L28"/>
    </row>
    <row r="29" spans="1:12">
      <c r="A29" s="889">
        <f>+A23+1</f>
        <v>15</v>
      </c>
      <c r="B29" s="914" t="s">
        <v>635</v>
      </c>
      <c r="C29" s="951"/>
      <c r="D29" s="951">
        <v>0</v>
      </c>
      <c r="E29" s="951">
        <v>0</v>
      </c>
      <c r="F29" s="951">
        <v>502000000</v>
      </c>
      <c r="G29" s="951"/>
      <c r="H29" s="952">
        <f t="shared" ref="H29:H41" si="2">+C29-D29+E29+F29-G29</f>
        <v>502000000</v>
      </c>
      <c r="I29"/>
      <c r="J29"/>
      <c r="K29"/>
      <c r="L29"/>
    </row>
    <row r="30" spans="1:12">
      <c r="A30" s="889">
        <f t="shared" ref="A30:A42" si="3">+A29+1</f>
        <v>16</v>
      </c>
      <c r="B30" s="914" t="s">
        <v>185</v>
      </c>
      <c r="C30" s="1219"/>
      <c r="D30" s="1219">
        <v>0</v>
      </c>
      <c r="E30" s="863">
        <v>0</v>
      </c>
      <c r="F30" s="951">
        <v>502000000</v>
      </c>
      <c r="G30" s="1219"/>
      <c r="H30" s="952">
        <f t="shared" si="2"/>
        <v>502000000</v>
      </c>
      <c r="I30"/>
      <c r="J30"/>
      <c r="K30"/>
      <c r="L30"/>
    </row>
    <row r="31" spans="1:12">
      <c r="A31" s="889">
        <f t="shared" si="3"/>
        <v>17</v>
      </c>
      <c r="B31" s="913" t="s">
        <v>559</v>
      </c>
      <c r="C31" s="1219"/>
      <c r="D31" s="1219">
        <v>0</v>
      </c>
      <c r="E31" s="863">
        <v>0</v>
      </c>
      <c r="F31" s="951">
        <v>502000000</v>
      </c>
      <c r="G31" s="1219"/>
      <c r="H31" s="952">
        <f t="shared" si="2"/>
        <v>502000000</v>
      </c>
      <c r="I31"/>
      <c r="J31"/>
      <c r="K31"/>
      <c r="L31"/>
    </row>
    <row r="32" spans="1:12">
      <c r="A32" s="889">
        <f t="shared" si="3"/>
        <v>18</v>
      </c>
      <c r="B32" s="913" t="s">
        <v>634</v>
      </c>
      <c r="C32" s="1219"/>
      <c r="D32" s="1219">
        <v>0</v>
      </c>
      <c r="E32" s="863">
        <v>0</v>
      </c>
      <c r="F32" s="951">
        <v>502000000</v>
      </c>
      <c r="G32" s="1219"/>
      <c r="H32" s="952">
        <f t="shared" si="2"/>
        <v>502000000</v>
      </c>
      <c r="I32"/>
      <c r="J32"/>
      <c r="K32"/>
      <c r="L32"/>
    </row>
    <row r="33" spans="1:12">
      <c r="A33" s="889">
        <f t="shared" si="3"/>
        <v>19</v>
      </c>
      <c r="B33" s="913" t="s">
        <v>187</v>
      </c>
      <c r="C33" s="1219"/>
      <c r="D33" s="1219">
        <v>0</v>
      </c>
      <c r="E33" s="863">
        <v>0</v>
      </c>
      <c r="F33" s="951">
        <v>567000000</v>
      </c>
      <c r="G33" s="1219"/>
      <c r="H33" s="952">
        <f t="shared" si="2"/>
        <v>567000000</v>
      </c>
      <c r="I33"/>
      <c r="J33"/>
      <c r="K33"/>
      <c r="L33"/>
    </row>
    <row r="34" spans="1:12">
      <c r="A34" s="889">
        <f t="shared" si="3"/>
        <v>20</v>
      </c>
      <c r="B34" s="913" t="s">
        <v>188</v>
      </c>
      <c r="C34" s="1219"/>
      <c r="D34" s="1219">
        <v>0</v>
      </c>
      <c r="E34" s="863">
        <v>0</v>
      </c>
      <c r="F34" s="951">
        <v>567000000</v>
      </c>
      <c r="G34" s="1219"/>
      <c r="H34" s="952">
        <f t="shared" si="2"/>
        <v>567000000</v>
      </c>
      <c r="I34"/>
      <c r="J34"/>
      <c r="K34"/>
      <c r="L34"/>
    </row>
    <row r="35" spans="1:12">
      <c r="A35" s="889">
        <f t="shared" si="3"/>
        <v>21</v>
      </c>
      <c r="B35" s="913" t="s">
        <v>382</v>
      </c>
      <c r="C35" s="1219"/>
      <c r="D35" s="1219">
        <v>0</v>
      </c>
      <c r="E35" s="863">
        <v>0</v>
      </c>
      <c r="F35" s="951">
        <v>567000000</v>
      </c>
      <c r="G35" s="1219"/>
      <c r="H35" s="952">
        <f t="shared" si="2"/>
        <v>567000000</v>
      </c>
      <c r="I35"/>
      <c r="J35"/>
      <c r="K35"/>
      <c r="L35"/>
    </row>
    <row r="36" spans="1:12">
      <c r="A36" s="889">
        <f t="shared" si="3"/>
        <v>22</v>
      </c>
      <c r="B36" s="913" t="s">
        <v>189</v>
      </c>
      <c r="C36" s="1219"/>
      <c r="D36" s="1219">
        <v>0</v>
      </c>
      <c r="E36" s="863">
        <v>0</v>
      </c>
      <c r="F36" s="951">
        <v>567000000</v>
      </c>
      <c r="G36" s="1219"/>
      <c r="H36" s="952">
        <f t="shared" si="2"/>
        <v>567000000</v>
      </c>
      <c r="I36"/>
      <c r="J36"/>
      <c r="K36"/>
      <c r="L36"/>
    </row>
    <row r="37" spans="1:12">
      <c r="A37" s="889">
        <f t="shared" si="3"/>
        <v>23</v>
      </c>
      <c r="B37" s="913" t="s">
        <v>633</v>
      </c>
      <c r="C37" s="1219"/>
      <c r="D37" s="1219">
        <v>0</v>
      </c>
      <c r="E37" s="863">
        <v>0</v>
      </c>
      <c r="F37" s="951">
        <v>567000000</v>
      </c>
      <c r="G37" s="1219"/>
      <c r="H37" s="952">
        <f t="shared" si="2"/>
        <v>567000000</v>
      </c>
      <c r="I37"/>
      <c r="J37"/>
      <c r="K37"/>
      <c r="L37"/>
    </row>
    <row r="38" spans="1:12">
      <c r="A38" s="889">
        <f t="shared" si="3"/>
        <v>24</v>
      </c>
      <c r="B38" s="913" t="s">
        <v>192</v>
      </c>
      <c r="C38" s="1219"/>
      <c r="D38" s="1219">
        <v>0</v>
      </c>
      <c r="E38" s="863">
        <v>0</v>
      </c>
      <c r="F38" s="951">
        <v>567000000</v>
      </c>
      <c r="G38" s="1219"/>
      <c r="H38" s="952">
        <f t="shared" si="2"/>
        <v>567000000</v>
      </c>
      <c r="I38"/>
      <c r="J38"/>
      <c r="K38"/>
      <c r="L38"/>
    </row>
    <row r="39" spans="1:12">
      <c r="A39" s="889">
        <f t="shared" si="3"/>
        <v>25</v>
      </c>
      <c r="B39" s="913" t="s">
        <v>560</v>
      </c>
      <c r="C39" s="1219"/>
      <c r="D39" s="1219">
        <v>0</v>
      </c>
      <c r="E39" s="863">
        <v>0</v>
      </c>
      <c r="F39" s="951">
        <v>567000000</v>
      </c>
      <c r="G39" s="1219"/>
      <c r="H39" s="952">
        <f t="shared" si="2"/>
        <v>567000000</v>
      </c>
      <c r="I39"/>
      <c r="J39"/>
      <c r="K39"/>
      <c r="L39"/>
    </row>
    <row r="40" spans="1:12">
      <c r="A40" s="889">
        <f t="shared" si="3"/>
        <v>26</v>
      </c>
      <c r="B40" s="913" t="s">
        <v>561</v>
      </c>
      <c r="C40" s="1219"/>
      <c r="D40" s="1219">
        <v>0</v>
      </c>
      <c r="E40" s="863">
        <v>0</v>
      </c>
      <c r="F40" s="951">
        <v>567000000</v>
      </c>
      <c r="G40" s="1219"/>
      <c r="H40" s="952">
        <f t="shared" si="2"/>
        <v>567000000</v>
      </c>
      <c r="I40"/>
      <c r="J40"/>
      <c r="K40"/>
      <c r="L40"/>
    </row>
    <row r="41" spans="1:12">
      <c r="A41" s="888">
        <f t="shared" si="3"/>
        <v>27</v>
      </c>
      <c r="B41" s="912" t="s">
        <v>632</v>
      </c>
      <c r="C41" s="951"/>
      <c r="D41" s="951">
        <v>0</v>
      </c>
      <c r="E41" s="863">
        <v>0</v>
      </c>
      <c r="F41" s="951">
        <v>567000000</v>
      </c>
      <c r="G41" s="951"/>
      <c r="H41" s="952">
        <f t="shared" si="2"/>
        <v>567000000</v>
      </c>
      <c r="I41"/>
      <c r="J41"/>
      <c r="K41"/>
      <c r="L41"/>
    </row>
    <row r="42" spans="1:12" ht="13.5" thickBot="1">
      <c r="A42" s="910">
        <f t="shared" si="3"/>
        <v>28</v>
      </c>
      <c r="B42" s="909" t="s">
        <v>863</v>
      </c>
      <c r="C42" s="884">
        <f t="shared" ref="C42:H42" si="4">SUM(C29:C41)/13</f>
        <v>0</v>
      </c>
      <c r="D42" s="883">
        <f t="shared" si="4"/>
        <v>0</v>
      </c>
      <c r="E42" s="883">
        <f t="shared" si="4"/>
        <v>0</v>
      </c>
      <c r="F42" s="883">
        <f>ROUND(SUM(F29:F41)/13,-3)</f>
        <v>547000000</v>
      </c>
      <c r="G42" s="883">
        <f t="shared" si="4"/>
        <v>0</v>
      </c>
      <c r="H42" s="953">
        <f t="shared" si="4"/>
        <v>547000000</v>
      </c>
      <c r="I42"/>
      <c r="J42"/>
      <c r="K42"/>
      <c r="L42"/>
    </row>
    <row r="43" spans="1:12" ht="13.5" thickTop="1">
      <c r="A43" s="940"/>
      <c r="B43" s="955"/>
      <c r="C43" s="956"/>
      <c r="D43" s="957"/>
      <c r="E43" s="957"/>
      <c r="F43" s="957"/>
      <c r="G43" s="956"/>
      <c r="H43" s="956"/>
      <c r="I43"/>
      <c r="J43"/>
      <c r="K43"/>
      <c r="L43"/>
    </row>
    <row r="44" spans="1:12" ht="12.75" customHeight="1">
      <c r="A44" s="958" t="s">
        <v>691</v>
      </c>
      <c r="F44" s="576"/>
      <c r="G44" s="576"/>
      <c r="H44" s="576"/>
      <c r="I44"/>
      <c r="J44"/>
      <c r="K44"/>
    </row>
    <row r="45" spans="1:12">
      <c r="E45" s="576"/>
      <c r="F45" s="576"/>
      <c r="G45" s="576"/>
      <c r="H45" s="576"/>
      <c r="J45" s="955"/>
    </row>
    <row r="46" spans="1:12" ht="15">
      <c r="A46" s="960" t="s">
        <v>7</v>
      </c>
      <c r="E46" s="576"/>
      <c r="F46" s="576"/>
      <c r="G46" s="576"/>
      <c r="H46" s="882"/>
    </row>
    <row r="47" spans="1:12" ht="15">
      <c r="A47" s="960"/>
      <c r="B47" s="961" t="s">
        <v>642</v>
      </c>
      <c r="C47" s="961" t="s">
        <v>641</v>
      </c>
      <c r="D47" s="962" t="s">
        <v>640</v>
      </c>
      <c r="E47" s="961" t="s">
        <v>639</v>
      </c>
      <c r="F47" s="962" t="s">
        <v>638</v>
      </c>
      <c r="G47" s="961" t="s">
        <v>660</v>
      </c>
      <c r="H47" s="961" t="s">
        <v>661</v>
      </c>
    </row>
    <row r="48" spans="1:12">
      <c r="A48" s="649">
        <f>+A42+1</f>
        <v>29</v>
      </c>
      <c r="B48" s="963" t="str">
        <f>"Annual Interest Expense for "&amp;TCOS!L4</f>
        <v>Annual Interest Expense for 2023</v>
      </c>
      <c r="C48" s="964"/>
      <c r="D48" s="965"/>
      <c r="E48" s="966"/>
      <c r="F48" s="966"/>
      <c r="G48" s="966"/>
      <c r="H48" s="966"/>
      <c r="I48" s="966"/>
      <c r="J48" s="966"/>
      <c r="K48" s="966"/>
      <c r="L48" s="966"/>
    </row>
    <row r="49" spans="1:12">
      <c r="A49" s="649">
        <f t="shared" ref="A49:A56" si="5">+A48+1</f>
        <v>30</v>
      </c>
      <c r="B49" s="1124" t="s">
        <v>763</v>
      </c>
      <c r="C49" s="964"/>
      <c r="D49" s="965"/>
      <c r="E49" s="968">
        <v>23772000</v>
      </c>
      <c r="F49" s="966"/>
      <c r="G49" s="966"/>
      <c r="H49" s="966"/>
      <c r="I49" s="966"/>
      <c r="J49" s="966"/>
      <c r="K49" s="966"/>
      <c r="L49" s="966"/>
    </row>
    <row r="50" spans="1:12" ht="28.5" customHeight="1">
      <c r="A50" s="649">
        <f t="shared" si="5"/>
        <v>31</v>
      </c>
      <c r="B50" s="1512" t="str">
        <f>"Less: Total Hedge Gain/Expense Accumulated from p 256-257, col. (i) of FERC Form 1  included in Ln "&amp;A49&amp;" and shown in "&amp;A74&amp;" below."</f>
        <v>Less: Total Hedge Gain/Expense Accumulated from p 256-257, col. (i) of FERC Form 1  included in Ln 30 and shown in 50 below.</v>
      </c>
      <c r="C50" s="1513"/>
      <c r="D50" s="965"/>
      <c r="E50" s="964">
        <f>+C74</f>
        <v>0</v>
      </c>
      <c r="F50" s="966"/>
      <c r="G50" s="966"/>
      <c r="H50" s="966"/>
      <c r="I50" s="966"/>
      <c r="J50" s="966"/>
      <c r="K50" s="966"/>
      <c r="L50" s="966"/>
    </row>
    <row r="51" spans="1:12" ht="16.5" customHeight="1">
      <c r="A51" s="649">
        <f t="shared" si="5"/>
        <v>32</v>
      </c>
      <c r="B51" s="969" t="str">
        <f>"Plus:  Allowed Hedge Recovery From Ln "&amp;A80&amp;"  below."</f>
        <v>Plus:  Allowed Hedge Recovery From Ln 55  below.</v>
      </c>
      <c r="C51" s="1125"/>
      <c r="D51" s="965"/>
      <c r="E51" s="970">
        <f>+E80</f>
        <v>0</v>
      </c>
      <c r="F51" s="966"/>
      <c r="G51" s="966"/>
      <c r="H51" s="966"/>
      <c r="I51" s="966"/>
      <c r="J51" s="966"/>
      <c r="K51" s="966"/>
      <c r="L51" s="966"/>
    </row>
    <row r="52" spans="1:12">
      <c r="A52" s="649">
        <f t="shared" si="5"/>
        <v>33</v>
      </c>
      <c r="B52" s="1124" t="s">
        <v>764</v>
      </c>
      <c r="C52" s="1126"/>
      <c r="D52" s="971"/>
      <c r="E52" s="968">
        <v>219000</v>
      </c>
      <c r="F52" s="966"/>
      <c r="G52" s="966"/>
      <c r="H52" s="966"/>
      <c r="I52" s="966"/>
      <c r="J52" s="966"/>
    </row>
    <row r="53" spans="1:12">
      <c r="A53" s="649">
        <f t="shared" si="5"/>
        <v>34</v>
      </c>
      <c r="B53" s="1124" t="s">
        <v>765</v>
      </c>
      <c r="C53" s="972"/>
      <c r="D53" s="965"/>
      <c r="E53" s="968">
        <v>0</v>
      </c>
      <c r="F53" s="966"/>
      <c r="G53" s="966"/>
      <c r="H53" s="966"/>
      <c r="I53" s="966"/>
      <c r="J53" s="966"/>
    </row>
    <row r="54" spans="1:12">
      <c r="A54" s="649">
        <f t="shared" si="5"/>
        <v>35</v>
      </c>
      <c r="B54" s="1124" t="s">
        <v>766</v>
      </c>
      <c r="C54" s="972"/>
      <c r="D54" s="965"/>
      <c r="E54" s="968"/>
      <c r="F54" s="966"/>
      <c r="G54" s="966"/>
      <c r="H54" s="966"/>
      <c r="I54" s="966"/>
      <c r="J54" s="966"/>
    </row>
    <row r="55" spans="1:12" ht="13.5" thickBot="1">
      <c r="A55" s="649">
        <f t="shared" si="5"/>
        <v>36</v>
      </c>
      <c r="B55" s="1124" t="s">
        <v>767</v>
      </c>
      <c r="C55" s="972"/>
      <c r="D55" s="965"/>
      <c r="E55" s="973"/>
      <c r="F55" s="966"/>
      <c r="G55" s="966"/>
      <c r="H55" s="966"/>
      <c r="I55" s="966"/>
      <c r="J55" s="966"/>
    </row>
    <row r="56" spans="1:12">
      <c r="A56" s="649">
        <f t="shared" si="5"/>
        <v>37</v>
      </c>
      <c r="B56" s="963" t="str">
        <f>"Total Interest Expense (Ln "&amp;A49&amp;" - "&amp;A50&amp;" + "&amp;A52&amp;" + "&amp;A53&amp;" - "&amp;A54&amp;" - "&amp;A55&amp;")"</f>
        <v>Total Interest Expense (Ln 30 - 31 + 33 + 34 - 35 - 36)</v>
      </c>
      <c r="C56" s="974"/>
      <c r="D56" s="975"/>
      <c r="E56" s="976">
        <f>+E49-E50+E51+E52+E53-E54-E55</f>
        <v>23991000</v>
      </c>
      <c r="F56" s="966"/>
      <c r="G56" s="966"/>
      <c r="H56" s="966"/>
      <c r="I56" s="966"/>
      <c r="J56" s="966"/>
    </row>
    <row r="57" spans="1:12" ht="13.5" thickBot="1">
      <c r="A57" s="649"/>
      <c r="B57" s="967"/>
      <c r="C57" s="972"/>
      <c r="D57" s="965"/>
      <c r="E57" s="976"/>
      <c r="F57" s="966"/>
      <c r="G57" s="966"/>
      <c r="H57" s="966"/>
      <c r="I57" s="966"/>
      <c r="J57" s="966"/>
    </row>
    <row r="58" spans="1:12" ht="13.5" thickBot="1">
      <c r="A58" s="649">
        <f>+A56+1</f>
        <v>38</v>
      </c>
      <c r="B58" s="963" t="str">
        <f>"Average Cost of Debt for "&amp;TCOS!L4&amp;" (Ln "&amp;A56&amp;"/ ln "&amp;A42&amp;" (g))"</f>
        <v>Average Cost of Debt for 2023 (Ln 37/ ln 28 (g))</v>
      </c>
      <c r="C58" s="974"/>
      <c r="D58" s="965"/>
      <c r="E58" s="977">
        <f>+E56/H42</f>
        <v>4.3859232175502742E-2</v>
      </c>
      <c r="F58" s="966"/>
      <c r="G58" s="966"/>
      <c r="H58" s="966"/>
      <c r="I58" s="966"/>
      <c r="J58" s="966"/>
    </row>
    <row r="59" spans="1:12">
      <c r="A59" s="978"/>
      <c r="B59" s="967"/>
      <c r="C59" s="972"/>
      <c r="D59" s="965"/>
      <c r="E59" s="972"/>
      <c r="F59" s="966"/>
      <c r="G59" s="966"/>
      <c r="H59" s="966"/>
      <c r="I59" s="966"/>
      <c r="J59" s="966"/>
    </row>
    <row r="60" spans="1:12" s="980" customFormat="1" ht="28.5" customHeight="1">
      <c r="A60" s="762"/>
      <c r="B60" s="1514" t="s">
        <v>0</v>
      </c>
      <c r="C60" s="1514"/>
      <c r="D60" s="1514"/>
      <c r="E60" s="1514"/>
      <c r="F60" s="763"/>
      <c r="G60" s="979"/>
    </row>
    <row r="61" spans="1:12" s="980" customFormat="1" ht="107.25" customHeight="1">
      <c r="A61" s="764">
        <f>+A58+1</f>
        <v>39</v>
      </c>
      <c r="B61" s="1515" t="s">
        <v>312</v>
      </c>
      <c r="C61" s="1516"/>
      <c r="D61" s="1516"/>
      <c r="E61" s="1516"/>
      <c r="F61" s="576"/>
      <c r="G61" s="979"/>
    </row>
    <row r="62" spans="1:12" s="980" customFormat="1" ht="12" customHeight="1">
      <c r="A62" s="762"/>
      <c r="B62" s="765"/>
      <c r="C62" s="765"/>
      <c r="D62" s="765"/>
      <c r="E62" s="765"/>
      <c r="F62" s="979"/>
      <c r="G62" s="1517" t="s">
        <v>232</v>
      </c>
      <c r="H62" s="1517"/>
    </row>
    <row r="63" spans="1:12" s="980" customFormat="1" ht="52.5" customHeight="1">
      <c r="A63" s="590"/>
      <c r="B63" s="982" t="s">
        <v>359</v>
      </c>
      <c r="C63" s="981" t="str">
        <f>"Total Hedge (Gain)/Loss for "&amp;TCOS!L4</f>
        <v>Total Hedge (Gain)/Loss for 2023</v>
      </c>
      <c r="D63" s="981" t="str">
        <f>"Less Excludable Amounts (See NOTE on Line "&amp;A61&amp;")"</f>
        <v>Less Excludable Amounts (See NOTE on Line 39)</v>
      </c>
      <c r="E63" s="981" t="s">
        <v>1</v>
      </c>
      <c r="F63" s="981" t="s">
        <v>231</v>
      </c>
      <c r="G63" s="981" t="s">
        <v>283</v>
      </c>
      <c r="H63" s="981" t="s">
        <v>285</v>
      </c>
    </row>
    <row r="64" spans="1:12" s="980" customFormat="1" ht="12.75" customHeight="1">
      <c r="A64" s="590">
        <f>+A61+1</f>
        <v>40</v>
      </c>
      <c r="B64" s="1235" t="s">
        <v>1061</v>
      </c>
      <c r="C64" s="863">
        <v>0</v>
      </c>
      <c r="D64" s="863">
        <v>0</v>
      </c>
      <c r="E64" s="984">
        <f t="shared" ref="E64:E72" si="6">+C64-D64</f>
        <v>0</v>
      </c>
      <c r="F64" s="863"/>
      <c r="G64" s="985"/>
      <c r="H64" s="985"/>
      <c r="I64" s="322"/>
      <c r="J64" s="322"/>
    </row>
    <row r="65" spans="1:8" s="980" customFormat="1" ht="12.75" customHeight="1">
      <c r="A65" s="590">
        <f t="shared" ref="A65:A74" si="7">+A64+1</f>
        <v>41</v>
      </c>
      <c r="B65" s="1235" t="s">
        <v>1062</v>
      </c>
      <c r="C65" s="863">
        <v>0</v>
      </c>
      <c r="D65" s="863">
        <v>0</v>
      </c>
      <c r="E65" s="984">
        <f t="shared" si="6"/>
        <v>0</v>
      </c>
      <c r="F65" s="863"/>
      <c r="G65" s="985"/>
      <c r="H65" s="985"/>
    </row>
    <row r="66" spans="1:8" s="980" customFormat="1" ht="12.75" customHeight="1">
      <c r="A66" s="590">
        <f t="shared" si="7"/>
        <v>42</v>
      </c>
      <c r="B66" s="983"/>
      <c r="C66" s="863"/>
      <c r="D66" s="986"/>
      <c r="E66" s="984">
        <f t="shared" si="6"/>
        <v>0</v>
      </c>
      <c r="F66" s="863"/>
      <c r="G66" s="985"/>
      <c r="H66" s="985"/>
    </row>
    <row r="67" spans="1:8" s="980" customFormat="1" ht="12.75" customHeight="1">
      <c r="A67" s="590">
        <f t="shared" si="7"/>
        <v>43</v>
      </c>
      <c r="B67" s="983"/>
      <c r="C67" s="863"/>
      <c r="D67" s="986"/>
      <c r="E67" s="984">
        <f t="shared" si="6"/>
        <v>0</v>
      </c>
      <c r="F67" s="863"/>
      <c r="G67" s="985"/>
      <c r="H67" s="985"/>
    </row>
    <row r="68" spans="1:8" s="980" customFormat="1" ht="12.75" customHeight="1">
      <c r="A68" s="590">
        <f t="shared" si="7"/>
        <v>44</v>
      </c>
      <c r="B68" s="983"/>
      <c r="C68" s="863"/>
      <c r="D68" s="983"/>
      <c r="E68" s="984">
        <f t="shared" si="6"/>
        <v>0</v>
      </c>
      <c r="F68" s="863"/>
      <c r="G68" s="985"/>
      <c r="H68" s="985"/>
    </row>
    <row r="69" spans="1:8" s="980" customFormat="1" ht="12.75" customHeight="1">
      <c r="A69" s="590">
        <f t="shared" si="7"/>
        <v>45</v>
      </c>
      <c r="B69" s="983"/>
      <c r="C69" s="863"/>
      <c r="D69" s="983"/>
      <c r="E69" s="984">
        <f t="shared" si="6"/>
        <v>0</v>
      </c>
      <c r="F69" s="863"/>
      <c r="G69" s="985"/>
      <c r="H69" s="985"/>
    </row>
    <row r="70" spans="1:8" s="980" customFormat="1" ht="12.75" customHeight="1">
      <c r="A70" s="590">
        <f t="shared" si="7"/>
        <v>46</v>
      </c>
      <c r="B70" s="983"/>
      <c r="C70" s="863"/>
      <c r="D70" s="983"/>
      <c r="E70" s="984">
        <f t="shared" si="6"/>
        <v>0</v>
      </c>
      <c r="F70" s="863"/>
      <c r="G70" s="985"/>
      <c r="H70" s="985"/>
    </row>
    <row r="71" spans="1:8" s="980" customFormat="1" ht="12.75" customHeight="1">
      <c r="A71" s="590">
        <f t="shared" si="7"/>
        <v>47</v>
      </c>
      <c r="B71" s="983"/>
      <c r="C71" s="863"/>
      <c r="D71" s="987"/>
      <c r="E71" s="984">
        <f t="shared" si="6"/>
        <v>0</v>
      </c>
      <c r="F71" s="863"/>
      <c r="G71" s="985"/>
      <c r="H71" s="985"/>
    </row>
    <row r="72" spans="1:8" s="980" customFormat="1" ht="12.75" customHeight="1">
      <c r="A72" s="590">
        <f t="shared" si="7"/>
        <v>48</v>
      </c>
      <c r="B72" s="983"/>
      <c r="C72" s="863"/>
      <c r="D72" s="968"/>
      <c r="E72" s="984">
        <f t="shared" si="6"/>
        <v>0</v>
      </c>
      <c r="F72" s="988"/>
      <c r="G72" s="988"/>
      <c r="H72" s="988"/>
    </row>
    <row r="73" spans="1:8" s="980" customFormat="1" ht="12.75" customHeight="1">
      <c r="A73" s="590">
        <f t="shared" si="7"/>
        <v>49</v>
      </c>
      <c r="B73" s="535"/>
      <c r="C73" s="989"/>
      <c r="D73" s="989"/>
      <c r="E73" s="990"/>
      <c r="F73" s="984">
        <f>SUM(F64:F72)</f>
        <v>0</v>
      </c>
      <c r="G73" s="979"/>
    </row>
    <row r="74" spans="1:8" s="980" customFormat="1" ht="12.75" customHeight="1">
      <c r="A74" s="590">
        <f t="shared" si="7"/>
        <v>50</v>
      </c>
      <c r="B74" s="967" t="s">
        <v>8</v>
      </c>
      <c r="C74" s="976">
        <f>SUM(C64:C72)</f>
        <v>0</v>
      </c>
      <c r="D74" s="976">
        <f>SUM(D64:D72)</f>
        <v>0</v>
      </c>
      <c r="F74" s="979"/>
      <c r="G74" s="979"/>
    </row>
    <row r="75" spans="1:8" s="980" customFormat="1" ht="21" customHeight="1">
      <c r="A75" s="590"/>
      <c r="B75" s="967"/>
      <c r="C75" s="976"/>
      <c r="D75" s="976"/>
      <c r="E75" s="976"/>
      <c r="F75" s="979"/>
      <c r="G75" s="979"/>
    </row>
    <row r="76" spans="1:8" s="980" customFormat="1" ht="14.25" customHeight="1">
      <c r="A76" s="590">
        <f>+A74+1</f>
        <v>51</v>
      </c>
      <c r="B76" s="967" t="str">
        <f>"Hedge Gain or Loss Prior to Application of Recovery Limit (Sum of Lines "&amp;A64&amp;" to "&amp;A72&amp;")"</f>
        <v>Hedge Gain or Loss Prior to Application of Recovery Limit (Sum of Lines 40 to 48)</v>
      </c>
      <c r="C76" s="976"/>
      <c r="D76" s="976"/>
      <c r="E76" s="976">
        <f>SUM(E64:E72)</f>
        <v>0</v>
      </c>
      <c r="F76" s="979"/>
      <c r="G76" s="979"/>
    </row>
    <row r="77" spans="1:8" s="980" customFormat="1" ht="12.75" customHeight="1">
      <c r="A77" s="590">
        <f>+A76+1</f>
        <v>52</v>
      </c>
      <c r="B77" s="991" t="str">
        <f>"Total Average Capital Structure Balance for "&amp;TCOS!L4&amp;" (TCOS, Ln "&amp;TCOS!B258&amp;")"</f>
        <v>Total Average Capital Structure Balance for 2023 (TCOS, Ln 157)</v>
      </c>
      <c r="C77" s="972"/>
      <c r="D77" s="965"/>
      <c r="E77" s="992">
        <f>TCOS!G258</f>
        <v>1015639000</v>
      </c>
      <c r="F77" s="979"/>
      <c r="G77" s="979"/>
      <c r="H77" s="993"/>
    </row>
    <row r="78" spans="1:8" s="980" customFormat="1" ht="12.75" customHeight="1">
      <c r="A78" s="590">
        <f>+A77+1</f>
        <v>53</v>
      </c>
      <c r="B78" s="967" t="s">
        <v>489</v>
      </c>
      <c r="C78" s="972"/>
      <c r="D78" s="965"/>
      <c r="E78" s="994">
        <v>5.0000000000000001E-4</v>
      </c>
      <c r="F78" s="979"/>
      <c r="G78" s="995"/>
    </row>
    <row r="79" spans="1:8" s="980" customFormat="1" ht="12.75" customHeight="1" thickBot="1">
      <c r="A79" s="590">
        <f>+A78+1</f>
        <v>54</v>
      </c>
      <c r="B79" s="967" t="s">
        <v>490</v>
      </c>
      <c r="C79" s="972"/>
      <c r="D79" s="965"/>
      <c r="E79" s="996">
        <f>+E77*E78</f>
        <v>507819.5</v>
      </c>
      <c r="F79" s="979"/>
      <c r="G79" s="979"/>
    </row>
    <row r="80" spans="1:8" s="980" customFormat="1" ht="12.75" customHeight="1" thickBot="1">
      <c r="A80" s="590">
        <f>+A79+1</f>
        <v>55</v>
      </c>
      <c r="B80" s="963" t="str">
        <f>"Recoverable Hedge Amortization (Lesser of Ln "&amp;A76&amp;" or Ln "&amp;A79&amp;")"</f>
        <v>Recoverable Hedge Amortization (Lesser of Ln 51 or Ln 54)</v>
      </c>
      <c r="C80" s="972"/>
      <c r="D80" s="965"/>
      <c r="E80" s="997">
        <f>+IF(E79&lt;E76,E79,E76)</f>
        <v>0</v>
      </c>
      <c r="F80" s="979"/>
      <c r="G80" s="979"/>
    </row>
    <row r="81" spans="1:7" s="980" customFormat="1" ht="12.75" customHeight="1">
      <c r="A81" s="590"/>
      <c r="B81" s="967"/>
      <c r="C81" s="972"/>
      <c r="D81" s="965"/>
      <c r="E81" s="972"/>
      <c r="F81" s="979"/>
      <c r="G81" s="979"/>
    </row>
    <row r="82" spans="1:7" s="980" customFormat="1" ht="12.75" customHeight="1">
      <c r="A82" s="998" t="s">
        <v>9</v>
      </c>
      <c r="B82" s="999"/>
      <c r="C82" s="972"/>
      <c r="D82" s="965"/>
      <c r="E82" s="972"/>
      <c r="F82" s="979"/>
      <c r="G82" s="979"/>
    </row>
    <row r="83" spans="1:7" s="980" customFormat="1" ht="12.75" customHeight="1">
      <c r="A83" s="590"/>
      <c r="B83" s="967"/>
      <c r="C83" s="972"/>
      <c r="D83" s="965"/>
      <c r="E83" s="972"/>
      <c r="F83" s="979"/>
      <c r="G83" s="979"/>
    </row>
    <row r="84" spans="1:7" s="980" customFormat="1" ht="12.75" customHeight="1">
      <c r="A84" s="590"/>
      <c r="B84" s="1000" t="s">
        <v>258</v>
      </c>
      <c r="C84" s="1001"/>
      <c r="D84" s="1002"/>
      <c r="E84" s="1001" t="s">
        <v>506</v>
      </c>
      <c r="F84" s="979"/>
      <c r="G84" s="979"/>
    </row>
    <row r="85" spans="1:7" s="980" customFormat="1" ht="12.75" customHeight="1">
      <c r="A85" s="590">
        <f>+A80+1</f>
        <v>56</v>
      </c>
      <c r="B85" s="965" t="str">
        <f>""&amp;C$85*100&amp;"% Series - "&amp;C$86&amp;" - Dividend Rate (p. 250-251)"</f>
        <v>0% Series - 0 - Dividend Rate (p. 250-251)</v>
      </c>
      <c r="C85" s="1003">
        <v>0</v>
      </c>
      <c r="D85" s="1003">
        <v>0</v>
      </c>
      <c r="E85" s="1001"/>
      <c r="F85" s="979"/>
      <c r="G85" s="979"/>
    </row>
    <row r="86" spans="1:7" s="980" customFormat="1" ht="12.75" customHeight="1">
      <c r="A86" s="590">
        <f>+A85+1</f>
        <v>57</v>
      </c>
      <c r="B86" s="965" t="str">
        <f>""&amp;C$85*100&amp;"% Series - "&amp;C$86&amp;" - Par Value (p. 250-251)"</f>
        <v>0% Series - 0 - Par Value (p. 250-251)</v>
      </c>
      <c r="C86" s="1004">
        <v>0</v>
      </c>
      <c r="D86" s="1004">
        <v>0</v>
      </c>
      <c r="E86" s="1001"/>
      <c r="F86" s="979"/>
      <c r="G86" s="979"/>
    </row>
    <row r="87" spans="1:7" s="980" customFormat="1" ht="12.75" customHeight="1">
      <c r="A87" s="590">
        <f>+A86+1</f>
        <v>58</v>
      </c>
      <c r="B87" s="965" t="str">
        <f>""&amp;C$85*100&amp;"% Series - "&amp;C$86&amp;" - Shares O/S (p.250-251) "</f>
        <v xml:space="preserve">0% Series - 0 - Shares O/S (p.250-251) </v>
      </c>
      <c r="C87" s="968">
        <v>0</v>
      </c>
      <c r="D87" s="968">
        <v>0</v>
      </c>
      <c r="E87" s="1005"/>
      <c r="F87" s="979"/>
      <c r="G87" s="979"/>
    </row>
    <row r="88" spans="1:7" s="980" customFormat="1" ht="12.75" customHeight="1">
      <c r="A88" s="590">
        <f>+A87+1</f>
        <v>59</v>
      </c>
      <c r="B88" s="965" t="str">
        <f>""&amp;C$85*100&amp;"% Series - "&amp;C$86&amp;" - Monetary Value (Ln "&amp;A86&amp;" * Ln "&amp;A87&amp;")"</f>
        <v>0% Series - 0 - Monetary Value (Ln 57 * Ln 58)</v>
      </c>
      <c r="C88" s="1006">
        <f>+C87*C86</f>
        <v>0</v>
      </c>
      <c r="D88" s="1006">
        <f>+D87*D86</f>
        <v>0</v>
      </c>
      <c r="E88" s="1007">
        <f>IF(C88=D88=0,0,AVERAGE(C88:D88))</f>
        <v>0</v>
      </c>
      <c r="F88" s="979"/>
      <c r="G88" s="979"/>
    </row>
    <row r="89" spans="1:7" s="980" customFormat="1" ht="12.75" customHeight="1">
      <c r="A89" s="590">
        <f>+A88+1</f>
        <v>60</v>
      </c>
      <c r="B89" s="965" t="str">
        <f>""&amp;C$85*100&amp;"% Series - "&amp;C$86&amp;" -  Dividend Amount (Ln "&amp;A85&amp;" * Ln "&amp;A88&amp;")"</f>
        <v>0% Series - 0 -  Dividend Amount (Ln 56 * Ln 59)</v>
      </c>
      <c r="C89" s="1006">
        <f>+C88*C85</f>
        <v>0</v>
      </c>
      <c r="D89" s="1006">
        <f>+D88*D85</f>
        <v>0</v>
      </c>
      <c r="E89" s="1007">
        <f>IF(C89=D89=0,0,AVERAGE(C89:D89))</f>
        <v>0</v>
      </c>
      <c r="F89" s="979"/>
      <c r="G89" s="979"/>
    </row>
    <row r="90" spans="1:7" s="980" customFormat="1" ht="12.75" customHeight="1">
      <c r="A90" s="590"/>
      <c r="B90" s="965"/>
      <c r="C90" s="1006"/>
      <c r="D90" s="995"/>
      <c r="E90" s="1008"/>
      <c r="F90" s="979"/>
      <c r="G90" s="979"/>
    </row>
    <row r="91" spans="1:7" s="980" customFormat="1" ht="12.75" customHeight="1">
      <c r="A91" s="590">
        <f>+A89+1</f>
        <v>61</v>
      </c>
      <c r="B91" s="965" t="str">
        <f>""&amp;C$91*100&amp;"% Series - "&amp;C$92&amp;" - Dividend Rate (p. 250-251)"</f>
        <v>0% Series - 0 - Dividend Rate (p. 250-251)</v>
      </c>
      <c r="C91" s="1003">
        <v>0</v>
      </c>
      <c r="D91" s="1003">
        <v>0</v>
      </c>
      <c r="E91" s="1008"/>
      <c r="F91" s="979"/>
      <c r="G91" s="979"/>
    </row>
    <row r="92" spans="1:7" s="980" customFormat="1" ht="12.75" customHeight="1">
      <c r="A92" s="590">
        <f>+A91+1</f>
        <v>62</v>
      </c>
      <c r="B92" s="965" t="str">
        <f>""&amp;C$91*100&amp;"% Series - "&amp;C$92&amp;" - Par Value (p. 250-251)"</f>
        <v>0% Series - 0 - Par Value (p. 250-251)</v>
      </c>
      <c r="C92" s="1004">
        <v>0</v>
      </c>
      <c r="D92" s="1004">
        <v>0</v>
      </c>
      <c r="E92" s="1008"/>
      <c r="F92" s="979"/>
      <c r="G92" s="979"/>
    </row>
    <row r="93" spans="1:7" s="980" customFormat="1" ht="12.75" customHeight="1">
      <c r="A93" s="590">
        <f>+A92+1</f>
        <v>63</v>
      </c>
      <c r="B93" s="965" t="str">
        <f>""&amp;C$91*100&amp;"% Series - "&amp;C$92&amp;" - Shares O/S (p.250-251) "</f>
        <v xml:space="preserve">0% Series - 0 - Shares O/S (p.250-251) </v>
      </c>
      <c r="C93" s="968">
        <v>0</v>
      </c>
      <c r="D93" s="968">
        <v>0</v>
      </c>
      <c r="E93" s="1008"/>
      <c r="F93" s="979"/>
      <c r="G93" s="979"/>
    </row>
    <row r="94" spans="1:7" s="980" customFormat="1" ht="12.75" customHeight="1">
      <c r="A94" s="590">
        <f>+A93+1</f>
        <v>64</v>
      </c>
      <c r="B94" s="965" t="str">
        <f>""&amp;C$91*100&amp;"% Series - "&amp;C$92&amp;" - Monetary Value (Ln "&amp;A92&amp;" * Ln "&amp;A93&amp;")"</f>
        <v>0% Series - 0 - Monetary Value (Ln 62 * Ln 63)</v>
      </c>
      <c r="C94" s="964">
        <f>+C93*C92</f>
        <v>0</v>
      </c>
      <c r="D94" s="964">
        <f>+D93*D92</f>
        <v>0</v>
      </c>
      <c r="E94" s="1007">
        <f>IF(C94=D94=0,0,AVERAGE(C94:D94))</f>
        <v>0</v>
      </c>
      <c r="F94" s="979"/>
      <c r="G94" s="979"/>
    </row>
    <row r="95" spans="1:7" s="980" customFormat="1" ht="12.75" customHeight="1">
      <c r="A95" s="590">
        <f>+A94+1</f>
        <v>65</v>
      </c>
      <c r="B95" s="965" t="str">
        <f>""&amp;C$91*100&amp;"% Series - "&amp;C$92&amp;" -  Dividend Amount (Ln "&amp;A91&amp;" * Ln "&amp;A94&amp;")"</f>
        <v>0% Series - 0 -  Dividend Amount (Ln 61 * Ln 64)</v>
      </c>
      <c r="C95" s="964">
        <f>+C94*C91</f>
        <v>0</v>
      </c>
      <c r="D95" s="964">
        <f>+D94*D91</f>
        <v>0</v>
      </c>
      <c r="E95" s="1007">
        <f>IF(C95=D95=0,0,AVERAGE(C95:D95))</f>
        <v>0</v>
      </c>
      <c r="F95" s="979"/>
      <c r="G95" s="979"/>
    </row>
    <row r="96" spans="1:7" s="980" customFormat="1" ht="12.75" customHeight="1">
      <c r="A96" s="590"/>
      <c r="B96" s="965"/>
      <c r="C96" s="964"/>
      <c r="D96" s="964"/>
      <c r="E96" s="1007"/>
      <c r="F96" s="979"/>
      <c r="G96" s="979"/>
    </row>
    <row r="97" spans="1:7" s="980" customFormat="1" ht="12.75" customHeight="1">
      <c r="A97" s="590">
        <f>+A95+1</f>
        <v>66</v>
      </c>
      <c r="B97" s="965" t="str">
        <f>""&amp;C$97*100&amp;"% Series - "&amp;C$98&amp;" - Dividend Rate (p. 250-251)"</f>
        <v>0% Series - 0 - Dividend Rate (p. 250-251)</v>
      </c>
      <c r="C97" s="1003">
        <v>0</v>
      </c>
      <c r="D97" s="1003">
        <v>0</v>
      </c>
      <c r="E97" s="1007"/>
      <c r="F97" s="979"/>
      <c r="G97" s="979"/>
    </row>
    <row r="98" spans="1:7" s="980" customFormat="1" ht="12.75" customHeight="1">
      <c r="A98" s="590">
        <f>+A97+1</f>
        <v>67</v>
      </c>
      <c r="B98" s="965" t="str">
        <f>""&amp;C$97*100&amp;"% Series - "&amp;C$98&amp;" - Par Value (p. 250-251)"</f>
        <v>0% Series - 0 - Par Value (p. 250-251)</v>
      </c>
      <c r="C98" s="1004">
        <v>0</v>
      </c>
      <c r="D98" s="1004">
        <v>0</v>
      </c>
      <c r="E98" s="1007"/>
      <c r="F98" s="979"/>
      <c r="G98" s="979"/>
    </row>
    <row r="99" spans="1:7" s="980" customFormat="1" ht="12.75" customHeight="1">
      <c r="A99" s="590">
        <f>+A98+1</f>
        <v>68</v>
      </c>
      <c r="B99" s="965" t="str">
        <f>""&amp;C$97*100&amp;"% Series - "&amp;C$98&amp;" - Shares O/S (p.250-251) "</f>
        <v xml:space="preserve">0% Series - 0 - Shares O/S (p.250-251) </v>
      </c>
      <c r="C99" s="968">
        <v>0</v>
      </c>
      <c r="D99" s="968">
        <v>0</v>
      </c>
      <c r="E99" s="1008"/>
      <c r="F99" s="979"/>
      <c r="G99" s="979"/>
    </row>
    <row r="100" spans="1:7" s="980" customFormat="1" ht="12.75" customHeight="1">
      <c r="A100" s="590">
        <f>+A99+1</f>
        <v>69</v>
      </c>
      <c r="B100" s="965" t="str">
        <f>""&amp;C$97*100&amp;"% Series - "&amp;C$98&amp;" - Monetary Value (Ln "&amp;A98&amp;" * Ln "&amp;A99&amp;")"</f>
        <v>0% Series - 0 - Monetary Value (Ln 67 * Ln 68)</v>
      </c>
      <c r="C100" s="964">
        <f>+C99*C98</f>
        <v>0</v>
      </c>
      <c r="D100" s="964">
        <f>+D99*D98</f>
        <v>0</v>
      </c>
      <c r="E100" s="1007">
        <f>IF(C100=D100=0,0,AVERAGE(C100:D100))</f>
        <v>0</v>
      </c>
      <c r="F100" s="979"/>
      <c r="G100" s="979"/>
    </row>
    <row r="101" spans="1:7" s="980" customFormat="1" ht="12.75" customHeight="1">
      <c r="A101" s="590">
        <f>+A100+1</f>
        <v>70</v>
      </c>
      <c r="B101" s="965" t="str">
        <f>""&amp;C$97*100&amp;"% Series - "&amp;C$98&amp;" -  Dividend Amount (Ln "&amp;A97&amp;" * Ln "&amp;A100&amp;")"</f>
        <v>0% Series - 0 -  Dividend Amount (Ln 66 * Ln 69)</v>
      </c>
      <c r="C101" s="964">
        <f>+C100*C97</f>
        <v>0</v>
      </c>
      <c r="D101" s="964">
        <f>+D100*D97</f>
        <v>0</v>
      </c>
      <c r="E101" s="1007">
        <f>IF(C101=D101=0,0,AVERAGE(C101:D101))</f>
        <v>0</v>
      </c>
      <c r="F101" s="979"/>
      <c r="G101" s="979"/>
    </row>
    <row r="102" spans="1:7" s="980" customFormat="1" ht="12.75" customHeight="1">
      <c r="A102" s="590"/>
      <c r="B102" s="965"/>
      <c r="C102" s="964"/>
      <c r="D102" s="964"/>
      <c r="E102" s="979"/>
      <c r="F102" s="979"/>
      <c r="G102" s="979"/>
    </row>
    <row r="103" spans="1:7" s="980" customFormat="1" ht="12.75" customHeight="1">
      <c r="A103" s="590">
        <f>+A101+1</f>
        <v>71</v>
      </c>
      <c r="B103" s="975" t="str">
        <f>"Balance of Preferred Stock (Lns "&amp;A88&amp;", "&amp;A94&amp;", "&amp;A100&amp;")"</f>
        <v>Balance of Preferred Stock (Lns 59, 64, 69)</v>
      </c>
      <c r="C103" s="964">
        <f>+C88+C94+C100</f>
        <v>0</v>
      </c>
      <c r="D103" s="964">
        <f>+D88+D94+D100</f>
        <v>0</v>
      </c>
      <c r="E103" s="1009">
        <f>+E88+E94+E100</f>
        <v>0</v>
      </c>
      <c r="F103" s="965" t="s">
        <v>313</v>
      </c>
      <c r="G103" s="979"/>
    </row>
    <row r="104" spans="1:7" s="980" customFormat="1" ht="12.75" customHeight="1" thickBot="1">
      <c r="A104" s="590">
        <f>+A103+1</f>
        <v>72</v>
      </c>
      <c r="B104" s="975" t="str">
        <f>"Dividends on Preferred Stock (Lns "&amp;A89&amp;", "&amp;A95&amp;", "&amp;A101&amp;")"</f>
        <v>Dividends on Preferred Stock (Lns 60, 65, 70)</v>
      </c>
      <c r="C104" s="1010">
        <f>+C95+C89+C101</f>
        <v>0</v>
      </c>
      <c r="D104" s="1010">
        <f>+D95+D89+D101</f>
        <v>0</v>
      </c>
      <c r="E104" s="1011">
        <f>+E101+E95+E89</f>
        <v>0</v>
      </c>
      <c r="F104" s="979"/>
      <c r="G104" s="979"/>
    </row>
    <row r="105" spans="1:7" s="980" customFormat="1" ht="12.75" customHeight="1" thickBot="1">
      <c r="A105" s="590">
        <f>+A104+1</f>
        <v>73</v>
      </c>
      <c r="B105" s="1012" t="str">
        <f>"Average Cost of Preferred Stock (Ln "&amp;A104&amp;"/"&amp;A103&amp;")"</f>
        <v>Average Cost of Preferred Stock (Ln 72/71)</v>
      </c>
      <c r="C105" s="972">
        <f>IF(C103=0,0,C104/C103)</f>
        <v>0</v>
      </c>
      <c r="D105" s="972">
        <f>IF(D103=0,0,D104/D103)</f>
        <v>0</v>
      </c>
      <c r="E105" s="977">
        <f>IF(E103=0,0,+E104/E103)</f>
        <v>0</v>
      </c>
      <c r="F105" s="979"/>
      <c r="G105" s="979"/>
    </row>
    <row r="147" spans="7:7">
      <c r="G147" s="939" t="s">
        <v>114</v>
      </c>
    </row>
    <row r="164" spans="7:12">
      <c r="G164" s="1277"/>
      <c r="L164" s="1277"/>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74" t="s">
        <v>114</v>
      </c>
    </row>
    <row r="2" spans="1:21" ht="15.75">
      <c r="A2" s="874" t="s">
        <v>114</v>
      </c>
    </row>
    <row r="3" spans="1:21" ht="18">
      <c r="A3" s="1498" t="s">
        <v>387</v>
      </c>
      <c r="B3" s="1498"/>
      <c r="C3" s="1498"/>
      <c r="D3" s="1498"/>
      <c r="E3" s="1498"/>
      <c r="F3" s="1498"/>
      <c r="G3" s="1498"/>
      <c r="H3" s="1498"/>
      <c r="I3" s="1498"/>
      <c r="J3" s="1498"/>
      <c r="K3" s="1498"/>
      <c r="L3" s="1498"/>
      <c r="M3" s="1498"/>
      <c r="N3" s="1498"/>
      <c r="O3" s="1498"/>
    </row>
    <row r="4" spans="1:21" ht="18">
      <c r="A4" s="1497" t="str">
        <f>"Cost of Service Formula Rate Using Actual/Projected FF1 Balances"</f>
        <v>Cost of Service Formula Rate Using Actual/Projected FF1 Balances</v>
      </c>
      <c r="B4" s="1497"/>
      <c r="C4" s="1497"/>
      <c r="D4" s="1497"/>
      <c r="E4" s="1497"/>
      <c r="F4" s="1497"/>
      <c r="G4" s="1497"/>
      <c r="H4" s="1497"/>
      <c r="I4" s="1497"/>
      <c r="J4" s="1497"/>
      <c r="K4" s="1497"/>
      <c r="L4" s="1497"/>
      <c r="M4" s="1497"/>
      <c r="N4" s="1497"/>
      <c r="O4" s="1497"/>
    </row>
    <row r="5" spans="1:21" ht="18">
      <c r="A5" s="1497" t="s">
        <v>239</v>
      </c>
      <c r="B5" s="1497"/>
      <c r="C5" s="1497"/>
      <c r="D5" s="1497"/>
      <c r="E5" s="1497"/>
      <c r="F5" s="1497"/>
      <c r="G5" s="1497"/>
      <c r="H5" s="1497"/>
      <c r="I5" s="1497"/>
      <c r="J5" s="1497"/>
      <c r="K5" s="1497"/>
      <c r="L5" s="1497"/>
      <c r="M5" s="1497"/>
      <c r="N5" s="1497"/>
      <c r="O5" s="1497"/>
    </row>
    <row r="6" spans="1:21" ht="18">
      <c r="A6" s="1492" t="str">
        <f>+TCOS!F9</f>
        <v>WHEELING POWER COMPANY</v>
      </c>
      <c r="B6" s="1492"/>
      <c r="C6" s="1492"/>
      <c r="D6" s="1492"/>
      <c r="E6" s="1492"/>
      <c r="F6" s="1492"/>
      <c r="G6" s="1492"/>
      <c r="H6" s="1492"/>
      <c r="I6" s="1492"/>
      <c r="J6" s="1492"/>
      <c r="K6" s="1492"/>
      <c r="L6" s="1492"/>
      <c r="M6" s="1492"/>
      <c r="N6" s="1492"/>
      <c r="O6" s="1492"/>
    </row>
    <row r="7" spans="1:21" ht="12.75" customHeight="1">
      <c r="A7" s="162"/>
      <c r="B7" s="162"/>
      <c r="C7" s="162"/>
      <c r="D7" s="162"/>
      <c r="E7" s="162"/>
      <c r="F7" s="162"/>
      <c r="G7" s="162"/>
      <c r="H7" s="162"/>
      <c r="I7" s="162"/>
      <c r="J7" s="162"/>
      <c r="K7" s="162"/>
      <c r="L7" s="162"/>
    </row>
    <row r="8" spans="1:21" ht="12.75" customHeight="1">
      <c r="A8" s="1524" t="s">
        <v>390</v>
      </c>
      <c r="B8" s="1524"/>
      <c r="C8" s="1524"/>
      <c r="D8" s="1524"/>
      <c r="E8" s="1524"/>
      <c r="F8" s="1524"/>
      <c r="G8" s="1524"/>
      <c r="H8" s="1524"/>
      <c r="I8" s="1524"/>
      <c r="J8" s="1524"/>
      <c r="K8" s="1524"/>
      <c r="L8" s="1524"/>
      <c r="M8" s="1524"/>
      <c r="N8" s="1524"/>
      <c r="O8" s="1524"/>
    </row>
    <row r="9" spans="1:21" ht="12.75" customHeight="1">
      <c r="A9" s="1524"/>
      <c r="B9" s="1524"/>
      <c r="C9" s="1524"/>
      <c r="D9" s="1524"/>
      <c r="E9" s="1524"/>
      <c r="F9" s="1524"/>
      <c r="G9" s="1524"/>
      <c r="H9" s="1524"/>
      <c r="I9" s="1524"/>
      <c r="J9" s="1524"/>
      <c r="K9" s="1524"/>
      <c r="L9" s="1524"/>
      <c r="M9" s="1524"/>
      <c r="N9" s="1524"/>
      <c r="O9" s="1524"/>
    </row>
    <row r="10" spans="1:21">
      <c r="A10" s="1524"/>
      <c r="B10" s="1524"/>
      <c r="C10" s="1524"/>
      <c r="D10" s="1524"/>
      <c r="E10" s="1524"/>
      <c r="F10" s="1524"/>
      <c r="G10" s="1524"/>
      <c r="H10" s="1524"/>
      <c r="I10" s="1524"/>
      <c r="J10" s="1524"/>
      <c r="K10" s="1524"/>
      <c r="L10" s="1524"/>
      <c r="M10" s="1524"/>
      <c r="N10" s="1524"/>
      <c r="O10" s="1524"/>
    </row>
    <row r="11" spans="1:21">
      <c r="A11" s="1524"/>
      <c r="B11" s="1524"/>
      <c r="C11" s="1524"/>
      <c r="D11" s="1524"/>
      <c r="E11" s="1524"/>
      <c r="F11" s="1524"/>
      <c r="G11" s="1524"/>
      <c r="H11" s="1524"/>
      <c r="I11" s="1524"/>
      <c r="J11" s="1524"/>
      <c r="K11" s="1524"/>
      <c r="L11" s="1524"/>
      <c r="M11" s="1524"/>
      <c r="N11" s="1524"/>
      <c r="O11" s="1524"/>
    </row>
    <row r="12" spans="1:21">
      <c r="B12" s="1" t="s">
        <v>162</v>
      </c>
      <c r="C12" s="1"/>
      <c r="D12" s="1523" t="s">
        <v>163</v>
      </c>
      <c r="E12" s="1523"/>
      <c r="F12" s="1523"/>
      <c r="G12" s="1523"/>
      <c r="H12" s="1"/>
      <c r="I12" s="1" t="s">
        <v>4</v>
      </c>
      <c r="J12" s="1"/>
      <c r="K12" s="1" t="s">
        <v>165</v>
      </c>
      <c r="L12" s="1"/>
      <c r="M12" s="1" t="s">
        <v>84</v>
      </c>
      <c r="N12" s="1"/>
      <c r="O12" s="1" t="s">
        <v>85</v>
      </c>
      <c r="P12" s="1"/>
      <c r="Q12" s="1" t="s">
        <v>20</v>
      </c>
      <c r="R12" s="1"/>
      <c r="S12" s="1" t="s">
        <v>91</v>
      </c>
      <c r="T12" s="1"/>
      <c r="U12" s="99" t="s">
        <v>500</v>
      </c>
    </row>
    <row r="13" spans="1:21">
      <c r="I13" s="1521" t="s">
        <v>18</v>
      </c>
      <c r="Q13" s="1525" t="s">
        <v>19</v>
      </c>
      <c r="S13" s="1521" t="s">
        <v>21</v>
      </c>
      <c r="U13" s="288" t="s">
        <v>80</v>
      </c>
    </row>
    <row r="14" spans="1:21">
      <c r="A14" s="170" t="s">
        <v>17</v>
      </c>
      <c r="B14" s="170" t="s">
        <v>13</v>
      </c>
      <c r="C14" s="170"/>
      <c r="D14" s="203" t="s">
        <v>14</v>
      </c>
      <c r="E14" s="170"/>
      <c r="F14" s="170"/>
      <c r="G14" s="170"/>
      <c r="H14" s="170"/>
      <c r="I14" s="1522"/>
      <c r="J14" s="170"/>
      <c r="K14" s="170" t="s">
        <v>15</v>
      </c>
      <c r="L14" s="170"/>
      <c r="M14" s="170" t="s">
        <v>16</v>
      </c>
      <c r="N14" s="170"/>
      <c r="O14" s="170" t="s">
        <v>493</v>
      </c>
      <c r="Q14" s="1525"/>
      <c r="S14" s="1521"/>
      <c r="U14" s="288" t="s">
        <v>306</v>
      </c>
    </row>
    <row r="15" spans="1:21">
      <c r="A15" s="170"/>
      <c r="B15" s="170"/>
      <c r="C15" s="170"/>
      <c r="D15" s="203"/>
      <c r="E15" s="170"/>
      <c r="F15" s="170"/>
      <c r="G15" s="170"/>
      <c r="H15" s="170"/>
      <c r="I15" s="2" t="s">
        <v>491</v>
      </c>
      <c r="J15" s="170"/>
      <c r="K15" s="170"/>
      <c r="L15" s="170"/>
      <c r="M15" s="170"/>
      <c r="N15" s="170"/>
      <c r="O15" s="170"/>
      <c r="Q15" s="226"/>
      <c r="S15" s="170" t="s">
        <v>493</v>
      </c>
    </row>
    <row r="16" spans="1:21">
      <c r="I16" t="s">
        <v>492</v>
      </c>
    </row>
    <row r="17" spans="1:21">
      <c r="A17" s="1">
        <v>1</v>
      </c>
      <c r="B17" s="865"/>
      <c r="D17" s="1526"/>
      <c r="E17" s="1526"/>
      <c r="F17" s="1526"/>
      <c r="G17" s="1526"/>
      <c r="I17" s="866"/>
      <c r="K17" s="864"/>
      <c r="L17" s="135"/>
      <c r="M17" s="864"/>
      <c r="O17" s="171">
        <f>+K17-M17</f>
        <v>0</v>
      </c>
      <c r="Q17" s="212">
        <f>IF(I17="G",TCOS!L241,IF(I17="T",1,0))</f>
        <v>0</v>
      </c>
      <c r="S17" s="171">
        <f>ROUND(O17*Q17,0)</f>
        <v>0</v>
      </c>
      <c r="U17" s="867"/>
    </row>
    <row r="18" spans="1:21">
      <c r="A18" s="1"/>
      <c r="D18" s="1526"/>
      <c r="E18" s="1526"/>
      <c r="F18" s="1526"/>
      <c r="G18" s="1526"/>
      <c r="K18" s="135"/>
      <c r="L18" s="135"/>
      <c r="M18" s="135"/>
      <c r="O18" s="135"/>
      <c r="Q18" s="212"/>
      <c r="S18" s="135"/>
    </row>
    <row r="19" spans="1:21">
      <c r="A19" s="1"/>
      <c r="D19" s="1526"/>
      <c r="E19" s="1526"/>
      <c r="F19" s="1526"/>
      <c r="G19" s="1526"/>
      <c r="K19" s="135"/>
      <c r="L19" s="135"/>
      <c r="M19" s="135"/>
      <c r="O19" s="135"/>
      <c r="Q19" s="212"/>
      <c r="S19" s="135"/>
    </row>
    <row r="20" spans="1:21">
      <c r="A20" s="1"/>
      <c r="K20" s="135"/>
      <c r="L20" s="135"/>
      <c r="M20" s="135"/>
      <c r="O20" s="135"/>
      <c r="Q20" s="212"/>
      <c r="S20" s="135"/>
    </row>
    <row r="21" spans="1:21">
      <c r="A21" s="1"/>
      <c r="K21" s="135"/>
      <c r="L21" s="135"/>
      <c r="M21" s="135"/>
      <c r="O21" s="135"/>
      <c r="Q21" s="212"/>
      <c r="S21" s="135"/>
    </row>
    <row r="22" spans="1:21" ht="12" customHeight="1">
      <c r="A22" s="1">
        <f>+A17+1</f>
        <v>2</v>
      </c>
      <c r="B22" s="865"/>
      <c r="D22" s="1526"/>
      <c r="E22" s="1526"/>
      <c r="F22" s="1526"/>
      <c r="G22" s="1526"/>
      <c r="I22" s="866"/>
      <c r="K22" s="864"/>
      <c r="L22" s="135"/>
      <c r="M22" s="864"/>
      <c r="O22" s="171">
        <f>+K22-M22</f>
        <v>0</v>
      </c>
      <c r="Q22" s="212">
        <f>IF(I22="G",TCOS!L241,IF(I22="T",1,0))</f>
        <v>0</v>
      </c>
      <c r="S22" s="171">
        <f>ROUND(O22*Q22,0)</f>
        <v>0</v>
      </c>
      <c r="U22" s="867"/>
    </row>
    <row r="23" spans="1:21">
      <c r="A23" s="1"/>
      <c r="D23" s="1526"/>
      <c r="E23" s="1526"/>
      <c r="F23" s="1526"/>
      <c r="G23" s="1526"/>
      <c r="K23" s="135"/>
      <c r="L23" s="135"/>
      <c r="M23" s="135"/>
      <c r="O23" s="135"/>
      <c r="Q23" s="212"/>
      <c r="S23" s="135"/>
    </row>
    <row r="24" spans="1:21">
      <c r="A24" s="1"/>
      <c r="D24" s="1526"/>
      <c r="E24" s="1526"/>
      <c r="F24" s="1526"/>
      <c r="G24" s="1526"/>
      <c r="K24" s="135"/>
      <c r="L24" s="135"/>
      <c r="M24" s="135"/>
      <c r="O24" s="135"/>
      <c r="Q24" s="212"/>
      <c r="S24" s="135"/>
    </row>
    <row r="25" spans="1:21">
      <c r="A25" s="1"/>
      <c r="I25" s="1"/>
      <c r="K25" s="135"/>
      <c r="L25" s="135"/>
      <c r="M25" s="135"/>
      <c r="O25" s="135"/>
      <c r="Q25" s="212"/>
      <c r="S25" s="135"/>
    </row>
    <row r="26" spans="1:21">
      <c r="A26" s="1"/>
      <c r="I26" s="1"/>
      <c r="K26" s="135"/>
      <c r="L26" s="135"/>
      <c r="M26" s="135"/>
      <c r="O26" s="135"/>
      <c r="Q26" s="212"/>
      <c r="S26" s="135"/>
    </row>
    <row r="27" spans="1:21">
      <c r="A27" s="1">
        <f>+A22+1</f>
        <v>3</v>
      </c>
      <c r="B27" s="865"/>
      <c r="D27" s="1526"/>
      <c r="E27" s="1526"/>
      <c r="F27" s="1526"/>
      <c r="G27" s="1526"/>
      <c r="I27" s="866"/>
      <c r="K27" s="864"/>
      <c r="L27" s="135"/>
      <c r="M27" s="864"/>
      <c r="O27" s="171">
        <f>+K27-M27</f>
        <v>0</v>
      </c>
      <c r="Q27" s="212">
        <f>IF(I27="G",TCOS!L241,IF(I27="T",1,0))</f>
        <v>0</v>
      </c>
      <c r="S27" s="171">
        <f>ROUND(O27*Q27,0)</f>
        <v>0</v>
      </c>
      <c r="U27" s="867"/>
    </row>
    <row r="28" spans="1:21">
      <c r="A28" s="1"/>
      <c r="D28" s="1526"/>
      <c r="E28" s="1526"/>
      <c r="F28" s="1526"/>
      <c r="G28" s="1526"/>
      <c r="K28" s="135"/>
      <c r="L28" s="135"/>
      <c r="M28" s="135"/>
      <c r="O28" s="135"/>
      <c r="Q28" s="212"/>
      <c r="S28" s="135"/>
    </row>
    <row r="29" spans="1:21">
      <c r="A29" s="1"/>
      <c r="D29" s="1526"/>
      <c r="E29" s="1526"/>
      <c r="F29" s="1526"/>
      <c r="G29" s="1526"/>
      <c r="K29" s="135"/>
      <c r="L29" s="135"/>
      <c r="M29" s="135"/>
      <c r="O29" s="135"/>
      <c r="Q29" s="212"/>
    </row>
    <row r="30" spans="1:21">
      <c r="A30" s="1"/>
      <c r="O30" s="135"/>
      <c r="Q30" s="212"/>
    </row>
    <row r="31" spans="1:21">
      <c r="A31" s="1"/>
      <c r="O31" s="135"/>
      <c r="Q31" s="212"/>
    </row>
    <row r="32" spans="1:21">
      <c r="A32" s="1"/>
      <c r="O32" s="135"/>
      <c r="Q32" s="212"/>
    </row>
    <row r="33" spans="1:19" ht="13.5" thickBot="1">
      <c r="A33" s="1">
        <f>+A27+1</f>
        <v>4</v>
      </c>
      <c r="K33" t="str">
        <f>"Net (Gain) or Loss for "&amp;TCOS!L4&amp;""</f>
        <v>Net (Gain) or Loss for 2023</v>
      </c>
      <c r="O33" s="224">
        <f>SUM(O17:O27)</f>
        <v>0</v>
      </c>
      <c r="Q33" s="225"/>
      <c r="S33" s="224">
        <f>SUM(S17:S27)</f>
        <v>0</v>
      </c>
    </row>
    <row r="34" spans="1:19" ht="13.5" thickTop="1">
      <c r="A34" s="1"/>
      <c r="O34" s="135"/>
      <c r="Q34" s="225"/>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1"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3"/>
  <sheetViews>
    <sheetView topLeftCell="A55" zoomScaleNormal="100" zoomScaleSheetLayoutView="70" zoomScalePageLayoutView="50" workbookViewId="0">
      <selection activeCell="J29" sqref="J29:J41"/>
    </sheetView>
  </sheetViews>
  <sheetFormatPr defaultColWidth="11.42578125" defaultRowHeight="12.75"/>
  <cols>
    <col min="1" max="1" width="10.28515625" style="878" customWidth="1"/>
    <col min="2" max="2" width="64.5703125" style="219" customWidth="1"/>
    <col min="3" max="3" width="26.7109375" style="219" bestFit="1" customWidth="1"/>
    <col min="4" max="11" width="20.28515625" style="219" customWidth="1"/>
    <col min="12" max="12" width="20" style="219" customWidth="1"/>
    <col min="13" max="14" width="15.140625" style="219" customWidth="1"/>
    <col min="15" max="16384" width="11.42578125" style="219"/>
  </cols>
  <sheetData>
    <row r="1" spans="1:12" ht="15">
      <c r="A1" s="1454" t="s">
        <v>387</v>
      </c>
      <c r="B1" s="1454"/>
      <c r="C1" s="1454"/>
      <c r="D1" s="1454"/>
      <c r="E1" s="1454"/>
      <c r="F1" s="1454"/>
      <c r="G1" s="1454"/>
      <c r="H1" s="882"/>
      <c r="I1" s="882"/>
    </row>
    <row r="2" spans="1:12" ht="15">
      <c r="A2" s="1455" t="str">
        <f>"Cost of Service Formula Rate Using Actual/Projected FF1 Balances"</f>
        <v>Cost of Service Formula Rate Using Actual/Projected FF1 Balances</v>
      </c>
      <c r="B2" s="1455"/>
      <c r="C2" s="1455"/>
      <c r="D2" s="1455"/>
      <c r="E2" s="1455"/>
      <c r="F2" s="1455"/>
      <c r="G2" s="1455"/>
      <c r="H2" s="882"/>
      <c r="I2" s="882"/>
      <c r="J2" s="882"/>
      <c r="L2" s="926"/>
    </row>
    <row r="3" spans="1:12" ht="15">
      <c r="A3" s="1455" t="s">
        <v>659</v>
      </c>
      <c r="B3" s="1455"/>
      <c r="C3" s="1455"/>
      <c r="D3" s="1455"/>
      <c r="E3" s="1455"/>
      <c r="F3" s="1455"/>
      <c r="G3" s="1455"/>
      <c r="H3" s="882"/>
      <c r="I3" s="882"/>
      <c r="J3" s="882"/>
    </row>
    <row r="4" spans="1:12" ht="15">
      <c r="A4" s="1462" t="str">
        <f>TCOS!F9</f>
        <v>WHEELING POWER COMPANY</v>
      </c>
      <c r="B4" s="1462"/>
      <c r="C4" s="1462"/>
      <c r="D4" s="1462"/>
      <c r="E4" s="1462"/>
      <c r="F4" s="1462"/>
      <c r="G4" s="1462"/>
      <c r="H4" s="882"/>
      <c r="I4" s="882"/>
      <c r="J4" s="882"/>
    </row>
    <row r="5" spans="1:12">
      <c r="A5" s="882"/>
      <c r="B5" s="922"/>
      <c r="C5" s="922"/>
      <c r="D5" s="922"/>
      <c r="E5" s="925"/>
      <c r="F5" s="924"/>
      <c r="H5" s="924"/>
      <c r="J5" s="924"/>
      <c r="L5" s="924"/>
    </row>
    <row r="6" spans="1:12" ht="12.75" customHeight="1">
      <c r="A6" s="882"/>
      <c r="B6" s="922"/>
      <c r="C6" s="1456" t="s">
        <v>658</v>
      </c>
      <c r="D6" s="1457"/>
      <c r="E6" s="1457"/>
      <c r="F6" s="1457"/>
      <c r="G6" s="1457"/>
      <c r="H6" s="1457"/>
      <c r="I6" s="1457"/>
      <c r="J6" s="1457"/>
      <c r="K6" s="1458"/>
      <c r="L6" s="5"/>
    </row>
    <row r="7" spans="1:12" s="919" customFormat="1" ht="25.5">
      <c r="A7" s="921" t="s">
        <v>648</v>
      </c>
      <c r="B7" s="920" t="s">
        <v>647</v>
      </c>
      <c r="C7" s="898" t="s">
        <v>229</v>
      </c>
      <c r="D7" s="898" t="s">
        <v>656</v>
      </c>
      <c r="E7" s="898" t="s">
        <v>115</v>
      </c>
      <c r="F7" s="898" t="s">
        <v>655</v>
      </c>
      <c r="G7" s="898" t="s">
        <v>438</v>
      </c>
      <c r="H7" s="898" t="s">
        <v>654</v>
      </c>
      <c r="I7" s="898" t="s">
        <v>334</v>
      </c>
      <c r="J7" s="898" t="s">
        <v>653</v>
      </c>
      <c r="K7" s="897" t="s">
        <v>652</v>
      </c>
      <c r="L7" s="5"/>
    </row>
    <row r="8" spans="1:12" s="890" customFormat="1">
      <c r="A8" s="889"/>
      <c r="B8" s="895" t="s">
        <v>642</v>
      </c>
      <c r="C8" s="894" t="s">
        <v>641</v>
      </c>
      <c r="D8" s="894" t="s">
        <v>640</v>
      </c>
      <c r="E8" s="894" t="s">
        <v>639</v>
      </c>
      <c r="F8" s="894" t="s">
        <v>638</v>
      </c>
      <c r="G8" s="894" t="s">
        <v>660</v>
      </c>
      <c r="H8" s="894" t="s">
        <v>661</v>
      </c>
      <c r="I8" s="894" t="s">
        <v>651</v>
      </c>
      <c r="J8" s="894" t="s">
        <v>650</v>
      </c>
      <c r="K8" s="918" t="s">
        <v>649</v>
      </c>
      <c r="L8" s="5"/>
    </row>
    <row r="9" spans="1:12" s="890" customFormat="1" ht="44.25" customHeight="1">
      <c r="A9" s="889"/>
      <c r="B9" s="895" t="s">
        <v>637</v>
      </c>
      <c r="C9" s="917" t="s">
        <v>442</v>
      </c>
      <c r="D9" s="917" t="s">
        <v>447</v>
      </c>
      <c r="E9" s="917" t="s">
        <v>443</v>
      </c>
      <c r="F9" s="917" t="s">
        <v>662</v>
      </c>
      <c r="G9" s="917" t="s">
        <v>444</v>
      </c>
      <c r="H9" s="917" t="s">
        <v>445</v>
      </c>
      <c r="I9" s="917" t="s">
        <v>663</v>
      </c>
      <c r="J9" s="917" t="s">
        <v>664</v>
      </c>
      <c r="K9" s="916" t="s">
        <v>446</v>
      </c>
      <c r="L9" s="5"/>
    </row>
    <row r="10" spans="1:12">
      <c r="A10" s="889">
        <v>1</v>
      </c>
      <c r="B10" s="914" t="s">
        <v>635</v>
      </c>
      <c r="C10" s="887">
        <v>1076135000</v>
      </c>
      <c r="D10" s="887">
        <v>6136000</v>
      </c>
      <c r="E10" s="887">
        <v>169342000</v>
      </c>
      <c r="F10" s="887">
        <v>0</v>
      </c>
      <c r="G10" s="887">
        <v>271764000</v>
      </c>
      <c r="H10" s="887">
        <v>0</v>
      </c>
      <c r="I10" s="887">
        <v>11769000</v>
      </c>
      <c r="J10" s="887">
        <v>151000</v>
      </c>
      <c r="K10" s="915">
        <v>8078000</v>
      </c>
      <c r="L10" s="5"/>
    </row>
    <row r="11" spans="1:12">
      <c r="A11" s="889">
        <f>+A10+1</f>
        <v>2</v>
      </c>
      <c r="B11" s="914" t="s">
        <v>185</v>
      </c>
      <c r="C11" s="887">
        <v>1079299000</v>
      </c>
      <c r="D11" s="887">
        <v>6136000</v>
      </c>
      <c r="E11" s="887">
        <v>169404000</v>
      </c>
      <c r="F11" s="887">
        <v>0</v>
      </c>
      <c r="G11" s="887">
        <v>274327000</v>
      </c>
      <c r="H11" s="887">
        <v>0</v>
      </c>
      <c r="I11" s="887">
        <v>11768000</v>
      </c>
      <c r="J11" s="887">
        <v>151000</v>
      </c>
      <c r="K11" s="886">
        <v>8586000</v>
      </c>
      <c r="L11" s="5"/>
    </row>
    <row r="12" spans="1:12">
      <c r="A12" s="889">
        <f t="shared" ref="A12:A23" si="0">+A11+1</f>
        <v>3</v>
      </c>
      <c r="B12" s="913" t="s">
        <v>559</v>
      </c>
      <c r="C12" s="887">
        <v>1082475000</v>
      </c>
      <c r="D12" s="887">
        <v>6136000</v>
      </c>
      <c r="E12" s="887">
        <v>169488000</v>
      </c>
      <c r="F12" s="887">
        <v>0</v>
      </c>
      <c r="G12" s="887">
        <v>276439000</v>
      </c>
      <c r="H12" s="887">
        <v>0</v>
      </c>
      <c r="I12" s="887">
        <v>11769000</v>
      </c>
      <c r="J12" s="887">
        <v>151000</v>
      </c>
      <c r="K12" s="886">
        <v>9041000</v>
      </c>
      <c r="L12" s="5"/>
    </row>
    <row r="13" spans="1:12">
      <c r="A13" s="889">
        <f t="shared" si="0"/>
        <v>4</v>
      </c>
      <c r="B13" s="913" t="s">
        <v>634</v>
      </c>
      <c r="C13" s="887">
        <v>1086628000</v>
      </c>
      <c r="D13" s="887">
        <v>6136000</v>
      </c>
      <c r="E13" s="887">
        <v>169444000</v>
      </c>
      <c r="F13" s="887">
        <v>0</v>
      </c>
      <c r="G13" s="887">
        <v>278112000</v>
      </c>
      <c r="H13" s="887">
        <v>0</v>
      </c>
      <c r="I13" s="887">
        <v>11771000</v>
      </c>
      <c r="J13" s="887">
        <v>151000</v>
      </c>
      <c r="K13" s="886">
        <v>9332000</v>
      </c>
      <c r="L13" s="5"/>
    </row>
    <row r="14" spans="1:12">
      <c r="A14" s="889">
        <f t="shared" si="0"/>
        <v>5</v>
      </c>
      <c r="B14" s="913" t="s">
        <v>187</v>
      </c>
      <c r="C14" s="887">
        <v>1094005000</v>
      </c>
      <c r="D14" s="887">
        <v>6136000</v>
      </c>
      <c r="E14" s="887">
        <v>169401000</v>
      </c>
      <c r="F14" s="887">
        <v>0</v>
      </c>
      <c r="G14" s="887">
        <v>279755000</v>
      </c>
      <c r="H14" s="887">
        <v>0</v>
      </c>
      <c r="I14" s="887">
        <v>11773000</v>
      </c>
      <c r="J14" s="887">
        <v>151000</v>
      </c>
      <c r="K14" s="886">
        <v>9728000</v>
      </c>
      <c r="L14" s="5"/>
    </row>
    <row r="15" spans="1:12">
      <c r="A15" s="889">
        <f t="shared" si="0"/>
        <v>6</v>
      </c>
      <c r="B15" s="913" t="s">
        <v>188</v>
      </c>
      <c r="C15" s="887">
        <v>1097540000</v>
      </c>
      <c r="D15" s="887">
        <v>6136000</v>
      </c>
      <c r="E15" s="887">
        <v>169364000</v>
      </c>
      <c r="F15" s="887">
        <v>0</v>
      </c>
      <c r="G15" s="887">
        <v>281399000</v>
      </c>
      <c r="H15" s="887">
        <v>0</v>
      </c>
      <c r="I15" s="887">
        <v>11775000</v>
      </c>
      <c r="J15" s="887">
        <v>151000</v>
      </c>
      <c r="K15" s="886">
        <v>10125000</v>
      </c>
      <c r="L15" s="5"/>
    </row>
    <row r="16" spans="1:12">
      <c r="A16" s="889">
        <f t="shared" si="0"/>
        <v>7</v>
      </c>
      <c r="B16" s="913" t="s">
        <v>382</v>
      </c>
      <c r="C16" s="887">
        <v>1098879000</v>
      </c>
      <c r="D16" s="887">
        <v>6136000</v>
      </c>
      <c r="E16" s="887">
        <v>169544000</v>
      </c>
      <c r="F16" s="887">
        <v>0</v>
      </c>
      <c r="G16" s="887">
        <v>283044000</v>
      </c>
      <c r="H16" s="887">
        <v>0</v>
      </c>
      <c r="I16" s="887">
        <v>11777000</v>
      </c>
      <c r="J16" s="887">
        <v>151000</v>
      </c>
      <c r="K16" s="886">
        <v>10335000</v>
      </c>
      <c r="L16" s="5"/>
    </row>
    <row r="17" spans="1:12">
      <c r="A17" s="889">
        <f t="shared" si="0"/>
        <v>8</v>
      </c>
      <c r="B17" s="913" t="s">
        <v>189</v>
      </c>
      <c r="C17" s="887">
        <v>1099818000</v>
      </c>
      <c r="D17" s="887">
        <v>6136000</v>
      </c>
      <c r="E17" s="887">
        <v>169671000</v>
      </c>
      <c r="F17" s="887">
        <v>0</v>
      </c>
      <c r="G17" s="887">
        <v>284694000</v>
      </c>
      <c r="H17" s="887">
        <v>0</v>
      </c>
      <c r="I17" s="887">
        <v>11779000</v>
      </c>
      <c r="J17" s="887">
        <v>151000</v>
      </c>
      <c r="K17" s="886">
        <v>10734000</v>
      </c>
      <c r="L17" s="5"/>
    </row>
    <row r="18" spans="1:12">
      <c r="A18" s="889">
        <f t="shared" si="0"/>
        <v>9</v>
      </c>
      <c r="B18" s="913" t="s">
        <v>633</v>
      </c>
      <c r="C18" s="887">
        <v>1100589000</v>
      </c>
      <c r="D18" s="887">
        <v>6136000</v>
      </c>
      <c r="E18" s="887">
        <v>169665000</v>
      </c>
      <c r="F18" s="887">
        <v>0</v>
      </c>
      <c r="G18" s="887">
        <v>286340000</v>
      </c>
      <c r="H18" s="887">
        <v>0</v>
      </c>
      <c r="I18" s="887">
        <v>11780000</v>
      </c>
      <c r="J18" s="887">
        <v>151000</v>
      </c>
      <c r="K18" s="886">
        <v>11135000</v>
      </c>
      <c r="L18" s="5"/>
    </row>
    <row r="19" spans="1:12">
      <c r="A19" s="889">
        <f t="shared" si="0"/>
        <v>10</v>
      </c>
      <c r="B19" s="913" t="s">
        <v>192</v>
      </c>
      <c r="C19" s="887">
        <v>1100926000</v>
      </c>
      <c r="D19" s="887">
        <v>6136000</v>
      </c>
      <c r="E19" s="887">
        <v>169620000</v>
      </c>
      <c r="F19" s="887">
        <v>0</v>
      </c>
      <c r="G19" s="887">
        <v>287984000</v>
      </c>
      <c r="H19" s="887">
        <v>0</v>
      </c>
      <c r="I19" s="887">
        <v>11783000</v>
      </c>
      <c r="J19" s="887">
        <v>151000</v>
      </c>
      <c r="K19" s="886">
        <v>11250000</v>
      </c>
      <c r="L19" s="5"/>
    </row>
    <row r="20" spans="1:12">
      <c r="A20" s="889">
        <f t="shared" si="0"/>
        <v>11</v>
      </c>
      <c r="B20" s="913" t="s">
        <v>560</v>
      </c>
      <c r="C20" s="887">
        <v>1101234000</v>
      </c>
      <c r="D20" s="887">
        <v>6136000</v>
      </c>
      <c r="E20" s="887">
        <v>169653000</v>
      </c>
      <c r="F20" s="887">
        <v>0</v>
      </c>
      <c r="G20" s="887">
        <v>289628000</v>
      </c>
      <c r="H20" s="887">
        <v>0</v>
      </c>
      <c r="I20" s="887">
        <v>11786000</v>
      </c>
      <c r="J20" s="887">
        <v>151000</v>
      </c>
      <c r="K20" s="886">
        <v>11660000</v>
      </c>
      <c r="L20" s="5"/>
    </row>
    <row r="21" spans="1:12">
      <c r="A21" s="889">
        <f t="shared" si="0"/>
        <v>12</v>
      </c>
      <c r="B21" s="913" t="s">
        <v>561</v>
      </c>
      <c r="C21" s="887">
        <v>1102008000</v>
      </c>
      <c r="D21" s="887">
        <v>6136000</v>
      </c>
      <c r="E21" s="887">
        <v>169754000</v>
      </c>
      <c r="F21" s="887">
        <v>0</v>
      </c>
      <c r="G21" s="887">
        <v>291308000</v>
      </c>
      <c r="H21" s="887">
        <v>0</v>
      </c>
      <c r="I21" s="887">
        <v>11789000</v>
      </c>
      <c r="J21" s="887">
        <v>151000</v>
      </c>
      <c r="K21" s="886">
        <v>12066000</v>
      </c>
      <c r="L21" s="5"/>
    </row>
    <row r="22" spans="1:12">
      <c r="A22" s="888">
        <f t="shared" si="0"/>
        <v>13</v>
      </c>
      <c r="B22" s="912" t="s">
        <v>632</v>
      </c>
      <c r="C22" s="887">
        <v>1122196000</v>
      </c>
      <c r="D22" s="887">
        <v>6136000</v>
      </c>
      <c r="E22" s="887">
        <v>169844000</v>
      </c>
      <c r="F22" s="887">
        <v>0</v>
      </c>
      <c r="G22" s="887">
        <v>293046000</v>
      </c>
      <c r="H22" s="887">
        <v>0</v>
      </c>
      <c r="I22" s="887">
        <v>11793000</v>
      </c>
      <c r="J22" s="887">
        <v>151000</v>
      </c>
      <c r="K22" s="911">
        <v>12276000</v>
      </c>
      <c r="L22" s="5"/>
    </row>
    <row r="23" spans="1:12" ht="13.5" thickBot="1">
      <c r="A23" s="1168">
        <f t="shared" si="0"/>
        <v>14</v>
      </c>
      <c r="B23" s="1169" t="s">
        <v>862</v>
      </c>
      <c r="C23" s="908">
        <f t="shared" ref="C23:K23" si="1">ROUND(SUM(C10:C22)/13,-3)</f>
        <v>1095518000</v>
      </c>
      <c r="D23" s="908">
        <f t="shared" si="1"/>
        <v>6136000</v>
      </c>
      <c r="E23" s="908">
        <f t="shared" si="1"/>
        <v>169553000</v>
      </c>
      <c r="F23" s="908">
        <f t="shared" si="1"/>
        <v>0</v>
      </c>
      <c r="G23" s="908">
        <f t="shared" si="1"/>
        <v>282911000</v>
      </c>
      <c r="H23" s="908">
        <f t="shared" si="1"/>
        <v>0</v>
      </c>
      <c r="I23" s="908">
        <f t="shared" si="1"/>
        <v>11778000</v>
      </c>
      <c r="J23" s="908">
        <f t="shared" si="1"/>
        <v>151000</v>
      </c>
      <c r="K23" s="907">
        <f t="shared" si="1"/>
        <v>10334000</v>
      </c>
      <c r="L23" s="5"/>
    </row>
    <row r="24" spans="1:12" ht="13.5" thickTop="1">
      <c r="A24" s="882"/>
      <c r="B24" s="881"/>
      <c r="C24" s="906"/>
      <c r="D24" s="879"/>
      <c r="E24" s="879"/>
      <c r="F24" s="879"/>
      <c r="G24" s="906"/>
      <c r="H24" s="906"/>
      <c r="I24" s="906"/>
      <c r="J24" s="923"/>
      <c r="K24" s="923"/>
      <c r="L24" s="5"/>
    </row>
    <row r="25" spans="1:12" ht="12.75" customHeight="1">
      <c r="A25" s="882"/>
      <c r="B25" s="922"/>
      <c r="C25" s="1459" t="s">
        <v>657</v>
      </c>
      <c r="D25" s="1460"/>
      <c r="E25" s="1460"/>
      <c r="F25" s="1460"/>
      <c r="G25" s="1460"/>
      <c r="H25" s="1460"/>
      <c r="I25" s="1460"/>
      <c r="J25" s="1460"/>
      <c r="K25" s="1461"/>
      <c r="L25" s="5"/>
    </row>
    <row r="26" spans="1:12" s="919" customFormat="1" ht="25.5">
      <c r="A26" s="921" t="s">
        <v>648</v>
      </c>
      <c r="B26" s="920" t="s">
        <v>647</v>
      </c>
      <c r="C26" s="898" t="s">
        <v>229</v>
      </c>
      <c r="D26" s="898" t="s">
        <v>656</v>
      </c>
      <c r="E26" s="898" t="s">
        <v>115</v>
      </c>
      <c r="F26" s="898" t="s">
        <v>655</v>
      </c>
      <c r="G26" s="898" t="s">
        <v>438</v>
      </c>
      <c r="H26" s="898" t="s">
        <v>654</v>
      </c>
      <c r="I26" s="898" t="s">
        <v>334</v>
      </c>
      <c r="J26" s="898" t="s">
        <v>653</v>
      </c>
      <c r="K26" s="897" t="s">
        <v>652</v>
      </c>
      <c r="L26" s="5"/>
    </row>
    <row r="27" spans="1:12" s="890" customFormat="1">
      <c r="A27" s="889"/>
      <c r="B27" s="895" t="s">
        <v>642</v>
      </c>
      <c r="C27" s="894" t="s">
        <v>641</v>
      </c>
      <c r="D27" s="894" t="s">
        <v>640</v>
      </c>
      <c r="E27" s="894" t="s">
        <v>639</v>
      </c>
      <c r="F27" s="894" t="s">
        <v>638</v>
      </c>
      <c r="G27" s="894" t="s">
        <v>660</v>
      </c>
      <c r="H27" s="894" t="s">
        <v>661</v>
      </c>
      <c r="I27" s="894" t="s">
        <v>651</v>
      </c>
      <c r="J27" s="894" t="s">
        <v>650</v>
      </c>
      <c r="K27" s="918" t="s">
        <v>649</v>
      </c>
      <c r="L27" s="5"/>
    </row>
    <row r="28" spans="1:12" s="890" customFormat="1" ht="44.25" customHeight="1">
      <c r="A28" s="889"/>
      <c r="B28" s="895" t="s">
        <v>637</v>
      </c>
      <c r="C28" s="917" t="s">
        <v>379</v>
      </c>
      <c r="D28" s="917" t="s">
        <v>665</v>
      </c>
      <c r="E28" s="917" t="s">
        <v>380</v>
      </c>
      <c r="F28" s="917" t="s">
        <v>666</v>
      </c>
      <c r="G28" s="917" t="s">
        <v>507</v>
      </c>
      <c r="H28" s="917" t="s">
        <v>667</v>
      </c>
      <c r="I28" s="917" t="s">
        <v>481</v>
      </c>
      <c r="J28" s="917" t="s">
        <v>668</v>
      </c>
      <c r="K28" s="916" t="s">
        <v>508</v>
      </c>
      <c r="L28" s="5"/>
    </row>
    <row r="29" spans="1:12">
      <c r="A29" s="889">
        <f>+A23+1</f>
        <v>15</v>
      </c>
      <c r="B29" s="914" t="s">
        <v>635</v>
      </c>
      <c r="C29" s="887">
        <v>508364000</v>
      </c>
      <c r="D29" s="887">
        <v>3402000</v>
      </c>
      <c r="E29" s="887">
        <v>36557000</v>
      </c>
      <c r="F29" s="887">
        <v>0</v>
      </c>
      <c r="G29" s="887">
        <v>78518000</v>
      </c>
      <c r="H29" s="887">
        <v>0</v>
      </c>
      <c r="I29" s="887">
        <v>3940000</v>
      </c>
      <c r="J29" s="887">
        <v>77000</v>
      </c>
      <c r="K29" s="915">
        <v>3245000</v>
      </c>
      <c r="L29" s="5"/>
    </row>
    <row r="30" spans="1:12">
      <c r="A30" s="889">
        <f>+A29+1</f>
        <v>16</v>
      </c>
      <c r="B30" s="914" t="s">
        <v>185</v>
      </c>
      <c r="C30" s="887">
        <v>510625000</v>
      </c>
      <c r="D30" s="887">
        <v>3418000</v>
      </c>
      <c r="E30" s="887">
        <v>36694000</v>
      </c>
      <c r="F30" s="887">
        <v>0</v>
      </c>
      <c r="G30" s="887">
        <v>79164000</v>
      </c>
      <c r="H30" s="887">
        <v>0</v>
      </c>
      <c r="I30" s="887">
        <v>3970000</v>
      </c>
      <c r="J30" s="887">
        <v>78000</v>
      </c>
      <c r="K30" s="886">
        <v>3368000</v>
      </c>
      <c r="L30" s="5"/>
    </row>
    <row r="31" spans="1:12">
      <c r="A31" s="889">
        <f t="shared" ref="A31:A42" si="2">+A30+1</f>
        <v>17</v>
      </c>
      <c r="B31" s="913" t="s">
        <v>559</v>
      </c>
      <c r="C31" s="887">
        <v>512893000</v>
      </c>
      <c r="D31" s="887">
        <v>3434000</v>
      </c>
      <c r="E31" s="887">
        <v>36831000</v>
      </c>
      <c r="F31" s="887">
        <v>0</v>
      </c>
      <c r="G31" s="887">
        <v>79820000</v>
      </c>
      <c r="H31" s="887">
        <v>0</v>
      </c>
      <c r="I31" s="887">
        <v>4001000</v>
      </c>
      <c r="J31" s="887">
        <v>79000</v>
      </c>
      <c r="K31" s="886">
        <v>3500000</v>
      </c>
      <c r="L31" s="5"/>
    </row>
    <row r="32" spans="1:12">
      <c r="A32" s="889">
        <f t="shared" si="2"/>
        <v>18</v>
      </c>
      <c r="B32" s="913" t="s">
        <v>634</v>
      </c>
      <c r="C32" s="887">
        <v>515166000</v>
      </c>
      <c r="D32" s="887">
        <v>3449000</v>
      </c>
      <c r="E32" s="887">
        <v>36968000</v>
      </c>
      <c r="F32" s="887">
        <v>0</v>
      </c>
      <c r="G32" s="887">
        <v>80484000</v>
      </c>
      <c r="H32" s="887">
        <v>0</v>
      </c>
      <c r="I32" s="887">
        <v>4031000</v>
      </c>
      <c r="J32" s="887">
        <v>79000</v>
      </c>
      <c r="K32" s="886">
        <v>3524000</v>
      </c>
      <c r="L32" s="5"/>
    </row>
    <row r="33" spans="1:12">
      <c r="A33" s="889">
        <f t="shared" si="2"/>
        <v>19</v>
      </c>
      <c r="B33" s="913" t="s">
        <v>187</v>
      </c>
      <c r="C33" s="887">
        <v>517447000</v>
      </c>
      <c r="D33" s="887">
        <v>3465000</v>
      </c>
      <c r="E33" s="887">
        <v>37105000</v>
      </c>
      <c r="F33" s="887">
        <v>0</v>
      </c>
      <c r="G33" s="887">
        <v>81154000</v>
      </c>
      <c r="H33" s="887">
        <v>0</v>
      </c>
      <c r="I33" s="887">
        <v>4062000</v>
      </c>
      <c r="J33" s="887">
        <v>80000</v>
      </c>
      <c r="K33" s="886">
        <v>3669000</v>
      </c>
      <c r="L33" s="5"/>
    </row>
    <row r="34" spans="1:12">
      <c r="A34" s="889">
        <f t="shared" si="2"/>
        <v>20</v>
      </c>
      <c r="B34" s="913" t="s">
        <v>188</v>
      </c>
      <c r="C34" s="887">
        <v>519742000</v>
      </c>
      <c r="D34" s="887">
        <v>3481000</v>
      </c>
      <c r="E34" s="887">
        <v>37242000</v>
      </c>
      <c r="F34" s="887">
        <v>0</v>
      </c>
      <c r="G34" s="887">
        <v>81830000</v>
      </c>
      <c r="H34" s="887">
        <v>0</v>
      </c>
      <c r="I34" s="887">
        <v>4093000</v>
      </c>
      <c r="J34" s="887">
        <v>81000</v>
      </c>
      <c r="K34" s="886">
        <v>3820000</v>
      </c>
      <c r="L34" s="5"/>
    </row>
    <row r="35" spans="1:12">
      <c r="A35" s="889">
        <f t="shared" si="2"/>
        <v>21</v>
      </c>
      <c r="B35" s="913" t="s">
        <v>382</v>
      </c>
      <c r="C35" s="887">
        <v>522044000</v>
      </c>
      <c r="D35" s="887">
        <v>3497000</v>
      </c>
      <c r="E35" s="887">
        <v>37379000</v>
      </c>
      <c r="F35" s="887">
        <v>0</v>
      </c>
      <c r="G35" s="887">
        <v>82513000</v>
      </c>
      <c r="H35" s="887">
        <v>0</v>
      </c>
      <c r="I35" s="887">
        <v>4123000</v>
      </c>
      <c r="J35" s="887">
        <v>82000</v>
      </c>
      <c r="K35" s="886">
        <v>3793000</v>
      </c>
      <c r="L35" s="5"/>
    </row>
    <row r="36" spans="1:12">
      <c r="A36" s="889">
        <f t="shared" si="2"/>
        <v>22</v>
      </c>
      <c r="B36" s="913" t="s">
        <v>189</v>
      </c>
      <c r="C36" s="887">
        <v>524348000</v>
      </c>
      <c r="D36" s="887">
        <v>3513000</v>
      </c>
      <c r="E36" s="887">
        <v>37517000</v>
      </c>
      <c r="F36" s="887">
        <v>0</v>
      </c>
      <c r="G36" s="887">
        <v>83202000</v>
      </c>
      <c r="H36" s="887">
        <v>0</v>
      </c>
      <c r="I36" s="887">
        <v>4154000</v>
      </c>
      <c r="J36" s="887">
        <v>82000</v>
      </c>
      <c r="K36" s="886">
        <v>3954000</v>
      </c>
      <c r="L36" s="5"/>
    </row>
    <row r="37" spans="1:12">
      <c r="A37" s="889">
        <f t="shared" si="2"/>
        <v>23</v>
      </c>
      <c r="B37" s="913" t="s">
        <v>633</v>
      </c>
      <c r="C37" s="887">
        <v>526654000</v>
      </c>
      <c r="D37" s="887">
        <v>3529000</v>
      </c>
      <c r="E37" s="887">
        <v>37654000</v>
      </c>
      <c r="F37" s="887">
        <v>0</v>
      </c>
      <c r="G37" s="887">
        <v>83898000</v>
      </c>
      <c r="H37" s="887">
        <v>0</v>
      </c>
      <c r="I37" s="887">
        <v>4184000</v>
      </c>
      <c r="J37" s="887">
        <v>83000</v>
      </c>
      <c r="K37" s="886">
        <v>4122000</v>
      </c>
      <c r="L37" s="5"/>
    </row>
    <row r="38" spans="1:12">
      <c r="A38" s="889">
        <f t="shared" si="2"/>
        <v>24</v>
      </c>
      <c r="B38" s="913" t="s">
        <v>192</v>
      </c>
      <c r="C38" s="887">
        <v>528962000</v>
      </c>
      <c r="D38" s="887">
        <v>3545000</v>
      </c>
      <c r="E38" s="887">
        <v>37792000</v>
      </c>
      <c r="F38" s="887">
        <v>0</v>
      </c>
      <c r="G38" s="887">
        <v>84599000</v>
      </c>
      <c r="H38" s="887">
        <v>0</v>
      </c>
      <c r="I38" s="887">
        <v>4215000</v>
      </c>
      <c r="J38" s="887">
        <v>84000</v>
      </c>
      <c r="K38" s="886">
        <v>4003000</v>
      </c>
      <c r="L38" s="5"/>
    </row>
    <row r="39" spans="1:12">
      <c r="A39" s="889">
        <f t="shared" si="2"/>
        <v>25</v>
      </c>
      <c r="B39" s="913" t="s">
        <v>560</v>
      </c>
      <c r="C39" s="887">
        <v>531269000</v>
      </c>
      <c r="D39" s="887">
        <v>3560000</v>
      </c>
      <c r="E39" s="887">
        <v>37930000</v>
      </c>
      <c r="F39" s="887">
        <v>0</v>
      </c>
      <c r="G39" s="887">
        <v>85308000</v>
      </c>
      <c r="H39" s="887">
        <v>0</v>
      </c>
      <c r="I39" s="887">
        <v>4245000</v>
      </c>
      <c r="J39" s="887">
        <v>84000</v>
      </c>
      <c r="K39" s="886">
        <v>4179000</v>
      </c>
      <c r="L39" s="5"/>
    </row>
    <row r="40" spans="1:12">
      <c r="A40" s="889">
        <f t="shared" si="2"/>
        <v>26</v>
      </c>
      <c r="B40" s="913" t="s">
        <v>561</v>
      </c>
      <c r="C40" s="887">
        <v>533577000</v>
      </c>
      <c r="D40" s="887">
        <v>3576000</v>
      </c>
      <c r="E40" s="887">
        <v>38067000</v>
      </c>
      <c r="F40" s="887">
        <v>0</v>
      </c>
      <c r="G40" s="887">
        <v>86023000</v>
      </c>
      <c r="H40" s="887">
        <v>0</v>
      </c>
      <c r="I40" s="887">
        <v>4276000</v>
      </c>
      <c r="J40" s="887">
        <v>85000</v>
      </c>
      <c r="K40" s="886">
        <v>4363000</v>
      </c>
      <c r="L40" s="5"/>
    </row>
    <row r="41" spans="1:12">
      <c r="A41" s="888">
        <f t="shared" si="2"/>
        <v>27</v>
      </c>
      <c r="B41" s="912" t="s">
        <v>632</v>
      </c>
      <c r="C41" s="887">
        <v>535888000</v>
      </c>
      <c r="D41" s="887">
        <v>3592000</v>
      </c>
      <c r="E41" s="887">
        <v>38205000</v>
      </c>
      <c r="F41" s="887">
        <v>0</v>
      </c>
      <c r="G41" s="887">
        <v>86744000</v>
      </c>
      <c r="H41" s="887">
        <v>0</v>
      </c>
      <c r="I41" s="887">
        <v>4306000</v>
      </c>
      <c r="J41" s="887">
        <v>86000</v>
      </c>
      <c r="K41" s="911">
        <v>4361000</v>
      </c>
      <c r="L41" s="5"/>
    </row>
    <row r="42" spans="1:12" ht="13.5" thickBot="1">
      <c r="A42" s="910">
        <f t="shared" si="2"/>
        <v>28</v>
      </c>
      <c r="B42" s="1169" t="s">
        <v>862</v>
      </c>
      <c r="C42" s="908">
        <f t="shared" ref="C42:K42" si="3">ROUND(SUM(C29:C41)/13,-3)</f>
        <v>522075000</v>
      </c>
      <c r="D42" s="908">
        <f t="shared" si="3"/>
        <v>3497000</v>
      </c>
      <c r="E42" s="908">
        <f t="shared" si="3"/>
        <v>37380000</v>
      </c>
      <c r="F42" s="908">
        <f t="shared" si="3"/>
        <v>0</v>
      </c>
      <c r="G42" s="908">
        <f t="shared" si="3"/>
        <v>82558000</v>
      </c>
      <c r="H42" s="908">
        <f t="shared" si="3"/>
        <v>0</v>
      </c>
      <c r="I42" s="908">
        <f t="shared" si="3"/>
        <v>4123000</v>
      </c>
      <c r="J42" s="908">
        <f t="shared" si="3"/>
        <v>82000</v>
      </c>
      <c r="K42" s="907">
        <f t="shared" si="3"/>
        <v>3839000</v>
      </c>
      <c r="L42" s="5"/>
    </row>
    <row r="43" spans="1:12" ht="13.5" thickTop="1">
      <c r="A43" s="882"/>
      <c r="B43" s="881"/>
      <c r="C43" s="906"/>
      <c r="D43" s="879"/>
      <c r="E43" s="879"/>
      <c r="F43" s="879"/>
      <c r="G43" s="906"/>
      <c r="H43"/>
      <c r="I43"/>
      <c r="J43"/>
      <c r="K43"/>
      <c r="L43" s="5"/>
    </row>
    <row r="44" spans="1:12">
      <c r="A44" s="882"/>
      <c r="B44" s="881"/>
      <c r="C44" s="906"/>
      <c r="D44" s="879"/>
      <c r="E44" s="879"/>
      <c r="F44" s="879"/>
      <c r="G44" s="906"/>
      <c r="H44" s="906"/>
      <c r="I44" s="906"/>
    </row>
    <row r="45" spans="1:12">
      <c r="A45" s="905"/>
      <c r="B45" s="904"/>
      <c r="C45" s="903"/>
      <c r="D45" s="902"/>
      <c r="E45" s="902"/>
      <c r="F45" s="901"/>
      <c r="G45"/>
      <c r="H45"/>
      <c r="I45"/>
      <c r="J45"/>
      <c r="K45"/>
      <c r="L45" s="5"/>
    </row>
    <row r="46" spans="1:12" ht="72" customHeight="1">
      <c r="A46" s="900" t="s">
        <v>648</v>
      </c>
      <c r="B46" s="894" t="s">
        <v>647</v>
      </c>
      <c r="C46" s="899" t="s">
        <v>646</v>
      </c>
      <c r="D46" s="898" t="s">
        <v>645</v>
      </c>
      <c r="E46" s="898" t="s">
        <v>644</v>
      </c>
      <c r="F46" s="897" t="s">
        <v>643</v>
      </c>
      <c r="G46"/>
      <c r="H46"/>
      <c r="I46"/>
      <c r="J46"/>
      <c r="K46"/>
      <c r="L46" s="5"/>
    </row>
    <row r="47" spans="1:12" s="890" customFormat="1">
      <c r="A47" s="889"/>
      <c r="B47" s="894" t="s">
        <v>642</v>
      </c>
      <c r="C47" s="896" t="s">
        <v>641</v>
      </c>
      <c r="D47" s="894" t="s">
        <v>640</v>
      </c>
      <c r="E47" s="894" t="s">
        <v>639</v>
      </c>
      <c r="F47" s="895" t="s">
        <v>638</v>
      </c>
      <c r="G47"/>
      <c r="H47"/>
      <c r="I47"/>
      <c r="J47"/>
      <c r="K47"/>
      <c r="L47" s="5"/>
    </row>
    <row r="48" spans="1:12" s="890" customFormat="1" ht="63.75">
      <c r="A48" s="889"/>
      <c r="B48" s="894" t="s">
        <v>637</v>
      </c>
      <c r="C48" s="893" t="s">
        <v>669</v>
      </c>
      <c r="D48" s="893" t="s">
        <v>670</v>
      </c>
      <c r="E48" s="892" t="s">
        <v>636</v>
      </c>
      <c r="F48" s="891" t="s">
        <v>636</v>
      </c>
      <c r="G48"/>
      <c r="H48"/>
      <c r="I48"/>
      <c r="J48"/>
      <c r="K48"/>
      <c r="L48" s="5"/>
    </row>
    <row r="49" spans="1:12">
      <c r="A49" s="889">
        <f>+A42+1</f>
        <v>29</v>
      </c>
      <c r="B49" s="914" t="s">
        <v>635</v>
      </c>
      <c r="C49" s="887">
        <v>12282000</v>
      </c>
      <c r="D49" s="887">
        <v>6231000</v>
      </c>
      <c r="E49" s="887"/>
      <c r="F49" s="886"/>
      <c r="G49"/>
      <c r="H49"/>
      <c r="I49"/>
      <c r="J49"/>
      <c r="K49"/>
      <c r="L49" s="5"/>
    </row>
    <row r="50" spans="1:12">
      <c r="A50" s="889">
        <f>+A49+1</f>
        <v>30</v>
      </c>
      <c r="B50" s="914" t="s">
        <v>185</v>
      </c>
      <c r="C50" s="887">
        <v>12270000</v>
      </c>
      <c r="D50" s="887">
        <v>6242000</v>
      </c>
      <c r="E50" s="887"/>
      <c r="F50" s="886"/>
      <c r="G50"/>
      <c r="H50"/>
      <c r="I50"/>
      <c r="J50"/>
      <c r="K50"/>
      <c r="L50" s="5"/>
    </row>
    <row r="51" spans="1:12">
      <c r="A51" s="889">
        <f t="shared" ref="A51:A62" si="4">+A50+1</f>
        <v>31</v>
      </c>
      <c r="B51" s="913" t="s">
        <v>559</v>
      </c>
      <c r="C51" s="887">
        <v>12259000</v>
      </c>
      <c r="D51" s="887">
        <v>6254000</v>
      </c>
      <c r="E51" s="887"/>
      <c r="F51" s="886"/>
      <c r="G51"/>
      <c r="H51"/>
      <c r="I51"/>
      <c r="J51"/>
      <c r="K51"/>
      <c r="L51" s="5"/>
    </row>
    <row r="52" spans="1:12">
      <c r="A52" s="889">
        <f t="shared" si="4"/>
        <v>32</v>
      </c>
      <c r="B52" s="913" t="s">
        <v>634</v>
      </c>
      <c r="C52" s="887">
        <v>12247000</v>
      </c>
      <c r="D52" s="887">
        <v>6265000</v>
      </c>
      <c r="E52" s="887"/>
      <c r="F52" s="886"/>
      <c r="G52"/>
      <c r="H52"/>
      <c r="I52"/>
      <c r="J52"/>
      <c r="K52"/>
      <c r="L52" s="5"/>
    </row>
    <row r="53" spans="1:12">
      <c r="A53" s="889">
        <f t="shared" si="4"/>
        <v>33</v>
      </c>
      <c r="B53" s="913" t="s">
        <v>187</v>
      </c>
      <c r="C53" s="887">
        <v>12236000</v>
      </c>
      <c r="D53" s="887">
        <v>6276000</v>
      </c>
      <c r="E53" s="887"/>
      <c r="F53" s="886"/>
      <c r="G53"/>
      <c r="H53"/>
      <c r="I53"/>
      <c r="J53"/>
      <c r="K53"/>
      <c r="L53" s="5"/>
    </row>
    <row r="54" spans="1:12">
      <c r="A54" s="889">
        <f t="shared" si="4"/>
        <v>34</v>
      </c>
      <c r="B54" s="913" t="s">
        <v>188</v>
      </c>
      <c r="C54" s="887">
        <v>12224000</v>
      </c>
      <c r="D54" s="887">
        <v>6287000</v>
      </c>
      <c r="E54" s="887"/>
      <c r="F54" s="886"/>
      <c r="G54"/>
      <c r="H54"/>
      <c r="I54"/>
      <c r="J54"/>
      <c r="K54"/>
      <c r="L54" s="5"/>
    </row>
    <row r="55" spans="1:12">
      <c r="A55" s="889">
        <f t="shared" si="4"/>
        <v>35</v>
      </c>
      <c r="B55" s="913" t="s">
        <v>382</v>
      </c>
      <c r="C55" s="887">
        <v>12213000</v>
      </c>
      <c r="D55" s="887">
        <v>6298000</v>
      </c>
      <c r="E55" s="887"/>
      <c r="F55" s="886"/>
      <c r="G55"/>
      <c r="H55"/>
      <c r="I55"/>
      <c r="J55"/>
      <c r="K55"/>
      <c r="L55" s="5"/>
    </row>
    <row r="56" spans="1:12">
      <c r="A56" s="889">
        <f t="shared" si="4"/>
        <v>36</v>
      </c>
      <c r="B56" s="913" t="s">
        <v>189</v>
      </c>
      <c r="C56" s="887">
        <v>12202000</v>
      </c>
      <c r="D56" s="887">
        <v>6309000</v>
      </c>
      <c r="E56" s="887"/>
      <c r="F56" s="886"/>
      <c r="G56"/>
      <c r="H56"/>
      <c r="I56"/>
      <c r="J56"/>
      <c r="K56"/>
      <c r="L56" s="5"/>
    </row>
    <row r="57" spans="1:12">
      <c r="A57" s="889">
        <f t="shared" si="4"/>
        <v>37</v>
      </c>
      <c r="B57" s="913" t="s">
        <v>633</v>
      </c>
      <c r="C57" s="887">
        <v>12190000</v>
      </c>
      <c r="D57" s="887">
        <v>6321000</v>
      </c>
      <c r="E57" s="887"/>
      <c r="F57" s="886"/>
      <c r="G57"/>
      <c r="H57"/>
      <c r="I57"/>
      <c r="J57"/>
      <c r="K57"/>
      <c r="L57" s="5"/>
    </row>
    <row r="58" spans="1:12">
      <c r="A58" s="889">
        <f t="shared" si="4"/>
        <v>38</v>
      </c>
      <c r="B58" s="913" t="s">
        <v>192</v>
      </c>
      <c r="C58" s="887">
        <v>12179000</v>
      </c>
      <c r="D58" s="887">
        <v>6332000</v>
      </c>
      <c r="E58" s="887"/>
      <c r="F58" s="886"/>
      <c r="G58"/>
      <c r="H58"/>
      <c r="I58"/>
      <c r="J58"/>
      <c r="K58"/>
      <c r="L58" s="5"/>
    </row>
    <row r="59" spans="1:12">
      <c r="A59" s="889">
        <f t="shared" si="4"/>
        <v>39</v>
      </c>
      <c r="B59" s="913" t="s">
        <v>560</v>
      </c>
      <c r="C59" s="887">
        <v>12167000</v>
      </c>
      <c r="D59" s="887">
        <v>6343000</v>
      </c>
      <c r="E59" s="887"/>
      <c r="F59" s="886"/>
      <c r="G59"/>
      <c r="H59"/>
      <c r="I59"/>
      <c r="J59"/>
      <c r="K59"/>
      <c r="L59" s="5"/>
    </row>
    <row r="60" spans="1:12">
      <c r="A60" s="889">
        <f t="shared" si="4"/>
        <v>40</v>
      </c>
      <c r="B60" s="913" t="s">
        <v>561</v>
      </c>
      <c r="C60" s="887">
        <v>12156000</v>
      </c>
      <c r="D60" s="887">
        <v>6354000</v>
      </c>
      <c r="E60" s="887"/>
      <c r="F60" s="886"/>
      <c r="G60"/>
      <c r="H60"/>
      <c r="I60"/>
      <c r="J60"/>
      <c r="K60"/>
      <c r="L60" s="5"/>
    </row>
    <row r="61" spans="1:12">
      <c r="A61" s="888">
        <f t="shared" si="4"/>
        <v>41</v>
      </c>
      <c r="B61" s="912" t="s">
        <v>632</v>
      </c>
      <c r="C61" s="887">
        <v>12145000</v>
      </c>
      <c r="D61" s="887">
        <v>6365000</v>
      </c>
      <c r="E61" s="887"/>
      <c r="F61" s="886"/>
      <c r="G61"/>
      <c r="H61"/>
      <c r="I61"/>
      <c r="J61"/>
      <c r="K61"/>
      <c r="L61" s="5"/>
    </row>
    <row r="62" spans="1:12" ht="13.5" thickBot="1">
      <c r="A62" s="885">
        <f t="shared" si="4"/>
        <v>42</v>
      </c>
      <c r="B62" s="1169" t="s">
        <v>862</v>
      </c>
      <c r="C62" s="908">
        <f>ROUND(SUM(C49:C61)/13,-3)</f>
        <v>12213000</v>
      </c>
      <c r="D62" s="908">
        <f>ROUND(SUM(D49:D61)/13,-3)</f>
        <v>6298000</v>
      </c>
      <c r="E62" s="908">
        <f>ROUND(SUM(E49:E61)/13,-3)</f>
        <v>0</v>
      </c>
      <c r="F62" s="907">
        <f>ROUND(SUM(F49:F61)/13,-3)</f>
        <v>0</v>
      </c>
      <c r="G62"/>
      <c r="H62"/>
      <c r="I62"/>
      <c r="J62"/>
      <c r="K62"/>
      <c r="L62" s="5"/>
    </row>
    <row r="63" spans="1:12" ht="13.5" thickTop="1">
      <c r="A63" s="882"/>
      <c r="B63" s="881"/>
      <c r="G63"/>
      <c r="H63"/>
      <c r="I63"/>
      <c r="J63"/>
      <c r="K63"/>
    </row>
    <row r="64" spans="1:12">
      <c r="A64" s="882">
        <v>43</v>
      </c>
      <c r="B64" s="881" t="s">
        <v>631</v>
      </c>
      <c r="D64" s="880">
        <f>+E42-D62</f>
        <v>31082000</v>
      </c>
      <c r="I64" s="879"/>
      <c r="K64" s="5"/>
    </row>
    <row r="65" spans="1:7" customFormat="1"/>
    <row r="66" spans="1:7" customFormat="1">
      <c r="A66" s="878"/>
      <c r="B66" s="276"/>
      <c r="C66" s="277"/>
      <c r="D66" s="278"/>
      <c r="E66" s="67"/>
      <c r="F66" s="67"/>
      <c r="G66" s="81"/>
    </row>
    <row r="67" spans="1:7" customFormat="1" ht="25.5">
      <c r="A67" s="931" t="s">
        <v>3</v>
      </c>
      <c r="B67" s="276"/>
      <c r="C67" s="928" t="s">
        <v>2</v>
      </c>
      <c r="D67" s="929" t="str">
        <f>"Balance @ December 31, "&amp;TCOS!L4&amp;""</f>
        <v>Balance @ December 31, 2023</v>
      </c>
      <c r="E67" s="930" t="str">
        <f>"Balance @ December 31, "&amp;TCOS!L4-1&amp;""</f>
        <v>Balance @ December 31, 2022</v>
      </c>
      <c r="F67" s="930" t="str">
        <f>"Average Balance for "&amp;TCOS!L4&amp;""</f>
        <v>Average Balance for 2023</v>
      </c>
      <c r="G67" s="81"/>
    </row>
    <row r="68" spans="1:7" customFormat="1">
      <c r="A68" s="86"/>
      <c r="B68" s="894" t="s">
        <v>642</v>
      </c>
      <c r="C68" s="894" t="s">
        <v>641</v>
      </c>
      <c r="D68" s="894" t="s">
        <v>640</v>
      </c>
      <c r="E68" s="894" t="s">
        <v>639</v>
      </c>
      <c r="F68" s="894" t="s">
        <v>638</v>
      </c>
      <c r="G68" s="81"/>
    </row>
    <row r="69" spans="1:7" customFormat="1">
      <c r="A69" s="279">
        <f>+A64+1</f>
        <v>44</v>
      </c>
      <c r="B69" s="86" t="s">
        <v>3</v>
      </c>
      <c r="C69" s="282" t="s">
        <v>374</v>
      </c>
      <c r="D69" s="829">
        <v>0</v>
      </c>
      <c r="E69" s="829">
        <v>0</v>
      </c>
      <c r="F69" s="134">
        <f>IF(E69="",0,AVERAGE(D69:E69))</f>
        <v>0</v>
      </c>
    </row>
    <row r="70" spans="1:7" customFormat="1">
      <c r="A70" s="275"/>
      <c r="B70" s="283"/>
      <c r="C70" s="283"/>
      <c r="F70" s="81"/>
    </row>
    <row r="71" spans="1:7" customFormat="1">
      <c r="A71" s="274">
        <f>+A69+1</f>
        <v>45</v>
      </c>
      <c r="B71" s="86" t="s">
        <v>825</v>
      </c>
      <c r="C71" s="300" t="s">
        <v>67</v>
      </c>
      <c r="D71" s="829">
        <v>0</v>
      </c>
      <c r="E71" s="829">
        <v>0</v>
      </c>
      <c r="F71" s="134">
        <f>IF(E71="",0,AVERAGE(D71:E71))</f>
        <v>0</v>
      </c>
    </row>
    <row r="72" spans="1:7" customFormat="1">
      <c r="A72" s="222"/>
      <c r="B72" s="222"/>
      <c r="C72" s="222"/>
      <c r="D72" s="222"/>
    </row>
    <row r="73" spans="1:7" customFormat="1">
      <c r="A73" s="86" t="s">
        <v>236</v>
      </c>
      <c r="B73" s="222"/>
      <c r="C73" s="222"/>
      <c r="D73" s="222"/>
    </row>
    <row r="74" spans="1:7" customFormat="1">
      <c r="A74" s="280"/>
      <c r="B74" s="281" t="s">
        <v>360</v>
      </c>
      <c r="C74" s="281"/>
      <c r="D74" s="75"/>
      <c r="E74" s="75"/>
      <c r="F74" s="75"/>
    </row>
    <row r="75" spans="1:7" customFormat="1">
      <c r="A75" s="279">
        <f>+A71+1</f>
        <v>46</v>
      </c>
      <c r="B75" s="830"/>
      <c r="C75" s="830"/>
      <c r="D75" s="829"/>
      <c r="E75" s="829"/>
      <c r="F75" s="134">
        <f>IF(E75="",0,AVERAGE(D75:E75))</f>
        <v>0</v>
      </c>
    </row>
    <row r="76" spans="1:7" customFormat="1">
      <c r="A76" s="279">
        <f>+A75+1</f>
        <v>47</v>
      </c>
      <c r="B76" s="830"/>
      <c r="C76" s="830"/>
      <c r="D76" s="829"/>
      <c r="E76" s="829"/>
      <c r="F76" s="134">
        <f>IF(E76="",0,AVERAGE(D76:E76))</f>
        <v>0</v>
      </c>
    </row>
    <row r="77" spans="1:7" customFormat="1">
      <c r="A77" s="279">
        <f>+A76+1</f>
        <v>48</v>
      </c>
      <c r="B77" s="830"/>
      <c r="C77" s="830"/>
      <c r="D77" s="829"/>
      <c r="E77" s="829"/>
      <c r="F77" s="134">
        <f>IF(E77="",0,AVERAGE(D77:E77))</f>
        <v>0</v>
      </c>
    </row>
    <row r="78" spans="1:7" customFormat="1">
      <c r="A78" s="279">
        <f>+A77+1</f>
        <v>49</v>
      </c>
      <c r="B78" s="830"/>
      <c r="C78" s="830"/>
      <c r="D78" s="829"/>
      <c r="E78" s="829"/>
      <c r="F78" s="134">
        <f>IF(E78="",0,AVERAGE(D78:E78))</f>
        <v>0</v>
      </c>
    </row>
    <row r="79" spans="1:7" customFormat="1">
      <c r="A79" s="279">
        <f>+A78+1</f>
        <v>50</v>
      </c>
      <c r="B79" s="830"/>
      <c r="C79" s="830"/>
      <c r="D79" s="831"/>
      <c r="E79" s="831"/>
      <c r="F79" s="936">
        <f>IF(E79="",0,AVERAGE(D79:E79))</f>
        <v>0</v>
      </c>
    </row>
    <row r="80" spans="1:7" customFormat="1">
      <c r="A80" s="279">
        <f>+A79+1</f>
        <v>51</v>
      </c>
      <c r="B80" s="281" t="s">
        <v>497</v>
      </c>
      <c r="C80" s="281"/>
      <c r="D80" s="176">
        <f>SUM(D75:D79)</f>
        <v>0</v>
      </c>
      <c r="E80" s="176">
        <f>SUM(E75:E79)</f>
        <v>0</v>
      </c>
      <c r="F80" s="176">
        <f>SUM(F75:F79)</f>
        <v>0</v>
      </c>
    </row>
    <row r="81" spans="1:7" customFormat="1">
      <c r="A81" s="279"/>
      <c r="B81" s="281"/>
      <c r="C81" s="281"/>
      <c r="D81" s="176"/>
      <c r="E81" s="176"/>
      <c r="F81" s="176"/>
    </row>
    <row r="82" spans="1:7" customFormat="1" ht="18">
      <c r="A82" s="86" t="s">
        <v>754</v>
      </c>
      <c r="B82" s="875"/>
      <c r="C82" s="875"/>
      <c r="D82" s="875"/>
      <c r="E82" s="75"/>
      <c r="F82" s="75"/>
      <c r="G82" s="75"/>
    </row>
    <row r="83" spans="1:7" customFormat="1">
      <c r="A83" s="72"/>
      <c r="B83" s="228"/>
      <c r="C83" s="231"/>
      <c r="D83" s="7"/>
      <c r="E83" s="75"/>
      <c r="F83" s="75"/>
      <c r="G83" s="75"/>
    </row>
    <row r="84" spans="1:7" customFormat="1">
      <c r="A84" s="72">
        <f>+A80+1</f>
        <v>52</v>
      </c>
      <c r="B84" s="12" t="s">
        <v>167</v>
      </c>
      <c r="C84" s="12" t="s">
        <v>306</v>
      </c>
      <c r="D84" s="932"/>
      <c r="E84" s="20"/>
      <c r="F84" s="12"/>
      <c r="G84" s="20"/>
    </row>
    <row r="85" spans="1:7" customFormat="1" ht="14.25">
      <c r="A85" s="933" t="s">
        <v>747</v>
      </c>
      <c r="B85" s="1220" t="s">
        <v>867</v>
      </c>
      <c r="C85" s="1411" t="s">
        <v>1041</v>
      </c>
      <c r="D85" s="829">
        <v>14000</v>
      </c>
      <c r="E85" s="829">
        <v>14000</v>
      </c>
      <c r="F85" s="937">
        <f>IF(E85="",0,AVERAGE(D85:E85))</f>
        <v>14000</v>
      </c>
      <c r="G85" s="20"/>
    </row>
    <row r="86" spans="1:7" customFormat="1" ht="14.25">
      <c r="A86" s="934" t="s">
        <v>748</v>
      </c>
      <c r="B86" s="1220" t="s">
        <v>1042</v>
      </c>
      <c r="C86" s="1411" t="s">
        <v>1043</v>
      </c>
      <c r="D86" s="829">
        <v>39000</v>
      </c>
      <c r="E86" s="829">
        <v>39000</v>
      </c>
      <c r="F86" s="937">
        <f>IF(E86="",0,AVERAGE(D86:E86))</f>
        <v>39000</v>
      </c>
      <c r="G86" s="20"/>
    </row>
    <row r="87" spans="1:7" customFormat="1" ht="14.25">
      <c r="A87" s="934" t="s">
        <v>1044</v>
      </c>
      <c r="B87" s="1220" t="s">
        <v>1045</v>
      </c>
      <c r="C87" s="1088" t="s">
        <v>1046</v>
      </c>
      <c r="D87" s="829">
        <v>308000</v>
      </c>
      <c r="E87" s="829">
        <v>308000</v>
      </c>
      <c r="F87" s="938">
        <f>IF(E87="",0,AVERAGE(D87:E87))</f>
        <v>308000</v>
      </c>
      <c r="G87" s="20"/>
    </row>
    <row r="88" spans="1:7" customFormat="1" ht="18" customHeight="1">
      <c r="A88" s="935">
        <v>54</v>
      </c>
      <c r="B88" s="20"/>
      <c r="C88" s="4" t="s">
        <v>118</v>
      </c>
      <c r="D88" s="880">
        <f>SUM(D85:D87)</f>
        <v>361000</v>
      </c>
      <c r="E88" s="880">
        <f>SUM(E85:E87)</f>
        <v>361000</v>
      </c>
      <c r="F88" s="880">
        <f>SUM(F85:F87)</f>
        <v>361000</v>
      </c>
      <c r="G88" s="20"/>
    </row>
    <row r="89" spans="1:7" customFormat="1">
      <c r="A89" s="279"/>
      <c r="B89" s="281"/>
      <c r="C89" s="281"/>
      <c r="D89" s="281"/>
      <c r="G89" s="20"/>
    </row>
    <row r="90" spans="1:7">
      <c r="A90" s="927" t="s">
        <v>673</v>
      </c>
      <c r="B90" s="281"/>
      <c r="C90" s="281"/>
      <c r="D90" s="281"/>
      <c r="G90" s="932"/>
    </row>
    <row r="91" spans="1:7">
      <c r="A91" s="927" t="s">
        <v>672</v>
      </c>
      <c r="B91" s="281"/>
      <c r="C91" s="281"/>
      <c r="D91" s="281"/>
    </row>
    <row r="92" spans="1:7">
      <c r="A92"/>
      <c r="B92"/>
      <c r="C92"/>
      <c r="D92"/>
    </row>
    <row r="93" spans="1:7">
      <c r="A93"/>
      <c r="B93"/>
      <c r="C93"/>
      <c r="D93"/>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Q182"/>
  <sheetViews>
    <sheetView view="pageBreakPreview" topLeftCell="A10" zoomScaleNormal="75" zoomScaleSheetLayoutView="100" workbookViewId="0">
      <selection activeCell="D37" sqref="D37:J37"/>
    </sheetView>
  </sheetViews>
  <sheetFormatPr defaultRowHeight="12.75"/>
  <cols>
    <col min="1" max="1" width="8.140625" style="1171" customWidth="1"/>
    <col min="2" max="2" width="28.85546875" style="1171" customWidth="1"/>
    <col min="3" max="3" width="17.85546875" style="1171" customWidth="1"/>
    <col min="4" max="4" width="19.28515625" style="1171" customWidth="1"/>
    <col min="5" max="6" width="19.85546875" style="1171" customWidth="1"/>
    <col min="7" max="7" width="21.42578125" style="1171" customWidth="1"/>
    <col min="8" max="9" width="19.85546875" style="1171" customWidth="1"/>
    <col min="10" max="10" width="21.28515625" style="1171" customWidth="1"/>
    <col min="11" max="11" width="18.140625" style="1171" customWidth="1"/>
    <col min="12" max="12" width="22.42578125" style="1171" customWidth="1"/>
    <col min="13" max="13" width="22.140625" style="1171" customWidth="1"/>
    <col min="14" max="14" width="11.140625" style="1171" customWidth="1"/>
    <col min="15" max="15" width="11.28515625" style="1171" bestFit="1" customWidth="1"/>
    <col min="16" max="16" width="12.42578125" style="1171" customWidth="1"/>
    <col min="17" max="17" width="9.140625" style="1171"/>
    <col min="18" max="18" width="10.28515625" style="1171" bestFit="1" customWidth="1"/>
    <col min="19" max="19" width="9.140625" style="1171"/>
    <col min="20" max="20" width="12.85546875" style="1171" customWidth="1"/>
    <col min="21" max="21" width="13.5703125" style="1171" customWidth="1"/>
    <col min="22" max="16384" width="9.140625" style="1171"/>
  </cols>
  <sheetData>
    <row r="1" spans="1:17" ht="15.75">
      <c r="A1" s="1170" t="s">
        <v>114</v>
      </c>
    </row>
    <row r="2" spans="1:17" ht="15.75">
      <c r="A2" s="1170" t="s">
        <v>114</v>
      </c>
    </row>
    <row r="3" spans="1:17" ht="15.75">
      <c r="A3" s="1528" t="s">
        <v>387</v>
      </c>
      <c r="B3" s="1528"/>
      <c r="C3" s="1528"/>
      <c r="D3" s="1528"/>
      <c r="E3" s="1528"/>
      <c r="F3" s="1528"/>
      <c r="G3" s="1528"/>
      <c r="H3" s="1528"/>
      <c r="I3" s="1528"/>
      <c r="J3" s="1528"/>
      <c r="K3" s="1528"/>
      <c r="L3" s="1172"/>
      <c r="M3" s="1172"/>
      <c r="N3" s="1173"/>
      <c r="O3" s="1173"/>
      <c r="P3" s="1173"/>
      <c r="Q3" s="1173"/>
    </row>
    <row r="4" spans="1:17" ht="15.75">
      <c r="A4" s="1529" t="str">
        <f>"Cost of Service Formula Rate Using Actual/Projected FF1 Balances"</f>
        <v>Cost of Service Formula Rate Using Actual/Projected FF1 Balances</v>
      </c>
      <c r="B4" s="1530"/>
      <c r="C4" s="1530"/>
      <c r="D4" s="1530"/>
      <c r="E4" s="1530"/>
      <c r="F4" s="1530"/>
      <c r="G4" s="1530"/>
      <c r="H4" s="1530"/>
      <c r="I4" s="1530"/>
      <c r="J4" s="1530"/>
      <c r="K4" s="1530"/>
      <c r="L4" s="1174"/>
      <c r="M4" s="1176"/>
      <c r="N4" s="1177"/>
      <c r="O4" s="1177"/>
      <c r="P4" s="1177"/>
      <c r="Q4" s="1177"/>
    </row>
    <row r="5" spans="1:17" ht="15.75">
      <c r="A5" s="1531" t="s">
        <v>853</v>
      </c>
      <c r="B5" s="1531"/>
      <c r="C5" s="1531"/>
      <c r="D5" s="1531"/>
      <c r="E5" s="1531"/>
      <c r="F5" s="1531"/>
      <c r="G5" s="1531"/>
      <c r="H5" s="1531"/>
      <c r="I5" s="1531"/>
      <c r="J5" s="1531"/>
      <c r="K5" s="1531"/>
      <c r="L5" s="1174"/>
      <c r="M5" s="1178"/>
      <c r="N5" s="1178"/>
      <c r="O5" s="1178"/>
      <c r="P5" s="1178"/>
      <c r="Q5" s="1178"/>
    </row>
    <row r="6" spans="1:17" ht="15.75">
      <c r="A6" s="1532" t="str">
        <f>TCOS!F9</f>
        <v>WHEELING POWER COMPANY</v>
      </c>
      <c r="B6" s="1532"/>
      <c r="C6" s="1532"/>
      <c r="D6" s="1532"/>
      <c r="E6" s="1532"/>
      <c r="F6" s="1532"/>
      <c r="G6" s="1532"/>
      <c r="H6" s="1532"/>
      <c r="I6" s="1532"/>
      <c r="J6" s="1532"/>
      <c r="K6" s="1532"/>
      <c r="L6" s="1179"/>
      <c r="M6" s="1179"/>
      <c r="N6" s="1180"/>
      <c r="O6" s="1180"/>
      <c r="P6" s="1180"/>
      <c r="Q6" s="1180"/>
    </row>
    <row r="9" spans="1:17">
      <c r="B9" s="1533"/>
      <c r="C9" s="1533"/>
      <c r="D9" s="1533"/>
      <c r="E9" s="1533"/>
      <c r="F9" s="1533"/>
      <c r="G9" s="1533"/>
      <c r="H9" s="1533"/>
      <c r="I9" s="1533"/>
      <c r="J9" s="1533"/>
      <c r="K9" s="1533"/>
      <c r="L9" s="1533"/>
      <c r="M9" s="1533"/>
      <c r="N9" s="1182"/>
      <c r="O9" s="1182"/>
      <c r="P9" s="1182"/>
      <c r="Q9" s="1182"/>
    </row>
    <row r="10" spans="1:17">
      <c r="I10" s="1182"/>
      <c r="J10" s="1182"/>
      <c r="K10" s="1182"/>
      <c r="L10" s="1182"/>
      <c r="M10" s="1182"/>
      <c r="N10" s="1182"/>
      <c r="O10" s="1182"/>
      <c r="P10" s="1182"/>
      <c r="Q10" s="1182"/>
    </row>
    <row r="11" spans="1:17">
      <c r="I11" s="1182"/>
      <c r="J11" s="1182"/>
      <c r="K11" s="1182"/>
      <c r="L11" s="1182"/>
      <c r="M11" s="1182"/>
      <c r="N11" s="1182"/>
      <c r="O11" s="1182"/>
      <c r="P11" s="1182"/>
      <c r="Q11" s="1182"/>
    </row>
    <row r="12" spans="1:17">
      <c r="A12" s="1175">
        <v>1</v>
      </c>
      <c r="B12" s="1171" t="s">
        <v>827</v>
      </c>
      <c r="E12" s="1212">
        <v>52288000</v>
      </c>
      <c r="I12" s="1194"/>
      <c r="J12" s="1182"/>
      <c r="K12" s="1182"/>
      <c r="L12" s="1182"/>
      <c r="M12" s="1182"/>
      <c r="N12" s="1182"/>
      <c r="O12" s="1182"/>
      <c r="P12" s="1182"/>
      <c r="Q12" s="1182"/>
    </row>
    <row r="13" spans="1:17">
      <c r="I13" s="1194"/>
      <c r="J13" s="1182"/>
      <c r="K13" s="1182"/>
      <c r="L13" s="1182"/>
      <c r="M13" s="1182"/>
      <c r="N13" s="1182"/>
      <c r="O13" s="1182"/>
      <c r="P13" s="1182"/>
      <c r="Q13" s="1182"/>
    </row>
    <row r="14" spans="1:17">
      <c r="B14" s="1527" t="str">
        <f>"Allocation of PBOP Settlement Amount for "&amp;TCOS!L4&amp;""</f>
        <v>Allocation of PBOP Settlement Amount for 2023</v>
      </c>
      <c r="C14" s="1527"/>
      <c r="D14" s="1183"/>
      <c r="E14" s="1183"/>
      <c r="F14" s="1183"/>
      <c r="G14" s="1183"/>
      <c r="H14" s="1183"/>
      <c r="I14" s="1183"/>
      <c r="J14" s="1183"/>
      <c r="K14" s="1183"/>
      <c r="L14" s="1183"/>
      <c r="M14" s="1183"/>
      <c r="N14" s="1182"/>
      <c r="O14" s="1182"/>
      <c r="P14" s="1182"/>
      <c r="Q14" s="1182"/>
    </row>
    <row r="15" spans="1:17">
      <c r="C15" s="1533" t="s">
        <v>828</v>
      </c>
      <c r="D15" s="1533"/>
      <c r="E15" s="1533"/>
      <c r="F15" s="1181"/>
      <c r="N15" s="1182"/>
      <c r="O15" s="1182"/>
      <c r="P15" s="1182"/>
      <c r="Q15" s="1182"/>
    </row>
    <row r="16" spans="1:17">
      <c r="B16" s="1194"/>
      <c r="C16" s="1536" t="s">
        <v>829</v>
      </c>
      <c r="D16" s="1536" t="s">
        <v>830</v>
      </c>
      <c r="E16" s="1536" t="s">
        <v>831</v>
      </c>
      <c r="F16" s="1208"/>
      <c r="G16" s="1208"/>
      <c r="H16" s="1208"/>
      <c r="I16" s="1536" t="s">
        <v>832</v>
      </c>
      <c r="N16" s="1182"/>
      <c r="O16" s="1182"/>
      <c r="P16" s="1182"/>
      <c r="Q16" s="1182"/>
    </row>
    <row r="17" spans="1:17" ht="12.75" customHeight="1">
      <c r="C17" s="1534"/>
      <c r="D17" s="1534"/>
      <c r="E17" s="1534"/>
      <c r="F17" s="1536" t="str">
        <f>"Labor Allocator for "&amp;TCOS!L4&amp;""</f>
        <v>Labor Allocator for 2023</v>
      </c>
      <c r="G17" s="1211"/>
      <c r="H17" s="1537" t="s">
        <v>833</v>
      </c>
      <c r="I17" s="1536"/>
      <c r="N17" s="1182"/>
      <c r="O17" s="1182"/>
      <c r="P17" s="1182"/>
      <c r="Q17" s="1182"/>
    </row>
    <row r="18" spans="1:17">
      <c r="A18" s="1184" t="s">
        <v>834</v>
      </c>
      <c r="B18" s="1181" t="s">
        <v>183</v>
      </c>
      <c r="C18" s="1534"/>
      <c r="D18" s="1534"/>
      <c r="E18" s="1534"/>
      <c r="F18" s="1536"/>
      <c r="G18" s="1214" t="s">
        <v>835</v>
      </c>
      <c r="H18" s="1537"/>
      <c r="I18" s="1536"/>
      <c r="N18" s="1182"/>
      <c r="O18" s="1182"/>
      <c r="P18" s="1182"/>
      <c r="Q18" s="1182"/>
    </row>
    <row r="19" spans="1:17">
      <c r="B19" s="1181"/>
      <c r="C19" s="1193"/>
      <c r="D19" s="1193"/>
      <c r="E19" s="1193"/>
      <c r="F19" s="1208"/>
      <c r="G19" s="1211"/>
      <c r="H19" s="1211"/>
      <c r="I19" s="1193"/>
      <c r="N19" s="1182"/>
      <c r="O19" s="1182"/>
      <c r="P19" s="1182"/>
      <c r="Q19" s="1182"/>
    </row>
    <row r="20" spans="1:17">
      <c r="B20" s="1181"/>
      <c r="C20" s="1208" t="s">
        <v>162</v>
      </c>
      <c r="D20" s="1208" t="s">
        <v>836</v>
      </c>
      <c r="E20" s="1209" t="str">
        <f>"(C )=(B) * "&amp;E12&amp;""</f>
        <v>(C )=(B) * 52288000</v>
      </c>
      <c r="F20" s="1208" t="s">
        <v>165</v>
      </c>
      <c r="G20" s="1215" t="s">
        <v>837</v>
      </c>
      <c r="H20" s="1215" t="s">
        <v>838</v>
      </c>
      <c r="I20" s="1209" t="s">
        <v>839</v>
      </c>
      <c r="N20" s="1182"/>
      <c r="O20" s="1182"/>
      <c r="P20" s="1182"/>
      <c r="Q20" s="1182"/>
    </row>
    <row r="21" spans="1:17">
      <c r="B21" s="1181"/>
      <c r="C21" s="1208" t="str">
        <f>"(Line "&amp;A47&amp;")"</f>
        <v>(Line 14)</v>
      </c>
      <c r="D21" s="1208"/>
      <c r="E21" s="1209"/>
      <c r="F21" s="1208"/>
      <c r="G21" s="1211"/>
      <c r="H21" s="1213"/>
      <c r="I21" s="1209"/>
      <c r="N21" s="1182"/>
      <c r="O21" s="1182"/>
      <c r="P21" s="1182"/>
      <c r="Q21" s="1182"/>
    </row>
    <row r="22" spans="1:17">
      <c r="A22" s="1171">
        <v>2</v>
      </c>
      <c r="B22" s="1171" t="s">
        <v>840</v>
      </c>
      <c r="C22" s="1289">
        <v>-23619000</v>
      </c>
      <c r="D22" s="1376">
        <f t="shared" ref="D22:D27" si="0">+C22/C$28</f>
        <v>0.35955791685061428</v>
      </c>
      <c r="E22" s="1192">
        <f t="shared" ref="E22:E27" si="1">ROUND(D22*E$28,0)</f>
        <v>18800564</v>
      </c>
      <c r="F22" s="1291">
        <v>0.10673745715142353</v>
      </c>
      <c r="G22" s="1377">
        <f t="shared" ref="G22:G27" si="2">+C22*F22</f>
        <v>-2521032.0004594726</v>
      </c>
      <c r="H22" s="1377">
        <f t="shared" ref="H22:H27" si="3">+F22*E22</f>
        <v>2006724.3943725959</v>
      </c>
      <c r="I22" s="1192">
        <f t="shared" ref="I22:I27" si="4">+G22-H22</f>
        <v>-4527756.3948320691</v>
      </c>
      <c r="N22" s="1182"/>
      <c r="O22" s="1182"/>
      <c r="P22" s="1182"/>
      <c r="Q22" s="1182"/>
    </row>
    <row r="23" spans="1:17">
      <c r="A23" s="1171">
        <f t="shared" ref="A23:A28" si="5">+A22+1</f>
        <v>3</v>
      </c>
      <c r="B23" s="1171" t="s">
        <v>841</v>
      </c>
      <c r="C23" s="1289">
        <v>-17707000</v>
      </c>
      <c r="D23" s="1376">
        <f t="shared" si="0"/>
        <v>0.2695580690831037</v>
      </c>
      <c r="E23" s="1192">
        <f t="shared" si="1"/>
        <v>14094652</v>
      </c>
      <c r="F23" s="1291">
        <v>4.9222410994021332E-2</v>
      </c>
      <c r="G23" s="1377">
        <f t="shared" si="2"/>
        <v>-871581.23147113575</v>
      </c>
      <c r="H23" s="1377">
        <f t="shared" si="3"/>
        <v>693772.75356170477</v>
      </c>
      <c r="I23" s="1192">
        <f t="shared" si="4"/>
        <v>-1565353.9850328406</v>
      </c>
      <c r="N23" s="1182"/>
      <c r="O23" s="1182"/>
      <c r="P23" s="1182"/>
      <c r="Q23" s="1182"/>
    </row>
    <row r="24" spans="1:17">
      <c r="A24" s="1171">
        <f t="shared" si="5"/>
        <v>4</v>
      </c>
      <c r="B24" s="1171" t="s">
        <v>842</v>
      </c>
      <c r="C24" s="1289">
        <v>-5481000</v>
      </c>
      <c r="D24" s="1376">
        <f t="shared" si="0"/>
        <v>8.3438627471875054E-2</v>
      </c>
      <c r="E24" s="1192">
        <f t="shared" si="1"/>
        <v>4362839</v>
      </c>
      <c r="F24" s="1291">
        <v>9.8163662441221072E-2</v>
      </c>
      <c r="G24" s="1377">
        <f t="shared" si="2"/>
        <v>-538035.03384033265</v>
      </c>
      <c r="H24" s="1377">
        <f t="shared" si="3"/>
        <v>428272.2548813945</v>
      </c>
      <c r="I24" s="1192">
        <f t="shared" si="4"/>
        <v>-966307.28872172721</v>
      </c>
      <c r="N24" s="1182"/>
      <c r="O24" s="1182"/>
      <c r="P24" s="1182"/>
      <c r="Q24" s="1182"/>
    </row>
    <row r="25" spans="1:17">
      <c r="A25" s="1171">
        <f t="shared" si="5"/>
        <v>5</v>
      </c>
      <c r="B25" s="1171" t="s">
        <v>843</v>
      </c>
      <c r="C25" s="1289">
        <v>-551000</v>
      </c>
      <c r="D25" s="1376">
        <f t="shared" si="0"/>
        <v>8.3880101691302961E-3</v>
      </c>
      <c r="E25" s="1192">
        <f t="shared" si="1"/>
        <v>438592</v>
      </c>
      <c r="F25" s="1291">
        <v>0.10628793494571442</v>
      </c>
      <c r="G25" s="1377">
        <f t="shared" si="2"/>
        <v>-58564.652155088646</v>
      </c>
      <c r="H25" s="1377">
        <f t="shared" si="3"/>
        <v>46617.037963710784</v>
      </c>
      <c r="I25" s="1192">
        <f t="shared" si="4"/>
        <v>-105181.69011879942</v>
      </c>
      <c r="N25" s="1182"/>
      <c r="O25" s="1182"/>
      <c r="P25" s="1182"/>
      <c r="Q25" s="1182"/>
    </row>
    <row r="26" spans="1:17">
      <c r="A26" s="1171">
        <f t="shared" si="5"/>
        <v>6</v>
      </c>
      <c r="B26" s="1171" t="s">
        <v>844</v>
      </c>
      <c r="C26" s="1289">
        <v>-17283000</v>
      </c>
      <c r="D26" s="1376">
        <f t="shared" si="0"/>
        <v>0.26310341153008876</v>
      </c>
      <c r="E26" s="1192">
        <f t="shared" si="1"/>
        <v>13757151</v>
      </c>
      <c r="F26" s="1291">
        <v>0.12769052594773625</v>
      </c>
      <c r="G26" s="1377">
        <f t="shared" si="2"/>
        <v>-2206875.3599547255</v>
      </c>
      <c r="H26" s="1377">
        <f t="shared" si="3"/>
        <v>1756657.8467324257</v>
      </c>
      <c r="I26" s="1192">
        <f t="shared" si="4"/>
        <v>-3963533.2066871515</v>
      </c>
      <c r="N26" s="1182"/>
      <c r="O26" s="1182"/>
      <c r="P26" s="1182"/>
      <c r="Q26" s="1182"/>
    </row>
    <row r="27" spans="1:17">
      <c r="A27" s="1171">
        <f t="shared" si="5"/>
        <v>7</v>
      </c>
      <c r="B27" s="1171" t="s">
        <v>845</v>
      </c>
      <c r="C27" s="1290">
        <v>-1048000</v>
      </c>
      <c r="D27" s="1376">
        <f t="shared" si="0"/>
        <v>1.5953964895187932E-2</v>
      </c>
      <c r="E27" s="1216">
        <f t="shared" si="1"/>
        <v>834201</v>
      </c>
      <c r="F27" s="1378">
        <v>2.8640860365162925E-2</v>
      </c>
      <c r="G27" s="1379">
        <f t="shared" si="2"/>
        <v>-30015.621662690744</v>
      </c>
      <c r="H27" s="1379">
        <f t="shared" si="3"/>
        <v>23892.234357479276</v>
      </c>
      <c r="I27" s="1216">
        <f t="shared" si="4"/>
        <v>-53907.856020170017</v>
      </c>
      <c r="N27" s="1182"/>
      <c r="O27" s="1182"/>
      <c r="P27" s="1182"/>
      <c r="Q27" s="1182"/>
    </row>
    <row r="28" spans="1:17">
      <c r="A28" s="1171">
        <f t="shared" si="5"/>
        <v>8</v>
      </c>
      <c r="B28" s="1181" t="str">
        <f>"Sum of Lines "&amp;A22&amp;" to "&amp;A27&amp;""</f>
        <v>Sum of Lines 2 to 7</v>
      </c>
      <c r="C28" s="1192">
        <f>SUM(C22:C27)</f>
        <v>-65689000</v>
      </c>
      <c r="E28" s="1211">
        <f>+E12</f>
        <v>52288000</v>
      </c>
      <c r="F28" s="1211"/>
      <c r="G28" s="1211">
        <f>SUM(G22:G27)</f>
        <v>-6226103.8995434456</v>
      </c>
      <c r="H28" s="1211">
        <f>SUM(H22:H27)</f>
        <v>4955936.5218693111</v>
      </c>
      <c r="I28" s="1211">
        <f>SUM(I22:I27)</f>
        <v>-11182040.421412757</v>
      </c>
      <c r="N28" s="1182"/>
      <c r="O28" s="1182"/>
      <c r="P28" s="1182"/>
      <c r="Q28" s="1182"/>
    </row>
    <row r="29" spans="1:17">
      <c r="C29" s="1192"/>
      <c r="N29" s="1182"/>
      <c r="O29" s="1182"/>
      <c r="P29" s="1182"/>
      <c r="Q29" s="1182"/>
    </row>
    <row r="30" spans="1:17">
      <c r="I30" s="1194"/>
      <c r="N30" s="1182"/>
      <c r="O30" s="1182"/>
      <c r="P30" s="1182"/>
      <c r="Q30" s="1182"/>
    </row>
    <row r="31" spans="1:17">
      <c r="I31" s="1194"/>
      <c r="J31" s="1182"/>
      <c r="K31" s="1182"/>
      <c r="L31" s="1182"/>
      <c r="M31" s="1182"/>
      <c r="N31" s="1182"/>
      <c r="O31" s="1182"/>
      <c r="P31" s="1182"/>
      <c r="Q31" s="1182"/>
    </row>
    <row r="32" spans="1:17">
      <c r="I32" s="1194"/>
      <c r="J32" s="1182"/>
      <c r="K32" s="1182"/>
      <c r="L32" s="1182"/>
      <c r="M32" s="1182"/>
      <c r="N32" s="1182"/>
      <c r="O32" s="1182"/>
      <c r="P32" s="1182"/>
      <c r="Q32" s="1182"/>
    </row>
    <row r="33" spans="1:17">
      <c r="B33" s="1184" t="s">
        <v>854</v>
      </c>
      <c r="F33" s="1185"/>
      <c r="I33" s="1194"/>
      <c r="J33" s="1182"/>
      <c r="K33" s="1182"/>
      <c r="L33" s="1182"/>
      <c r="M33" s="1182"/>
      <c r="N33" s="1182"/>
      <c r="O33" s="1182"/>
      <c r="P33" s="1182"/>
      <c r="Q33" s="1182"/>
    </row>
    <row r="34" spans="1:17">
      <c r="E34" s="1185"/>
      <c r="I34" s="1186"/>
      <c r="J34" s="1182"/>
      <c r="K34" s="1182"/>
      <c r="L34" s="1182"/>
      <c r="M34" s="1182"/>
      <c r="N34" s="1182"/>
      <c r="O34" s="1182"/>
      <c r="P34" s="1182"/>
      <c r="Q34" s="1182"/>
    </row>
    <row r="35" spans="1:17">
      <c r="D35" s="1187" t="s">
        <v>840</v>
      </c>
      <c r="E35" s="1188"/>
      <c r="F35" s="1187" t="s">
        <v>841</v>
      </c>
      <c r="G35" s="1187" t="s">
        <v>842</v>
      </c>
      <c r="H35" s="1187" t="s">
        <v>846</v>
      </c>
      <c r="I35" s="1189" t="s">
        <v>844</v>
      </c>
      <c r="J35" s="1189" t="s">
        <v>845</v>
      </c>
      <c r="K35" s="1189" t="s">
        <v>847</v>
      </c>
      <c r="L35" s="1182"/>
      <c r="M35" s="1182"/>
      <c r="N35" s="1182"/>
      <c r="O35" s="1182"/>
      <c r="P35" s="1182"/>
      <c r="Q35" s="1182"/>
    </row>
    <row r="36" spans="1:17">
      <c r="E36" s="1190"/>
      <c r="I36" s="1182"/>
      <c r="J36" s="1182"/>
      <c r="K36" s="1182"/>
      <c r="L36" s="1182"/>
      <c r="M36" s="1182"/>
      <c r="N36" s="1182"/>
      <c r="O36" s="1182"/>
      <c r="P36" s="1182"/>
      <c r="Q36" s="1182"/>
    </row>
    <row r="37" spans="1:17">
      <c r="A37" s="1171">
        <f>+A28+1</f>
        <v>9</v>
      </c>
      <c r="B37" s="1171" t="s">
        <v>848</v>
      </c>
      <c r="D37" s="1274">
        <v>-19054000</v>
      </c>
      <c r="E37" s="1424"/>
      <c r="F37" s="1274">
        <v>-16769000</v>
      </c>
      <c r="G37" s="1274">
        <v>-4940000</v>
      </c>
      <c r="H37" s="1274">
        <v>-434000</v>
      </c>
      <c r="I37" s="1274">
        <v>-13441000</v>
      </c>
      <c r="J37" s="1274">
        <v>-521000</v>
      </c>
      <c r="K37" s="1191">
        <f>SUM(D37:J37)</f>
        <v>-55159000</v>
      </c>
      <c r="L37" s="1182" t="s">
        <v>114</v>
      </c>
      <c r="M37" s="1182"/>
      <c r="N37" s="1182"/>
      <c r="O37" s="1182"/>
      <c r="P37" s="1182"/>
      <c r="Q37" s="1182"/>
    </row>
    <row r="38" spans="1:17">
      <c r="D38" s="1192"/>
      <c r="E38" s="1190"/>
      <c r="F38" s="1192"/>
      <c r="G38" s="1192"/>
      <c r="H38" s="1192"/>
      <c r="I38" s="1192"/>
      <c r="J38" s="1192"/>
    </row>
    <row r="39" spans="1:17">
      <c r="A39" s="1171">
        <f>+A37+1</f>
        <v>10</v>
      </c>
      <c r="B39" s="1534" t="s">
        <v>849</v>
      </c>
      <c r="C39" s="1534"/>
      <c r="D39" s="1274">
        <v>567000</v>
      </c>
      <c r="E39" s="1273"/>
      <c r="F39" s="1274">
        <v>2049000</v>
      </c>
      <c r="G39" s="1274">
        <v>483000</v>
      </c>
      <c r="H39" s="1274">
        <v>0</v>
      </c>
      <c r="I39" s="1274">
        <v>0</v>
      </c>
      <c r="J39" s="1274">
        <v>-440000</v>
      </c>
      <c r="K39" s="1191"/>
      <c r="L39" s="1182"/>
      <c r="M39" s="1182"/>
      <c r="N39" s="1182"/>
      <c r="O39" s="1182"/>
      <c r="P39" s="1182"/>
      <c r="Q39" s="1182"/>
    </row>
    <row r="40" spans="1:17">
      <c r="B40" s="1534"/>
      <c r="C40" s="1534"/>
      <c r="D40" s="1185"/>
      <c r="E40" s="1190"/>
      <c r="F40" s="1185"/>
      <c r="G40" s="1185"/>
      <c r="H40" s="1185"/>
      <c r="I40" s="1185"/>
      <c r="J40" s="1185"/>
      <c r="K40" s="1194"/>
      <c r="L40" s="1182"/>
      <c r="M40" s="1182"/>
      <c r="N40" s="1182"/>
      <c r="O40" s="1182"/>
      <c r="P40" s="1182"/>
      <c r="Q40" s="1182"/>
    </row>
    <row r="41" spans="1:17">
      <c r="A41" s="1171">
        <f>+A39+1</f>
        <v>11</v>
      </c>
      <c r="B41" s="1171" t="s">
        <v>850</v>
      </c>
      <c r="D41" s="1274">
        <v>0</v>
      </c>
      <c r="E41" s="1273"/>
      <c r="F41" s="1274">
        <v>0</v>
      </c>
      <c r="G41" s="1274">
        <v>0</v>
      </c>
      <c r="H41" s="1274">
        <v>0</v>
      </c>
      <c r="I41" s="1274">
        <v>0</v>
      </c>
      <c r="J41" s="1274">
        <v>0</v>
      </c>
      <c r="K41" s="1191">
        <f>SUM(D41:J41)</f>
        <v>0</v>
      </c>
      <c r="L41" s="1182"/>
      <c r="M41" s="1182"/>
      <c r="N41" s="1182"/>
      <c r="O41" s="1182"/>
      <c r="P41" s="1182"/>
      <c r="Q41" s="1182"/>
    </row>
    <row r="42" spans="1:17">
      <c r="D42" s="1195"/>
      <c r="E42" s="1196"/>
      <c r="F42" s="1195"/>
      <c r="G42" s="1195"/>
      <c r="H42" s="1195"/>
      <c r="I42" s="1197"/>
      <c r="J42" s="1197"/>
      <c r="K42" s="1198"/>
      <c r="L42" s="1182"/>
      <c r="M42" s="1182"/>
      <c r="N42" s="1182"/>
      <c r="O42" s="1182"/>
      <c r="P42" s="1182"/>
      <c r="Q42" s="1182"/>
    </row>
    <row r="43" spans="1:17">
      <c r="A43" s="1171">
        <f>+A41+1</f>
        <v>12</v>
      </c>
      <c r="B43" s="1171" t="str">
        <f>"Net Company Expense (Ln "&amp;A37&amp;" + Ln "&amp;A39&amp;" + Ln  "&amp;A41&amp;")"</f>
        <v>Net Company Expense (Ln 9 + Ln 10 + Ln  11)</v>
      </c>
      <c r="D43" s="1185">
        <f t="shared" ref="D43:J43" si="6">+D37+D41+D39</f>
        <v>-18487000</v>
      </c>
      <c r="E43" s="1199"/>
      <c r="F43" s="1185">
        <f t="shared" si="6"/>
        <v>-14720000</v>
      </c>
      <c r="G43" s="1185">
        <f t="shared" si="6"/>
        <v>-4457000</v>
      </c>
      <c r="H43" s="1185">
        <f t="shared" si="6"/>
        <v>-434000</v>
      </c>
      <c r="I43" s="1185">
        <f t="shared" si="6"/>
        <v>-13441000</v>
      </c>
      <c r="J43" s="1185">
        <f t="shared" si="6"/>
        <v>-961000</v>
      </c>
      <c r="K43" s="1191">
        <f>SUM(D43:J43)</f>
        <v>-52500000</v>
      </c>
      <c r="L43" s="1182"/>
      <c r="M43" s="1182"/>
      <c r="N43" s="1182"/>
      <c r="O43" s="1182"/>
      <c r="P43" s="1182"/>
      <c r="Q43" s="1182"/>
    </row>
    <row r="44" spans="1:17">
      <c r="E44" s="1190"/>
      <c r="G44" s="1185">
        <f>+G40+G42</f>
        <v>0</v>
      </c>
      <c r="I44" s="1182"/>
      <c r="J44" s="1182"/>
      <c r="K44" s="1194"/>
      <c r="L44" s="1200"/>
      <c r="M44" s="1182"/>
      <c r="N44" s="1182"/>
      <c r="O44" s="1182"/>
      <c r="P44" s="1182"/>
      <c r="Q44" s="1182"/>
    </row>
    <row r="45" spans="1:17">
      <c r="A45" s="1171">
        <f>+A43+1</f>
        <v>13</v>
      </c>
      <c r="B45" s="1534" t="s">
        <v>851</v>
      </c>
      <c r="C45" s="1534"/>
      <c r="D45" s="1274">
        <v>-5671000</v>
      </c>
      <c r="E45" s="1273"/>
      <c r="F45" s="1274">
        <v>-3793000</v>
      </c>
      <c r="G45" s="1274">
        <v>-1364000</v>
      </c>
      <c r="H45" s="1274">
        <v>-140000</v>
      </c>
      <c r="I45" s="1274">
        <v>-4292000</v>
      </c>
      <c r="J45" s="1274">
        <v>-115000</v>
      </c>
      <c r="K45" s="1191">
        <f>SUM(D45:J45)</f>
        <v>-15375000</v>
      </c>
      <c r="L45" s="1201" t="s">
        <v>114</v>
      </c>
      <c r="M45" s="1182"/>
      <c r="N45" s="1182"/>
      <c r="O45" s="1182"/>
      <c r="P45" s="1182"/>
      <c r="Q45" s="1182"/>
    </row>
    <row r="46" spans="1:17">
      <c r="B46" s="1534"/>
      <c r="C46" s="1534"/>
      <c r="D46" s="1202"/>
      <c r="E46" s="1190"/>
      <c r="I46" s="1182"/>
      <c r="J46" s="1182"/>
      <c r="K46" s="1194"/>
      <c r="L46" s="1182"/>
      <c r="M46" s="1182"/>
      <c r="N46" s="1182"/>
      <c r="O46" s="1182"/>
      <c r="P46" s="1182"/>
      <c r="Q46" s="1182"/>
    </row>
    <row r="47" spans="1:17" ht="13.5" thickBot="1">
      <c r="A47" s="1171">
        <f>+A45+1</f>
        <v>14</v>
      </c>
      <c r="B47" s="1171" t="str">
        <f>"Company PBOP Expense (Ln "&amp;A43&amp;" + Ln  "&amp;A45&amp;")"</f>
        <v>Company PBOP Expense (Ln 12 + Ln  13)</v>
      </c>
      <c r="D47" s="1203">
        <f>+D45+D41+D39+D37</f>
        <v>-24158000</v>
      </c>
      <c r="E47" s="1204"/>
      <c r="F47" s="1203">
        <f>+F45+F41+F39+F37</f>
        <v>-18513000</v>
      </c>
      <c r="G47" s="1203">
        <f>+G45+G41+G39+G37</f>
        <v>-5821000</v>
      </c>
      <c r="H47" s="1203">
        <f>+H45+H41+H39+H37</f>
        <v>-574000</v>
      </c>
      <c r="I47" s="1203">
        <f>+I45+I41+I39+I37</f>
        <v>-17733000</v>
      </c>
      <c r="J47" s="1203">
        <f>+J45+J41+J39+J37</f>
        <v>-1076000</v>
      </c>
      <c r="K47" s="1205">
        <f>SUM(D47:J47)</f>
        <v>-67875000</v>
      </c>
      <c r="L47" s="1182"/>
      <c r="M47" s="1182"/>
      <c r="N47" s="1182"/>
      <c r="O47" s="1182"/>
      <c r="P47" s="1182"/>
      <c r="Q47" s="1182"/>
    </row>
    <row r="48" spans="1:17" ht="13.5" thickTop="1">
      <c r="I48" s="1182"/>
      <c r="J48" s="1182"/>
      <c r="K48" s="1182"/>
      <c r="L48" s="1182"/>
      <c r="M48" s="1182"/>
      <c r="N48" s="1182"/>
      <c r="O48" s="1182"/>
      <c r="P48" s="1182"/>
      <c r="Q48" s="1182"/>
    </row>
    <row r="49" spans="1:17">
      <c r="A49" s="1535" t="s">
        <v>852</v>
      </c>
      <c r="B49" s="1535"/>
      <c r="C49" s="1535"/>
      <c r="D49" s="1535"/>
      <c r="E49" s="1535"/>
      <c r="F49" s="1535"/>
      <c r="G49" s="1535"/>
      <c r="H49" s="1535"/>
      <c r="I49" s="1535"/>
      <c r="J49" s="1535"/>
      <c r="K49" s="1535"/>
      <c r="L49" s="1206"/>
      <c r="M49" s="1182"/>
      <c r="N49" s="1182"/>
      <c r="O49" s="1182"/>
      <c r="P49" s="1182"/>
      <c r="Q49" s="1182"/>
    </row>
    <row r="50" spans="1:17">
      <c r="A50" s="1535"/>
      <c r="B50" s="1535"/>
      <c r="C50" s="1535"/>
      <c r="D50" s="1535"/>
      <c r="E50" s="1535"/>
      <c r="F50" s="1535"/>
      <c r="G50" s="1535"/>
      <c r="H50" s="1535"/>
      <c r="I50" s="1535"/>
      <c r="J50" s="1535"/>
      <c r="K50" s="1535"/>
      <c r="L50" s="1182"/>
      <c r="M50" s="1182"/>
      <c r="N50" s="1182"/>
      <c r="O50" s="1182"/>
      <c r="P50" s="1182"/>
      <c r="Q50" s="1182"/>
    </row>
    <row r="51" spans="1:17">
      <c r="A51" s="1535"/>
      <c r="B51" s="1535"/>
      <c r="C51" s="1535"/>
      <c r="D51" s="1535"/>
      <c r="E51" s="1535"/>
      <c r="F51" s="1535"/>
      <c r="G51" s="1535"/>
      <c r="H51" s="1535"/>
      <c r="I51" s="1535"/>
      <c r="J51" s="1535"/>
      <c r="K51" s="1535"/>
      <c r="L51" s="1182"/>
      <c r="M51" s="1182"/>
      <c r="N51" s="1182"/>
      <c r="O51" s="1182"/>
      <c r="P51" s="1182"/>
      <c r="Q51" s="1182"/>
    </row>
    <row r="52" spans="1:17">
      <c r="A52" s="1535"/>
      <c r="B52" s="1535"/>
      <c r="C52" s="1535"/>
      <c r="D52" s="1535"/>
      <c r="E52" s="1535"/>
      <c r="F52" s="1535"/>
      <c r="G52" s="1535"/>
      <c r="H52" s="1535"/>
      <c r="I52" s="1535"/>
      <c r="J52" s="1535"/>
      <c r="K52" s="1535"/>
      <c r="Q52" s="1182"/>
    </row>
    <row r="53" spans="1:17">
      <c r="A53" s="1535"/>
      <c r="B53" s="1535"/>
      <c r="C53" s="1535"/>
      <c r="D53" s="1535"/>
      <c r="E53" s="1535"/>
      <c r="F53" s="1535"/>
      <c r="G53" s="1535"/>
      <c r="H53" s="1535"/>
      <c r="I53" s="1535"/>
      <c r="J53" s="1535"/>
      <c r="K53" s="1535"/>
      <c r="Q53" s="1182"/>
    </row>
    <row r="54" spans="1:17">
      <c r="A54" s="1535"/>
      <c r="B54" s="1535"/>
      <c r="C54" s="1535"/>
      <c r="D54" s="1535"/>
      <c r="E54" s="1535"/>
      <c r="F54" s="1535"/>
      <c r="G54" s="1535"/>
      <c r="H54" s="1535"/>
      <c r="I54" s="1535"/>
      <c r="J54" s="1535"/>
      <c r="K54" s="1535"/>
      <c r="Q54" s="1182"/>
    </row>
    <row r="55" spans="1:17">
      <c r="A55" s="1535"/>
      <c r="B55" s="1535"/>
      <c r="C55" s="1535"/>
      <c r="D55" s="1535"/>
      <c r="E55" s="1535"/>
      <c r="F55" s="1535"/>
      <c r="G55" s="1535"/>
      <c r="H55" s="1535"/>
      <c r="I55" s="1535"/>
      <c r="J55" s="1535"/>
      <c r="K55" s="1535"/>
      <c r="Q55" s="1182"/>
    </row>
    <row r="56" spans="1:17">
      <c r="A56" s="1535"/>
      <c r="B56" s="1535"/>
      <c r="C56" s="1535"/>
      <c r="D56" s="1535"/>
      <c r="E56" s="1535"/>
      <c r="F56" s="1535"/>
      <c r="G56" s="1535"/>
      <c r="H56" s="1535"/>
      <c r="I56" s="1535"/>
      <c r="J56" s="1535"/>
      <c r="K56" s="1535"/>
      <c r="Q56" s="1182"/>
    </row>
    <row r="57" spans="1:17">
      <c r="A57" s="1535"/>
      <c r="B57" s="1535"/>
      <c r="C57" s="1535"/>
      <c r="D57" s="1535"/>
      <c r="E57" s="1535"/>
      <c r="F57" s="1535"/>
      <c r="G57" s="1535"/>
      <c r="H57" s="1535"/>
      <c r="I57" s="1535"/>
      <c r="J57" s="1535"/>
      <c r="K57" s="1535"/>
      <c r="Q57" s="1182"/>
    </row>
    <row r="58" spans="1:17">
      <c r="Q58" s="1207"/>
    </row>
    <row r="59" spans="1:17" ht="12.75" customHeight="1">
      <c r="G59" s="1195"/>
      <c r="L59" s="1202"/>
    </row>
    <row r="60" spans="1:17" ht="12.75" customHeight="1"/>
    <row r="61" spans="1:17" ht="12.75" customHeight="1"/>
    <row r="77" spans="13:13">
      <c r="M77" s="1192"/>
    </row>
    <row r="78" spans="13:13">
      <c r="M78" s="1208"/>
    </row>
    <row r="79" spans="13:13">
      <c r="M79" s="1193"/>
    </row>
    <row r="80" spans="13:13" ht="12.75" customHeight="1">
      <c r="M80" s="1193"/>
    </row>
    <row r="81" spans="13:13">
      <c r="M81" s="1193"/>
    </row>
    <row r="82" spans="13:13">
      <c r="M82" s="1193"/>
    </row>
    <row r="83" spans="13:13">
      <c r="M83" s="1209"/>
    </row>
    <row r="84" spans="13:13">
      <c r="M84" s="1209"/>
    </row>
    <row r="85" spans="13:13">
      <c r="M85" s="1192"/>
    </row>
    <row r="86" spans="13:13">
      <c r="M86" s="1192"/>
    </row>
    <row r="87" spans="13:13">
      <c r="M87" s="1192"/>
    </row>
    <row r="88" spans="13:13">
      <c r="M88" s="1192"/>
    </row>
    <row r="89" spans="13:13">
      <c r="M89" s="1192"/>
    </row>
    <row r="90" spans="13:13">
      <c r="M90" s="1192"/>
    </row>
    <row r="91" spans="13:13">
      <c r="M91" s="1210"/>
    </row>
    <row r="92" spans="13:13">
      <c r="M92" s="1211"/>
    </row>
    <row r="94" spans="13:13">
      <c r="M94" s="1192"/>
    </row>
    <row r="99" spans="13:13">
      <c r="M99" s="1192"/>
    </row>
    <row r="100" spans="13:13">
      <c r="M100" s="1208"/>
    </row>
    <row r="101" spans="13:13">
      <c r="M101" s="1193"/>
    </row>
    <row r="102" spans="13:13" ht="12.75" customHeight="1">
      <c r="M102" s="1193"/>
    </row>
    <row r="103" spans="13:13">
      <c r="M103" s="1193"/>
    </row>
    <row r="104" spans="13:13">
      <c r="M104" s="1193"/>
    </row>
    <row r="105" spans="13:13">
      <c r="M105" s="1209"/>
    </row>
    <row r="106" spans="13:13">
      <c r="M106" s="1209"/>
    </row>
    <row r="107" spans="13:13">
      <c r="M107" s="1192"/>
    </row>
    <row r="108" spans="13:13">
      <c r="M108" s="1192"/>
    </row>
    <row r="109" spans="13:13">
      <c r="M109" s="1192"/>
    </row>
    <row r="110" spans="13:13">
      <c r="M110" s="1192"/>
    </row>
    <row r="111" spans="13:13">
      <c r="M111" s="1192"/>
    </row>
    <row r="112" spans="13:13">
      <c r="M112" s="1192"/>
    </row>
    <row r="113" spans="13:13">
      <c r="M113" s="1210"/>
    </row>
    <row r="114" spans="13:13">
      <c r="M114" s="1211"/>
    </row>
    <row r="116" spans="13:13">
      <c r="M116" s="1192"/>
    </row>
    <row r="121" spans="13:13">
      <c r="M121" s="1192"/>
    </row>
    <row r="122" spans="13:13">
      <c r="M122" s="1208"/>
    </row>
    <row r="123" spans="13:13">
      <c r="M123" s="1193"/>
    </row>
    <row r="124" spans="13:13" ht="12.75" customHeight="1">
      <c r="M124" s="1193"/>
    </row>
    <row r="125" spans="13:13">
      <c r="M125" s="1193"/>
    </row>
    <row r="126" spans="13:13">
      <c r="M126" s="1193"/>
    </row>
    <row r="127" spans="13:13">
      <c r="M127" s="1209"/>
    </row>
    <row r="128" spans="13:13">
      <c r="M128" s="1209"/>
    </row>
    <row r="129" spans="13:13">
      <c r="M129" s="1192"/>
    </row>
    <row r="130" spans="13:13">
      <c r="M130" s="1192"/>
    </row>
    <row r="131" spans="13:13">
      <c r="M131" s="1192"/>
    </row>
    <row r="132" spans="13:13">
      <c r="M132" s="1192"/>
    </row>
    <row r="133" spans="13:13">
      <c r="M133" s="1192"/>
    </row>
    <row r="134" spans="13:13">
      <c r="M134" s="1192"/>
    </row>
    <row r="135" spans="13:13">
      <c r="M135" s="1210"/>
    </row>
    <row r="136" spans="13:13">
      <c r="M136" s="1211"/>
    </row>
    <row r="138" spans="13:13">
      <c r="M138" s="1192"/>
    </row>
    <row r="143" spans="13:13">
      <c r="M143" s="1192"/>
    </row>
    <row r="144" spans="13:13">
      <c r="M144" s="1208"/>
    </row>
    <row r="145" spans="13:13">
      <c r="M145" s="1193"/>
    </row>
    <row r="146" spans="13:13" ht="12.75" customHeight="1">
      <c r="M146" s="1193"/>
    </row>
    <row r="147" spans="13:13">
      <c r="M147" s="1193"/>
    </row>
    <row r="148" spans="13:13">
      <c r="M148" s="1193"/>
    </row>
    <row r="149" spans="13:13">
      <c r="M149" s="1209"/>
    </row>
    <row r="150" spans="13:13">
      <c r="M150" s="1209"/>
    </row>
    <row r="151" spans="13:13">
      <c r="M151" s="1192"/>
    </row>
    <row r="152" spans="13:13">
      <c r="M152" s="1192"/>
    </row>
    <row r="153" spans="13:13">
      <c r="M153" s="1192"/>
    </row>
    <row r="154" spans="13:13">
      <c r="M154" s="1192"/>
    </row>
    <row r="155" spans="13:13">
      <c r="M155" s="1192"/>
    </row>
    <row r="156" spans="13:13">
      <c r="M156" s="1192"/>
    </row>
    <row r="157" spans="13:13">
      <c r="M157" s="1210"/>
    </row>
    <row r="158" spans="13:13">
      <c r="M158" s="1211"/>
    </row>
    <row r="160" spans="13:13">
      <c r="M160" s="1192"/>
    </row>
    <row r="165" spans="13:13">
      <c r="M165" s="1192"/>
    </row>
    <row r="166" spans="13:13">
      <c r="M166" s="1208"/>
    </row>
    <row r="167" spans="13:13" ht="12.75" customHeight="1">
      <c r="M167" s="1193"/>
    </row>
    <row r="168" spans="13:13" ht="12.75" customHeight="1">
      <c r="M168" s="1193"/>
    </row>
    <row r="169" spans="13:13">
      <c r="M169" s="1193"/>
    </row>
    <row r="170" spans="13:13" ht="12.75" customHeight="1">
      <c r="M170" s="1193"/>
    </row>
    <row r="171" spans="13:13">
      <c r="M171" s="1209"/>
    </row>
    <row r="172" spans="13:13">
      <c r="M172" s="1209"/>
    </row>
    <row r="173" spans="13:13">
      <c r="M173" s="1192"/>
    </row>
    <row r="174" spans="13:13">
      <c r="M174" s="1192"/>
    </row>
    <row r="175" spans="13:13">
      <c r="M175" s="1192"/>
    </row>
    <row r="176" spans="13:13">
      <c r="M176" s="1192"/>
    </row>
    <row r="177" spans="13:13">
      <c r="M177" s="1192"/>
    </row>
    <row r="178" spans="13:13">
      <c r="M178" s="1192"/>
    </row>
    <row r="179" spans="13:13">
      <c r="M179" s="1210"/>
    </row>
    <row r="180" spans="13:13">
      <c r="M180" s="1211"/>
    </row>
    <row r="182" spans="13:13">
      <c r="M182" s="1192"/>
    </row>
  </sheetData>
  <mergeCells count="16">
    <mergeCell ref="B39:C40"/>
    <mergeCell ref="B45:C46"/>
    <mergeCell ref="A49:K57"/>
    <mergeCell ref="C15:E15"/>
    <mergeCell ref="C16:C18"/>
    <mergeCell ref="D16:D18"/>
    <mergeCell ref="E16:E18"/>
    <mergeCell ref="I16:I18"/>
    <mergeCell ref="F17:F18"/>
    <mergeCell ref="H17:H18"/>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S56"/>
  <sheetViews>
    <sheetView defaultGridColor="0" colorId="22" zoomScale="70" zoomScaleNormal="70" workbookViewId="0">
      <selection activeCell="Q28" sqref="Q28"/>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874" t="s">
        <v>114</v>
      </c>
      <c r="B1" s="767"/>
      <c r="C1" s="767"/>
      <c r="D1" s="767"/>
      <c r="E1" s="767"/>
      <c r="F1" s="767"/>
      <c r="G1" s="270"/>
      <c r="H1" s="767"/>
      <c r="I1" s="767"/>
      <c r="J1" s="767"/>
      <c r="K1" s="767"/>
      <c r="L1" s="767"/>
      <c r="M1" s="767"/>
      <c r="N1" s="767"/>
      <c r="O1" s="767"/>
      <c r="P1" s="767"/>
      <c r="Q1" s="767"/>
      <c r="R1" s="767"/>
      <c r="S1" s="767"/>
    </row>
    <row r="2" spans="1:19" ht="15.75">
      <c r="A2" s="874" t="s">
        <v>114</v>
      </c>
      <c r="B2" s="767"/>
      <c r="C2" s="767"/>
      <c r="D2" s="767"/>
      <c r="E2" s="767"/>
      <c r="F2" s="767"/>
      <c r="G2" s="270"/>
      <c r="H2" s="767"/>
      <c r="I2" s="767"/>
      <c r="J2" s="767"/>
      <c r="K2" s="767"/>
      <c r="L2" s="767"/>
      <c r="M2" s="767"/>
      <c r="N2" s="767"/>
      <c r="O2" s="767"/>
      <c r="P2" s="767"/>
      <c r="Q2" s="767"/>
      <c r="R2" s="767"/>
      <c r="S2" s="767"/>
    </row>
    <row r="3" spans="1:19" ht="19.5">
      <c r="A3" s="1538" t="s">
        <v>391</v>
      </c>
      <c r="B3" s="1538"/>
      <c r="C3" s="1538"/>
      <c r="D3" s="1538"/>
      <c r="E3" s="1538"/>
      <c r="F3" s="1538"/>
      <c r="G3" s="1538"/>
      <c r="H3" s="1538"/>
      <c r="I3" s="1538"/>
      <c r="J3" s="1538"/>
      <c r="K3" s="1538"/>
      <c r="L3" s="1538"/>
      <c r="M3" s="1538"/>
      <c r="N3" s="1538"/>
      <c r="O3" s="1538"/>
      <c r="P3" s="766"/>
      <c r="Q3" s="766"/>
      <c r="R3" s="766"/>
      <c r="S3" s="766"/>
    </row>
    <row r="4" spans="1:19" ht="19.5">
      <c r="A4" s="1538" t="s">
        <v>392</v>
      </c>
      <c r="B4" s="1538"/>
      <c r="C4" s="1538"/>
      <c r="D4" s="1538"/>
      <c r="E4" s="1538"/>
      <c r="F4" s="1538"/>
      <c r="G4" s="1538"/>
      <c r="H4" s="1538"/>
      <c r="I4" s="1538"/>
      <c r="J4" s="1538"/>
      <c r="K4" s="1538"/>
      <c r="L4" s="1538"/>
      <c r="M4" s="1538"/>
      <c r="N4" s="1538"/>
      <c r="O4" s="1538"/>
      <c r="P4" s="766"/>
      <c r="Q4" s="766"/>
      <c r="R4" s="766"/>
      <c r="S4" s="766"/>
    </row>
    <row r="5" spans="1:19" ht="19.5">
      <c r="A5" s="1538" t="s">
        <v>393</v>
      </c>
      <c r="B5" s="1538"/>
      <c r="C5" s="1538"/>
      <c r="D5" s="1538"/>
      <c r="E5" s="1538"/>
      <c r="F5" s="1538"/>
      <c r="G5" s="1538"/>
      <c r="H5" s="1538"/>
      <c r="I5" s="1538"/>
      <c r="J5" s="1538"/>
      <c r="K5" s="1538"/>
      <c r="L5" s="1538"/>
      <c r="M5" s="1538"/>
      <c r="N5" s="1538"/>
      <c r="O5" s="1538"/>
      <c r="P5" s="766"/>
      <c r="Q5" s="766"/>
      <c r="R5" s="766"/>
      <c r="S5" s="766"/>
    </row>
    <row r="6" spans="1:19" ht="19.5">
      <c r="A6" s="1538" t="s">
        <v>394</v>
      </c>
      <c r="B6" s="1538"/>
      <c r="C6" s="1538"/>
      <c r="D6" s="1538"/>
      <c r="E6" s="1538"/>
      <c r="F6" s="1538"/>
      <c r="G6" s="1538"/>
      <c r="H6" s="1538"/>
      <c r="I6" s="1538"/>
      <c r="J6" s="1538"/>
      <c r="K6" s="1538"/>
      <c r="L6" s="1538"/>
      <c r="M6" s="1538"/>
      <c r="N6" s="1538"/>
      <c r="O6" s="1538"/>
      <c r="P6" s="766"/>
      <c r="Q6" s="766"/>
      <c r="R6" s="766"/>
      <c r="S6" s="766"/>
    </row>
    <row r="7" spans="1:19" ht="19.5">
      <c r="A7" s="1538" t="s">
        <v>1008</v>
      </c>
      <c r="B7" s="1538"/>
      <c r="C7" s="1538"/>
      <c r="D7" s="1538"/>
      <c r="E7" s="1538"/>
      <c r="F7" s="1538"/>
      <c r="G7" s="1538"/>
      <c r="H7" s="1538"/>
      <c r="I7" s="1538"/>
      <c r="J7" s="1538"/>
      <c r="K7" s="1538"/>
      <c r="L7" s="1538"/>
      <c r="M7" s="1538"/>
      <c r="N7" s="1538"/>
      <c r="O7" s="1538"/>
      <c r="P7" s="766"/>
      <c r="Q7" s="766"/>
      <c r="R7" s="766"/>
      <c r="S7" s="766"/>
    </row>
    <row r="8" spans="1:19" ht="19.5">
      <c r="A8" s="1538" t="s">
        <v>395</v>
      </c>
      <c r="B8" s="1538"/>
      <c r="C8" s="1538"/>
      <c r="D8" s="1538"/>
      <c r="E8" s="1538"/>
      <c r="F8" s="1538"/>
      <c r="G8" s="1538"/>
      <c r="H8" s="1538"/>
      <c r="I8" s="1538"/>
      <c r="J8" s="1538"/>
      <c r="K8" s="1538"/>
      <c r="L8" s="1538"/>
      <c r="M8" s="1538"/>
      <c r="N8" s="1538"/>
      <c r="O8" s="1538"/>
      <c r="P8" s="766"/>
      <c r="Q8" s="766"/>
      <c r="R8" s="766"/>
      <c r="S8" s="766"/>
    </row>
    <row r="9" spans="1:19" ht="19.5">
      <c r="A9" s="1539" t="s">
        <v>1009</v>
      </c>
      <c r="B9" s="1538"/>
      <c r="C9" s="1538"/>
      <c r="D9" s="1538"/>
      <c r="E9" s="1538"/>
      <c r="F9" s="1538"/>
      <c r="G9" s="1538"/>
      <c r="H9" s="1538"/>
      <c r="I9" s="1538"/>
      <c r="J9" s="1538"/>
      <c r="K9" s="1538"/>
      <c r="L9" s="1538"/>
      <c r="M9" s="1538"/>
      <c r="N9" s="1538"/>
      <c r="O9" s="1538"/>
      <c r="P9" s="766"/>
      <c r="Q9" s="766"/>
      <c r="R9" s="766"/>
      <c r="S9" s="766"/>
    </row>
    <row r="10" spans="1:19" ht="19.5">
      <c r="A10" s="1540"/>
      <c r="B10" s="1540"/>
      <c r="C10" s="1540"/>
      <c r="D10" s="1540"/>
      <c r="E10" s="1540"/>
      <c r="F10" s="1540"/>
      <c r="G10" s="1540"/>
      <c r="H10" s="1540"/>
      <c r="I10" s="1540"/>
      <c r="J10" s="1540"/>
      <c r="K10" s="1540"/>
      <c r="L10" s="1540"/>
      <c r="M10" s="1540"/>
      <c r="N10" s="1540"/>
      <c r="O10" s="1540"/>
      <c r="P10" s="1294"/>
      <c r="Q10" s="1294"/>
      <c r="R10" s="1294"/>
      <c r="S10" s="1294"/>
    </row>
    <row r="11" spans="1:19" ht="15">
      <c r="A11" s="767"/>
      <c r="B11" s="767"/>
      <c r="C11" s="767"/>
      <c r="D11" s="767"/>
      <c r="E11" s="767"/>
      <c r="F11" s="767"/>
      <c r="G11" s="270"/>
      <c r="H11" s="767"/>
      <c r="I11" s="767"/>
      <c r="J11" s="767"/>
      <c r="K11" s="767"/>
      <c r="L11" s="767"/>
      <c r="M11" s="767"/>
      <c r="N11" s="767"/>
      <c r="O11" s="767"/>
      <c r="P11" s="767"/>
      <c r="Q11" s="767"/>
      <c r="R11" s="767"/>
      <c r="S11" s="767"/>
    </row>
    <row r="12" spans="1:19" ht="16.5" thickBot="1">
      <c r="A12" s="768"/>
      <c r="B12" s="768"/>
      <c r="C12" s="1541" t="s">
        <v>599</v>
      </c>
      <c r="D12" s="1541"/>
      <c r="E12" s="1541"/>
      <c r="F12" s="768"/>
      <c r="G12" s="1541" t="s">
        <v>600</v>
      </c>
      <c r="H12" s="1541"/>
      <c r="I12" s="1541"/>
      <c r="J12" s="768"/>
      <c r="K12" s="1541" t="s">
        <v>396</v>
      </c>
      <c r="L12" s="1541"/>
      <c r="M12" s="1541"/>
      <c r="N12" s="768"/>
      <c r="O12" s="1541" t="s">
        <v>601</v>
      </c>
      <c r="P12" s="1541"/>
      <c r="Q12" s="1541"/>
      <c r="R12" s="768"/>
      <c r="S12" s="1384" t="s">
        <v>397</v>
      </c>
    </row>
    <row r="13" spans="1:19" ht="15">
      <c r="A13" s="768"/>
      <c r="B13" s="768"/>
      <c r="C13" s="769" t="s">
        <v>121</v>
      </c>
      <c r="D13" s="770"/>
      <c r="E13" s="770"/>
      <c r="F13" s="770"/>
      <c r="G13" s="771" t="s">
        <v>122</v>
      </c>
      <c r="H13" s="772"/>
      <c r="I13" s="772"/>
      <c r="J13" s="772"/>
      <c r="K13" s="773" t="s">
        <v>123</v>
      </c>
      <c r="L13" s="772"/>
      <c r="M13" s="772"/>
      <c r="N13" s="772"/>
      <c r="O13" s="774" t="s">
        <v>124</v>
      </c>
      <c r="P13" s="772"/>
      <c r="Q13" s="772"/>
      <c r="R13" s="772"/>
      <c r="S13" s="772"/>
    </row>
    <row r="14" spans="1:19" ht="15">
      <c r="A14" s="768"/>
      <c r="B14" s="768"/>
      <c r="C14" s="769" t="s">
        <v>114</v>
      </c>
      <c r="D14" s="770"/>
      <c r="E14" s="769" t="s">
        <v>398</v>
      </c>
      <c r="F14" s="770"/>
      <c r="G14" s="771" t="s">
        <v>602</v>
      </c>
      <c r="H14" s="770"/>
      <c r="I14" s="769" t="s">
        <v>398</v>
      </c>
      <c r="J14" s="770"/>
      <c r="K14" s="767"/>
      <c r="L14" s="770"/>
      <c r="M14" s="769" t="s">
        <v>398</v>
      </c>
      <c r="N14" s="770"/>
      <c r="O14" s="767"/>
      <c r="P14" s="770"/>
      <c r="Q14" s="769" t="s">
        <v>398</v>
      </c>
      <c r="R14" s="770"/>
      <c r="S14" s="769" t="s">
        <v>398</v>
      </c>
    </row>
    <row r="15" spans="1:19" ht="15">
      <c r="A15" s="768"/>
      <c r="B15" s="769" t="s">
        <v>399</v>
      </c>
      <c r="C15" s="769" t="s">
        <v>603</v>
      </c>
      <c r="D15" s="769" t="s">
        <v>400</v>
      </c>
      <c r="E15" s="769" t="s">
        <v>401</v>
      </c>
      <c r="F15" s="770"/>
      <c r="G15" s="771" t="s">
        <v>402</v>
      </c>
      <c r="H15" s="769" t="s">
        <v>400</v>
      </c>
      <c r="I15" s="769" t="s">
        <v>401</v>
      </c>
      <c r="J15" s="770"/>
      <c r="K15" s="769" t="s">
        <v>80</v>
      </c>
      <c r="L15" s="769" t="s">
        <v>400</v>
      </c>
      <c r="M15" s="769" t="s">
        <v>401</v>
      </c>
      <c r="N15" s="770"/>
      <c r="O15" s="769" t="s">
        <v>80</v>
      </c>
      <c r="P15" s="769" t="s">
        <v>400</v>
      </c>
      <c r="Q15" s="769" t="s">
        <v>401</v>
      </c>
      <c r="R15" s="770"/>
      <c r="S15" s="769" t="s">
        <v>401</v>
      </c>
    </row>
    <row r="16" spans="1:19" ht="15">
      <c r="A16" s="769"/>
      <c r="B16" s="769" t="s">
        <v>403</v>
      </c>
      <c r="C16" s="769" t="s">
        <v>404</v>
      </c>
      <c r="D16" s="769" t="s">
        <v>604</v>
      </c>
      <c r="E16" s="769" t="s">
        <v>405</v>
      </c>
      <c r="F16" s="770"/>
      <c r="G16" s="771" t="s">
        <v>404</v>
      </c>
      <c r="H16" s="769" t="s">
        <v>604</v>
      </c>
      <c r="I16" s="769" t="s">
        <v>405</v>
      </c>
      <c r="J16" s="770"/>
      <c r="K16" s="769" t="s">
        <v>404</v>
      </c>
      <c r="L16" s="769" t="s">
        <v>604</v>
      </c>
      <c r="M16" s="769" t="s">
        <v>405</v>
      </c>
      <c r="N16" s="770"/>
      <c r="O16" s="769" t="s">
        <v>404</v>
      </c>
      <c r="P16" s="769" t="s">
        <v>604</v>
      </c>
      <c r="Q16" s="769" t="s">
        <v>405</v>
      </c>
      <c r="R16" s="770"/>
      <c r="S16" s="769" t="s">
        <v>405</v>
      </c>
    </row>
    <row r="17" spans="1:19" ht="15">
      <c r="A17" s="767"/>
      <c r="B17" s="767"/>
      <c r="C17" s="767"/>
      <c r="D17" s="767"/>
      <c r="E17" s="767"/>
      <c r="F17" s="767"/>
      <c r="G17" s="270"/>
      <c r="H17" s="767"/>
      <c r="I17" s="767"/>
      <c r="J17" s="767"/>
      <c r="K17" s="767"/>
      <c r="L17" s="767"/>
      <c r="M17" s="767"/>
      <c r="N17" s="767"/>
      <c r="O17" s="767"/>
      <c r="P17" s="767"/>
      <c r="Q17" s="767"/>
      <c r="R17" s="767"/>
      <c r="S17" s="767"/>
    </row>
    <row r="18" spans="1:19" ht="15.75" thickBot="1">
      <c r="A18" s="775"/>
      <c r="B18" s="768"/>
      <c r="C18" s="264"/>
      <c r="D18" s="768"/>
      <c r="E18" s="768"/>
      <c r="F18" s="768"/>
      <c r="G18" s="264"/>
      <c r="H18" s="768"/>
      <c r="I18" s="768"/>
      <c r="J18" s="768"/>
      <c r="K18" s="303"/>
      <c r="L18" s="768"/>
      <c r="M18" s="768"/>
      <c r="N18" s="768"/>
      <c r="O18" s="303"/>
      <c r="P18" s="768"/>
      <c r="Q18" s="768"/>
      <c r="R18" s="768"/>
      <c r="S18" s="768"/>
    </row>
    <row r="19" spans="1:19" ht="15">
      <c r="A19" s="776" t="s">
        <v>406</v>
      </c>
      <c r="B19" s="777"/>
      <c r="C19" s="265"/>
      <c r="D19" s="266"/>
      <c r="E19" s="267"/>
      <c r="F19" s="777"/>
      <c r="G19" s="265"/>
      <c r="H19" s="268"/>
      <c r="I19" s="267"/>
      <c r="J19" s="777"/>
      <c r="K19" s="777"/>
      <c r="L19" s="268"/>
      <c r="M19" s="267"/>
      <c r="N19" s="777"/>
      <c r="O19" s="777"/>
      <c r="P19" s="266"/>
      <c r="Q19" s="267"/>
      <c r="R19" s="777"/>
      <c r="S19" s="267"/>
    </row>
    <row r="20" spans="1:19" ht="15">
      <c r="A20" s="778" t="s">
        <v>605</v>
      </c>
      <c r="B20" s="269">
        <v>350.1</v>
      </c>
      <c r="C20" s="264">
        <v>6.5839999999999996E-3</v>
      </c>
      <c r="D20" s="1304">
        <v>1</v>
      </c>
      <c r="E20" s="264">
        <f>ROUND((C20*D20),4)</f>
        <v>6.6E-3</v>
      </c>
      <c r="F20" s="1307"/>
      <c r="G20" s="264"/>
      <c r="H20" s="1305"/>
      <c r="I20" s="270"/>
      <c r="J20" s="1307"/>
      <c r="K20" s="264"/>
      <c r="L20" s="1305"/>
      <c r="M20" s="1306"/>
      <c r="N20" s="1307"/>
      <c r="O20" s="264"/>
      <c r="P20" s="1304"/>
      <c r="Q20" s="1306"/>
      <c r="R20" s="1307"/>
      <c r="S20" s="264">
        <f>ROUND((((E20+I20)+M20)+Q20),4)</f>
        <v>6.6E-3</v>
      </c>
    </row>
    <row r="21" spans="1:19" ht="15">
      <c r="A21" s="778" t="s">
        <v>606</v>
      </c>
      <c r="B21" s="269">
        <v>351</v>
      </c>
      <c r="C21" s="264"/>
      <c r="D21" s="1304"/>
      <c r="E21" s="264"/>
      <c r="F21" s="1307"/>
      <c r="G21" s="264">
        <v>0.14219999999999999</v>
      </c>
      <c r="H21" s="1305">
        <v>1</v>
      </c>
      <c r="I21" s="264">
        <f>ROUND((G21*H21),4)</f>
        <v>0.14219999999999999</v>
      </c>
      <c r="J21" s="1307"/>
      <c r="K21" s="264"/>
      <c r="L21" s="1305"/>
      <c r="M21" s="1306"/>
      <c r="N21" s="1307"/>
      <c r="O21" s="264"/>
      <c r="P21" s="1304"/>
      <c r="Q21" s="1306"/>
      <c r="R21" s="1307"/>
      <c r="S21" s="264">
        <f>I21</f>
        <v>0.14219999999999999</v>
      </c>
    </row>
    <row r="22" spans="1:19" ht="15">
      <c r="A22" s="779" t="s">
        <v>407</v>
      </c>
      <c r="B22" s="269">
        <v>352</v>
      </c>
      <c r="C22" s="264">
        <v>1.9900000000000001E-2</v>
      </c>
      <c r="D22" s="271">
        <v>0.49482100000000001</v>
      </c>
      <c r="E22" s="264">
        <f t="shared" ref="E22:E28" si="0">ROUND((C22*D22),4)</f>
        <v>9.7999999999999997E-3</v>
      </c>
      <c r="F22" s="1307"/>
      <c r="G22" s="264">
        <v>1.6199999999999999E-2</v>
      </c>
      <c r="H22" s="271">
        <v>0.41108299999999998</v>
      </c>
      <c r="I22" s="264">
        <f t="shared" ref="I22:I28" si="1">ROUND((G22*H22),4)</f>
        <v>6.7000000000000002E-3</v>
      </c>
      <c r="J22" s="1307"/>
      <c r="K22" s="264">
        <v>2.1899999999999999E-2</v>
      </c>
      <c r="L22" s="271">
        <v>3.6533000000000003E-2</v>
      </c>
      <c r="M22" s="264">
        <f t="shared" ref="M22:M28" si="2">ROUND((K22*L22),4)</f>
        <v>8.0000000000000004E-4</v>
      </c>
      <c r="N22" s="1307"/>
      <c r="O22" s="264">
        <v>2.1899999999999999E-2</v>
      </c>
      <c r="P22" s="271">
        <v>5.7563000000000003E-2</v>
      </c>
      <c r="Q22" s="264">
        <f t="shared" ref="Q22:Q28" si="3">ROUND((O22*P22),4)</f>
        <v>1.2999999999999999E-3</v>
      </c>
      <c r="R22" s="1307"/>
      <c r="S22" s="264">
        <f t="shared" ref="S22:S28" si="4">ROUND((((E22+I22)+M22)+Q22),4)</f>
        <v>1.8599999999999998E-2</v>
      </c>
    </row>
    <row r="23" spans="1:19" ht="15">
      <c r="A23" s="779" t="s">
        <v>408</v>
      </c>
      <c r="B23" s="269">
        <v>353</v>
      </c>
      <c r="C23" s="264">
        <v>2.7E-2</v>
      </c>
      <c r="D23" s="271">
        <v>0.49482100000000001</v>
      </c>
      <c r="E23" s="264">
        <f t="shared" si="0"/>
        <v>1.34E-2</v>
      </c>
      <c r="F23" s="1307"/>
      <c r="G23" s="264">
        <v>2.3699999999999999E-2</v>
      </c>
      <c r="H23" s="271">
        <v>0.41108299999999998</v>
      </c>
      <c r="I23" s="264">
        <f t="shared" si="1"/>
        <v>9.7000000000000003E-3</v>
      </c>
      <c r="J23" s="1307"/>
      <c r="K23" s="264">
        <v>2.1899999999999999E-2</v>
      </c>
      <c r="L23" s="271">
        <v>3.6533000000000003E-2</v>
      </c>
      <c r="M23" s="264">
        <f t="shared" si="2"/>
        <v>8.0000000000000004E-4</v>
      </c>
      <c r="N23" s="1307"/>
      <c r="O23" s="264">
        <v>2.1899999999999999E-2</v>
      </c>
      <c r="P23" s="271">
        <v>5.7563000000000003E-2</v>
      </c>
      <c r="Q23" s="264">
        <f t="shared" si="3"/>
        <v>1.2999999999999999E-3</v>
      </c>
      <c r="R23" s="1307"/>
      <c r="S23" s="264">
        <f t="shared" si="4"/>
        <v>2.52E-2</v>
      </c>
    </row>
    <row r="24" spans="1:19" ht="15">
      <c r="A24" s="779" t="s">
        <v>409</v>
      </c>
      <c r="B24" s="269">
        <v>354</v>
      </c>
      <c r="C24" s="264">
        <v>1.6400000000000001E-2</v>
      </c>
      <c r="D24" s="271">
        <v>0.49482100000000001</v>
      </c>
      <c r="E24" s="264">
        <f t="shared" si="0"/>
        <v>8.0999999999999996E-3</v>
      </c>
      <c r="F24" s="1307"/>
      <c r="G24" s="264">
        <v>1.5900000000000001E-2</v>
      </c>
      <c r="H24" s="271">
        <v>0.41108299999999998</v>
      </c>
      <c r="I24" s="264">
        <f t="shared" si="1"/>
        <v>6.4999999999999997E-3</v>
      </c>
      <c r="J24" s="1307"/>
      <c r="K24" s="264">
        <v>2.1899999999999999E-2</v>
      </c>
      <c r="L24" s="271">
        <v>3.6533000000000003E-2</v>
      </c>
      <c r="M24" s="264">
        <f t="shared" si="2"/>
        <v>8.0000000000000004E-4</v>
      </c>
      <c r="N24" s="1307"/>
      <c r="O24" s="264">
        <v>2.1899999999999999E-2</v>
      </c>
      <c r="P24" s="271">
        <v>5.7563000000000003E-2</v>
      </c>
      <c r="Q24" s="264">
        <f t="shared" si="3"/>
        <v>1.2999999999999999E-3</v>
      </c>
      <c r="R24" s="1307"/>
      <c r="S24" s="264">
        <f t="shared" si="4"/>
        <v>1.67E-2</v>
      </c>
    </row>
    <row r="25" spans="1:19" ht="15">
      <c r="A25" s="779" t="s">
        <v>410</v>
      </c>
      <c r="B25" s="269">
        <v>355</v>
      </c>
      <c r="C25" s="264">
        <v>3.4599999999999999E-2</v>
      </c>
      <c r="D25" s="271">
        <v>0.49482100000000001</v>
      </c>
      <c r="E25" s="264">
        <f t="shared" si="0"/>
        <v>1.7100000000000001E-2</v>
      </c>
      <c r="F25" s="1307"/>
      <c r="G25" s="264">
        <v>2.7099999999999999E-2</v>
      </c>
      <c r="H25" s="271">
        <v>0.41108299999999998</v>
      </c>
      <c r="I25" s="264">
        <f t="shared" si="1"/>
        <v>1.11E-2</v>
      </c>
      <c r="J25" s="1307"/>
      <c r="K25" s="264">
        <v>2.1899999999999999E-2</v>
      </c>
      <c r="L25" s="271">
        <v>3.6533000000000003E-2</v>
      </c>
      <c r="M25" s="264">
        <f t="shared" si="2"/>
        <v>8.0000000000000004E-4</v>
      </c>
      <c r="N25" s="1307"/>
      <c r="O25" s="264">
        <v>2.1899999999999999E-2</v>
      </c>
      <c r="P25" s="271">
        <v>5.7563000000000003E-2</v>
      </c>
      <c r="Q25" s="264">
        <f t="shared" si="3"/>
        <v>1.2999999999999999E-3</v>
      </c>
      <c r="R25" s="1307"/>
      <c r="S25" s="264">
        <f t="shared" si="4"/>
        <v>3.0300000000000001E-2</v>
      </c>
    </row>
    <row r="26" spans="1:19" ht="15">
      <c r="A26" s="779" t="s">
        <v>607</v>
      </c>
      <c r="B26" s="269">
        <v>356</v>
      </c>
      <c r="C26" s="264">
        <v>1.6500000000000001E-2</v>
      </c>
      <c r="D26" s="271">
        <v>0.49482100000000001</v>
      </c>
      <c r="E26" s="264">
        <f t="shared" si="0"/>
        <v>8.2000000000000007E-3</v>
      </c>
      <c r="F26" s="1307"/>
      <c r="G26" s="264">
        <v>1.5299999999999999E-2</v>
      </c>
      <c r="H26" s="271">
        <v>0.41108299999999998</v>
      </c>
      <c r="I26" s="264">
        <f t="shared" si="1"/>
        <v>6.3E-3</v>
      </c>
      <c r="J26" s="1307"/>
      <c r="K26" s="264">
        <v>2.1899999999999999E-2</v>
      </c>
      <c r="L26" s="271">
        <v>3.6533000000000003E-2</v>
      </c>
      <c r="M26" s="264">
        <f t="shared" si="2"/>
        <v>8.0000000000000004E-4</v>
      </c>
      <c r="N26" s="1307"/>
      <c r="O26" s="264">
        <v>2.1899999999999999E-2</v>
      </c>
      <c r="P26" s="271">
        <v>5.7563000000000003E-2</v>
      </c>
      <c r="Q26" s="264">
        <f t="shared" si="3"/>
        <v>1.2999999999999999E-3</v>
      </c>
      <c r="R26" s="1307"/>
      <c r="S26" s="264">
        <f t="shared" si="4"/>
        <v>1.66E-2</v>
      </c>
    </row>
    <row r="27" spans="1:19" ht="15">
      <c r="A27" s="779" t="s">
        <v>411</v>
      </c>
      <c r="B27" s="269">
        <v>357</v>
      </c>
      <c r="C27" s="264">
        <v>2.4899999999999999E-2</v>
      </c>
      <c r="D27" s="271">
        <v>0.49482100000000001</v>
      </c>
      <c r="E27" s="264">
        <f t="shared" si="0"/>
        <v>1.23E-2</v>
      </c>
      <c r="F27" s="1307"/>
      <c r="G27" s="264">
        <v>3.7100000000000001E-2</v>
      </c>
      <c r="H27" s="271">
        <v>0.41108299999999998</v>
      </c>
      <c r="I27" s="264">
        <f t="shared" si="1"/>
        <v>1.5299999999999999E-2</v>
      </c>
      <c r="J27" s="1307"/>
      <c r="K27" s="264">
        <v>2.1899999999999999E-2</v>
      </c>
      <c r="L27" s="271">
        <v>3.6533000000000003E-2</v>
      </c>
      <c r="M27" s="264">
        <f t="shared" si="2"/>
        <v>8.0000000000000004E-4</v>
      </c>
      <c r="N27" s="1307"/>
      <c r="O27" s="264">
        <v>2.1899999999999999E-2</v>
      </c>
      <c r="P27" s="271">
        <v>5.7563000000000003E-2</v>
      </c>
      <c r="Q27" s="264">
        <f t="shared" si="3"/>
        <v>1.2999999999999999E-3</v>
      </c>
      <c r="R27" s="1307"/>
      <c r="S27" s="264">
        <f t="shared" si="4"/>
        <v>2.9700000000000001E-2</v>
      </c>
    </row>
    <row r="28" spans="1:19" ht="15">
      <c r="A28" s="779" t="s">
        <v>412</v>
      </c>
      <c r="B28" s="269">
        <v>358</v>
      </c>
      <c r="C28" s="264">
        <v>4.7199999999999999E-2</v>
      </c>
      <c r="D28" s="271">
        <v>0.49482100000000001</v>
      </c>
      <c r="E28" s="264">
        <f t="shared" si="0"/>
        <v>2.3400000000000001E-2</v>
      </c>
      <c r="F28" s="1307"/>
      <c r="G28" s="264">
        <v>5.2400000000000002E-2</v>
      </c>
      <c r="H28" s="271">
        <v>0.41108299999999998</v>
      </c>
      <c r="I28" s="264">
        <f t="shared" si="1"/>
        <v>2.1499999999999998E-2</v>
      </c>
      <c r="J28" s="1307"/>
      <c r="K28" s="303">
        <v>2.1899999999999999E-2</v>
      </c>
      <c r="L28" s="271">
        <v>3.6533000000000003E-2</v>
      </c>
      <c r="M28" s="264">
        <f t="shared" si="2"/>
        <v>8.0000000000000004E-4</v>
      </c>
      <c r="N28" s="1307"/>
      <c r="O28" s="303">
        <v>2.1899999999999999E-2</v>
      </c>
      <c r="P28" s="271">
        <v>5.7563000000000003E-2</v>
      </c>
      <c r="Q28" s="264">
        <f t="shared" si="3"/>
        <v>1.2999999999999999E-3</v>
      </c>
      <c r="R28" s="1307"/>
      <c r="S28" s="264">
        <f t="shared" si="4"/>
        <v>4.7E-2</v>
      </c>
    </row>
    <row r="29" spans="1:19" ht="15.75" thickBot="1">
      <c r="A29" s="779"/>
      <c r="B29" s="1307"/>
      <c r="C29" s="303"/>
      <c r="D29" s="1304"/>
      <c r="E29" s="1306"/>
      <c r="F29" s="1307"/>
      <c r="G29" s="303"/>
      <c r="H29" s="1304"/>
      <c r="I29" s="1306"/>
      <c r="J29" s="1307"/>
      <c r="K29" s="303"/>
      <c r="L29" s="1304"/>
      <c r="M29" s="1306"/>
      <c r="N29" s="1307"/>
      <c r="O29" s="303"/>
      <c r="P29" s="1304"/>
      <c r="Q29" s="264"/>
      <c r="R29" s="1307"/>
      <c r="S29" s="264"/>
    </row>
    <row r="30" spans="1:19" ht="15">
      <c r="A30" s="1295" t="s">
        <v>919</v>
      </c>
      <c r="B30" s="1308"/>
      <c r="C30" s="1309"/>
      <c r="D30" s="1310"/>
      <c r="E30" s="1311"/>
      <c r="F30" s="1308"/>
      <c r="G30" s="1309"/>
      <c r="H30" s="1310"/>
      <c r="I30" s="1311"/>
      <c r="J30" s="1308"/>
      <c r="K30" s="1308"/>
      <c r="L30" s="1310"/>
      <c r="M30" s="1311"/>
      <c r="N30" s="1308"/>
      <c r="O30" s="1308"/>
      <c r="P30" s="1310"/>
      <c r="Q30" s="1311"/>
      <c r="R30" s="1308"/>
      <c r="S30" s="1312"/>
    </row>
    <row r="31" spans="1:19" ht="15">
      <c r="A31" s="778" t="s">
        <v>811</v>
      </c>
      <c r="B31" s="269">
        <v>390</v>
      </c>
      <c r="C31" s="264">
        <v>1.89E-2</v>
      </c>
      <c r="D31" s="1304">
        <v>0.523756</v>
      </c>
      <c r="E31" s="264">
        <f t="shared" ref="E31:E39" si="5">ROUND((C31*D31),4)</f>
        <v>9.9000000000000008E-3</v>
      </c>
      <c r="F31" s="1307"/>
      <c r="G31" s="264">
        <v>1.9099999999999999E-2</v>
      </c>
      <c r="H31" s="1305">
        <v>0.42594100000000001</v>
      </c>
      <c r="I31" s="264">
        <f t="shared" ref="I31:I39" si="6">ROUND((G31*H31),4)</f>
        <v>8.0999999999999996E-3</v>
      </c>
      <c r="J31" s="1307"/>
      <c r="K31" s="264">
        <v>3.4300000000000004E-2</v>
      </c>
      <c r="L31" s="1305">
        <v>1.9295E-2</v>
      </c>
      <c r="M31" s="264">
        <f t="shared" ref="M31:M39" si="7">ROUND((K31*L31),4)</f>
        <v>6.9999999999999999E-4</v>
      </c>
      <c r="N31" s="1307"/>
      <c r="O31" s="264">
        <v>3.4300000000000004E-2</v>
      </c>
      <c r="P31" s="1304">
        <v>3.1008999999999998E-2</v>
      </c>
      <c r="Q31" s="264">
        <f t="shared" ref="Q31:Q39" si="8">ROUND((O31*P31),4)</f>
        <v>1.1000000000000001E-3</v>
      </c>
      <c r="R31" s="1307"/>
      <c r="S31" s="264">
        <f t="shared" ref="S31:S39" si="9">ROUND((((E31+I31)+M31)+Q31),4)</f>
        <v>1.9800000000000002E-2</v>
      </c>
    </row>
    <row r="32" spans="1:19" ht="15">
      <c r="A32" s="778" t="s">
        <v>812</v>
      </c>
      <c r="B32" s="269">
        <v>391</v>
      </c>
      <c r="C32" s="264">
        <v>3.2099999999999997E-2</v>
      </c>
      <c r="D32" s="1304">
        <v>0.523756</v>
      </c>
      <c r="E32" s="264">
        <f t="shared" si="5"/>
        <v>1.6799999999999999E-2</v>
      </c>
      <c r="F32" s="1307"/>
      <c r="G32" s="264">
        <v>3.1699999999999999E-2</v>
      </c>
      <c r="H32" s="1305">
        <v>0.42594100000000001</v>
      </c>
      <c r="I32" s="264">
        <f t="shared" si="6"/>
        <v>1.35E-2</v>
      </c>
      <c r="J32" s="1307"/>
      <c r="K32" s="264">
        <v>3.4300000000000004E-2</v>
      </c>
      <c r="L32" s="1305">
        <v>1.9295E-2</v>
      </c>
      <c r="M32" s="264">
        <f t="shared" si="7"/>
        <v>6.9999999999999999E-4</v>
      </c>
      <c r="N32" s="1307"/>
      <c r="O32" s="264">
        <v>3.4300000000000004E-2</v>
      </c>
      <c r="P32" s="1304">
        <v>3.1008999999999998E-2</v>
      </c>
      <c r="Q32" s="264">
        <f t="shared" si="8"/>
        <v>1.1000000000000001E-3</v>
      </c>
      <c r="R32" s="1307"/>
      <c r="S32" s="264">
        <f t="shared" si="9"/>
        <v>3.2099999999999997E-2</v>
      </c>
    </row>
    <row r="33" spans="1:19" ht="15">
      <c r="A33" s="778" t="s">
        <v>920</v>
      </c>
      <c r="B33" s="269">
        <v>392</v>
      </c>
      <c r="C33" s="264">
        <v>3.4599999999999999E-2</v>
      </c>
      <c r="D33" s="271">
        <v>0.523756</v>
      </c>
      <c r="E33" s="264">
        <f t="shared" si="5"/>
        <v>1.8100000000000002E-2</v>
      </c>
      <c r="F33" s="1307"/>
      <c r="G33" s="264">
        <v>3.4000000000000002E-2</v>
      </c>
      <c r="H33" s="271">
        <v>0.42594100000000001</v>
      </c>
      <c r="I33" s="264">
        <f t="shared" si="6"/>
        <v>1.4500000000000001E-2</v>
      </c>
      <c r="J33" s="1307"/>
      <c r="K33" s="264">
        <v>3.4300000000000004E-2</v>
      </c>
      <c r="L33" s="271">
        <v>1.9295E-2</v>
      </c>
      <c r="M33" s="264">
        <f t="shared" si="7"/>
        <v>6.9999999999999999E-4</v>
      </c>
      <c r="N33" s="1307"/>
      <c r="O33" s="264">
        <v>3.4300000000000004E-2</v>
      </c>
      <c r="P33" s="271">
        <v>3.1008999999999998E-2</v>
      </c>
      <c r="Q33" s="264">
        <f t="shared" si="8"/>
        <v>1.1000000000000001E-3</v>
      </c>
      <c r="R33" s="1307"/>
      <c r="S33" s="264">
        <f t="shared" si="9"/>
        <v>3.44E-2</v>
      </c>
    </row>
    <row r="34" spans="1:19" ht="15">
      <c r="A34" s="778" t="s">
        <v>813</v>
      </c>
      <c r="B34" s="269">
        <v>393</v>
      </c>
      <c r="C34" s="264">
        <v>1.78E-2</v>
      </c>
      <c r="D34" s="271">
        <v>0.523756</v>
      </c>
      <c r="E34" s="264">
        <f t="shared" si="5"/>
        <v>9.2999999999999992E-3</v>
      </c>
      <c r="F34" s="1307"/>
      <c r="G34" s="264">
        <v>1.7999999999999999E-2</v>
      </c>
      <c r="H34" s="271">
        <v>0.42594100000000001</v>
      </c>
      <c r="I34" s="264">
        <f t="shared" si="6"/>
        <v>7.7000000000000002E-3</v>
      </c>
      <c r="J34" s="1307"/>
      <c r="K34" s="264">
        <v>3.4300000000000004E-2</v>
      </c>
      <c r="L34" s="271">
        <v>1.9295E-2</v>
      </c>
      <c r="M34" s="264">
        <f t="shared" si="7"/>
        <v>6.9999999999999999E-4</v>
      </c>
      <c r="N34" s="1307"/>
      <c r="O34" s="264">
        <v>3.4300000000000004E-2</v>
      </c>
      <c r="P34" s="271">
        <v>3.1008999999999998E-2</v>
      </c>
      <c r="Q34" s="264">
        <f t="shared" si="8"/>
        <v>1.1000000000000001E-3</v>
      </c>
      <c r="R34" s="1307"/>
      <c r="S34" s="264">
        <f t="shared" si="9"/>
        <v>1.8800000000000001E-2</v>
      </c>
    </row>
    <row r="35" spans="1:19" ht="15.75" customHeight="1">
      <c r="A35" s="778" t="s">
        <v>814</v>
      </c>
      <c r="B35" s="269">
        <v>394</v>
      </c>
      <c r="C35" s="264">
        <v>2.5899999999999999E-2</v>
      </c>
      <c r="D35" s="271">
        <v>0.523756</v>
      </c>
      <c r="E35" s="264">
        <f t="shared" si="5"/>
        <v>1.3599999999999999E-2</v>
      </c>
      <c r="F35" s="1307"/>
      <c r="G35" s="264">
        <v>2.5700000000000001E-2</v>
      </c>
      <c r="H35" s="271">
        <v>0.42594100000000001</v>
      </c>
      <c r="I35" s="264">
        <f t="shared" si="6"/>
        <v>1.09E-2</v>
      </c>
      <c r="J35" s="1307"/>
      <c r="K35" s="264">
        <v>3.4300000000000004E-2</v>
      </c>
      <c r="L35" s="271">
        <v>1.9295E-2</v>
      </c>
      <c r="M35" s="264">
        <f t="shared" si="7"/>
        <v>6.9999999999999999E-4</v>
      </c>
      <c r="N35" s="1307"/>
      <c r="O35" s="264">
        <v>3.4300000000000004E-2</v>
      </c>
      <c r="P35" s="271">
        <v>3.1008999999999998E-2</v>
      </c>
      <c r="Q35" s="264">
        <f t="shared" si="8"/>
        <v>1.1000000000000001E-3</v>
      </c>
      <c r="R35" s="1307"/>
      <c r="S35" s="264">
        <f t="shared" si="9"/>
        <v>2.63E-2</v>
      </c>
    </row>
    <row r="36" spans="1:19" ht="15.75" customHeight="1">
      <c r="A36" s="778" t="s">
        <v>815</v>
      </c>
      <c r="B36" s="269">
        <v>395</v>
      </c>
      <c r="C36" s="264">
        <v>3.8699999999999998E-2</v>
      </c>
      <c r="D36" s="271">
        <v>0.523756</v>
      </c>
      <c r="E36" s="264">
        <f t="shared" si="5"/>
        <v>2.0299999999999999E-2</v>
      </c>
      <c r="F36" s="1307"/>
      <c r="G36" s="264">
        <v>4.0099999999999997E-2</v>
      </c>
      <c r="H36" s="271">
        <v>0.42594100000000001</v>
      </c>
      <c r="I36" s="264">
        <f t="shared" si="6"/>
        <v>1.7100000000000001E-2</v>
      </c>
      <c r="J36" s="1307"/>
      <c r="K36" s="264">
        <v>3.4300000000000004E-2</v>
      </c>
      <c r="L36" s="271">
        <v>1.9295E-2</v>
      </c>
      <c r="M36" s="264">
        <f t="shared" si="7"/>
        <v>6.9999999999999999E-4</v>
      </c>
      <c r="N36" s="1307"/>
      <c r="O36" s="264">
        <v>3.4300000000000004E-2</v>
      </c>
      <c r="P36" s="271">
        <v>3.1008999999999998E-2</v>
      </c>
      <c r="Q36" s="264">
        <f t="shared" si="8"/>
        <v>1.1000000000000001E-3</v>
      </c>
      <c r="R36" s="1307"/>
      <c r="S36" s="264">
        <f t="shared" si="9"/>
        <v>3.9199999999999999E-2</v>
      </c>
    </row>
    <row r="37" spans="1:19" ht="15.75" customHeight="1">
      <c r="A37" s="778" t="s">
        <v>921</v>
      </c>
      <c r="B37" s="269">
        <v>396</v>
      </c>
      <c r="C37" s="264">
        <v>0</v>
      </c>
      <c r="D37" s="271">
        <v>0.523756</v>
      </c>
      <c r="E37" s="264">
        <f t="shared" si="5"/>
        <v>0</v>
      </c>
      <c r="F37" s="1307"/>
      <c r="G37" s="264">
        <v>3.9E-2</v>
      </c>
      <c r="H37" s="271">
        <v>0.42594100000000001</v>
      </c>
      <c r="I37" s="264">
        <f t="shared" si="6"/>
        <v>1.66E-2</v>
      </c>
      <c r="J37" s="1307"/>
      <c r="K37" s="264">
        <v>3.4300000000000004E-2</v>
      </c>
      <c r="L37" s="271">
        <v>1.9295E-2</v>
      </c>
      <c r="M37" s="264">
        <f t="shared" si="7"/>
        <v>6.9999999999999999E-4</v>
      </c>
      <c r="N37" s="1307"/>
      <c r="O37" s="264">
        <v>3.4300000000000004E-2</v>
      </c>
      <c r="P37" s="271">
        <v>3.1008999999999998E-2</v>
      </c>
      <c r="Q37" s="264">
        <f t="shared" si="8"/>
        <v>1.1000000000000001E-3</v>
      </c>
      <c r="R37" s="1307"/>
      <c r="S37" s="264">
        <f t="shared" si="9"/>
        <v>1.84E-2</v>
      </c>
    </row>
    <row r="38" spans="1:19" ht="15">
      <c r="A38" s="778" t="s">
        <v>816</v>
      </c>
      <c r="B38" s="269">
        <v>397</v>
      </c>
      <c r="C38" s="264">
        <v>5.0500000000000003E-2</v>
      </c>
      <c r="D38" s="271">
        <v>0.523756</v>
      </c>
      <c r="E38" s="264">
        <f t="shared" si="5"/>
        <v>2.64E-2</v>
      </c>
      <c r="F38" s="1307"/>
      <c r="G38" s="264">
        <v>4.9799999999999997E-2</v>
      </c>
      <c r="H38" s="271">
        <v>0.42594100000000001</v>
      </c>
      <c r="I38" s="264">
        <f t="shared" si="6"/>
        <v>2.12E-2</v>
      </c>
      <c r="J38" s="1307"/>
      <c r="K38" s="264">
        <v>3.4300000000000004E-2</v>
      </c>
      <c r="L38" s="271">
        <v>1.9295E-2</v>
      </c>
      <c r="M38" s="264">
        <f t="shared" si="7"/>
        <v>6.9999999999999999E-4</v>
      </c>
      <c r="N38" s="1307"/>
      <c r="O38" s="264">
        <v>3.4300000000000004E-2</v>
      </c>
      <c r="P38" s="271">
        <v>3.1008999999999998E-2</v>
      </c>
      <c r="Q38" s="264">
        <f t="shared" si="8"/>
        <v>1.1000000000000001E-3</v>
      </c>
      <c r="R38" s="1307"/>
      <c r="S38" s="264">
        <f t="shared" si="9"/>
        <v>4.9399999999999999E-2</v>
      </c>
    </row>
    <row r="39" spans="1:19" ht="15">
      <c r="A39" s="778" t="s">
        <v>817</v>
      </c>
      <c r="B39" s="269">
        <v>398</v>
      </c>
      <c r="C39" s="264">
        <v>2.6700000000000002E-2</v>
      </c>
      <c r="D39" s="271">
        <v>0.523756</v>
      </c>
      <c r="E39" s="264">
        <f t="shared" si="5"/>
        <v>1.4E-2</v>
      </c>
      <c r="F39" s="1307"/>
      <c r="G39" s="264">
        <v>2.7E-2</v>
      </c>
      <c r="H39" s="271">
        <v>0.42594100000000001</v>
      </c>
      <c r="I39" s="264">
        <f t="shared" si="6"/>
        <v>1.15E-2</v>
      </c>
      <c r="J39" s="1307"/>
      <c r="K39" s="303">
        <v>3.4300000000000004E-2</v>
      </c>
      <c r="L39" s="271">
        <v>1.9295E-2</v>
      </c>
      <c r="M39" s="264">
        <f t="shared" si="7"/>
        <v>6.9999999999999999E-4</v>
      </c>
      <c r="N39" s="1307"/>
      <c r="O39" s="303">
        <v>3.4300000000000004E-2</v>
      </c>
      <c r="P39" s="271">
        <v>3.1008999999999998E-2</v>
      </c>
      <c r="Q39" s="264">
        <f t="shared" si="8"/>
        <v>1.1000000000000001E-3</v>
      </c>
      <c r="R39" s="1307"/>
      <c r="S39" s="264">
        <f t="shared" si="9"/>
        <v>2.7300000000000001E-2</v>
      </c>
    </row>
    <row r="40" spans="1:19" ht="15.75" thickBot="1">
      <c r="A40" s="1296"/>
      <c r="B40" s="1297"/>
      <c r="C40" s="1298"/>
      <c r="D40" s="1299"/>
      <c r="E40" s="1300"/>
      <c r="F40" s="1297"/>
      <c r="G40" s="1300"/>
      <c r="H40" s="1299"/>
      <c r="I40" s="1300"/>
      <c r="J40" s="1297"/>
      <c r="K40" s="1298"/>
      <c r="L40" s="1299"/>
      <c r="M40" s="1300"/>
      <c r="N40" s="1297"/>
      <c r="O40" s="1298"/>
      <c r="P40" s="1299"/>
      <c r="Q40" s="1300"/>
      <c r="R40" s="1297"/>
      <c r="S40" s="1300"/>
    </row>
    <row r="41" spans="1:19" ht="15">
      <c r="A41" s="767"/>
      <c r="B41" s="768"/>
      <c r="C41" s="264"/>
      <c r="D41" s="767"/>
      <c r="E41" s="767"/>
      <c r="F41" s="767"/>
      <c r="G41" s="270"/>
      <c r="H41" s="767"/>
      <c r="I41" s="767"/>
      <c r="J41" s="767"/>
      <c r="K41" s="767"/>
      <c r="L41" s="767"/>
      <c r="M41" s="767"/>
      <c r="N41" s="767"/>
      <c r="O41" s="767"/>
      <c r="P41" s="767"/>
      <c r="Q41" s="767"/>
      <c r="R41" s="767"/>
      <c r="S41" s="767"/>
    </row>
    <row r="42" spans="1:19" ht="15" customHeight="1">
      <c r="A42" s="767" t="s">
        <v>1010</v>
      </c>
      <c r="B42" s="780"/>
      <c r="C42" s="272"/>
      <c r="D42" s="780"/>
      <c r="E42" s="767"/>
      <c r="F42" s="781" t="s">
        <v>123</v>
      </c>
      <c r="G42" s="270" t="s">
        <v>1011</v>
      </c>
      <c r="H42" s="768"/>
      <c r="I42" s="767"/>
      <c r="J42" s="767"/>
      <c r="K42" s="767"/>
      <c r="L42" s="781"/>
      <c r="M42" s="767"/>
      <c r="N42" s="767"/>
      <c r="O42" s="767"/>
      <c r="P42" s="767"/>
      <c r="Q42" s="767"/>
      <c r="R42" s="767"/>
      <c r="S42" s="767"/>
    </row>
    <row r="43" spans="1:19" ht="15.75">
      <c r="A43" s="767" t="s">
        <v>1012</v>
      </c>
      <c r="B43" s="780"/>
      <c r="C43" s="272"/>
      <c r="D43" s="780"/>
      <c r="E43" s="780"/>
      <c r="F43" s="782"/>
      <c r="G43" s="270"/>
      <c r="H43" s="768"/>
      <c r="I43" s="767"/>
      <c r="J43" s="767"/>
      <c r="K43" s="767"/>
      <c r="L43" s="767"/>
      <c r="M43" s="767"/>
      <c r="N43" s="767"/>
      <c r="O43" s="767"/>
      <c r="P43" s="767"/>
      <c r="Q43" s="767"/>
      <c r="R43" s="767"/>
      <c r="S43" s="767"/>
    </row>
    <row r="44" spans="1:19" ht="15" customHeight="1">
      <c r="A44" s="767"/>
      <c r="B44" s="780"/>
      <c r="C44" s="272"/>
      <c r="D44" s="783"/>
      <c r="E44" s="783"/>
      <c r="F44" s="781" t="s">
        <v>608</v>
      </c>
      <c r="G44" s="270" t="s">
        <v>1013</v>
      </c>
      <c r="H44" s="767"/>
      <c r="I44" s="767"/>
      <c r="J44" s="767"/>
      <c r="K44" s="767"/>
      <c r="L44" s="767"/>
      <c r="M44" s="767"/>
      <c r="N44" s="767"/>
      <c r="O44" s="767"/>
      <c r="P44" s="767"/>
      <c r="Q44" s="767"/>
      <c r="R44" s="767"/>
      <c r="S44" s="767"/>
    </row>
    <row r="45" spans="1:19" ht="15.75">
      <c r="A45" s="767" t="s">
        <v>1014</v>
      </c>
      <c r="B45" s="780"/>
      <c r="C45" s="272"/>
      <c r="D45" s="780"/>
      <c r="E45" s="780"/>
      <c r="F45" s="782"/>
      <c r="G45" s="270"/>
      <c r="H45" s="768"/>
      <c r="I45" s="767"/>
      <c r="J45" s="767"/>
      <c r="K45" s="767"/>
      <c r="L45" s="767"/>
      <c r="M45" s="767"/>
      <c r="N45" s="767"/>
      <c r="O45" s="767"/>
      <c r="P45" s="767"/>
      <c r="Q45" s="767"/>
      <c r="R45" s="767"/>
      <c r="S45" s="767"/>
    </row>
    <row r="46" spans="1:19" ht="15.75">
      <c r="A46" s="767" t="s">
        <v>1015</v>
      </c>
      <c r="B46" s="780"/>
      <c r="C46" s="272"/>
      <c r="D46" s="780"/>
      <c r="E46" s="780"/>
      <c r="F46" s="781" t="s">
        <v>609</v>
      </c>
      <c r="G46" s="1542" t="s">
        <v>610</v>
      </c>
      <c r="H46" s="1542"/>
      <c r="I46" s="1542"/>
      <c r="J46" s="1542"/>
      <c r="K46" s="1542"/>
      <c r="L46" s="1542"/>
      <c r="M46" s="767"/>
      <c r="N46" s="767"/>
      <c r="O46" s="767"/>
      <c r="P46" s="767"/>
      <c r="Q46" s="767"/>
      <c r="R46" s="767"/>
      <c r="S46" s="767"/>
    </row>
    <row r="47" spans="1:19" ht="15.75">
      <c r="A47" s="767"/>
      <c r="B47" s="780"/>
      <c r="C47" s="272"/>
      <c r="D47" s="780"/>
      <c r="E47" s="780"/>
      <c r="F47" s="781"/>
      <c r="G47" s="1542" t="s">
        <v>611</v>
      </c>
      <c r="H47" s="1542"/>
      <c r="I47" s="1542"/>
      <c r="J47" s="1542"/>
      <c r="K47" s="1542"/>
      <c r="L47" s="1542"/>
      <c r="M47" s="767"/>
      <c r="N47" s="767"/>
      <c r="O47" s="767"/>
      <c r="P47" s="767"/>
      <c r="Q47" s="767"/>
      <c r="R47" s="767"/>
      <c r="S47" s="767"/>
    </row>
    <row r="48" spans="1:19" ht="15.75">
      <c r="A48" s="767"/>
      <c r="B48" s="780"/>
      <c r="C48" s="272"/>
      <c r="D48" s="780"/>
      <c r="E48" s="780"/>
      <c r="F48" s="781"/>
      <c r="G48" s="1542" t="s">
        <v>612</v>
      </c>
      <c r="H48" s="1542"/>
      <c r="I48" s="1542"/>
      <c r="J48" s="1542"/>
      <c r="K48" s="1542"/>
      <c r="L48" s="1542"/>
      <c r="M48" s="767"/>
      <c r="N48" s="767"/>
      <c r="O48" s="767"/>
      <c r="P48" s="767"/>
      <c r="Q48" s="767"/>
      <c r="R48" s="767"/>
      <c r="S48" s="767"/>
    </row>
    <row r="49" spans="1:19" ht="15.75">
      <c r="A49" s="784"/>
      <c r="B49" s="768"/>
      <c r="C49" s="264"/>
      <c r="D49" s="767"/>
      <c r="E49" s="767"/>
      <c r="F49" s="767"/>
      <c r="G49" s="1542" t="s">
        <v>114</v>
      </c>
      <c r="H49" s="1542"/>
      <c r="I49" s="1542"/>
      <c r="J49" s="1542"/>
      <c r="K49" s="1542"/>
      <c r="L49" s="1542"/>
      <c r="M49" s="767"/>
      <c r="N49" s="767"/>
      <c r="O49" s="767"/>
      <c r="P49" s="767"/>
      <c r="Q49" s="767"/>
      <c r="R49" s="767"/>
      <c r="S49" s="767"/>
    </row>
    <row r="50" spans="1:19" ht="15.75">
      <c r="A50" s="784"/>
      <c r="B50" s="768"/>
      <c r="C50" s="264"/>
      <c r="D50" s="767"/>
      <c r="E50" s="767"/>
      <c r="F50" s="781" t="s">
        <v>613</v>
      </c>
      <c r="G50" s="1542" t="s">
        <v>1016</v>
      </c>
      <c r="H50" s="1542"/>
      <c r="I50" s="1542"/>
      <c r="J50" s="1542"/>
      <c r="K50" s="1542"/>
      <c r="L50" s="1542"/>
      <c r="M50" s="767"/>
      <c r="N50" s="767"/>
      <c r="O50" s="767"/>
      <c r="P50" s="767"/>
      <c r="Q50" s="767"/>
      <c r="R50" s="767"/>
      <c r="S50" s="767"/>
    </row>
    <row r="51" spans="1:19" ht="15.75">
      <c r="A51" s="784" t="s">
        <v>413</v>
      </c>
      <c r="B51" s="768"/>
      <c r="C51" s="264"/>
      <c r="D51" s="767"/>
      <c r="E51" s="767"/>
      <c r="F51" s="767"/>
      <c r="G51" s="767" t="s">
        <v>1017</v>
      </c>
      <c r="H51" s="767"/>
      <c r="I51" s="767"/>
      <c r="J51" s="767"/>
      <c r="K51" s="767"/>
      <c r="L51" s="767"/>
      <c r="M51" s="767"/>
      <c r="N51" s="767"/>
      <c r="O51" s="785"/>
      <c r="P51" s="767"/>
      <c r="Q51" s="767"/>
      <c r="R51" s="767"/>
      <c r="S51" s="767"/>
    </row>
    <row r="52" spans="1:19" ht="15">
      <c r="A52" s="1301" t="s">
        <v>29</v>
      </c>
      <c r="B52" s="1302"/>
      <c r="C52" s="1302"/>
      <c r="D52" s="1303"/>
      <c r="E52" s="767"/>
      <c r="F52" s="767"/>
      <c r="G52" s="270"/>
      <c r="H52" s="767"/>
      <c r="I52" s="767"/>
      <c r="J52" s="767"/>
      <c r="K52" s="767"/>
      <c r="L52" s="767"/>
      <c r="M52" s="767"/>
      <c r="N52" s="767"/>
      <c r="O52" s="785"/>
      <c r="P52" s="767"/>
      <c r="Q52" s="767"/>
      <c r="R52" s="767"/>
      <c r="S52" s="767"/>
    </row>
    <row r="53" spans="1:19" ht="15">
      <c r="A53" s="1543" t="s">
        <v>614</v>
      </c>
      <c r="B53" s="1544"/>
      <c r="C53" s="1544"/>
      <c r="D53" s="1544"/>
      <c r="E53" s="1544"/>
      <c r="F53" s="1544"/>
      <c r="G53" s="1544"/>
      <c r="H53" s="1544"/>
      <c r="I53" s="1544"/>
      <c r="J53" s="1544"/>
      <c r="K53" s="1544"/>
      <c r="L53" s="1544"/>
      <c r="M53" s="1544"/>
      <c r="N53" s="1544"/>
      <c r="O53" s="767"/>
      <c r="P53" s="767"/>
      <c r="Q53" s="767"/>
      <c r="R53" s="767"/>
      <c r="S53" s="767"/>
    </row>
    <row r="54" spans="1:19" ht="15">
      <c r="A54" s="1544"/>
      <c r="B54" s="1544"/>
      <c r="C54" s="1544"/>
      <c r="D54" s="1544"/>
      <c r="E54" s="1544"/>
      <c r="F54" s="1544"/>
      <c r="G54" s="1544"/>
      <c r="H54" s="1544"/>
      <c r="I54" s="1544"/>
      <c r="J54" s="1544"/>
      <c r="K54" s="1544"/>
      <c r="L54" s="1544"/>
      <c r="M54" s="1544"/>
      <c r="N54" s="1544"/>
      <c r="O54" s="767"/>
      <c r="P54" s="767"/>
      <c r="Q54" s="767"/>
      <c r="R54" s="767"/>
      <c r="S54" s="767"/>
    </row>
    <row r="55" spans="1:19" ht="15">
      <c r="A55" s="1442" t="s">
        <v>826</v>
      </c>
      <c r="B55" s="1442"/>
      <c r="C55" s="1442"/>
      <c r="D55" s="1442"/>
      <c r="E55" s="1442"/>
      <c r="F55" s="1442"/>
      <c r="G55" s="1442"/>
      <c r="H55" s="1442"/>
      <c r="I55" s="1442"/>
      <c r="J55" s="1442"/>
      <c r="K55" s="1442"/>
      <c r="L55" s="1442"/>
      <c r="M55" s="1442"/>
      <c r="N55" s="1442"/>
      <c r="O55" s="767"/>
      <c r="P55" s="767"/>
      <c r="Q55" s="767"/>
      <c r="R55" s="767"/>
      <c r="S55" s="767"/>
    </row>
    <row r="56" spans="1:19" ht="15">
      <c r="A56" s="1442"/>
      <c r="B56" s="1442"/>
      <c r="C56" s="1442"/>
      <c r="D56" s="1442"/>
      <c r="E56" s="1442"/>
      <c r="F56" s="1442"/>
      <c r="G56" s="1442"/>
      <c r="H56" s="1442"/>
      <c r="I56" s="1442"/>
      <c r="J56" s="1442"/>
      <c r="K56" s="1442"/>
      <c r="L56" s="1442"/>
      <c r="M56" s="1442"/>
      <c r="N56" s="1442"/>
      <c r="O56" s="767"/>
      <c r="P56" s="767"/>
      <c r="Q56" s="767"/>
      <c r="R56" s="767"/>
      <c r="S56" s="767"/>
    </row>
  </sheetData>
  <mergeCells count="19">
    <mergeCell ref="A55:N56"/>
    <mergeCell ref="G46:L46"/>
    <mergeCell ref="G47:L47"/>
    <mergeCell ref="G48:L48"/>
    <mergeCell ref="G49:L49"/>
    <mergeCell ref="G50:L50"/>
    <mergeCell ref="A53:N54"/>
    <mergeCell ref="A9:O9"/>
    <mergeCell ref="A10:O10"/>
    <mergeCell ref="C12:E12"/>
    <mergeCell ref="G12:I12"/>
    <mergeCell ref="K12:M12"/>
    <mergeCell ref="O12:Q12"/>
    <mergeCell ref="A8:O8"/>
    <mergeCell ref="A3:O3"/>
    <mergeCell ref="A4:O4"/>
    <mergeCell ref="A5:O5"/>
    <mergeCell ref="A6:O6"/>
    <mergeCell ref="A7:O7"/>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K59"/>
  <sheetViews>
    <sheetView view="pageBreakPreview" zoomScale="60" zoomScaleNormal="70" workbookViewId="0">
      <selection activeCell="Q28" sqref="Q28"/>
    </sheetView>
  </sheetViews>
  <sheetFormatPr defaultColWidth="9.140625" defaultRowHeight="12.75"/>
  <cols>
    <col min="1" max="1" width="34.28515625" style="1130" customWidth="1"/>
    <col min="2" max="2" width="9.140625" style="1130"/>
    <col min="3" max="3" width="11.85546875" style="1130" customWidth="1"/>
    <col min="4" max="4" width="18.28515625" style="1130" customWidth="1"/>
    <col min="5" max="5" width="12.5703125" style="1130" customWidth="1"/>
    <col min="6" max="6" width="9.140625" style="1130"/>
    <col min="7" max="7" width="12.140625" style="1130" customWidth="1"/>
    <col min="8" max="8" width="18.85546875" style="1130" customWidth="1"/>
    <col min="9" max="9" width="15.5703125" style="1130" bestFit="1" customWidth="1"/>
    <col min="10" max="16384" width="9.140625" style="1130"/>
  </cols>
  <sheetData>
    <row r="1" spans="1:11" s="767" customFormat="1" ht="15.75">
      <c r="A1" s="874" t="s">
        <v>114</v>
      </c>
      <c r="G1" s="270"/>
    </row>
    <row r="2" spans="1:11" s="767" customFormat="1" ht="15.75">
      <c r="A2" s="874" t="s">
        <v>114</v>
      </c>
      <c r="G2" s="270"/>
    </row>
    <row r="3" spans="1:11" ht="19.5">
      <c r="A3" s="1545" t="s">
        <v>391</v>
      </c>
      <c r="B3" s="1545"/>
      <c r="C3" s="1545"/>
      <c r="D3" s="1545"/>
      <c r="E3" s="1545"/>
      <c r="F3" s="1545"/>
      <c r="G3" s="1545"/>
      <c r="H3" s="1545"/>
      <c r="I3" s="1545"/>
      <c r="J3" s="1545"/>
      <c r="K3" s="1545"/>
    </row>
    <row r="4" spans="1:11" ht="19.5">
      <c r="A4" s="1545" t="s">
        <v>392</v>
      </c>
      <c r="B4" s="1545"/>
      <c r="C4" s="1545"/>
      <c r="D4" s="1545"/>
      <c r="E4" s="1545"/>
      <c r="F4" s="1545"/>
      <c r="G4" s="1545"/>
      <c r="H4" s="1545"/>
      <c r="I4" s="1545"/>
      <c r="J4" s="1545"/>
      <c r="K4" s="1545"/>
    </row>
    <row r="5" spans="1:11" ht="19.5">
      <c r="A5" s="1545" t="s">
        <v>393</v>
      </c>
      <c r="B5" s="1545"/>
      <c r="C5" s="1545"/>
      <c r="D5" s="1545"/>
      <c r="E5" s="1545"/>
      <c r="F5" s="1545"/>
      <c r="G5" s="1545"/>
      <c r="H5" s="1545"/>
      <c r="I5" s="1545"/>
      <c r="J5" s="1545"/>
      <c r="K5" s="1545"/>
    </row>
    <row r="6" spans="1:11" ht="19.5">
      <c r="A6" s="1545" t="s">
        <v>394</v>
      </c>
      <c r="B6" s="1545"/>
      <c r="C6" s="1545"/>
      <c r="D6" s="1545"/>
      <c r="E6" s="1545"/>
      <c r="F6" s="1545"/>
      <c r="G6" s="1545"/>
      <c r="H6" s="1545"/>
      <c r="I6" s="1545"/>
      <c r="J6" s="1545"/>
      <c r="K6" s="1545"/>
    </row>
    <row r="7" spans="1:11" ht="19.5">
      <c r="A7" s="1545" t="s">
        <v>1018</v>
      </c>
      <c r="B7" s="1545"/>
      <c r="C7" s="1545"/>
      <c r="D7" s="1545"/>
      <c r="E7" s="1545"/>
      <c r="F7" s="1545"/>
      <c r="G7" s="1545"/>
      <c r="H7" s="1545"/>
      <c r="I7" s="1545"/>
      <c r="J7" s="1545"/>
      <c r="K7" s="1545"/>
    </row>
    <row r="8" spans="1:11" ht="19.5">
      <c r="A8" s="1545" t="s">
        <v>395</v>
      </c>
      <c r="B8" s="1545"/>
      <c r="C8" s="1545"/>
      <c r="D8" s="1545"/>
      <c r="E8" s="1545"/>
      <c r="F8" s="1545"/>
      <c r="G8" s="1545"/>
      <c r="H8" s="1545"/>
      <c r="I8" s="1545"/>
      <c r="J8" s="1545"/>
      <c r="K8" s="1545"/>
    </row>
    <row r="9" spans="1:11" ht="19.5">
      <c r="A9" s="1545" t="s">
        <v>769</v>
      </c>
      <c r="B9" s="1545"/>
      <c r="C9" s="1545"/>
      <c r="D9" s="1545"/>
      <c r="E9" s="1545"/>
      <c r="F9" s="1545"/>
      <c r="G9" s="1545"/>
      <c r="H9" s="1545"/>
      <c r="I9" s="1545"/>
      <c r="J9" s="1545"/>
      <c r="K9" s="1545"/>
    </row>
    <row r="10" spans="1:11" ht="19.5">
      <c r="A10" s="1547"/>
      <c r="B10" s="1547"/>
      <c r="C10" s="1547"/>
      <c r="D10" s="1547"/>
      <c r="E10" s="1547"/>
      <c r="F10" s="1547"/>
      <c r="G10" s="1547"/>
      <c r="H10" s="1547"/>
      <c r="I10" s="1547"/>
      <c r="J10" s="1547"/>
      <c r="K10" s="1547"/>
    </row>
    <row r="11" spans="1:11" ht="16.5" thickBot="1">
      <c r="A11" s="1131"/>
      <c r="B11" s="1131"/>
      <c r="C11" s="1548" t="s">
        <v>770</v>
      </c>
      <c r="D11" s="1548"/>
      <c r="E11" s="1548"/>
      <c r="F11" s="1131"/>
      <c r="G11" s="1548" t="s">
        <v>1019</v>
      </c>
      <c r="H11" s="1548"/>
      <c r="I11" s="1548"/>
      <c r="J11" s="1131"/>
      <c r="K11" s="1385" t="s">
        <v>397</v>
      </c>
    </row>
    <row r="12" spans="1:11" ht="15.75">
      <c r="A12" s="1132"/>
      <c r="B12" s="1131"/>
      <c r="C12" s="1133" t="s">
        <v>121</v>
      </c>
      <c r="D12" s="1134"/>
      <c r="E12" s="1134"/>
      <c r="F12" s="1134"/>
      <c r="G12" s="1135" t="s">
        <v>122</v>
      </c>
      <c r="H12" s="1136"/>
      <c r="I12" s="1136"/>
      <c r="J12" s="1136"/>
      <c r="K12" s="1136"/>
    </row>
    <row r="13" spans="1:11" ht="15">
      <c r="A13" s="1131"/>
      <c r="B13" s="1131"/>
      <c r="C13" s="1133" t="s">
        <v>114</v>
      </c>
      <c r="D13" s="1134"/>
      <c r="E13" s="1133" t="s">
        <v>398</v>
      </c>
      <c r="F13" s="1134"/>
      <c r="G13" s="1135" t="s">
        <v>771</v>
      </c>
      <c r="H13" s="1134"/>
      <c r="I13" s="1133" t="s">
        <v>398</v>
      </c>
      <c r="J13" s="1134"/>
      <c r="K13" s="1133" t="s">
        <v>398</v>
      </c>
    </row>
    <row r="14" spans="1:11" ht="15">
      <c r="A14" s="1131"/>
      <c r="B14" s="1133" t="s">
        <v>399</v>
      </c>
      <c r="C14" s="1133" t="s">
        <v>772</v>
      </c>
      <c r="D14" s="1133" t="s">
        <v>400</v>
      </c>
      <c r="E14" s="1133" t="s">
        <v>401</v>
      </c>
      <c r="F14" s="1134"/>
      <c r="G14" s="1135" t="s">
        <v>402</v>
      </c>
      <c r="H14" s="1133" t="s">
        <v>400</v>
      </c>
      <c r="I14" s="1133" t="s">
        <v>401</v>
      </c>
      <c r="J14" s="1134"/>
      <c r="K14" s="1133" t="s">
        <v>401</v>
      </c>
    </row>
    <row r="15" spans="1:11" ht="15">
      <c r="A15" s="1133"/>
      <c r="B15" s="1133" t="s">
        <v>403</v>
      </c>
      <c r="C15" s="1133" t="s">
        <v>404</v>
      </c>
      <c r="D15" s="1133" t="s">
        <v>773</v>
      </c>
      <c r="E15" s="1133" t="s">
        <v>405</v>
      </c>
      <c r="F15" s="1134"/>
      <c r="G15" s="1135" t="s">
        <v>404</v>
      </c>
      <c r="H15" s="1133" t="s">
        <v>773</v>
      </c>
      <c r="I15" s="1133" t="s">
        <v>405</v>
      </c>
      <c r="J15" s="1134"/>
      <c r="K15" s="1133" t="s">
        <v>405</v>
      </c>
    </row>
    <row r="16" spans="1:11" ht="15">
      <c r="A16" s="1137"/>
      <c r="B16" s="1137"/>
      <c r="C16" s="1137"/>
      <c r="D16" s="1137"/>
      <c r="E16" s="1137"/>
      <c r="F16" s="1137"/>
      <c r="G16" s="1138"/>
      <c r="H16" s="1137"/>
      <c r="I16" s="1137"/>
      <c r="J16" s="1137"/>
      <c r="K16" s="1137"/>
    </row>
    <row r="17" spans="1:11" ht="15.75" thickBot="1">
      <c r="A17" s="1139"/>
      <c r="B17" s="1131"/>
      <c r="C17" s="264"/>
      <c r="D17" s="1131"/>
      <c r="E17" s="1131"/>
      <c r="F17" s="1131"/>
      <c r="G17" s="1140"/>
      <c r="H17" s="1131"/>
      <c r="I17" s="1131"/>
      <c r="J17" s="1131"/>
      <c r="K17" s="1131"/>
    </row>
    <row r="18" spans="1:11" ht="15">
      <c r="A18" s="1141" t="s">
        <v>406</v>
      </c>
      <c r="B18" s="1142"/>
      <c r="C18" s="265"/>
      <c r="D18" s="266"/>
      <c r="E18" s="267"/>
      <c r="F18" s="1142"/>
      <c r="G18" s="267"/>
      <c r="H18" s="268"/>
      <c r="I18" s="267"/>
      <c r="J18" s="1142"/>
      <c r="K18" s="267"/>
    </row>
    <row r="19" spans="1:11" ht="15">
      <c r="A19" s="1137" t="s">
        <v>774</v>
      </c>
      <c r="B19" s="269">
        <v>350.1</v>
      </c>
      <c r="C19" s="270">
        <v>1.66E-2</v>
      </c>
      <c r="D19" s="271">
        <v>0.66233529999999996</v>
      </c>
      <c r="E19" s="270">
        <f t="shared" ref="E19:E27" si="0">ROUND((C19*D19),6)</f>
        <v>1.0995E-2</v>
      </c>
      <c r="F19" s="1143"/>
      <c r="G19" s="270">
        <v>1.6199999999999999E-2</v>
      </c>
      <c r="H19" s="271">
        <v>0.33766470000000004</v>
      </c>
      <c r="I19" s="270">
        <f t="shared" ref="I19:I27" si="1">ROUND((G19*H19),6)</f>
        <v>5.47E-3</v>
      </c>
      <c r="J19" s="1143"/>
      <c r="K19" s="264">
        <f>ROUND(E19+I19,4)</f>
        <v>1.6500000000000001E-2</v>
      </c>
    </row>
    <row r="20" spans="1:11" ht="15">
      <c r="A20" s="1144" t="s">
        <v>407</v>
      </c>
      <c r="B20" s="269">
        <v>352</v>
      </c>
      <c r="C20" s="270">
        <v>1.77E-2</v>
      </c>
      <c r="D20" s="271">
        <v>0.66233529999999996</v>
      </c>
      <c r="E20" s="270">
        <f t="shared" si="0"/>
        <v>1.1723000000000001E-2</v>
      </c>
      <c r="F20" s="1143"/>
      <c r="G20" s="270">
        <v>1.7399999999999999E-2</v>
      </c>
      <c r="H20" s="271">
        <v>0.33766470000000004</v>
      </c>
      <c r="I20" s="270">
        <f t="shared" si="1"/>
        <v>5.875E-3</v>
      </c>
      <c r="J20" s="1143"/>
      <c r="K20" s="264">
        <f t="shared" ref="K20:K27" si="2">ROUND(E20+I20,4)</f>
        <v>1.7600000000000001E-2</v>
      </c>
    </row>
    <row r="21" spans="1:11" ht="15">
      <c r="A21" s="1144" t="s">
        <v>408</v>
      </c>
      <c r="B21" s="269">
        <v>353</v>
      </c>
      <c r="C21" s="270">
        <v>2.4299999999999999E-2</v>
      </c>
      <c r="D21" s="271">
        <v>0.66233529999999996</v>
      </c>
      <c r="E21" s="270">
        <f t="shared" si="0"/>
        <v>1.6095000000000002E-2</v>
      </c>
      <c r="F21" s="1143"/>
      <c r="G21" s="270">
        <v>2.41E-2</v>
      </c>
      <c r="H21" s="271">
        <v>0.33766470000000004</v>
      </c>
      <c r="I21" s="270">
        <f t="shared" si="1"/>
        <v>8.1379999999999994E-3</v>
      </c>
      <c r="J21" s="1143"/>
      <c r="K21" s="264">
        <f t="shared" si="2"/>
        <v>2.4199999999999999E-2</v>
      </c>
    </row>
    <row r="22" spans="1:11" ht="15">
      <c r="A22" s="1144" t="s">
        <v>409</v>
      </c>
      <c r="B22" s="269">
        <v>354</v>
      </c>
      <c r="C22" s="270">
        <v>2.5700000000000001E-2</v>
      </c>
      <c r="D22" s="271">
        <v>0.66233529999999996</v>
      </c>
      <c r="E22" s="270">
        <f t="shared" si="0"/>
        <v>1.7021999999999999E-2</v>
      </c>
      <c r="F22" s="1143"/>
      <c r="G22" s="270">
        <v>2.4500000000000001E-2</v>
      </c>
      <c r="H22" s="271">
        <v>0.33766470000000004</v>
      </c>
      <c r="I22" s="270">
        <f t="shared" si="1"/>
        <v>8.2730000000000008E-3</v>
      </c>
      <c r="J22" s="1143"/>
      <c r="K22" s="264">
        <f t="shared" si="2"/>
        <v>2.53E-2</v>
      </c>
    </row>
    <row r="23" spans="1:11" ht="15">
      <c r="A23" s="1144" t="s">
        <v>410</v>
      </c>
      <c r="B23" s="269">
        <v>355</v>
      </c>
      <c r="C23" s="270">
        <v>3.1899999999999998E-2</v>
      </c>
      <c r="D23" s="271">
        <v>0.66233529999999996</v>
      </c>
      <c r="E23" s="270">
        <f t="shared" si="0"/>
        <v>2.1128000000000001E-2</v>
      </c>
      <c r="F23" s="1143"/>
      <c r="G23" s="270">
        <v>3.1699999999999999E-2</v>
      </c>
      <c r="H23" s="271">
        <v>0.33766470000000004</v>
      </c>
      <c r="I23" s="270">
        <f t="shared" si="1"/>
        <v>1.0704E-2</v>
      </c>
      <c r="J23" s="1143"/>
      <c r="K23" s="264">
        <f t="shared" si="2"/>
        <v>3.1800000000000002E-2</v>
      </c>
    </row>
    <row r="24" spans="1:11" ht="15">
      <c r="A24" s="1144" t="s">
        <v>775</v>
      </c>
      <c r="B24" s="269">
        <v>356</v>
      </c>
      <c r="C24" s="270">
        <v>2.35E-2</v>
      </c>
      <c r="D24" s="271">
        <v>0.66233529999999996</v>
      </c>
      <c r="E24" s="270">
        <f t="shared" si="0"/>
        <v>1.5565000000000001E-2</v>
      </c>
      <c r="F24" s="1143"/>
      <c r="G24" s="270">
        <v>2.2800000000000001E-2</v>
      </c>
      <c r="H24" s="271">
        <v>0.33766470000000004</v>
      </c>
      <c r="I24" s="270">
        <f t="shared" si="1"/>
        <v>7.6990000000000001E-3</v>
      </c>
      <c r="J24" s="1143"/>
      <c r="K24" s="264">
        <f t="shared" si="2"/>
        <v>2.3300000000000001E-2</v>
      </c>
    </row>
    <row r="25" spans="1:11" ht="15">
      <c r="A25" s="1144" t="s">
        <v>411</v>
      </c>
      <c r="B25" s="269">
        <v>357</v>
      </c>
      <c r="C25" s="270">
        <v>2.3E-2</v>
      </c>
      <c r="D25" s="271">
        <v>0.66233529999999996</v>
      </c>
      <c r="E25" s="270">
        <f t="shared" si="0"/>
        <v>1.5233999999999999E-2</v>
      </c>
      <c r="F25" s="1143"/>
      <c r="G25" s="270">
        <v>2.2100000000000002E-2</v>
      </c>
      <c r="H25" s="271">
        <v>0.33766470000000004</v>
      </c>
      <c r="I25" s="270">
        <f t="shared" si="1"/>
        <v>7.4619999999999999E-3</v>
      </c>
      <c r="J25" s="1143"/>
      <c r="K25" s="264">
        <f t="shared" si="2"/>
        <v>2.2700000000000001E-2</v>
      </c>
    </row>
    <row r="26" spans="1:11" ht="15">
      <c r="A26" s="1144" t="s">
        <v>412</v>
      </c>
      <c r="B26" s="269">
        <v>358</v>
      </c>
      <c r="C26" s="270">
        <v>1.9300000000000001E-2</v>
      </c>
      <c r="D26" s="271">
        <v>0.66233529999999996</v>
      </c>
      <c r="E26" s="270">
        <f t="shared" si="0"/>
        <v>1.2782999999999999E-2</v>
      </c>
      <c r="F26" s="1143"/>
      <c r="G26" s="270">
        <v>1.9E-2</v>
      </c>
      <c r="H26" s="271">
        <v>0.33766470000000004</v>
      </c>
      <c r="I26" s="270">
        <f t="shared" si="1"/>
        <v>6.4159999999999998E-3</v>
      </c>
      <c r="J26" s="1143"/>
      <c r="K26" s="264">
        <f t="shared" si="2"/>
        <v>1.9199999999999998E-2</v>
      </c>
    </row>
    <row r="27" spans="1:11" ht="15">
      <c r="A27" s="1144" t="s">
        <v>776</v>
      </c>
      <c r="B27" s="269">
        <v>359</v>
      </c>
      <c r="C27" s="270">
        <v>1.61E-2</v>
      </c>
      <c r="D27" s="271">
        <v>0.66233529999999996</v>
      </c>
      <c r="E27" s="270">
        <f t="shared" si="0"/>
        <v>1.0664E-2</v>
      </c>
      <c r="F27" s="1143"/>
      <c r="G27" s="270">
        <v>1.5900000000000001E-2</v>
      </c>
      <c r="H27" s="271">
        <v>0.33766470000000004</v>
      </c>
      <c r="I27" s="270">
        <f t="shared" si="1"/>
        <v>5.3689999999999996E-3</v>
      </c>
      <c r="J27" s="1143"/>
      <c r="K27" s="264">
        <f t="shared" si="2"/>
        <v>1.6E-2</v>
      </c>
    </row>
    <row r="28" spans="1:11" ht="15">
      <c r="A28" s="1137"/>
      <c r="B28" s="1137"/>
      <c r="C28" s="1137"/>
      <c r="D28" s="1137"/>
      <c r="E28" s="1137"/>
      <c r="F28" s="1137"/>
      <c r="G28" s="1137"/>
      <c r="H28" s="1137"/>
      <c r="I28" s="1137"/>
      <c r="J28" s="1137"/>
      <c r="K28" s="1137"/>
    </row>
    <row r="29" spans="1:11" ht="15.75" thickBot="1">
      <c r="A29" s="1137"/>
      <c r="B29" s="1137"/>
      <c r="C29" s="1137"/>
      <c r="D29" s="1137"/>
      <c r="E29" s="1137"/>
      <c r="F29" s="1137"/>
      <c r="G29" s="1137"/>
      <c r="H29" s="1137"/>
      <c r="I29" s="1137"/>
      <c r="J29" s="1137"/>
      <c r="K29" s="1137"/>
    </row>
    <row r="30" spans="1:11" ht="15">
      <c r="A30" s="1295" t="s">
        <v>919</v>
      </c>
      <c r="B30" s="1308"/>
      <c r="C30" s="1388"/>
      <c r="D30" s="1310"/>
      <c r="E30" s="1311"/>
      <c r="F30" s="1308"/>
      <c r="G30" s="1312"/>
      <c r="H30" s="1310"/>
      <c r="I30" s="1311"/>
      <c r="J30" s="1308"/>
      <c r="K30" s="1137"/>
    </row>
    <row r="31" spans="1:11" ht="15">
      <c r="A31" s="1389"/>
      <c r="B31" s="269">
        <v>390</v>
      </c>
      <c r="C31" s="270">
        <v>2.0799999999999999E-2</v>
      </c>
      <c r="D31" s="271">
        <v>0.68186831634107659</v>
      </c>
      <c r="E31" s="270">
        <f t="shared" ref="E31:E39" si="3">ROUND((C31*D31),6)</f>
        <v>1.4182999999999999E-2</v>
      </c>
      <c r="F31" s="1143"/>
      <c r="G31" s="270">
        <v>2.0799999999999999E-2</v>
      </c>
      <c r="H31" s="271">
        <v>0.31813168365892341</v>
      </c>
      <c r="I31" s="270">
        <f t="shared" ref="I31:I39" si="4">ROUND((G31*H31),6)</f>
        <v>6.6169999999999996E-3</v>
      </c>
      <c r="J31" s="1390"/>
      <c r="K31" s="264">
        <f t="shared" ref="K31:K39" si="5">ROUND(E31+I31,4)</f>
        <v>2.0799999999999999E-2</v>
      </c>
    </row>
    <row r="32" spans="1:11" ht="15">
      <c r="A32" s="1389"/>
      <c r="B32" s="269">
        <v>391</v>
      </c>
      <c r="C32" s="270">
        <v>4.7899999999999998E-2</v>
      </c>
      <c r="D32" s="271">
        <v>0.68186831634107659</v>
      </c>
      <c r="E32" s="270">
        <f t="shared" si="3"/>
        <v>3.2661000000000003E-2</v>
      </c>
      <c r="F32" s="1143"/>
      <c r="G32" s="270">
        <v>4.8399999999999999E-2</v>
      </c>
      <c r="H32" s="271">
        <v>0.31813168365892341</v>
      </c>
      <c r="I32" s="270">
        <f t="shared" si="4"/>
        <v>1.5398E-2</v>
      </c>
      <c r="J32" s="1390"/>
      <c r="K32" s="264">
        <f t="shared" si="5"/>
        <v>4.8099999999999997E-2</v>
      </c>
    </row>
    <row r="33" spans="1:11" ht="15">
      <c r="A33" s="1391" t="s">
        <v>1020</v>
      </c>
      <c r="B33" s="269">
        <v>392</v>
      </c>
      <c r="C33" s="270">
        <v>4.6399999999999997E-2</v>
      </c>
      <c r="D33" s="271">
        <v>0.68186831634107659</v>
      </c>
      <c r="E33" s="270">
        <f t="shared" si="3"/>
        <v>3.1639E-2</v>
      </c>
      <c r="F33" s="1143"/>
      <c r="G33" s="270">
        <v>4.6800000000000001E-2</v>
      </c>
      <c r="H33" s="271">
        <v>0.31813168365892341</v>
      </c>
      <c r="I33" s="270">
        <f t="shared" si="4"/>
        <v>1.4888999999999999E-2</v>
      </c>
      <c r="J33" s="1390"/>
      <c r="K33" s="264">
        <f t="shared" si="5"/>
        <v>4.65E-2</v>
      </c>
    </row>
    <row r="34" spans="1:11" ht="15">
      <c r="A34" s="1389"/>
      <c r="B34" s="269">
        <v>393</v>
      </c>
      <c r="C34" s="270">
        <v>7.3499999999999996E-2</v>
      </c>
      <c r="D34" s="271">
        <v>0.68186831634107659</v>
      </c>
      <c r="E34" s="270">
        <f t="shared" si="3"/>
        <v>5.0117000000000002E-2</v>
      </c>
      <c r="F34" s="1143"/>
      <c r="G34" s="270">
        <v>7.3800000000000004E-2</v>
      </c>
      <c r="H34" s="271">
        <v>0.31813168365892341</v>
      </c>
      <c r="I34" s="270">
        <f t="shared" si="4"/>
        <v>2.3477999999999999E-2</v>
      </c>
      <c r="J34" s="1390"/>
      <c r="K34" s="264">
        <f t="shared" si="5"/>
        <v>7.3599999999999999E-2</v>
      </c>
    </row>
    <row r="35" spans="1:11" ht="15">
      <c r="A35" s="1389"/>
      <c r="B35" s="269">
        <v>394</v>
      </c>
      <c r="C35" s="270">
        <v>6.9900000000000004E-2</v>
      </c>
      <c r="D35" s="271">
        <v>0.68186831634107659</v>
      </c>
      <c r="E35" s="270">
        <f t="shared" si="3"/>
        <v>4.7662999999999997E-2</v>
      </c>
      <c r="F35" s="1143"/>
      <c r="G35" s="270">
        <v>7.0699999999999999E-2</v>
      </c>
      <c r="H35" s="271">
        <v>0.31813168365892341</v>
      </c>
      <c r="I35" s="270">
        <f t="shared" si="4"/>
        <v>2.2492000000000002E-2</v>
      </c>
      <c r="J35" s="1390"/>
      <c r="K35" s="264">
        <f t="shared" si="5"/>
        <v>7.0199999999999999E-2</v>
      </c>
    </row>
    <row r="36" spans="1:11" ht="15">
      <c r="A36" s="1389"/>
      <c r="B36" s="269">
        <v>395</v>
      </c>
      <c r="C36" s="270">
        <v>5.4100000000000002E-2</v>
      </c>
      <c r="D36" s="271">
        <v>0.68186831634107659</v>
      </c>
      <c r="E36" s="270">
        <f t="shared" si="3"/>
        <v>3.6888999999999998E-2</v>
      </c>
      <c r="F36" s="1143"/>
      <c r="G36" s="270">
        <v>5.4600000000000003E-2</v>
      </c>
      <c r="H36" s="271">
        <v>0.31813168365892341</v>
      </c>
      <c r="I36" s="270">
        <f t="shared" si="4"/>
        <v>1.737E-2</v>
      </c>
      <c r="J36" s="1390"/>
      <c r="K36" s="264">
        <f t="shared" si="5"/>
        <v>5.4300000000000001E-2</v>
      </c>
    </row>
    <row r="37" spans="1:11" ht="15">
      <c r="A37" s="1389"/>
      <c r="B37" s="269">
        <v>396</v>
      </c>
      <c r="C37" s="270">
        <v>4.8099999999999997E-2</v>
      </c>
      <c r="D37" s="271">
        <v>0.68186831634107659</v>
      </c>
      <c r="E37" s="270">
        <f t="shared" si="3"/>
        <v>3.2798000000000001E-2</v>
      </c>
      <c r="F37" s="1143"/>
      <c r="G37" s="270">
        <v>4.9000000000000002E-2</v>
      </c>
      <c r="H37" s="271">
        <v>0.31813168365892341</v>
      </c>
      <c r="I37" s="270">
        <f t="shared" si="4"/>
        <v>1.5587999999999999E-2</v>
      </c>
      <c r="J37" s="1390"/>
      <c r="K37" s="264">
        <f t="shared" si="5"/>
        <v>4.8399999999999999E-2</v>
      </c>
    </row>
    <row r="38" spans="1:11" ht="15">
      <c r="A38" s="1389"/>
      <c r="B38" s="269">
        <v>397</v>
      </c>
      <c r="C38" s="270">
        <v>3.9100000000000003E-2</v>
      </c>
      <c r="D38" s="271">
        <v>0.68186831634107659</v>
      </c>
      <c r="E38" s="270">
        <f t="shared" si="3"/>
        <v>2.6661000000000001E-2</v>
      </c>
      <c r="F38" s="1143"/>
      <c r="G38" s="270">
        <v>3.9300000000000002E-2</v>
      </c>
      <c r="H38" s="271">
        <v>0.31813168365892341</v>
      </c>
      <c r="I38" s="270">
        <f t="shared" si="4"/>
        <v>1.2503E-2</v>
      </c>
      <c r="J38" s="1390"/>
      <c r="K38" s="264">
        <f t="shared" si="5"/>
        <v>3.9199999999999999E-2</v>
      </c>
    </row>
    <row r="39" spans="1:11" ht="15">
      <c r="A39" s="1389"/>
      <c r="B39" s="269">
        <v>398</v>
      </c>
      <c r="C39" s="270">
        <v>3.32E-2</v>
      </c>
      <c r="D39" s="271">
        <v>0.68186831634107659</v>
      </c>
      <c r="E39" s="270">
        <f t="shared" si="3"/>
        <v>2.2637999999999998E-2</v>
      </c>
      <c r="F39" s="1143"/>
      <c r="G39" s="270">
        <v>3.3500000000000002E-2</v>
      </c>
      <c r="H39" s="271">
        <v>0.31813168365892341</v>
      </c>
      <c r="I39" s="270">
        <f t="shared" si="4"/>
        <v>1.0657E-2</v>
      </c>
      <c r="J39" s="1390"/>
      <c r="K39" s="264">
        <f t="shared" si="5"/>
        <v>3.3300000000000003E-2</v>
      </c>
    </row>
    <row r="40" spans="1:11" ht="15.75" thickBot="1">
      <c r="A40" s="1296"/>
      <c r="B40" s="1297"/>
      <c r="C40" s="1298"/>
      <c r="D40" s="1299"/>
      <c r="E40" s="1300"/>
      <c r="F40" s="1297"/>
      <c r="G40" s="1300"/>
      <c r="H40" s="1299"/>
      <c r="I40" s="1300"/>
      <c r="J40" s="1297"/>
      <c r="K40" s="1137"/>
    </row>
    <row r="41" spans="1:11" ht="15">
      <c r="A41" s="1137"/>
      <c r="B41" s="1137"/>
      <c r="C41" s="1137"/>
      <c r="D41" s="1137"/>
      <c r="E41" s="1137"/>
      <c r="F41" s="1137"/>
      <c r="G41" s="1137"/>
      <c r="H41" s="1137"/>
      <c r="I41" s="1137"/>
      <c r="J41" s="1137"/>
      <c r="K41" s="1137"/>
    </row>
    <row r="42" spans="1:11" ht="15">
      <c r="A42" s="1137"/>
      <c r="B42" s="1137"/>
      <c r="C42" s="1137"/>
      <c r="D42" s="1137"/>
      <c r="E42" s="1137"/>
      <c r="F42" s="1137"/>
      <c r="G42" s="1137"/>
      <c r="H42" s="1137"/>
      <c r="I42" s="1137"/>
      <c r="J42" s="1137"/>
      <c r="K42" s="1137"/>
    </row>
    <row r="43" spans="1:11" ht="15">
      <c r="A43" s="1137"/>
      <c r="B43" s="1131"/>
      <c r="C43" s="264"/>
      <c r="D43" s="1137"/>
      <c r="E43" s="1137"/>
      <c r="F43" s="1137"/>
      <c r="G43" s="1138"/>
      <c r="H43" s="1137"/>
      <c r="I43" s="1137"/>
      <c r="J43" s="1137"/>
      <c r="K43" s="1137"/>
    </row>
    <row r="44" spans="1:11" ht="15.75">
      <c r="A44" s="1132" t="s">
        <v>1021</v>
      </c>
      <c r="B44" s="1145"/>
      <c r="C44" s="272"/>
      <c r="D44" s="1145"/>
      <c r="E44" s="1137"/>
      <c r="F44" s="1145"/>
      <c r="G44" s="1137"/>
      <c r="H44" s="1131"/>
      <c r="I44" s="1137"/>
      <c r="J44" s="1137"/>
      <c r="K44" s="1137"/>
    </row>
    <row r="45" spans="1:11" ht="15.75">
      <c r="A45" s="1132" t="s">
        <v>1022</v>
      </c>
      <c r="B45" s="1145"/>
      <c r="C45" s="272"/>
      <c r="D45" s="1145"/>
      <c r="E45" s="1145"/>
      <c r="F45" s="1145"/>
      <c r="G45" s="1137"/>
      <c r="H45" s="1131"/>
      <c r="I45" s="1137"/>
      <c r="J45" s="1137"/>
      <c r="K45" s="1137"/>
    </row>
    <row r="46" spans="1:11" ht="15.75">
      <c r="A46" s="1132" t="s">
        <v>1023</v>
      </c>
      <c r="B46" s="1145"/>
      <c r="C46" s="272"/>
      <c r="D46" s="1146"/>
      <c r="E46" s="1146"/>
      <c r="F46" s="1146"/>
      <c r="G46" s="1137"/>
      <c r="H46" s="1137"/>
      <c r="I46" s="1137"/>
      <c r="J46" s="1137"/>
      <c r="K46" s="1137"/>
    </row>
    <row r="47" spans="1:11" ht="15">
      <c r="A47" s="1549" t="s">
        <v>777</v>
      </c>
      <c r="B47" s="1550"/>
      <c r="C47" s="1550"/>
      <c r="D47" s="1550"/>
      <c r="E47" s="1550"/>
      <c r="F47" s="1550"/>
      <c r="G47" s="1550"/>
      <c r="H47" s="1550"/>
      <c r="I47" s="1550"/>
      <c r="J47" s="1550"/>
      <c r="K47" s="1137"/>
    </row>
    <row r="48" spans="1:11" ht="15">
      <c r="A48" s="1550"/>
      <c r="B48" s="1550"/>
      <c r="C48" s="1550"/>
      <c r="D48" s="1550"/>
      <c r="E48" s="1550"/>
      <c r="F48" s="1550"/>
      <c r="G48" s="1550"/>
      <c r="H48" s="1550"/>
      <c r="I48" s="1550"/>
      <c r="J48" s="1550"/>
      <c r="K48" s="1137"/>
    </row>
    <row r="49" spans="1:11" ht="18.75" customHeight="1">
      <c r="A49" s="1550"/>
      <c r="B49" s="1550"/>
      <c r="C49" s="1550"/>
      <c r="D49" s="1550"/>
      <c r="E49" s="1550"/>
      <c r="F49" s="1550"/>
      <c r="G49" s="1550"/>
      <c r="H49" s="1550"/>
      <c r="I49" s="1550"/>
      <c r="J49" s="1550"/>
      <c r="K49" s="1137"/>
    </row>
    <row r="50" spans="1:11" ht="15.75">
      <c r="A50" s="1137"/>
      <c r="B50" s="1145"/>
      <c r="C50" s="272"/>
      <c r="D50" s="1146"/>
      <c r="E50" s="1146"/>
      <c r="F50" s="1146"/>
      <c r="G50" s="1138"/>
      <c r="H50" s="1137"/>
      <c r="I50" s="1137"/>
      <c r="J50" s="1137"/>
      <c r="K50" s="1137"/>
    </row>
    <row r="51" spans="1:11" ht="15.75">
      <c r="A51" s="1147" t="s">
        <v>413</v>
      </c>
      <c r="B51" s="1131"/>
      <c r="C51" s="264"/>
      <c r="D51" s="1137"/>
      <c r="E51" s="1137"/>
      <c r="F51" s="1137"/>
      <c r="G51" s="1138"/>
      <c r="H51" s="1137"/>
      <c r="I51" s="1137"/>
      <c r="J51" s="1137"/>
      <c r="K51" s="1137"/>
    </row>
    <row r="52" spans="1:11" ht="15">
      <c r="A52" s="1148" t="s">
        <v>29</v>
      </c>
      <c r="B52" s="1149"/>
      <c r="C52" s="1149"/>
      <c r="D52" s="1150"/>
      <c r="E52" s="1137"/>
      <c r="F52" s="1137"/>
      <c r="G52" s="1138"/>
      <c r="H52" s="1137"/>
      <c r="I52" s="1137"/>
      <c r="J52" s="1137"/>
      <c r="K52" s="1137"/>
    </row>
    <row r="53" spans="1:11" ht="15">
      <c r="A53" s="1551" t="s">
        <v>778</v>
      </c>
      <c r="B53" s="1551"/>
      <c r="C53" s="1551"/>
      <c r="D53" s="1551"/>
      <c r="E53" s="1551"/>
      <c r="F53" s="1551"/>
      <c r="G53" s="1551"/>
      <c r="H53" s="1551"/>
      <c r="I53" s="1551"/>
      <c r="J53" s="1551"/>
      <c r="K53" s="1137"/>
    </row>
    <row r="54" spans="1:11" ht="15">
      <c r="A54" s="1551"/>
      <c r="B54" s="1551"/>
      <c r="C54" s="1551"/>
      <c r="D54" s="1551"/>
      <c r="E54" s="1551"/>
      <c r="F54" s="1551"/>
      <c r="G54" s="1551"/>
      <c r="H54" s="1551"/>
      <c r="I54" s="1551"/>
      <c r="J54" s="1551"/>
      <c r="K54" s="1137"/>
    </row>
    <row r="55" spans="1:11" ht="15">
      <c r="A55" s="1546" t="s">
        <v>826</v>
      </c>
      <c r="B55" s="1546"/>
      <c r="C55" s="1546"/>
      <c r="D55" s="1546"/>
      <c r="E55" s="1546"/>
      <c r="F55" s="1546"/>
      <c r="G55" s="1546"/>
      <c r="H55" s="1546"/>
      <c r="I55" s="1546"/>
      <c r="J55" s="1546"/>
      <c r="K55" s="1137"/>
    </row>
    <row r="56" spans="1:11" ht="15">
      <c r="A56" s="1546"/>
      <c r="B56" s="1546"/>
      <c r="C56" s="1546"/>
      <c r="D56" s="1546"/>
      <c r="E56" s="1546"/>
      <c r="F56" s="1546"/>
      <c r="G56" s="1546"/>
      <c r="H56" s="1546"/>
      <c r="I56" s="1546"/>
      <c r="J56" s="1546"/>
      <c r="K56" s="1137"/>
    </row>
    <row r="57" spans="1:11" ht="15">
      <c r="A57" s="1137"/>
      <c r="B57" s="1137"/>
      <c r="C57" s="1137"/>
      <c r="D57" s="1137"/>
      <c r="E57" s="1137"/>
      <c r="F57" s="1137"/>
      <c r="G57" s="1138"/>
      <c r="H57" s="1137"/>
      <c r="I57" s="1137"/>
      <c r="J57" s="1137"/>
      <c r="K57" s="1137"/>
    </row>
    <row r="58" spans="1:11" ht="15">
      <c r="A58" s="1137"/>
      <c r="B58" s="1137"/>
      <c r="C58" s="1137"/>
      <c r="D58" s="1137"/>
      <c r="E58" s="1137"/>
      <c r="F58" s="1137"/>
      <c r="G58" s="1138"/>
      <c r="H58" s="1137"/>
      <c r="I58" s="1137"/>
      <c r="J58" s="1137"/>
      <c r="K58" s="1137"/>
    </row>
    <row r="59" spans="1:11" ht="15">
      <c r="A59" s="1137"/>
      <c r="B59" s="1137"/>
      <c r="C59" s="1137"/>
      <c r="D59" s="1137"/>
      <c r="E59" s="1137"/>
      <c r="F59" s="1137"/>
      <c r="G59" s="1138"/>
      <c r="H59" s="1137"/>
      <c r="I59" s="1137"/>
      <c r="J59" s="1137"/>
      <c r="K59" s="1137"/>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49"/>
  <sheetViews>
    <sheetView view="pageBreakPreview" zoomScale="60" zoomScaleNormal="70" workbookViewId="0">
      <selection activeCell="Q28" sqref="Q28"/>
    </sheetView>
  </sheetViews>
  <sheetFormatPr defaultColWidth="9.140625" defaultRowHeight="12.75"/>
  <cols>
    <col min="1" max="1" width="33.5703125" style="1130" customWidth="1"/>
    <col min="2" max="2" width="17.140625" style="1130" customWidth="1"/>
    <col min="3" max="3" width="23.42578125" style="1130" customWidth="1"/>
    <col min="4" max="4" width="9.140625" style="1130"/>
    <col min="5" max="5" width="21.85546875" style="1130" customWidth="1"/>
    <col min="6" max="16384" width="9.140625" style="1130"/>
  </cols>
  <sheetData>
    <row r="1" spans="1:7" s="767" customFormat="1" ht="15.75">
      <c r="A1" s="874" t="s">
        <v>114</v>
      </c>
      <c r="G1" s="270"/>
    </row>
    <row r="2" spans="1:7" s="767" customFormat="1" ht="15.75">
      <c r="A2" s="874" t="s">
        <v>114</v>
      </c>
      <c r="G2" s="270"/>
    </row>
    <row r="3" spans="1:7" ht="19.5">
      <c r="A3" s="1137"/>
      <c r="B3" s="1552" t="s">
        <v>391</v>
      </c>
      <c r="C3" s="1552"/>
      <c r="D3" s="1552"/>
      <c r="E3" s="1552"/>
    </row>
    <row r="4" spans="1:7" ht="19.5">
      <c r="A4" s="1137"/>
      <c r="B4" s="1552" t="s">
        <v>779</v>
      </c>
      <c r="C4" s="1552"/>
      <c r="D4" s="1552"/>
      <c r="E4" s="1552"/>
    </row>
    <row r="5" spans="1:7" ht="19.5">
      <c r="A5" s="1137"/>
      <c r="B5" s="1552" t="s">
        <v>780</v>
      </c>
      <c r="C5" s="1552"/>
      <c r="D5" s="1552"/>
      <c r="E5" s="1552"/>
    </row>
    <row r="6" spans="1:7" ht="19.5">
      <c r="A6" s="1137"/>
      <c r="B6" s="1552" t="s">
        <v>781</v>
      </c>
      <c r="C6" s="1552"/>
      <c r="D6" s="1552"/>
      <c r="E6" s="1552"/>
    </row>
    <row r="7" spans="1:7" ht="19.5">
      <c r="A7" s="1137"/>
      <c r="B7" s="1552" t="s">
        <v>782</v>
      </c>
      <c r="C7" s="1552"/>
      <c r="D7" s="1552"/>
      <c r="E7" s="1552"/>
    </row>
    <row r="8" spans="1:7" ht="19.5">
      <c r="A8" s="1137"/>
      <c r="B8" s="1552" t="s">
        <v>783</v>
      </c>
      <c r="C8" s="1552"/>
      <c r="D8" s="1552"/>
      <c r="E8" s="1552"/>
    </row>
    <row r="9" spans="1:7" ht="15">
      <c r="A9" s="1137"/>
      <c r="B9" s="1131"/>
      <c r="C9" s="1131"/>
      <c r="D9" s="1133" t="s">
        <v>114</v>
      </c>
      <c r="E9" s="1137"/>
    </row>
    <row r="10" spans="1:7" ht="15.75">
      <c r="A10" s="1131"/>
      <c r="B10" s="1151" t="s">
        <v>399</v>
      </c>
      <c r="C10" s="1137"/>
      <c r="D10" s="1137"/>
      <c r="E10" s="1152"/>
    </row>
    <row r="11" spans="1:7" ht="15.75">
      <c r="A11" s="1133"/>
      <c r="B11" s="1151" t="s">
        <v>403</v>
      </c>
      <c r="C11" s="1151" t="s">
        <v>404</v>
      </c>
      <c r="D11" s="1151"/>
      <c r="E11" s="1137"/>
    </row>
    <row r="12" spans="1:7" ht="15.75" thickBot="1">
      <c r="A12" s="1139"/>
      <c r="B12" s="1131"/>
      <c r="C12" s="1153" t="s">
        <v>499</v>
      </c>
      <c r="D12" s="1137"/>
      <c r="E12" s="1137"/>
    </row>
    <row r="13" spans="1:7" ht="15">
      <c r="A13" s="1141" t="s">
        <v>406</v>
      </c>
      <c r="B13" s="1142"/>
      <c r="C13" s="265"/>
      <c r="D13" s="1137"/>
      <c r="E13" s="1137"/>
    </row>
    <row r="14" spans="1:7" ht="15">
      <c r="A14" s="1137"/>
      <c r="B14" s="1154"/>
      <c r="C14" s="264"/>
      <c r="D14" s="1155"/>
      <c r="E14" s="1137"/>
    </row>
    <row r="15" spans="1:7" ht="15">
      <c r="A15" s="1137" t="s">
        <v>407</v>
      </c>
      <c r="B15" s="269">
        <v>352</v>
      </c>
      <c r="C15" s="264">
        <v>1.04E-2</v>
      </c>
      <c r="D15" s="1155"/>
      <c r="E15" s="1137"/>
    </row>
    <row r="16" spans="1:7" ht="15">
      <c r="A16" s="1137" t="s">
        <v>408</v>
      </c>
      <c r="B16" s="269">
        <v>353</v>
      </c>
      <c r="C16" s="264">
        <v>1.49E-2</v>
      </c>
      <c r="D16" s="1155"/>
      <c r="E16" s="1137"/>
    </row>
    <row r="17" spans="1:5" ht="15">
      <c r="A17" s="1137" t="s">
        <v>409</v>
      </c>
      <c r="B17" s="269">
        <v>354</v>
      </c>
      <c r="C17" s="264">
        <v>1.1999999999999999E-3</v>
      </c>
      <c r="D17" s="1155"/>
      <c r="E17" s="1137"/>
    </row>
    <row r="18" spans="1:5" ht="15">
      <c r="A18" s="1137" t="s">
        <v>410</v>
      </c>
      <c r="B18" s="269">
        <v>355</v>
      </c>
      <c r="C18" s="264">
        <v>2.1399999999999999E-2</v>
      </c>
      <c r="D18" s="1155"/>
      <c r="E18" s="1137"/>
    </row>
    <row r="19" spans="1:5" ht="15">
      <c r="A19" s="1137" t="s">
        <v>775</v>
      </c>
      <c r="B19" s="269">
        <v>356</v>
      </c>
      <c r="C19" s="264">
        <v>7.7000000000000002E-3</v>
      </c>
      <c r="D19" s="1155"/>
      <c r="E19" s="1137"/>
    </row>
    <row r="20" spans="1:5" ht="15">
      <c r="A20" s="1144" t="s">
        <v>411</v>
      </c>
      <c r="B20" s="269">
        <v>357</v>
      </c>
      <c r="C20" s="1156" t="s">
        <v>617</v>
      </c>
      <c r="D20" s="1137"/>
      <c r="E20" s="1137"/>
    </row>
    <row r="21" spans="1:5" ht="15">
      <c r="A21" s="1144" t="s">
        <v>412</v>
      </c>
      <c r="B21" s="269">
        <v>358</v>
      </c>
      <c r="C21" s="1156" t="s">
        <v>617</v>
      </c>
      <c r="D21" s="1155"/>
      <c r="E21" s="1137"/>
    </row>
    <row r="22" spans="1:5" ht="15.75">
      <c r="A22" s="1132" t="s">
        <v>784</v>
      </c>
      <c r="B22" s="1157"/>
      <c r="C22" s="1158">
        <v>1.46E-2</v>
      </c>
      <c r="D22" s="1155"/>
      <c r="E22" s="1137"/>
    </row>
    <row r="23" spans="1:5" ht="15.75">
      <c r="A23" s="1132"/>
      <c r="B23" s="1157"/>
      <c r="C23" s="1158"/>
      <c r="D23" s="1155"/>
      <c r="E23" s="1137"/>
    </row>
    <row r="24" spans="1:5" s="2" customFormat="1" ht="15.75">
      <c r="A24" s="1165" t="s">
        <v>810</v>
      </c>
      <c r="C24" s="1383"/>
    </row>
    <row r="25" spans="1:5" s="2" customFormat="1">
      <c r="C25" s="1383"/>
    </row>
    <row r="26" spans="1:5" s="2" customFormat="1" ht="15">
      <c r="A26" s="1166" t="s">
        <v>811</v>
      </c>
      <c r="B26" s="1392">
        <v>390</v>
      </c>
      <c r="C26" s="1393">
        <v>1.7100000000000001E-2</v>
      </c>
    </row>
    <row r="27" spans="1:5" s="2" customFormat="1" ht="15">
      <c r="A27" s="1166" t="s">
        <v>812</v>
      </c>
      <c r="B27" s="1392">
        <v>391</v>
      </c>
      <c r="C27" s="1393">
        <v>2.8199999999999999E-2</v>
      </c>
    </row>
    <row r="28" spans="1:5" s="2" customFormat="1" ht="15">
      <c r="A28" s="1166" t="s">
        <v>813</v>
      </c>
      <c r="B28" s="1392">
        <v>393</v>
      </c>
      <c r="C28" s="1393">
        <v>2.2200000000000001E-2</v>
      </c>
    </row>
    <row r="29" spans="1:5" s="2" customFormat="1" ht="15">
      <c r="A29" s="1166" t="s">
        <v>814</v>
      </c>
      <c r="B29" s="1392">
        <v>394</v>
      </c>
      <c r="C29" s="1393">
        <v>3.1199999999999999E-2</v>
      </c>
    </row>
    <row r="30" spans="1:5" s="2" customFormat="1" ht="15">
      <c r="A30" s="1166" t="s">
        <v>815</v>
      </c>
      <c r="B30" s="1392">
        <v>395</v>
      </c>
      <c r="C30" s="1393">
        <v>3.1699999999999999E-2</v>
      </c>
    </row>
    <row r="31" spans="1:5" s="2" customFormat="1" ht="15">
      <c r="A31" s="1166" t="s">
        <v>816</v>
      </c>
      <c r="B31" s="1392">
        <v>397</v>
      </c>
      <c r="C31" s="1393">
        <v>3.32E-2</v>
      </c>
    </row>
    <row r="32" spans="1:5" s="2" customFormat="1" ht="15">
      <c r="A32" s="1166" t="s">
        <v>817</v>
      </c>
      <c r="B32" s="1392">
        <v>398</v>
      </c>
      <c r="C32" s="1393">
        <v>4.9200000000000001E-2</v>
      </c>
    </row>
    <row r="33" spans="1:5" s="2" customFormat="1" ht="15">
      <c r="A33" s="1382"/>
      <c r="B33" s="1166"/>
      <c r="C33" s="1393"/>
    </row>
    <row r="34" spans="1:5" s="2" customFormat="1" ht="15.75">
      <c r="A34" s="1382"/>
      <c r="B34" s="1167" t="s">
        <v>818</v>
      </c>
      <c r="C34" s="1393">
        <v>3.2500000000000001E-2</v>
      </c>
    </row>
    <row r="35" spans="1:5" s="2" customFormat="1" ht="15.75">
      <c r="A35" s="1382"/>
      <c r="B35" s="1167"/>
      <c r="C35" s="1394"/>
    </row>
    <row r="36" spans="1:5" ht="15.75">
      <c r="A36" s="1137" t="s">
        <v>785</v>
      </c>
      <c r="B36" s="1145"/>
      <c r="C36" s="272"/>
      <c r="D36" s="1137"/>
      <c r="E36" s="1137"/>
    </row>
    <row r="37" spans="1:5" ht="15">
      <c r="A37" s="1553"/>
      <c r="B37" s="1553"/>
      <c r="C37" s="1553"/>
      <c r="D37" s="1553"/>
      <c r="E37" s="1137"/>
    </row>
    <row r="38" spans="1:5" ht="15">
      <c r="A38" s="1553" t="s">
        <v>786</v>
      </c>
      <c r="B38" s="1553"/>
      <c r="C38" s="1553"/>
      <c r="D38" s="1553"/>
      <c r="E38" s="1137"/>
    </row>
    <row r="39" spans="1:5" ht="15">
      <c r="A39" s="1159" t="s">
        <v>158</v>
      </c>
      <c r="B39" s="1159"/>
      <c r="C39" s="1159"/>
      <c r="D39" s="1159"/>
      <c r="E39" s="1137"/>
    </row>
    <row r="40" spans="1:5" ht="15">
      <c r="A40" s="1553" t="s">
        <v>787</v>
      </c>
      <c r="B40" s="1553"/>
      <c r="C40" s="1553"/>
      <c r="D40" s="1137"/>
      <c r="E40" s="1137"/>
    </row>
    <row r="41" spans="1:5" ht="15">
      <c r="A41" s="1553"/>
      <c r="B41" s="1553"/>
      <c r="C41" s="1553"/>
      <c r="D41" s="1137"/>
      <c r="E41" s="1137"/>
    </row>
    <row r="42" spans="1:5" ht="15">
      <c r="A42" s="1137"/>
      <c r="B42" s="1131"/>
      <c r="C42" s="264"/>
      <c r="D42" s="1137"/>
      <c r="E42" s="1137"/>
    </row>
    <row r="43" spans="1:5" ht="15">
      <c r="A43" s="1553"/>
      <c r="B43" s="1553"/>
      <c r="C43" s="1553"/>
      <c r="D43" s="1553"/>
      <c r="E43" s="1137"/>
    </row>
    <row r="44" spans="1:5" ht="15.75">
      <c r="A44" s="1147" t="s">
        <v>788</v>
      </c>
      <c r="B44" s="1131"/>
      <c r="C44" s="264"/>
      <c r="D44" s="1137"/>
      <c r="E44" s="1137"/>
    </row>
    <row r="45" spans="1:5" ht="15">
      <c r="A45" s="1554" t="s">
        <v>826</v>
      </c>
      <c r="B45" s="1554"/>
      <c r="C45" s="1554"/>
      <c r="D45" s="1152"/>
      <c r="E45" s="1137"/>
    </row>
    <row r="46" spans="1:5" ht="15">
      <c r="A46" s="1554"/>
      <c r="B46" s="1554"/>
      <c r="C46" s="1554"/>
      <c r="D46" s="1152"/>
      <c r="E46" s="1137"/>
    </row>
    <row r="47" spans="1:5" ht="15">
      <c r="A47" s="1554"/>
      <c r="B47" s="1554"/>
      <c r="C47" s="1554"/>
      <c r="D47" s="1152"/>
      <c r="E47" s="1137"/>
    </row>
    <row r="48" spans="1:5" ht="15">
      <c r="A48" s="1554"/>
      <c r="B48" s="1554"/>
      <c r="C48" s="1554"/>
      <c r="D48" s="1152"/>
      <c r="E48" s="1137"/>
    </row>
    <row r="49" spans="1:5" ht="15">
      <c r="A49" s="1554"/>
      <c r="B49" s="1554"/>
      <c r="C49" s="1554"/>
      <c r="D49" s="1152"/>
      <c r="E49" s="1137"/>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33"/>
  <sheetViews>
    <sheetView view="pageBreakPreview" zoomScale="60" zoomScaleNormal="70" workbookViewId="0">
      <selection activeCell="Q28" sqref="Q28"/>
    </sheetView>
  </sheetViews>
  <sheetFormatPr defaultColWidth="9.140625" defaultRowHeight="12.75"/>
  <cols>
    <col min="1" max="1" width="9.140625" style="1130"/>
    <col min="2" max="2" width="38.5703125" style="1130" customWidth="1"/>
    <col min="3" max="3" width="21.85546875" style="1130" customWidth="1"/>
    <col min="4" max="4" width="25.85546875" style="1130" customWidth="1"/>
    <col min="5" max="16384" width="9.140625" style="1130"/>
  </cols>
  <sheetData>
    <row r="1" spans="1:7" s="767" customFormat="1" ht="15.75">
      <c r="A1" s="874" t="s">
        <v>114</v>
      </c>
      <c r="G1" s="270"/>
    </row>
    <row r="2" spans="1:7" s="767" customFormat="1" ht="15.75">
      <c r="A2" s="874" t="s">
        <v>114</v>
      </c>
      <c r="G2" s="270"/>
    </row>
    <row r="3" spans="1:7" ht="19.5">
      <c r="A3" s="1137"/>
      <c r="B3" s="1552" t="s">
        <v>391</v>
      </c>
      <c r="C3" s="1552"/>
      <c r="D3" s="1552"/>
      <c r="E3" s="1552"/>
    </row>
    <row r="4" spans="1:7" ht="19.5">
      <c r="A4" s="1137"/>
      <c r="B4" s="1552" t="s">
        <v>779</v>
      </c>
      <c r="C4" s="1552"/>
      <c r="D4" s="1552"/>
      <c r="E4" s="1552"/>
    </row>
    <row r="5" spans="1:7" ht="19.5">
      <c r="A5" s="1137"/>
      <c r="B5" s="1552" t="s">
        <v>780</v>
      </c>
      <c r="C5" s="1552"/>
      <c r="D5" s="1552"/>
      <c r="E5" s="1552"/>
    </row>
    <row r="6" spans="1:7" ht="19.5">
      <c r="A6" s="1137"/>
      <c r="B6" s="1552" t="s">
        <v>789</v>
      </c>
      <c r="C6" s="1552"/>
      <c r="D6" s="1552"/>
      <c r="E6" s="1552"/>
    </row>
    <row r="7" spans="1:7" ht="19.5">
      <c r="A7" s="1137"/>
      <c r="B7" s="1552" t="s">
        <v>782</v>
      </c>
      <c r="C7" s="1552"/>
      <c r="D7" s="1552"/>
      <c r="E7" s="1552"/>
    </row>
    <row r="8" spans="1:7" ht="19.5">
      <c r="A8" s="1137"/>
      <c r="B8" s="1552" t="s">
        <v>790</v>
      </c>
      <c r="C8" s="1552"/>
      <c r="D8" s="1552"/>
      <c r="E8" s="1552"/>
    </row>
    <row r="9" spans="1:7" ht="15">
      <c r="A9" s="1137"/>
      <c r="B9" s="1131"/>
      <c r="C9" s="1131"/>
      <c r="D9" s="1133" t="s">
        <v>114</v>
      </c>
      <c r="E9" s="1137"/>
    </row>
    <row r="10" spans="1:7" ht="15.75">
      <c r="A10" s="1137"/>
      <c r="B10" s="1131"/>
      <c r="C10" s="1151" t="s">
        <v>399</v>
      </c>
      <c r="D10" s="1137"/>
      <c r="E10" s="1137"/>
    </row>
    <row r="11" spans="1:7" ht="15.75">
      <c r="A11" s="1137"/>
      <c r="B11" s="1133"/>
      <c r="C11" s="1151" t="s">
        <v>403</v>
      </c>
      <c r="D11" s="1151" t="s">
        <v>404</v>
      </c>
      <c r="E11" s="1151"/>
    </row>
    <row r="12" spans="1:7" ht="15.75" thickBot="1">
      <c r="A12" s="1137"/>
      <c r="B12" s="1139"/>
      <c r="C12" s="1131"/>
      <c r="D12" s="1153" t="s">
        <v>499</v>
      </c>
      <c r="E12" s="1137"/>
    </row>
    <row r="13" spans="1:7" ht="15">
      <c r="A13" s="1137"/>
      <c r="B13" s="1141" t="s">
        <v>406</v>
      </c>
      <c r="C13" s="1142"/>
      <c r="D13" s="265"/>
      <c r="E13" s="1137"/>
    </row>
    <row r="14" spans="1:7" ht="15">
      <c r="A14" s="1137"/>
      <c r="B14" s="1137"/>
      <c r="C14" s="1154"/>
      <c r="D14" s="264"/>
      <c r="E14" s="1155"/>
    </row>
    <row r="15" spans="1:7" ht="15">
      <c r="A15" s="1137"/>
      <c r="B15" s="1137" t="s">
        <v>791</v>
      </c>
      <c r="C15" s="1144">
        <v>350.1</v>
      </c>
      <c r="D15" s="264">
        <v>1.44E-2</v>
      </c>
      <c r="E15" s="1155"/>
    </row>
    <row r="16" spans="1:7" ht="15">
      <c r="A16" s="1137"/>
      <c r="B16" s="1137" t="s">
        <v>407</v>
      </c>
      <c r="C16" s="269">
        <v>352</v>
      </c>
      <c r="D16" s="264">
        <v>2.0799999999999999E-2</v>
      </c>
      <c r="E16" s="1155"/>
    </row>
    <row r="17" spans="1:5" ht="15">
      <c r="A17" s="1137"/>
      <c r="B17" s="1137" t="s">
        <v>408</v>
      </c>
      <c r="C17" s="269">
        <v>353</v>
      </c>
      <c r="D17" s="264">
        <v>2.1499999999999998E-2</v>
      </c>
      <c r="E17" s="1155"/>
    </row>
    <row r="18" spans="1:5" ht="15">
      <c r="A18" s="1137"/>
      <c r="B18" s="1137" t="s">
        <v>409</v>
      </c>
      <c r="C18" s="269">
        <v>354</v>
      </c>
      <c r="D18" s="264">
        <v>2.6100000000000002E-2</v>
      </c>
      <c r="E18" s="1155"/>
    </row>
    <row r="19" spans="1:5" ht="15">
      <c r="A19" s="1137"/>
      <c r="B19" s="1137" t="s">
        <v>410</v>
      </c>
      <c r="C19" s="269">
        <v>355</v>
      </c>
      <c r="D19" s="264">
        <v>3.95E-2</v>
      </c>
      <c r="E19" s="1155"/>
    </row>
    <row r="20" spans="1:5" ht="15">
      <c r="A20" s="1137"/>
      <c r="B20" s="1137" t="s">
        <v>775</v>
      </c>
      <c r="C20" s="269">
        <v>356</v>
      </c>
      <c r="D20" s="264">
        <v>2.9100000000000001E-2</v>
      </c>
      <c r="E20" s="1155"/>
    </row>
    <row r="21" spans="1:5" ht="15">
      <c r="A21" s="1137"/>
      <c r="B21" s="1137" t="s">
        <v>411</v>
      </c>
      <c r="C21" s="269">
        <v>357</v>
      </c>
      <c r="D21" s="264">
        <v>2.9899999999999999E-2</v>
      </c>
      <c r="E21" s="1155"/>
    </row>
    <row r="22" spans="1:5" ht="15">
      <c r="A22" s="1137"/>
      <c r="B22" s="1137" t="s">
        <v>412</v>
      </c>
      <c r="C22" s="269">
        <v>358</v>
      </c>
      <c r="D22" s="264">
        <v>2.6200000000000001E-2</v>
      </c>
      <c r="E22" s="1155"/>
    </row>
    <row r="23" spans="1:5" ht="15">
      <c r="A23" s="1137"/>
      <c r="B23" s="1137"/>
      <c r="C23" s="1131"/>
      <c r="D23" s="264"/>
      <c r="E23" s="1137"/>
    </row>
    <row r="24" spans="1:5" ht="15.75">
      <c r="A24" s="1137"/>
      <c r="B24" s="1137" t="s">
        <v>785</v>
      </c>
      <c r="C24" s="1145"/>
      <c r="D24" s="272"/>
      <c r="E24" s="1137"/>
    </row>
    <row r="25" spans="1:5" ht="15">
      <c r="A25" s="1137"/>
      <c r="B25" s="1553"/>
      <c r="C25" s="1553"/>
      <c r="D25" s="1553"/>
      <c r="E25" s="1553"/>
    </row>
    <row r="26" spans="1:5" ht="15">
      <c r="A26" s="1137"/>
      <c r="B26" s="1553" t="s">
        <v>792</v>
      </c>
      <c r="C26" s="1553"/>
      <c r="D26" s="1553"/>
      <c r="E26" s="1553"/>
    </row>
    <row r="27" spans="1:5" ht="15">
      <c r="A27" s="1137"/>
      <c r="B27" s="1553"/>
      <c r="C27" s="1553"/>
      <c r="D27" s="1553"/>
      <c r="E27" s="1553"/>
    </row>
    <row r="28" spans="1:5" ht="15.75">
      <c r="A28" s="1137"/>
      <c r="B28" s="1147" t="s">
        <v>788</v>
      </c>
      <c r="C28" s="1131"/>
      <c r="D28" s="264"/>
      <c r="E28" s="1137"/>
    </row>
    <row r="29" spans="1:5" ht="15">
      <c r="A29" s="1137"/>
      <c r="B29" s="1554" t="s">
        <v>826</v>
      </c>
      <c r="C29" s="1554"/>
      <c r="D29" s="1554"/>
      <c r="E29" s="1152"/>
    </row>
    <row r="30" spans="1:5" ht="15">
      <c r="A30" s="1137"/>
      <c r="B30" s="1554"/>
      <c r="C30" s="1554"/>
      <c r="D30" s="1554"/>
      <c r="E30" s="1152"/>
    </row>
    <row r="31" spans="1:5" ht="15">
      <c r="A31" s="1137"/>
      <c r="B31" s="1554"/>
      <c r="C31" s="1554"/>
      <c r="D31" s="1554"/>
      <c r="E31" s="1152"/>
    </row>
    <row r="32" spans="1:5" ht="15">
      <c r="A32" s="1137"/>
      <c r="B32" s="1554"/>
      <c r="C32" s="1554"/>
      <c r="D32" s="1554"/>
      <c r="E32" s="1152"/>
    </row>
    <row r="33" spans="1:5" ht="15">
      <c r="A33" s="1137"/>
      <c r="B33" s="1554"/>
      <c r="C33" s="1554"/>
      <c r="D33" s="1554"/>
      <c r="E33" s="1152"/>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47"/>
  <sheetViews>
    <sheetView view="pageBreakPreview" zoomScale="60" zoomScaleNormal="70" workbookViewId="0">
      <selection activeCell="Q28" sqref="Q28"/>
    </sheetView>
  </sheetViews>
  <sheetFormatPr defaultColWidth="9.140625" defaultRowHeight="12.75"/>
  <cols>
    <col min="1" max="1" width="38.85546875" style="1130" customWidth="1"/>
    <col min="2" max="2" width="28.42578125" style="1130" customWidth="1"/>
    <col min="3" max="3" width="23.140625" style="1130" customWidth="1"/>
    <col min="4" max="16384" width="9.140625" style="1130"/>
  </cols>
  <sheetData>
    <row r="1" spans="1:7" s="767" customFormat="1" ht="15.75">
      <c r="A1" s="874" t="s">
        <v>114</v>
      </c>
      <c r="G1" s="270"/>
    </row>
    <row r="2" spans="1:7" s="767" customFormat="1" ht="15.75">
      <c r="A2" s="874" t="s">
        <v>114</v>
      </c>
      <c r="G2" s="270"/>
    </row>
    <row r="3" spans="1:7" ht="19.5">
      <c r="A3" s="1552" t="s">
        <v>391</v>
      </c>
      <c r="B3" s="1552"/>
      <c r="C3" s="1552"/>
      <c r="D3" s="1552"/>
    </row>
    <row r="4" spans="1:7" ht="19.5">
      <c r="A4" s="1552" t="s">
        <v>779</v>
      </c>
      <c r="B4" s="1552"/>
      <c r="C4" s="1552"/>
      <c r="D4" s="1552"/>
    </row>
    <row r="5" spans="1:7" ht="19.5">
      <c r="A5" s="1552" t="s">
        <v>780</v>
      </c>
      <c r="B5" s="1552"/>
      <c r="C5" s="1552"/>
      <c r="D5" s="1552"/>
    </row>
    <row r="6" spans="1:7" ht="19.5">
      <c r="A6" s="1552" t="s">
        <v>1024</v>
      </c>
      <c r="B6" s="1552"/>
      <c r="C6" s="1552"/>
      <c r="D6" s="1552"/>
    </row>
    <row r="7" spans="1:7" ht="19.5">
      <c r="A7" s="1552" t="s">
        <v>782</v>
      </c>
      <c r="B7" s="1552"/>
      <c r="C7" s="1552"/>
      <c r="D7" s="1552"/>
    </row>
    <row r="8" spans="1:7" ht="19.5">
      <c r="A8" s="1552" t="s">
        <v>793</v>
      </c>
      <c r="B8" s="1552"/>
      <c r="C8" s="1552"/>
      <c r="D8" s="1552"/>
    </row>
    <row r="9" spans="1:7" ht="15">
      <c r="A9" s="1131"/>
      <c r="B9" s="1131"/>
      <c r="C9" s="1133" t="s">
        <v>114</v>
      </c>
      <c r="D9" s="1137"/>
    </row>
    <row r="10" spans="1:7" ht="15.75">
      <c r="A10" s="1131"/>
      <c r="B10" s="1151" t="s">
        <v>399</v>
      </c>
      <c r="C10" s="1137"/>
      <c r="D10" s="1137"/>
    </row>
    <row r="11" spans="1:7" ht="15.75">
      <c r="A11" s="1133"/>
      <c r="B11" s="1151" t="s">
        <v>403</v>
      </c>
      <c r="C11" s="1151" t="s">
        <v>404</v>
      </c>
      <c r="D11" s="1151"/>
    </row>
    <row r="12" spans="1:7" ht="15.75" thickBot="1">
      <c r="A12" s="1139"/>
      <c r="B12" s="1131"/>
      <c r="C12" s="1153" t="s">
        <v>499</v>
      </c>
      <c r="D12" s="1137"/>
    </row>
    <row r="13" spans="1:7" ht="15">
      <c r="A13" s="1141" t="s">
        <v>406</v>
      </c>
      <c r="B13" s="1142"/>
      <c r="C13" s="265"/>
      <c r="D13" s="1137"/>
    </row>
    <row r="14" spans="1:7" ht="15">
      <c r="A14" s="1144" t="s">
        <v>407</v>
      </c>
      <c r="B14" s="269">
        <v>352</v>
      </c>
      <c r="C14" s="264">
        <v>2.0199999999999999E-2</v>
      </c>
      <c r="D14" s="1155"/>
    </row>
    <row r="15" spans="1:7" ht="15">
      <c r="A15" s="1144" t="s">
        <v>408</v>
      </c>
      <c r="B15" s="269">
        <v>353</v>
      </c>
      <c r="C15" s="264">
        <v>2.29E-2</v>
      </c>
      <c r="D15" s="1155"/>
    </row>
    <row r="16" spans="1:7" ht="15">
      <c r="A16" s="1154"/>
      <c r="B16" s="269"/>
      <c r="C16" s="264"/>
      <c r="D16" s="1155"/>
    </row>
    <row r="17" spans="1:4" ht="15">
      <c r="A17" s="1144" t="s">
        <v>794</v>
      </c>
      <c r="B17" s="269">
        <v>354</v>
      </c>
      <c r="C17" s="264">
        <v>1.8800000000000001E-2</v>
      </c>
      <c r="D17" s="1155"/>
    </row>
    <row r="18" spans="1:4" ht="15">
      <c r="A18" s="1144" t="s">
        <v>795</v>
      </c>
      <c r="B18" s="269">
        <v>354</v>
      </c>
      <c r="C18" s="264">
        <v>1.8800000000000001E-2</v>
      </c>
      <c r="D18" s="1155"/>
    </row>
    <row r="19" spans="1:4" ht="15">
      <c r="A19" s="1160"/>
      <c r="B19" s="1161"/>
      <c r="C19" s="303"/>
      <c r="D19" s="1155"/>
    </row>
    <row r="20" spans="1:4" ht="15">
      <c r="A20" s="1144" t="s">
        <v>796</v>
      </c>
      <c r="B20" s="269">
        <v>355</v>
      </c>
      <c r="C20" s="264">
        <v>3.5200000000000002E-2</v>
      </c>
      <c r="D20" s="1155"/>
    </row>
    <row r="21" spans="1:4" ht="15">
      <c r="A21" s="1144" t="s">
        <v>797</v>
      </c>
      <c r="B21" s="269">
        <v>355</v>
      </c>
      <c r="C21" s="264">
        <v>3.5200000000000002E-2</v>
      </c>
      <c r="D21" s="1155"/>
    </row>
    <row r="22" spans="1:4" ht="15">
      <c r="A22" s="1160"/>
      <c r="B22" s="269"/>
      <c r="C22" s="264"/>
      <c r="D22" s="1155"/>
    </row>
    <row r="23" spans="1:4" ht="15">
      <c r="A23" s="1144" t="s">
        <v>798</v>
      </c>
      <c r="B23" s="269">
        <v>356</v>
      </c>
      <c r="C23" s="264">
        <v>1.9099999999999999E-2</v>
      </c>
      <c r="D23" s="1155"/>
    </row>
    <row r="24" spans="1:4" ht="15">
      <c r="A24" s="1144" t="s">
        <v>799</v>
      </c>
      <c r="B24" s="269">
        <v>356</v>
      </c>
      <c r="C24" s="264">
        <v>1.9099999999999999E-2</v>
      </c>
      <c r="D24" s="1155"/>
    </row>
    <row r="25" spans="1:4" ht="15">
      <c r="A25" s="1144" t="s">
        <v>800</v>
      </c>
      <c r="B25" s="269">
        <v>356</v>
      </c>
      <c r="C25" s="264">
        <v>1.9099999999999999E-2</v>
      </c>
      <c r="D25" s="1155"/>
    </row>
    <row r="26" spans="1:4" ht="15">
      <c r="A26" s="1144" t="s">
        <v>801</v>
      </c>
      <c r="B26" s="269">
        <v>356</v>
      </c>
      <c r="C26" s="264">
        <v>1.9099999999999999E-2</v>
      </c>
      <c r="D26" s="1155"/>
    </row>
    <row r="27" spans="1:4" ht="15">
      <c r="A27" s="1144" t="s">
        <v>802</v>
      </c>
      <c r="B27" s="269">
        <v>356</v>
      </c>
      <c r="C27" s="264">
        <v>1.9099999999999999E-2</v>
      </c>
      <c r="D27" s="1155"/>
    </row>
    <row r="28" spans="1:4" ht="15">
      <c r="A28" s="1144"/>
      <c r="B28" s="269"/>
      <c r="C28" s="264"/>
      <c r="D28" s="1155"/>
    </row>
    <row r="29" spans="1:4" ht="15">
      <c r="A29" s="1144" t="s">
        <v>411</v>
      </c>
      <c r="B29" s="269">
        <v>357</v>
      </c>
      <c r="C29" s="264">
        <v>2.2599999999999999E-2</v>
      </c>
      <c r="D29" s="1155"/>
    </row>
    <row r="30" spans="1:4" ht="15">
      <c r="A30" s="1144" t="s">
        <v>412</v>
      </c>
      <c r="B30" s="269">
        <v>358</v>
      </c>
      <c r="C30" s="264">
        <v>3.27E-2</v>
      </c>
      <c r="D30" s="1155"/>
    </row>
    <row r="31" spans="1:4" ht="15">
      <c r="A31" s="1154"/>
      <c r="B31" s="1143"/>
      <c r="C31" s="303"/>
      <c r="D31" s="1137"/>
    </row>
    <row r="32" spans="1:4" ht="15.75" thickBot="1">
      <c r="A32" s="1162"/>
      <c r="B32" s="1163"/>
      <c r="C32" s="1164"/>
      <c r="D32" s="1137"/>
    </row>
    <row r="33" spans="1:4" ht="15">
      <c r="A33" s="1139"/>
      <c r="B33" s="1131"/>
      <c r="C33" s="264"/>
      <c r="D33" s="1137"/>
    </row>
    <row r="34" spans="1:4" ht="15">
      <c r="A34" s="1137"/>
      <c r="B34" s="1131"/>
      <c r="C34" s="264"/>
      <c r="D34" s="1137"/>
    </row>
    <row r="35" spans="1:4" ht="15.75">
      <c r="A35" s="1137" t="s">
        <v>785</v>
      </c>
      <c r="B35" s="1145"/>
      <c r="C35" s="272"/>
      <c r="D35" s="1137"/>
    </row>
    <row r="36" spans="1:4" ht="15">
      <c r="A36" s="1137"/>
      <c r="B36" s="1137"/>
      <c r="C36" s="1137"/>
      <c r="D36" s="1137"/>
    </row>
    <row r="37" spans="1:4" ht="15">
      <c r="A37" s="1553" t="s">
        <v>803</v>
      </c>
      <c r="B37" s="1553"/>
      <c r="C37" s="1553"/>
      <c r="D37" s="1553"/>
    </row>
    <row r="38" spans="1:4" ht="15">
      <c r="A38" s="1137" t="s">
        <v>804</v>
      </c>
      <c r="B38" s="1137"/>
      <c r="C38" s="1137"/>
      <c r="D38" s="1137"/>
    </row>
    <row r="39" spans="1:4" ht="15">
      <c r="A39" s="1137" t="s">
        <v>805</v>
      </c>
      <c r="B39" s="1137"/>
      <c r="C39" s="1137"/>
      <c r="D39" s="1137"/>
    </row>
    <row r="40" spans="1:4" ht="15">
      <c r="A40" s="1137"/>
      <c r="B40" s="1137"/>
      <c r="C40" s="1137"/>
      <c r="D40" s="1137"/>
    </row>
    <row r="41" spans="1:4" ht="15.75">
      <c r="A41" s="1147" t="s">
        <v>806</v>
      </c>
      <c r="B41" s="1131"/>
      <c r="C41" s="264"/>
      <c r="D41" s="1137"/>
    </row>
    <row r="42" spans="1:4">
      <c r="A42" s="1554" t="s">
        <v>826</v>
      </c>
      <c r="B42" s="1554"/>
      <c r="C42" s="1554"/>
      <c r="D42" s="1152"/>
    </row>
    <row r="43" spans="1:4">
      <c r="A43" s="1554"/>
      <c r="B43" s="1554"/>
      <c r="C43" s="1554"/>
      <c r="D43" s="1152"/>
    </row>
    <row r="44" spans="1:4">
      <c r="A44" s="1554"/>
      <c r="B44" s="1554"/>
      <c r="C44" s="1554"/>
      <c r="D44" s="1152"/>
    </row>
    <row r="45" spans="1:4">
      <c r="A45" s="1554"/>
      <c r="B45" s="1554"/>
      <c r="C45" s="1554"/>
      <c r="D45" s="1152"/>
    </row>
    <row r="46" spans="1:4">
      <c r="A46" s="1554"/>
      <c r="B46" s="1554"/>
      <c r="C46" s="1554"/>
      <c r="D46" s="1152"/>
    </row>
    <row r="47" spans="1:4" ht="15">
      <c r="A47" s="1137"/>
      <c r="B47" s="1137"/>
      <c r="C47" s="1137"/>
      <c r="D47" s="1137"/>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6">
    <pageSetUpPr fitToPage="1"/>
  </sheetPr>
  <dimension ref="A1:H45"/>
  <sheetViews>
    <sheetView defaultGridColor="0" colorId="22" zoomScale="75" workbookViewId="0">
      <selection activeCell="Q28" sqref="Q28"/>
    </sheetView>
  </sheetViews>
  <sheetFormatPr defaultColWidth="14.5703125" defaultRowHeight="15"/>
  <cols>
    <col min="1" max="1" width="41.5703125" style="1137" customWidth="1"/>
    <col min="2" max="2" width="33.140625" style="1137" customWidth="1"/>
    <col min="3" max="4" width="31.85546875" style="1137" customWidth="1"/>
    <col min="5" max="5" width="16.5703125" style="1137" customWidth="1"/>
    <col min="6" max="6" width="14.5703125" style="1137" customWidth="1"/>
    <col min="7" max="7" width="4.85546875" style="1137" customWidth="1"/>
    <col min="8" max="8" width="14.5703125" style="1138" customWidth="1"/>
    <col min="9" max="9" width="18.42578125" style="1137" customWidth="1"/>
    <col min="10" max="10" width="15.5703125" style="1137" customWidth="1"/>
    <col min="11" max="11" width="6.140625" style="1137" customWidth="1"/>
    <col min="12" max="12" width="14.5703125" style="1137" customWidth="1"/>
    <col min="13" max="13" width="16.140625" style="1137" customWidth="1"/>
    <col min="14" max="14" width="14.5703125" style="1137" customWidth="1"/>
    <col min="15" max="15" width="4.85546875" style="1137" customWidth="1"/>
    <col min="16" max="16" width="18.5703125" style="1137" customWidth="1"/>
    <col min="17" max="16384" width="14.5703125" style="1137"/>
  </cols>
  <sheetData>
    <row r="1" spans="1:7" s="767" customFormat="1" ht="15.75">
      <c r="A1" s="874" t="s">
        <v>114</v>
      </c>
      <c r="G1" s="270"/>
    </row>
    <row r="2" spans="1:7" s="767" customFormat="1" ht="15.75">
      <c r="A2" s="874" t="s">
        <v>114</v>
      </c>
      <c r="G2" s="270"/>
    </row>
    <row r="3" spans="1:7" ht="19.5">
      <c r="B3" s="1552" t="s">
        <v>391</v>
      </c>
      <c r="C3" s="1552"/>
      <c r="D3" s="1552"/>
      <c r="E3" s="1552"/>
    </row>
    <row r="4" spans="1:7" ht="19.5">
      <c r="B4" s="1552" t="s">
        <v>779</v>
      </c>
      <c r="C4" s="1552"/>
      <c r="D4" s="1552"/>
      <c r="E4" s="1552"/>
    </row>
    <row r="5" spans="1:7" ht="19.5">
      <c r="B5" s="1552" t="s">
        <v>780</v>
      </c>
      <c r="C5" s="1552"/>
      <c r="D5" s="1552"/>
      <c r="E5" s="1552"/>
    </row>
    <row r="6" spans="1:7" ht="19.5">
      <c r="B6" s="1552" t="s">
        <v>1025</v>
      </c>
      <c r="C6" s="1552"/>
      <c r="D6" s="1552"/>
      <c r="E6" s="1552"/>
    </row>
    <row r="7" spans="1:7" ht="19.5">
      <c r="B7" s="1552" t="s">
        <v>782</v>
      </c>
      <c r="C7" s="1552"/>
      <c r="D7" s="1552"/>
      <c r="E7" s="1552"/>
    </row>
    <row r="8" spans="1:7" ht="19.5">
      <c r="B8" s="1552" t="s">
        <v>807</v>
      </c>
      <c r="C8" s="1552"/>
      <c r="D8" s="1552"/>
      <c r="E8" s="1552"/>
    </row>
    <row r="9" spans="1:7">
      <c r="B9" s="1131"/>
      <c r="C9" s="1131"/>
      <c r="D9" s="1133" t="s">
        <v>114</v>
      </c>
    </row>
    <row r="10" spans="1:7">
      <c r="A10" s="1554"/>
      <c r="B10" s="1554"/>
      <c r="C10" s="1554"/>
      <c r="D10" s="1152"/>
    </row>
    <row r="11" spans="1:7" ht="15.75">
      <c r="A11" s="1131"/>
      <c r="B11" s="1151" t="s">
        <v>399</v>
      </c>
    </row>
    <row r="12" spans="1:7" ht="15.75">
      <c r="A12" s="1133"/>
      <c r="B12" s="1151" t="s">
        <v>403</v>
      </c>
      <c r="C12" s="1151" t="s">
        <v>404</v>
      </c>
      <c r="D12" s="1151"/>
    </row>
    <row r="13" spans="1:7" ht="15.75" thickBot="1">
      <c r="C13" s="1155" t="s">
        <v>499</v>
      </c>
    </row>
    <row r="14" spans="1:7">
      <c r="A14" s="1141" t="s">
        <v>406</v>
      </c>
      <c r="B14" s="1142"/>
      <c r="C14" s="265"/>
    </row>
    <row r="15" spans="1:7">
      <c r="A15" s="1154"/>
      <c r="D15" s="1155"/>
    </row>
    <row r="16" spans="1:7">
      <c r="A16" s="1144" t="s">
        <v>407</v>
      </c>
      <c r="B16" s="269">
        <v>352</v>
      </c>
      <c r="C16" s="264">
        <v>1.15E-2</v>
      </c>
      <c r="D16" s="1155"/>
    </row>
    <row r="17" spans="1:4">
      <c r="A17" s="1160" t="s">
        <v>408</v>
      </c>
      <c r="B17" s="269">
        <v>353</v>
      </c>
      <c r="C17" s="264">
        <v>2.2200000000000001E-2</v>
      </c>
      <c r="D17" s="1155"/>
    </row>
    <row r="18" spans="1:4">
      <c r="A18" s="1160" t="s">
        <v>409</v>
      </c>
      <c r="B18" s="269">
        <v>354</v>
      </c>
      <c r="C18" s="264">
        <v>2.6499999999999999E-2</v>
      </c>
      <c r="D18" s="1155"/>
    </row>
    <row r="19" spans="1:4">
      <c r="A19" s="1160" t="s">
        <v>410</v>
      </c>
      <c r="B19" s="269">
        <v>355</v>
      </c>
      <c r="C19" s="264">
        <v>2.41E-2</v>
      </c>
      <c r="D19" s="1155"/>
    </row>
    <row r="20" spans="1:4">
      <c r="A20" s="1160" t="s">
        <v>775</v>
      </c>
      <c r="B20" s="269">
        <v>356</v>
      </c>
      <c r="C20" s="264">
        <v>1.32E-2</v>
      </c>
      <c r="D20" s="1155"/>
    </row>
    <row r="21" spans="1:4">
      <c r="A21" s="1160" t="s">
        <v>411</v>
      </c>
      <c r="B21" s="269">
        <v>351</v>
      </c>
      <c r="C21" s="264">
        <v>9.9400000000000002E-2</v>
      </c>
      <c r="D21" s="1155"/>
    </row>
    <row r="22" spans="1:4">
      <c r="A22" s="1160" t="s">
        <v>412</v>
      </c>
      <c r="B22" s="269">
        <v>351</v>
      </c>
      <c r="C22" s="264">
        <v>0.13980000000000001</v>
      </c>
      <c r="D22" s="1155"/>
    </row>
    <row r="23" spans="1:4">
      <c r="A23" s="1160" t="s">
        <v>776</v>
      </c>
      <c r="B23" s="269">
        <v>359</v>
      </c>
      <c r="C23" s="1153" t="s">
        <v>808</v>
      </c>
      <c r="D23" s="1155"/>
    </row>
    <row r="24" spans="1:4" ht="15.75" thickBot="1">
      <c r="A24" s="1160"/>
      <c r="B24" s="269"/>
      <c r="C24" s="264"/>
      <c r="D24" s="1155"/>
    </row>
    <row r="25" spans="1:4">
      <c r="A25" s="1141" t="s">
        <v>810</v>
      </c>
      <c r="B25" s="1142"/>
      <c r="C25" s="265"/>
      <c r="D25" s="1155"/>
    </row>
    <row r="26" spans="1:4" ht="15" customHeight="1">
      <c r="A26" s="1160"/>
      <c r="B26" s="269"/>
      <c r="C26" s="264"/>
      <c r="D26" s="1155"/>
    </row>
    <row r="27" spans="1:4">
      <c r="A27" s="1160" t="s">
        <v>811</v>
      </c>
      <c r="B27" s="269">
        <v>390</v>
      </c>
      <c r="C27" s="264">
        <v>1.0800000000000001E-2</v>
      </c>
      <c r="D27" s="1155"/>
    </row>
    <row r="28" spans="1:4">
      <c r="A28" s="1160" t="s">
        <v>812</v>
      </c>
      <c r="B28" s="269">
        <v>391</v>
      </c>
      <c r="C28" s="264">
        <v>2.1299999999999999E-2</v>
      </c>
      <c r="D28" s="1155"/>
    </row>
    <row r="29" spans="1:4">
      <c r="A29" s="1160" t="s">
        <v>813</v>
      </c>
      <c r="B29" s="269">
        <v>393</v>
      </c>
      <c r="C29" s="264">
        <v>1.78E-2</v>
      </c>
      <c r="D29" s="1155"/>
    </row>
    <row r="30" spans="1:4" ht="15" customHeight="1">
      <c r="A30" s="1160" t="s">
        <v>814</v>
      </c>
      <c r="B30" s="269">
        <v>394</v>
      </c>
      <c r="C30" s="264">
        <v>1.6500000000000001E-2</v>
      </c>
      <c r="D30" s="1155"/>
    </row>
    <row r="31" spans="1:4">
      <c r="A31" s="1160" t="s">
        <v>816</v>
      </c>
      <c r="B31" s="269">
        <v>397</v>
      </c>
      <c r="C31" s="264">
        <v>5.0900000000000001E-2</v>
      </c>
      <c r="D31" s="1155"/>
    </row>
    <row r="32" spans="1:4">
      <c r="A32" s="1160" t="s">
        <v>817</v>
      </c>
      <c r="B32" s="269">
        <v>398</v>
      </c>
      <c r="C32" s="264">
        <v>2.76E-2</v>
      </c>
      <c r="D32" s="1155"/>
    </row>
    <row r="33" spans="1:4">
      <c r="A33" s="1160"/>
      <c r="B33" s="269"/>
      <c r="C33" s="264"/>
      <c r="D33" s="1155"/>
    </row>
    <row r="34" spans="1:4">
      <c r="A34" s="1160"/>
      <c r="B34" s="269"/>
      <c r="C34" s="264"/>
      <c r="D34" s="1155"/>
    </row>
    <row r="35" spans="1:4">
      <c r="A35" s="1160"/>
      <c r="B35" s="269"/>
      <c r="C35" s="264"/>
      <c r="D35" s="1155"/>
    </row>
    <row r="36" spans="1:4">
      <c r="A36" s="1154"/>
      <c r="B36" s="1143"/>
      <c r="C36" s="303"/>
    </row>
    <row r="37" spans="1:4">
      <c r="A37" s="1553" t="s">
        <v>809</v>
      </c>
      <c r="B37" s="1553"/>
      <c r="C37" s="1553"/>
      <c r="D37" s="1553"/>
    </row>
    <row r="38" spans="1:4" ht="15.75">
      <c r="B38" s="1145"/>
      <c r="C38" s="272"/>
    </row>
    <row r="39" spans="1:4">
      <c r="A39" s="1553"/>
      <c r="B39" s="1553"/>
      <c r="C39" s="1553"/>
      <c r="D39" s="1553"/>
    </row>
    <row r="40" spans="1:4" ht="15.75">
      <c r="A40" s="1147" t="s">
        <v>806</v>
      </c>
      <c r="B40" s="1131"/>
      <c r="C40" s="264"/>
    </row>
    <row r="41" spans="1:4">
      <c r="A41" s="1554" t="s">
        <v>826</v>
      </c>
      <c r="B41" s="1554"/>
      <c r="C41" s="1554"/>
      <c r="D41" s="1152"/>
    </row>
    <row r="42" spans="1:4">
      <c r="A42" s="1554"/>
      <c r="B42" s="1554"/>
      <c r="C42" s="1554"/>
      <c r="D42" s="1152"/>
    </row>
    <row r="43" spans="1:4">
      <c r="A43" s="1554"/>
      <c r="B43" s="1554"/>
      <c r="C43" s="1554"/>
      <c r="D43" s="1152"/>
    </row>
    <row r="44" spans="1:4">
      <c r="A44" s="1554"/>
      <c r="B44" s="1554"/>
      <c r="C44" s="1554"/>
      <c r="D44" s="1152"/>
    </row>
    <row r="45" spans="1:4">
      <c r="A45" s="1554"/>
      <c r="B45" s="1554"/>
      <c r="C45" s="1554"/>
      <c r="D45" s="1152"/>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K57"/>
  <sheetViews>
    <sheetView view="pageBreakPreview" zoomScale="60" zoomScaleNormal="100" workbookViewId="0">
      <selection activeCell="F16" sqref="F16"/>
    </sheetView>
  </sheetViews>
  <sheetFormatPr defaultRowHeight="12.75"/>
  <cols>
    <col min="1" max="1" width="35.85546875" customWidth="1"/>
    <col min="4" max="4" width="28.85546875" customWidth="1"/>
    <col min="6" max="6" width="20.5703125" customWidth="1"/>
    <col min="8" max="8" width="26.140625" customWidth="1"/>
    <col min="9" max="9" width="19" customWidth="1"/>
    <col min="11" max="11" width="18.85546875" customWidth="1"/>
  </cols>
  <sheetData>
    <row r="1" spans="1:11" ht="15.75">
      <c r="A1" s="1555" t="s">
        <v>387</v>
      </c>
      <c r="B1" s="1555"/>
      <c r="C1" s="1555"/>
      <c r="D1" s="1555"/>
      <c r="E1" s="1555"/>
      <c r="F1" s="1555"/>
      <c r="G1" s="1555"/>
      <c r="H1" s="1555"/>
      <c r="I1" s="1555"/>
      <c r="J1" s="1555"/>
      <c r="K1" s="1555"/>
    </row>
    <row r="2" spans="1:11" ht="15.75">
      <c r="A2" s="1556" t="s">
        <v>567</v>
      </c>
      <c r="B2" s="1556"/>
      <c r="C2" s="1556"/>
      <c r="D2" s="1556"/>
      <c r="E2" s="1556"/>
      <c r="F2" s="1556"/>
      <c r="G2" s="1556"/>
      <c r="H2" s="1556"/>
      <c r="I2" s="1556"/>
      <c r="J2" s="1556"/>
      <c r="K2" s="1556"/>
    </row>
    <row r="3" spans="1:11" ht="15.75">
      <c r="A3" s="1556" t="s">
        <v>568</v>
      </c>
      <c r="B3" s="1556"/>
      <c r="C3" s="1556"/>
      <c r="D3" s="1556"/>
      <c r="E3" s="1556"/>
      <c r="F3" s="1556"/>
      <c r="G3" s="1556"/>
      <c r="H3" s="1556"/>
      <c r="I3" s="1556"/>
      <c r="J3" s="1556"/>
      <c r="K3" s="1556"/>
    </row>
    <row r="4" spans="1:11" ht="15.75">
      <c r="A4" s="510"/>
      <c r="B4" s="510"/>
      <c r="C4" s="510"/>
      <c r="D4" s="1556"/>
      <c r="E4" s="1556"/>
      <c r="F4" s="1556"/>
      <c r="G4" s="1556"/>
      <c r="H4" s="510"/>
      <c r="I4" s="510"/>
      <c r="J4" s="510"/>
      <c r="K4" s="510"/>
    </row>
    <row r="5" spans="1:11">
      <c r="A5" s="404"/>
      <c r="B5" s="404"/>
      <c r="C5" s="404"/>
      <c r="D5" s="404"/>
      <c r="E5" s="404"/>
      <c r="F5" s="404"/>
      <c r="G5" s="404"/>
      <c r="H5" s="404"/>
      <c r="I5" s="404"/>
      <c r="J5" s="404"/>
      <c r="K5" s="404"/>
    </row>
    <row r="6" spans="1:11">
      <c r="A6" s="404"/>
      <c r="B6" s="404"/>
      <c r="C6" s="404"/>
      <c r="D6" s="404"/>
      <c r="E6" s="404"/>
      <c r="F6" s="404"/>
      <c r="G6" s="404"/>
      <c r="H6" s="404"/>
      <c r="I6" s="404"/>
      <c r="J6" s="404"/>
      <c r="K6" s="404"/>
    </row>
    <row r="7" spans="1:11" ht="16.5" thickBot="1">
      <c r="A7" s="786"/>
      <c r="B7" s="787"/>
      <c r="C7" s="787"/>
      <c r="D7" s="787"/>
      <c r="E7" s="787"/>
      <c r="F7" s="787"/>
      <c r="G7" s="787"/>
      <c r="H7" s="787"/>
      <c r="I7" s="787"/>
      <c r="J7" s="787"/>
      <c r="K7" s="787"/>
    </row>
    <row r="8" spans="1:11" ht="31.5">
      <c r="A8" s="1416" t="str">
        <f>"Reconciliation Revenue Requirement For Year 2021 Available May 25, 2022"</f>
        <v>Reconciliation Revenue Requirement For Year 2021 Available May 25, 2022</v>
      </c>
      <c r="B8" s="1417"/>
      <c r="C8" s="1417"/>
      <c r="D8" s="1416" t="s">
        <v>1051</v>
      </c>
      <c r="E8" s="787"/>
      <c r="F8" s="787"/>
      <c r="G8" s="510"/>
      <c r="H8" s="788" t="s">
        <v>548</v>
      </c>
      <c r="I8" s="510"/>
      <c r="J8" s="510"/>
      <c r="K8" s="510"/>
    </row>
    <row r="9" spans="1:11" ht="15.75">
      <c r="A9" s="789" t="s">
        <v>114</v>
      </c>
      <c r="B9" s="787"/>
      <c r="C9" s="787"/>
      <c r="D9" s="789"/>
      <c r="E9" s="787"/>
      <c r="F9" s="787"/>
      <c r="G9" s="510"/>
      <c r="H9" s="790"/>
      <c r="I9" s="510"/>
      <c r="J9" s="510"/>
      <c r="K9" s="510"/>
    </row>
    <row r="10" spans="1:11" ht="16.5" thickBot="1">
      <c r="A10" s="868">
        <v>12143895.05396248</v>
      </c>
      <c r="B10" s="791" t="str">
        <f>"-"</f>
        <v>-</v>
      </c>
      <c r="C10" s="792"/>
      <c r="D10" s="868">
        <v>12835738.195497952</v>
      </c>
      <c r="E10" s="793"/>
      <c r="F10" s="794" t="str">
        <f>"="</f>
        <v>=</v>
      </c>
      <c r="G10" s="795"/>
      <c r="H10" s="796">
        <f>IF(A10=0,0,D10-A10)</f>
        <v>691843.14153547212</v>
      </c>
      <c r="I10" s="510"/>
      <c r="J10" s="510"/>
      <c r="K10" s="510"/>
    </row>
    <row r="11" spans="1:11" ht="15.75">
      <c r="A11" s="797"/>
      <c r="B11" s="798"/>
      <c r="C11" s="798"/>
      <c r="D11" s="797"/>
      <c r="E11" s="797"/>
      <c r="F11" s="798"/>
      <c r="G11" s="797"/>
      <c r="H11" s="510"/>
      <c r="I11" s="510"/>
      <c r="J11" s="510"/>
      <c r="K11" s="510"/>
    </row>
    <row r="12" spans="1:11" ht="16.5" thickBot="1">
      <c r="A12" s="799"/>
      <c r="B12" s="800"/>
      <c r="C12" s="800"/>
      <c r="D12" s="799"/>
      <c r="E12" s="799"/>
      <c r="F12" s="800"/>
      <c r="G12" s="799"/>
      <c r="H12" s="801"/>
      <c r="I12" s="801"/>
      <c r="J12" s="801"/>
      <c r="K12" s="801"/>
    </row>
    <row r="13" spans="1:11" ht="15.75">
      <c r="A13" s="802"/>
      <c r="B13" s="798"/>
      <c r="C13" s="798"/>
      <c r="D13" s="797"/>
      <c r="E13" s="797"/>
      <c r="F13" s="798"/>
      <c r="G13" s="797"/>
      <c r="H13" s="510"/>
      <c r="I13" s="510"/>
      <c r="J13" s="510"/>
      <c r="K13" s="510"/>
    </row>
    <row r="14" spans="1:11" ht="31.5">
      <c r="A14" s="803" t="s">
        <v>549</v>
      </c>
      <c r="B14" s="798"/>
      <c r="C14" s="798"/>
      <c r="D14" s="804" t="s">
        <v>550</v>
      </c>
      <c r="E14" s="797"/>
      <c r="F14" s="804" t="s">
        <v>551</v>
      </c>
      <c r="G14" s="805" t="s">
        <v>552</v>
      </c>
      <c r="H14" s="806" t="s">
        <v>553</v>
      </c>
      <c r="I14" s="804" t="s">
        <v>554</v>
      </c>
      <c r="J14" s="807"/>
      <c r="K14" s="804" t="s">
        <v>555</v>
      </c>
    </row>
    <row r="15" spans="1:11" ht="15.75">
      <c r="A15" s="803" t="s">
        <v>556</v>
      </c>
      <c r="B15" s="798"/>
      <c r="C15" s="798"/>
      <c r="D15" s="510"/>
      <c r="E15" s="808"/>
      <c r="F15" s="869">
        <v>2.7700000000000003E-3</v>
      </c>
      <c r="G15" s="322"/>
      <c r="H15" s="510"/>
      <c r="I15" s="510"/>
      <c r="J15" s="510"/>
      <c r="K15" s="510"/>
    </row>
    <row r="16" spans="1:11" ht="15.75">
      <c r="A16" s="803"/>
      <c r="B16" s="798"/>
      <c r="C16" s="798"/>
      <c r="D16" s="510"/>
      <c r="E16" s="808"/>
      <c r="F16" s="808"/>
      <c r="G16" s="797"/>
      <c r="H16" s="510"/>
      <c r="I16" s="510"/>
      <c r="J16" s="510"/>
      <c r="K16" s="510"/>
    </row>
    <row r="17" spans="1:11" ht="15.75">
      <c r="A17" s="1415" t="s">
        <v>1050</v>
      </c>
      <c r="B17" s="798"/>
      <c r="C17" s="798"/>
      <c r="D17" s="510"/>
      <c r="E17" s="808"/>
      <c r="F17" s="808"/>
      <c r="G17" s="797"/>
      <c r="H17" s="510"/>
      <c r="I17" s="510"/>
      <c r="J17" s="510"/>
      <c r="K17" s="510"/>
    </row>
    <row r="18" spans="1:11" ht="15.75">
      <c r="A18" s="809" t="s">
        <v>114</v>
      </c>
      <c r="B18" s="798"/>
      <c r="C18" s="798"/>
      <c r="D18" s="798"/>
      <c r="E18" s="798"/>
      <c r="F18" s="798" t="s">
        <v>114</v>
      </c>
      <c r="G18" s="510"/>
      <c r="H18" s="510"/>
      <c r="I18" s="510"/>
      <c r="J18" s="510"/>
      <c r="K18" s="510"/>
    </row>
    <row r="19" spans="1:11" ht="15.75">
      <c r="A19" s="810"/>
      <c r="B19" s="798"/>
      <c r="C19" s="798"/>
      <c r="D19" s="798"/>
      <c r="E19" s="798"/>
      <c r="F19" s="510"/>
      <c r="G19" s="510"/>
      <c r="H19" s="805"/>
      <c r="I19" s="798"/>
      <c r="J19" s="798"/>
      <c r="K19" s="798"/>
    </row>
    <row r="20" spans="1:11" ht="15.75">
      <c r="A20" s="810" t="s">
        <v>557</v>
      </c>
      <c r="B20" s="798"/>
      <c r="C20" s="798"/>
      <c r="D20" s="798"/>
      <c r="E20" s="798"/>
      <c r="F20" s="510"/>
      <c r="G20" s="510"/>
      <c r="H20" s="805" t="s">
        <v>558</v>
      </c>
      <c r="I20" s="798"/>
      <c r="J20" s="798"/>
      <c r="K20" s="798"/>
    </row>
    <row r="21" spans="1:11" ht="15.75">
      <c r="A21" s="787" t="s">
        <v>185</v>
      </c>
      <c r="B21" s="787" t="str">
        <f>"Year "&amp;TCOS!L4-2</f>
        <v>Year 2021</v>
      </c>
      <c r="C21" s="787"/>
      <c r="D21" s="811">
        <f>H10/12</f>
        <v>57653.59512795601</v>
      </c>
      <c r="E21" s="811"/>
      <c r="F21" s="812">
        <f>+F15</f>
        <v>2.7700000000000003E-3</v>
      </c>
      <c r="G21" s="1286">
        <v>12</v>
      </c>
      <c r="H21" s="811">
        <f>F21*D21*G21*-1</f>
        <v>-1916.4055020532578</v>
      </c>
      <c r="I21" s="811"/>
      <c r="J21" s="811"/>
      <c r="K21" s="811">
        <f>(-H21+D21)*-1</f>
        <v>-59570.000630009265</v>
      </c>
    </row>
    <row r="22" spans="1:11" ht="15.75">
      <c r="A22" s="787" t="s">
        <v>559</v>
      </c>
      <c r="B22" s="787" t="str">
        <f>B21</f>
        <v>Year 2021</v>
      </c>
      <c r="C22" s="787"/>
      <c r="D22" s="811">
        <f>+D21</f>
        <v>57653.59512795601</v>
      </c>
      <c r="E22" s="811"/>
      <c r="F22" s="812">
        <f>+F21</f>
        <v>2.7700000000000003E-3</v>
      </c>
      <c r="G22" s="1286">
        <f t="shared" ref="G22:G32" si="0">+G21-1</f>
        <v>11</v>
      </c>
      <c r="H22" s="811">
        <f t="shared" ref="H22:H32" si="1">F22*D22*G22*-1</f>
        <v>-1756.7050435488197</v>
      </c>
      <c r="I22" s="811"/>
      <c r="J22" s="811"/>
      <c r="K22" s="811">
        <f t="shared" ref="K22:K32" si="2">(-H22+D22)*-1</f>
        <v>-59410.30017150483</v>
      </c>
    </row>
    <row r="23" spans="1:11" ht="15.75">
      <c r="A23" s="787" t="s">
        <v>186</v>
      </c>
      <c r="B23" s="787" t="str">
        <f t="shared" ref="B23:B32" si="3">B22</f>
        <v>Year 2021</v>
      </c>
      <c r="C23" s="787"/>
      <c r="D23" s="811">
        <f t="shared" ref="D23:D32" si="4">+D22</f>
        <v>57653.59512795601</v>
      </c>
      <c r="E23" s="811"/>
      <c r="F23" s="812">
        <f t="shared" ref="F23:F32" si="5">+F22</f>
        <v>2.7700000000000003E-3</v>
      </c>
      <c r="G23" s="1286">
        <f t="shared" si="0"/>
        <v>10</v>
      </c>
      <c r="H23" s="811">
        <f t="shared" si="1"/>
        <v>-1597.0045850443817</v>
      </c>
      <c r="I23" s="811"/>
      <c r="J23" s="811"/>
      <c r="K23" s="811">
        <f t="shared" si="2"/>
        <v>-59250.599713000389</v>
      </c>
    </row>
    <row r="24" spans="1:11" ht="15.75">
      <c r="A24" s="787" t="s">
        <v>187</v>
      </c>
      <c r="B24" s="787" t="str">
        <f t="shared" si="3"/>
        <v>Year 2021</v>
      </c>
      <c r="C24" s="787"/>
      <c r="D24" s="811">
        <f t="shared" si="4"/>
        <v>57653.59512795601</v>
      </c>
      <c r="E24" s="811"/>
      <c r="F24" s="812">
        <f t="shared" si="5"/>
        <v>2.7700000000000003E-3</v>
      </c>
      <c r="G24" s="1286">
        <f t="shared" si="0"/>
        <v>9</v>
      </c>
      <c r="H24" s="811">
        <f t="shared" si="1"/>
        <v>-1437.3041265399434</v>
      </c>
      <c r="I24" s="811"/>
      <c r="J24" s="811"/>
      <c r="K24" s="811">
        <f t="shared" si="2"/>
        <v>-59090.899254495955</v>
      </c>
    </row>
    <row r="25" spans="1:11" ht="15.75">
      <c r="A25" s="787" t="s">
        <v>188</v>
      </c>
      <c r="B25" s="787" t="str">
        <f t="shared" si="3"/>
        <v>Year 2021</v>
      </c>
      <c r="C25" s="787"/>
      <c r="D25" s="811">
        <f t="shared" si="4"/>
        <v>57653.59512795601</v>
      </c>
      <c r="E25" s="811"/>
      <c r="F25" s="812">
        <f t="shared" si="5"/>
        <v>2.7700000000000003E-3</v>
      </c>
      <c r="G25" s="1286">
        <f t="shared" si="0"/>
        <v>8</v>
      </c>
      <c r="H25" s="811">
        <f t="shared" si="1"/>
        <v>-1277.6036680355053</v>
      </c>
      <c r="I25" s="811"/>
      <c r="J25" s="811"/>
      <c r="K25" s="811">
        <f t="shared" si="2"/>
        <v>-58931.198795991513</v>
      </c>
    </row>
    <row r="26" spans="1:11" ht="15.75">
      <c r="A26" s="787" t="s">
        <v>382</v>
      </c>
      <c r="B26" s="787" t="str">
        <f t="shared" si="3"/>
        <v>Year 2021</v>
      </c>
      <c r="C26" s="787"/>
      <c r="D26" s="811">
        <f t="shared" si="4"/>
        <v>57653.59512795601</v>
      </c>
      <c r="E26" s="811"/>
      <c r="F26" s="812">
        <f t="shared" si="5"/>
        <v>2.7700000000000003E-3</v>
      </c>
      <c r="G26" s="1286">
        <f t="shared" si="0"/>
        <v>7</v>
      </c>
      <c r="H26" s="811">
        <f t="shared" si="1"/>
        <v>-1117.9032095310672</v>
      </c>
      <c r="I26" s="811"/>
      <c r="J26" s="811"/>
      <c r="K26" s="811">
        <f t="shared" si="2"/>
        <v>-58771.498337487079</v>
      </c>
    </row>
    <row r="27" spans="1:11" ht="15.75">
      <c r="A27" s="787" t="s">
        <v>189</v>
      </c>
      <c r="B27" s="787" t="str">
        <f t="shared" si="3"/>
        <v>Year 2021</v>
      </c>
      <c r="C27" s="787"/>
      <c r="D27" s="811">
        <f t="shared" si="4"/>
        <v>57653.59512795601</v>
      </c>
      <c r="E27" s="811"/>
      <c r="F27" s="812">
        <f t="shared" si="5"/>
        <v>2.7700000000000003E-3</v>
      </c>
      <c r="G27" s="1286">
        <f t="shared" si="0"/>
        <v>6</v>
      </c>
      <c r="H27" s="811">
        <f t="shared" si="1"/>
        <v>-958.2027510266289</v>
      </c>
      <c r="I27" s="811"/>
      <c r="J27" s="811"/>
      <c r="K27" s="811">
        <f t="shared" si="2"/>
        <v>-58611.797878982637</v>
      </c>
    </row>
    <row r="28" spans="1:11" ht="15.75">
      <c r="A28" s="787" t="s">
        <v>190</v>
      </c>
      <c r="B28" s="787" t="str">
        <f t="shared" si="3"/>
        <v>Year 2021</v>
      </c>
      <c r="C28" s="787"/>
      <c r="D28" s="811">
        <f t="shared" si="4"/>
        <v>57653.59512795601</v>
      </c>
      <c r="E28" s="811"/>
      <c r="F28" s="812">
        <f t="shared" si="5"/>
        <v>2.7700000000000003E-3</v>
      </c>
      <c r="G28" s="1286">
        <f t="shared" si="0"/>
        <v>5</v>
      </c>
      <c r="H28" s="811">
        <f t="shared" si="1"/>
        <v>-798.50229252219083</v>
      </c>
      <c r="I28" s="811"/>
      <c r="J28" s="811"/>
      <c r="K28" s="811">
        <f t="shared" si="2"/>
        <v>-58452.097420478203</v>
      </c>
    </row>
    <row r="29" spans="1:11" ht="15.75">
      <c r="A29" s="787" t="s">
        <v>192</v>
      </c>
      <c r="B29" s="787" t="str">
        <f t="shared" si="3"/>
        <v>Year 2021</v>
      </c>
      <c r="C29" s="787"/>
      <c r="D29" s="811">
        <f t="shared" si="4"/>
        <v>57653.59512795601</v>
      </c>
      <c r="E29" s="811"/>
      <c r="F29" s="812">
        <f t="shared" si="5"/>
        <v>2.7700000000000003E-3</v>
      </c>
      <c r="G29" s="1286">
        <f t="shared" si="0"/>
        <v>4</v>
      </c>
      <c r="H29" s="811">
        <f t="shared" si="1"/>
        <v>-638.80183401775264</v>
      </c>
      <c r="I29" s="811"/>
      <c r="J29" s="811"/>
      <c r="K29" s="811">
        <f t="shared" si="2"/>
        <v>-58292.396961973762</v>
      </c>
    </row>
    <row r="30" spans="1:11" ht="15.75">
      <c r="A30" s="787" t="s">
        <v>560</v>
      </c>
      <c r="B30" s="787" t="str">
        <f t="shared" si="3"/>
        <v>Year 2021</v>
      </c>
      <c r="C30" s="787"/>
      <c r="D30" s="811">
        <f t="shared" si="4"/>
        <v>57653.59512795601</v>
      </c>
      <c r="E30" s="811"/>
      <c r="F30" s="812">
        <f t="shared" si="5"/>
        <v>2.7700000000000003E-3</v>
      </c>
      <c r="G30" s="1286">
        <f t="shared" si="0"/>
        <v>3</v>
      </c>
      <c r="H30" s="811">
        <f t="shared" si="1"/>
        <v>-479.10137551331445</v>
      </c>
      <c r="I30" s="811"/>
      <c r="J30" s="811"/>
      <c r="K30" s="811">
        <f t="shared" si="2"/>
        <v>-58132.696503469328</v>
      </c>
    </row>
    <row r="31" spans="1:11" ht="15.75">
      <c r="A31" s="787" t="s">
        <v>561</v>
      </c>
      <c r="B31" s="787" t="str">
        <f t="shared" si="3"/>
        <v>Year 2021</v>
      </c>
      <c r="C31" s="787"/>
      <c r="D31" s="811">
        <f t="shared" si="4"/>
        <v>57653.59512795601</v>
      </c>
      <c r="E31" s="811"/>
      <c r="F31" s="812">
        <f t="shared" si="5"/>
        <v>2.7700000000000003E-3</v>
      </c>
      <c r="G31" s="1286">
        <f t="shared" si="0"/>
        <v>2</v>
      </c>
      <c r="H31" s="811">
        <f t="shared" si="1"/>
        <v>-319.40091700887632</v>
      </c>
      <c r="I31" s="811"/>
      <c r="J31" s="811"/>
      <c r="K31" s="811">
        <f t="shared" si="2"/>
        <v>-57972.996044964886</v>
      </c>
    </row>
    <row r="32" spans="1:11" ht="15.75">
      <c r="A32" s="787" t="s">
        <v>191</v>
      </c>
      <c r="B32" s="787" t="str">
        <f t="shared" si="3"/>
        <v>Year 2021</v>
      </c>
      <c r="C32" s="787"/>
      <c r="D32" s="811">
        <f t="shared" si="4"/>
        <v>57653.59512795601</v>
      </c>
      <c r="E32" s="811"/>
      <c r="F32" s="812">
        <f t="shared" si="5"/>
        <v>2.7700000000000003E-3</v>
      </c>
      <c r="G32" s="1286">
        <f t="shared" si="0"/>
        <v>1</v>
      </c>
      <c r="H32" s="813">
        <f t="shared" si="1"/>
        <v>-159.70045850443816</v>
      </c>
      <c r="I32" s="811"/>
      <c r="J32" s="811"/>
      <c r="K32" s="811">
        <f t="shared" si="2"/>
        <v>-57813.295586460452</v>
      </c>
    </row>
    <row r="33" spans="1:11" ht="15.75">
      <c r="A33" s="787"/>
      <c r="B33" s="787"/>
      <c r="C33" s="787"/>
      <c r="D33" s="811"/>
      <c r="E33" s="811"/>
      <c r="F33" s="812"/>
      <c r="G33" s="798"/>
      <c r="H33" s="811">
        <f>SUM(H21:H32)</f>
        <v>-12456.635763346178</v>
      </c>
      <c r="I33" s="811"/>
      <c r="J33" s="811"/>
      <c r="K33" s="814">
        <f>SUM(K21:K32)</f>
        <v>-704299.77729881834</v>
      </c>
    </row>
    <row r="34" spans="1:11" ht="15.75">
      <c r="A34" s="787"/>
      <c r="B34" s="787"/>
      <c r="C34" s="787"/>
      <c r="D34" s="811"/>
      <c r="E34" s="811"/>
      <c r="F34" s="812"/>
      <c r="G34" s="798"/>
      <c r="H34" s="811"/>
      <c r="I34" s="811" t="s">
        <v>114</v>
      </c>
      <c r="J34" s="811"/>
      <c r="K34" s="510"/>
    </row>
    <row r="35" spans="1:11" ht="15.75">
      <c r="A35" s="787"/>
      <c r="B35" s="787"/>
      <c r="C35" s="787"/>
      <c r="D35" s="797"/>
      <c r="E35" s="797"/>
      <c r="F35" s="812"/>
      <c r="G35" s="798"/>
      <c r="H35" s="815" t="s">
        <v>562</v>
      </c>
      <c r="I35" s="811"/>
      <c r="J35" s="811"/>
      <c r="K35" s="811"/>
    </row>
    <row r="36" spans="1:11" ht="15.75">
      <c r="A36" s="787" t="s">
        <v>563</v>
      </c>
      <c r="B36" s="787" t="str">
        <f>"Year "&amp;TCOS!L4-1</f>
        <v>Year 2022</v>
      </c>
      <c r="C36" s="787"/>
      <c r="D36" s="797">
        <f>K33</f>
        <v>-704299.77729881834</v>
      </c>
      <c r="E36" s="797"/>
      <c r="F36" s="812">
        <f>+F32</f>
        <v>2.7700000000000003E-3</v>
      </c>
      <c r="G36" s="1286">
        <v>12</v>
      </c>
      <c r="H36" s="811">
        <f>+G36*F36*D36</f>
        <v>-23410.924597412726</v>
      </c>
      <c r="I36" s="811"/>
      <c r="J36" s="811"/>
      <c r="K36" s="814">
        <f>+D36+H36</f>
        <v>-727710.70189623104</v>
      </c>
    </row>
    <row r="37" spans="1:11" ht="15.75">
      <c r="A37" s="787"/>
      <c r="B37" s="787"/>
      <c r="C37" s="787"/>
      <c r="D37" s="797"/>
      <c r="E37" s="797"/>
      <c r="F37" s="812"/>
      <c r="G37" s="787"/>
      <c r="H37" s="811"/>
      <c r="I37" s="811"/>
      <c r="J37" s="811"/>
      <c r="K37" s="811"/>
    </row>
    <row r="38" spans="1:11" ht="15.75">
      <c r="A38" s="816" t="s">
        <v>564</v>
      </c>
      <c r="B38" s="787"/>
      <c r="C38" s="787"/>
      <c r="D38" s="811"/>
      <c r="E38" s="811"/>
      <c r="F38" s="812"/>
      <c r="G38" s="787"/>
      <c r="H38" s="815" t="s">
        <v>558</v>
      </c>
      <c r="I38" s="811"/>
      <c r="J38" s="811"/>
      <c r="K38" s="811"/>
    </row>
    <row r="39" spans="1:11" ht="15.75">
      <c r="A39" s="787" t="s">
        <v>185</v>
      </c>
      <c r="B39" s="787" t="str">
        <f>"Year "&amp;TCOS!L4</f>
        <v>Year 2023</v>
      </c>
      <c r="C39" s="787"/>
      <c r="D39" s="817">
        <f>-K36</f>
        <v>727710.70189623104</v>
      </c>
      <c r="E39" s="797"/>
      <c r="F39" s="812">
        <f>+F32</f>
        <v>2.7700000000000003E-3</v>
      </c>
      <c r="G39" s="787"/>
      <c r="H39" s="811">
        <f xml:space="preserve"> -F39*D39</f>
        <v>-2015.7586442525603</v>
      </c>
      <c r="I39" s="811">
        <f>PMT(F39,12,K$36)</f>
        <v>61739.964865186441</v>
      </c>
      <c r="J39" s="811"/>
      <c r="K39" s="811">
        <f>(+D39+D39*F39-I39)*-1</f>
        <v>-667986.4956752971</v>
      </c>
    </row>
    <row r="40" spans="1:11" ht="15.75">
      <c r="A40" s="787" t="s">
        <v>559</v>
      </c>
      <c r="B40" s="787" t="str">
        <f>+B39</f>
        <v>Year 2023</v>
      </c>
      <c r="C40" s="787"/>
      <c r="D40" s="797">
        <f>-K39</f>
        <v>667986.4956752971</v>
      </c>
      <c r="E40" s="797"/>
      <c r="F40" s="812">
        <f>+F39</f>
        <v>2.7700000000000003E-3</v>
      </c>
      <c r="G40" s="787"/>
      <c r="H40" s="811">
        <f xml:space="preserve"> -F40*D40</f>
        <v>-1850.3225930205731</v>
      </c>
      <c r="I40" s="811">
        <f>I39</f>
        <v>61739.964865186441</v>
      </c>
      <c r="J40" s="811"/>
      <c r="K40" s="811">
        <f t="shared" ref="K40:K50" si="6">(+D40+D40*F40-I40)*-1</f>
        <v>-608096.85340313124</v>
      </c>
    </row>
    <row r="41" spans="1:11" ht="15.75">
      <c r="A41" s="787" t="s">
        <v>186</v>
      </c>
      <c r="B41" s="787" t="str">
        <f>+B40</f>
        <v>Year 2023</v>
      </c>
      <c r="C41" s="787"/>
      <c r="D41" s="797">
        <f t="shared" ref="D41:D50" si="7">-K40</f>
        <v>608096.85340313124</v>
      </c>
      <c r="E41" s="797"/>
      <c r="F41" s="812">
        <f t="shared" ref="F41:F50" si="8">+F40</f>
        <v>2.7700000000000003E-3</v>
      </c>
      <c r="G41" s="787"/>
      <c r="H41" s="811">
        <f t="shared" ref="H41:H50" si="9" xml:space="preserve"> -F41*D41</f>
        <v>-1684.4282839266737</v>
      </c>
      <c r="I41" s="811">
        <f t="shared" ref="I41:I50" si="10">I40</f>
        <v>61739.964865186441</v>
      </c>
      <c r="J41" s="811"/>
      <c r="K41" s="811">
        <f t="shared" si="6"/>
        <v>-548041.31682187144</v>
      </c>
    </row>
    <row r="42" spans="1:11" ht="15.75">
      <c r="A42" s="787" t="s">
        <v>187</v>
      </c>
      <c r="B42" s="787" t="str">
        <f>+B41</f>
        <v>Year 2023</v>
      </c>
      <c r="C42" s="787"/>
      <c r="D42" s="797">
        <f t="shared" si="7"/>
        <v>548041.31682187144</v>
      </c>
      <c r="E42" s="797"/>
      <c r="F42" s="812">
        <f t="shared" si="8"/>
        <v>2.7700000000000003E-3</v>
      </c>
      <c r="G42" s="787"/>
      <c r="H42" s="811">
        <f t="shared" si="9"/>
        <v>-1518.0744475965842</v>
      </c>
      <c r="I42" s="811">
        <f t="shared" si="10"/>
        <v>61739.964865186441</v>
      </c>
      <c r="J42" s="811"/>
      <c r="K42" s="811">
        <f t="shared" si="6"/>
        <v>-487819.42640428158</v>
      </c>
    </row>
    <row r="43" spans="1:11" ht="15.75">
      <c r="A43" s="787" t="s">
        <v>188</v>
      </c>
      <c r="B43" s="787" t="str">
        <f>+B42</f>
        <v>Year 2023</v>
      </c>
      <c r="C43" s="787"/>
      <c r="D43" s="797">
        <f t="shared" si="7"/>
        <v>487819.42640428158</v>
      </c>
      <c r="E43" s="797"/>
      <c r="F43" s="812">
        <f t="shared" si="8"/>
        <v>2.7700000000000003E-3</v>
      </c>
      <c r="G43" s="787"/>
      <c r="H43" s="811">
        <f t="shared" si="9"/>
        <v>-1351.2598111398602</v>
      </c>
      <c r="I43" s="811">
        <f>I42</f>
        <v>61739.964865186441</v>
      </c>
      <c r="J43" s="811"/>
      <c r="K43" s="811">
        <f t="shared" si="6"/>
        <v>-427430.72135023499</v>
      </c>
    </row>
    <row r="44" spans="1:11" ht="15.75">
      <c r="A44" s="787" t="s">
        <v>382</v>
      </c>
      <c r="B44" s="787" t="str">
        <f>B43</f>
        <v>Year 2023</v>
      </c>
      <c r="C44" s="510"/>
      <c r="D44" s="797">
        <f t="shared" si="7"/>
        <v>427430.72135023499</v>
      </c>
      <c r="E44" s="797"/>
      <c r="F44" s="812">
        <f t="shared" si="8"/>
        <v>2.7700000000000003E-3</v>
      </c>
      <c r="G44" s="787"/>
      <c r="H44" s="811">
        <f t="shared" si="9"/>
        <v>-1183.983098140151</v>
      </c>
      <c r="I44" s="811">
        <f t="shared" si="10"/>
        <v>61739.964865186441</v>
      </c>
      <c r="J44" s="811"/>
      <c r="K44" s="811">
        <f t="shared" si="6"/>
        <v>-366874.73958318873</v>
      </c>
    </row>
    <row r="45" spans="1:11" ht="15.75">
      <c r="A45" s="787" t="s">
        <v>189</v>
      </c>
      <c r="B45" s="787" t="str">
        <f t="shared" ref="B45:B50" si="11">+B44</f>
        <v>Year 2023</v>
      </c>
      <c r="C45" s="787"/>
      <c r="D45" s="797">
        <f t="shared" si="7"/>
        <v>366874.73958318873</v>
      </c>
      <c r="E45" s="797"/>
      <c r="F45" s="812">
        <f t="shared" si="8"/>
        <v>2.7700000000000003E-3</v>
      </c>
      <c r="G45" s="787"/>
      <c r="H45" s="811">
        <f t="shared" si="9"/>
        <v>-1016.2430286454329</v>
      </c>
      <c r="I45" s="811">
        <f t="shared" si="10"/>
        <v>61739.964865186441</v>
      </c>
      <c r="J45" s="811"/>
      <c r="K45" s="811">
        <f t="shared" si="6"/>
        <v>-306151.01774664776</v>
      </c>
    </row>
    <row r="46" spans="1:11" ht="15.75">
      <c r="A46" s="787" t="s">
        <v>190</v>
      </c>
      <c r="B46" s="787" t="str">
        <f t="shared" si="11"/>
        <v>Year 2023</v>
      </c>
      <c r="C46" s="787"/>
      <c r="D46" s="797">
        <f t="shared" si="7"/>
        <v>306151.01774664776</v>
      </c>
      <c r="E46" s="797"/>
      <c r="F46" s="812">
        <f t="shared" si="8"/>
        <v>2.7700000000000003E-3</v>
      </c>
      <c r="G46" s="787"/>
      <c r="H46" s="811">
        <f t="shared" si="9"/>
        <v>-848.03831915821445</v>
      </c>
      <c r="I46" s="811">
        <f t="shared" si="10"/>
        <v>61739.964865186441</v>
      </c>
      <c r="J46" s="811"/>
      <c r="K46" s="811">
        <f t="shared" si="6"/>
        <v>-245259.09120061953</v>
      </c>
    </row>
    <row r="47" spans="1:11" ht="15.75">
      <c r="A47" s="787" t="s">
        <v>192</v>
      </c>
      <c r="B47" s="787" t="str">
        <f t="shared" si="11"/>
        <v>Year 2023</v>
      </c>
      <c r="C47" s="787"/>
      <c r="D47" s="797">
        <f t="shared" si="7"/>
        <v>245259.09120061953</v>
      </c>
      <c r="E47" s="797"/>
      <c r="F47" s="812">
        <f t="shared" si="8"/>
        <v>2.7700000000000003E-3</v>
      </c>
      <c r="G47" s="787"/>
      <c r="H47" s="811">
        <f t="shared" si="9"/>
        <v>-679.36768262571616</v>
      </c>
      <c r="I47" s="811">
        <f>I46</f>
        <v>61739.964865186441</v>
      </c>
      <c r="J47" s="811"/>
      <c r="K47" s="811">
        <f t="shared" si="6"/>
        <v>-184198.49401805882</v>
      </c>
    </row>
    <row r="48" spans="1:11" ht="15.75">
      <c r="A48" s="787" t="s">
        <v>560</v>
      </c>
      <c r="B48" s="787" t="str">
        <f t="shared" si="11"/>
        <v>Year 2023</v>
      </c>
      <c r="C48" s="787"/>
      <c r="D48" s="797">
        <f t="shared" si="7"/>
        <v>184198.49401805882</v>
      </c>
      <c r="E48" s="797"/>
      <c r="F48" s="812">
        <f t="shared" si="8"/>
        <v>2.7700000000000003E-3</v>
      </c>
      <c r="G48" s="787"/>
      <c r="H48" s="811">
        <f t="shared" si="9"/>
        <v>-510.22982843002296</v>
      </c>
      <c r="I48" s="811">
        <f t="shared" si="10"/>
        <v>61739.964865186441</v>
      </c>
      <c r="J48" s="811"/>
      <c r="K48" s="811">
        <f t="shared" si="6"/>
        <v>-122968.7589813024</v>
      </c>
    </row>
    <row r="49" spans="1:11" ht="15.75">
      <c r="A49" s="787" t="s">
        <v>561</v>
      </c>
      <c r="B49" s="787" t="str">
        <f t="shared" si="11"/>
        <v>Year 2023</v>
      </c>
      <c r="C49" s="787"/>
      <c r="D49" s="797">
        <f t="shared" si="7"/>
        <v>122968.7589813024</v>
      </c>
      <c r="E49" s="797"/>
      <c r="F49" s="812">
        <f t="shared" si="8"/>
        <v>2.7700000000000003E-3</v>
      </c>
      <c r="G49" s="787"/>
      <c r="H49" s="811">
        <f t="shared" si="9"/>
        <v>-340.62346237820765</v>
      </c>
      <c r="I49" s="811">
        <f t="shared" si="10"/>
        <v>61739.964865186441</v>
      </c>
      <c r="J49" s="811"/>
      <c r="K49" s="811">
        <f t="shared" si="6"/>
        <v>-61569.417578494162</v>
      </c>
    </row>
    <row r="50" spans="1:11" ht="15.75">
      <c r="A50" s="787" t="s">
        <v>191</v>
      </c>
      <c r="B50" s="787" t="str">
        <f t="shared" si="11"/>
        <v>Year 2023</v>
      </c>
      <c r="C50" s="787"/>
      <c r="D50" s="797">
        <f t="shared" si="7"/>
        <v>61569.417578494162</v>
      </c>
      <c r="E50" s="797"/>
      <c r="F50" s="812">
        <f t="shared" si="8"/>
        <v>2.7700000000000003E-3</v>
      </c>
      <c r="G50" s="787"/>
      <c r="H50" s="813">
        <f t="shared" si="9"/>
        <v>-170.54728669242886</v>
      </c>
      <c r="I50" s="811">
        <f t="shared" si="10"/>
        <v>61739.964865186441</v>
      </c>
      <c r="J50" s="811"/>
      <c r="K50" s="811">
        <f t="shared" si="6"/>
        <v>-1.5279510989785194E-10</v>
      </c>
    </row>
    <row r="51" spans="1:11" ht="15.75">
      <c r="A51" s="787"/>
      <c r="B51" s="787"/>
      <c r="C51" s="787"/>
      <c r="D51" s="797"/>
      <c r="E51" s="797"/>
      <c r="F51" s="812"/>
      <c r="G51" s="787"/>
      <c r="H51" s="811">
        <f>SUM(H39:H50)</f>
        <v>-13168.876486006424</v>
      </c>
      <c r="I51" s="811"/>
      <c r="J51" s="811"/>
      <c r="K51" s="811"/>
    </row>
    <row r="52" spans="1:11" ht="15">
      <c r="A52" s="510"/>
      <c r="B52" s="510"/>
      <c r="C52" s="510"/>
      <c r="D52" s="510"/>
      <c r="E52" s="510"/>
      <c r="F52" s="510"/>
      <c r="G52" s="510"/>
      <c r="H52" s="510"/>
      <c r="I52" s="818"/>
      <c r="J52" s="510"/>
      <c r="K52" s="510"/>
    </row>
    <row r="53" spans="1:11" ht="15.75">
      <c r="A53" s="787" t="s">
        <v>569</v>
      </c>
      <c r="B53" s="510"/>
      <c r="C53" s="510"/>
      <c r="D53" s="510"/>
      <c r="E53" s="510"/>
      <c r="F53" s="510"/>
      <c r="G53" s="510"/>
      <c r="H53" s="510"/>
      <c r="I53" s="819">
        <f>(SUM(I39:I50)*-1)</f>
        <v>-740879.57838223735</v>
      </c>
      <c r="J53" s="510"/>
      <c r="K53" s="510"/>
    </row>
    <row r="54" spans="1:11" ht="15.75">
      <c r="A54" s="787" t="s">
        <v>565</v>
      </c>
      <c r="B54" s="510"/>
      <c r="C54" s="510"/>
      <c r="D54" s="510"/>
      <c r="E54" s="510"/>
      <c r="F54" s="510"/>
      <c r="G54" s="510"/>
      <c r="H54" s="510"/>
      <c r="I54" s="820">
        <f>+H10</f>
        <v>691843.14153547212</v>
      </c>
      <c r="J54" s="510"/>
      <c r="K54" s="510"/>
    </row>
    <row r="55" spans="1:11" ht="15.75">
      <c r="A55" s="787" t="s">
        <v>566</v>
      </c>
      <c r="B55" s="510"/>
      <c r="C55" s="510"/>
      <c r="D55" s="510"/>
      <c r="E55" s="510"/>
      <c r="F55" s="510"/>
      <c r="G55" s="510"/>
      <c r="H55" s="510"/>
      <c r="I55" s="819">
        <f>(I53+I54)</f>
        <v>-49036.436846765224</v>
      </c>
      <c r="J55" s="510"/>
      <c r="K55" s="510"/>
    </row>
    <row r="56" spans="1:11">
      <c r="A56" s="404"/>
      <c r="B56" s="404"/>
      <c r="C56" s="404"/>
      <c r="D56" s="404"/>
      <c r="E56" s="404"/>
      <c r="F56" s="404"/>
      <c r="G56" s="404"/>
      <c r="H56" s="404"/>
      <c r="I56" s="404"/>
      <c r="J56" s="404"/>
      <c r="K56" s="404"/>
    </row>
    <row r="57" spans="1:11" ht="96" customHeight="1">
      <c r="A57" s="1557" t="s">
        <v>570</v>
      </c>
      <c r="B57" s="1557"/>
      <c r="C57" s="1557"/>
      <c r="D57" s="1557"/>
      <c r="E57" s="821"/>
      <c r="F57" s="821"/>
      <c r="G57" s="821"/>
      <c r="H57" s="821"/>
      <c r="I57" s="821"/>
      <c r="J57" s="821"/>
      <c r="K57" s="821"/>
    </row>
  </sheetData>
  <mergeCells count="5">
    <mergeCell ref="A1:K1"/>
    <mergeCell ref="A2:K2"/>
    <mergeCell ref="A3:K3"/>
    <mergeCell ref="D4:G4"/>
    <mergeCell ref="A57:D57"/>
  </mergeCells>
  <pageMargins left="0.7" right="0.7" top="0.75" bottom="0.75" header="0.3" footer="0.3"/>
  <pageSetup scale="4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K57"/>
  <sheetViews>
    <sheetView view="pageBreakPreview" zoomScale="60" zoomScaleNormal="100" workbookViewId="0">
      <selection activeCell="A8" sqref="A8:D8"/>
    </sheetView>
  </sheetViews>
  <sheetFormatPr defaultRowHeight="12.75"/>
  <cols>
    <col min="1" max="1" width="32" customWidth="1"/>
    <col min="4" max="4" width="26.7109375" customWidth="1"/>
    <col min="5" max="5" width="17.140625" customWidth="1"/>
    <col min="6" max="6" width="13" customWidth="1"/>
    <col min="8" max="8" width="23.42578125" customWidth="1"/>
    <col min="9" max="9" width="15.7109375" customWidth="1"/>
    <col min="11" max="11" width="14.85546875" customWidth="1"/>
  </cols>
  <sheetData>
    <row r="1" spans="1:11" ht="15.75">
      <c r="A1" s="1555" t="s">
        <v>387</v>
      </c>
      <c r="B1" s="1555"/>
      <c r="C1" s="1555"/>
      <c r="D1" s="1555"/>
      <c r="E1" s="1555"/>
      <c r="F1" s="1555"/>
      <c r="G1" s="1555"/>
      <c r="H1" s="1555"/>
      <c r="I1" s="1555"/>
      <c r="J1" s="1555"/>
      <c r="K1" s="1555"/>
    </row>
    <row r="2" spans="1:11" ht="15.75">
      <c r="A2" s="1556" t="s">
        <v>567</v>
      </c>
      <c r="B2" s="1556"/>
      <c r="C2" s="1556"/>
      <c r="D2" s="1556"/>
      <c r="E2" s="1556"/>
      <c r="F2" s="1556"/>
      <c r="G2" s="1556"/>
      <c r="H2" s="1556"/>
      <c r="I2" s="1556"/>
      <c r="J2" s="1556"/>
      <c r="K2" s="1556"/>
    </row>
    <row r="3" spans="1:11" ht="15.75">
      <c r="A3" s="1556" t="s">
        <v>568</v>
      </c>
      <c r="B3" s="1556"/>
      <c r="C3" s="1556"/>
      <c r="D3" s="1556"/>
      <c r="E3" s="1556"/>
      <c r="F3" s="1556"/>
      <c r="G3" s="1556"/>
      <c r="H3" s="1556"/>
      <c r="I3" s="1556"/>
      <c r="J3" s="1556"/>
      <c r="K3" s="1556"/>
    </row>
    <row r="4" spans="1:11" ht="15.75">
      <c r="A4" s="510"/>
      <c r="B4" s="510"/>
      <c r="C4" s="510"/>
      <c r="D4" s="1556"/>
      <c r="E4" s="1556"/>
      <c r="F4" s="1556"/>
      <c r="G4" s="1556"/>
      <c r="H4" s="510"/>
      <c r="I4" s="510"/>
      <c r="J4" s="510"/>
      <c r="K4" s="510"/>
    </row>
    <row r="5" spans="1:11">
      <c r="A5" s="404"/>
      <c r="B5" s="404"/>
      <c r="C5" s="404"/>
      <c r="D5" s="404"/>
      <c r="E5" s="404"/>
      <c r="F5" s="404"/>
      <c r="G5" s="404"/>
      <c r="H5" s="404"/>
      <c r="I5" s="404"/>
      <c r="J5" s="404"/>
      <c r="K5" s="404"/>
    </row>
    <row r="6" spans="1:11">
      <c r="A6" s="404"/>
      <c r="B6" s="404"/>
      <c r="C6" s="404"/>
      <c r="D6" s="404"/>
      <c r="E6" s="404"/>
      <c r="F6" s="404"/>
      <c r="G6" s="404"/>
      <c r="H6" s="404"/>
      <c r="I6" s="404"/>
      <c r="J6" s="404"/>
      <c r="K6" s="404"/>
    </row>
    <row r="7" spans="1:11" ht="16.5" thickBot="1">
      <c r="A7" s="786"/>
      <c r="B7" s="787"/>
      <c r="C7" s="787"/>
      <c r="D7" s="787"/>
      <c r="E7" s="787"/>
      <c r="F7" s="787"/>
      <c r="G7" s="787"/>
      <c r="H7" s="787"/>
      <c r="I7" s="787"/>
      <c r="J7" s="787"/>
      <c r="K7" s="787"/>
    </row>
    <row r="8" spans="1:11" ht="47.25">
      <c r="A8" s="788" t="str">
        <f>'WSQ NSPR'!A8</f>
        <v>Reconciliation Revenue Requirement For Year 2021 Available May 25, 2022</v>
      </c>
      <c r="B8" s="787"/>
      <c r="C8" s="787"/>
      <c r="D8" s="788" t="str">
        <f>'WSQ NSPR'!D8</f>
        <v>2021 Forecasted Revenue Requirement For Year 2021</v>
      </c>
      <c r="E8" s="787"/>
      <c r="F8" s="787"/>
      <c r="G8" s="510"/>
      <c r="H8" s="788" t="s">
        <v>548</v>
      </c>
      <c r="I8" s="510"/>
      <c r="J8" s="510"/>
      <c r="K8" s="510"/>
    </row>
    <row r="9" spans="1:11" ht="15.75">
      <c r="A9" s="789" t="s">
        <v>114</v>
      </c>
      <c r="B9" s="787"/>
      <c r="C9" s="787"/>
      <c r="D9" s="789"/>
      <c r="E9" s="787"/>
      <c r="F9" s="787"/>
      <c r="G9" s="510"/>
      <c r="H9" s="790"/>
      <c r="I9" s="510"/>
      <c r="J9" s="510"/>
      <c r="K9" s="510"/>
    </row>
    <row r="10" spans="1:11" ht="16.5" thickBot="1">
      <c r="A10" s="868">
        <v>117752.0609850777</v>
      </c>
      <c r="B10" s="791" t="str">
        <f>"-"</f>
        <v>-</v>
      </c>
      <c r="C10" s="792"/>
      <c r="D10" s="868">
        <v>118221.54112551096</v>
      </c>
      <c r="E10" s="793"/>
      <c r="F10" s="794" t="str">
        <f>"="</f>
        <v>=</v>
      </c>
      <c r="G10" s="795"/>
      <c r="H10" s="796">
        <f>IF(A10=0,0,D10-A10)</f>
        <v>469.48014043326839</v>
      </c>
      <c r="I10" s="510"/>
      <c r="J10" s="510"/>
      <c r="K10" s="510"/>
    </row>
    <row r="11" spans="1:11" ht="15.75">
      <c r="A11" s="797"/>
      <c r="B11" s="798"/>
      <c r="C11" s="798"/>
      <c r="D11" s="797"/>
      <c r="E11" s="797"/>
      <c r="F11" s="798"/>
      <c r="G11" s="797"/>
      <c r="H11" s="510"/>
      <c r="I11" s="510"/>
      <c r="J11" s="510"/>
      <c r="K11" s="510"/>
    </row>
    <row r="12" spans="1:11" ht="16.5" thickBot="1">
      <c r="A12" s="799"/>
      <c r="B12" s="800"/>
      <c r="C12" s="800"/>
      <c r="D12" s="799"/>
      <c r="E12" s="799"/>
      <c r="F12" s="800"/>
      <c r="G12" s="799"/>
      <c r="H12" s="801"/>
      <c r="I12" s="801"/>
      <c r="J12" s="801"/>
      <c r="K12" s="801"/>
    </row>
    <row r="13" spans="1:11" ht="15.75">
      <c r="A13" s="802"/>
      <c r="B13" s="798"/>
      <c r="C13" s="798"/>
      <c r="D13" s="797"/>
      <c r="E13" s="797"/>
      <c r="F13" s="798"/>
      <c r="G13" s="797"/>
      <c r="H13" s="510"/>
      <c r="I13" s="510"/>
      <c r="J13" s="510"/>
      <c r="K13" s="510"/>
    </row>
    <row r="14" spans="1:11" ht="47.25">
      <c r="A14" s="803" t="s">
        <v>549</v>
      </c>
      <c r="B14" s="798"/>
      <c r="C14" s="798"/>
      <c r="D14" s="804" t="s">
        <v>550</v>
      </c>
      <c r="E14" s="797"/>
      <c r="F14" s="804" t="s">
        <v>551</v>
      </c>
      <c r="G14" s="805" t="s">
        <v>552</v>
      </c>
      <c r="H14" s="806" t="s">
        <v>553</v>
      </c>
      <c r="I14" s="804" t="s">
        <v>554</v>
      </c>
      <c r="J14" s="807"/>
      <c r="K14" s="804" t="s">
        <v>555</v>
      </c>
    </row>
    <row r="15" spans="1:11" ht="15.75">
      <c r="A15" s="803" t="s">
        <v>556</v>
      </c>
      <c r="B15" s="798"/>
      <c r="C15" s="798"/>
      <c r="D15" s="510"/>
      <c r="E15" s="808"/>
      <c r="F15" s="1287">
        <f>'WSQ NSPR'!F15</f>
        <v>2.7700000000000003E-3</v>
      </c>
      <c r="G15" s="322"/>
      <c r="H15" s="510"/>
      <c r="I15" s="510"/>
      <c r="J15" s="510"/>
      <c r="K15" s="510"/>
    </row>
    <row r="16" spans="1:11" ht="15.75">
      <c r="A16" s="803"/>
      <c r="B16" s="798"/>
      <c r="C16" s="798"/>
      <c r="D16" s="510"/>
      <c r="E16" s="808"/>
      <c r="F16" s="808"/>
      <c r="G16" s="797"/>
      <c r="H16" s="510"/>
      <c r="I16" s="510"/>
      <c r="J16" s="510"/>
      <c r="K16" s="510"/>
    </row>
    <row r="17" spans="1:11" ht="15.75">
      <c r="A17" s="803" t="str">
        <f>'WSQ NSPR'!A17</f>
        <v>An over or under collection will be recovered prorata over 2021, held for 2022 and returned prorate over 2023</v>
      </c>
      <c r="B17" s="798"/>
      <c r="C17" s="798"/>
      <c r="D17" s="510"/>
      <c r="E17" s="808"/>
      <c r="F17" s="808"/>
      <c r="G17" s="797"/>
      <c r="H17" s="510"/>
      <c r="I17" s="510"/>
      <c r="J17" s="510"/>
      <c r="K17" s="510"/>
    </row>
    <row r="18" spans="1:11" ht="15.75">
      <c r="A18" s="809" t="s">
        <v>114</v>
      </c>
      <c r="B18" s="798"/>
      <c r="C18" s="798"/>
      <c r="D18" s="798"/>
      <c r="E18" s="798"/>
      <c r="F18" s="798" t="s">
        <v>114</v>
      </c>
      <c r="G18" s="510"/>
      <c r="H18" s="510"/>
      <c r="I18" s="510"/>
      <c r="J18" s="510"/>
      <c r="K18" s="510"/>
    </row>
    <row r="19" spans="1:11" ht="15.75">
      <c r="A19" s="810"/>
      <c r="B19" s="798"/>
      <c r="C19" s="798"/>
      <c r="D19" s="798"/>
      <c r="E19" s="798"/>
      <c r="F19" s="510"/>
      <c r="G19" s="510"/>
      <c r="H19" s="805"/>
      <c r="I19" s="798"/>
      <c r="J19" s="798"/>
      <c r="K19" s="798"/>
    </row>
    <row r="20" spans="1:11" ht="15.75">
      <c r="A20" s="810" t="s">
        <v>557</v>
      </c>
      <c r="B20" s="798"/>
      <c r="C20" s="798"/>
      <c r="D20" s="798"/>
      <c r="E20" s="798"/>
      <c r="F20" s="510"/>
      <c r="G20" s="510"/>
      <c r="H20" s="805" t="s">
        <v>558</v>
      </c>
      <c r="I20" s="798"/>
      <c r="J20" s="798"/>
      <c r="K20" s="798"/>
    </row>
    <row r="21" spans="1:11" ht="15.75">
      <c r="A21" s="787" t="s">
        <v>185</v>
      </c>
      <c r="B21" s="787" t="str">
        <f>"Year "&amp;TCOS!L4-2</f>
        <v>Year 2021</v>
      </c>
      <c r="C21" s="787"/>
      <c r="D21" s="811">
        <f>H10/12</f>
        <v>39.123345036105697</v>
      </c>
      <c r="E21" s="811"/>
      <c r="F21" s="812">
        <f>+F15</f>
        <v>2.7700000000000003E-3</v>
      </c>
      <c r="G21" s="1286">
        <v>12</v>
      </c>
      <c r="H21" s="811">
        <f>F21*D21*G21*-1</f>
        <v>-1.3004599890001536</v>
      </c>
      <c r="I21" s="811"/>
      <c r="J21" s="811"/>
      <c r="K21" s="811">
        <f>(-H21+D21)*-1</f>
        <v>-40.42380502510585</v>
      </c>
    </row>
    <row r="22" spans="1:11" ht="15.75">
      <c r="A22" s="787" t="s">
        <v>559</v>
      </c>
      <c r="B22" s="787" t="str">
        <f>B21</f>
        <v>Year 2021</v>
      </c>
      <c r="C22" s="787"/>
      <c r="D22" s="811">
        <f>+D21</f>
        <v>39.123345036105697</v>
      </c>
      <c r="E22" s="811"/>
      <c r="F22" s="812">
        <f>+F21</f>
        <v>2.7700000000000003E-3</v>
      </c>
      <c r="G22" s="1286">
        <f t="shared" ref="G22:G32" si="0">+G21-1</f>
        <v>11</v>
      </c>
      <c r="H22" s="811">
        <f t="shared" ref="H22:H32" si="1">F22*D22*G22*-1</f>
        <v>-1.1920883232501407</v>
      </c>
      <c r="I22" s="811"/>
      <c r="J22" s="811"/>
      <c r="K22" s="811">
        <f t="shared" ref="K22:K32" si="2">(-H22+D22)*-1</f>
        <v>-40.315433359355836</v>
      </c>
    </row>
    <row r="23" spans="1:11" ht="15.75">
      <c r="A23" s="787" t="s">
        <v>186</v>
      </c>
      <c r="B23" s="787" t="str">
        <f t="shared" ref="B23:B32" si="3">B22</f>
        <v>Year 2021</v>
      </c>
      <c r="C23" s="787"/>
      <c r="D23" s="811">
        <f t="shared" ref="D23:D32" si="4">+D22</f>
        <v>39.123345036105697</v>
      </c>
      <c r="E23" s="811"/>
      <c r="F23" s="812">
        <f t="shared" ref="F23:F32" si="5">+F22</f>
        <v>2.7700000000000003E-3</v>
      </c>
      <c r="G23" s="1286">
        <f t="shared" si="0"/>
        <v>10</v>
      </c>
      <c r="H23" s="811">
        <f t="shared" si="1"/>
        <v>-1.083716657500128</v>
      </c>
      <c r="I23" s="811"/>
      <c r="J23" s="811"/>
      <c r="K23" s="811">
        <f t="shared" si="2"/>
        <v>-40.207061693605823</v>
      </c>
    </row>
    <row r="24" spans="1:11" ht="15.75">
      <c r="A24" s="787" t="s">
        <v>187</v>
      </c>
      <c r="B24" s="787" t="str">
        <f t="shared" si="3"/>
        <v>Year 2021</v>
      </c>
      <c r="C24" s="787"/>
      <c r="D24" s="811">
        <f t="shared" si="4"/>
        <v>39.123345036105697</v>
      </c>
      <c r="E24" s="811"/>
      <c r="F24" s="812">
        <f t="shared" si="5"/>
        <v>2.7700000000000003E-3</v>
      </c>
      <c r="G24" s="1286">
        <f t="shared" si="0"/>
        <v>9</v>
      </c>
      <c r="H24" s="811">
        <f t="shared" si="1"/>
        <v>-0.97534499175011513</v>
      </c>
      <c r="I24" s="811"/>
      <c r="J24" s="811"/>
      <c r="K24" s="811">
        <f t="shared" si="2"/>
        <v>-40.09869002785581</v>
      </c>
    </row>
    <row r="25" spans="1:11" ht="15.75">
      <c r="A25" s="787" t="s">
        <v>188</v>
      </c>
      <c r="B25" s="787" t="str">
        <f t="shared" si="3"/>
        <v>Year 2021</v>
      </c>
      <c r="C25" s="787"/>
      <c r="D25" s="811">
        <f t="shared" si="4"/>
        <v>39.123345036105697</v>
      </c>
      <c r="E25" s="811"/>
      <c r="F25" s="812">
        <f t="shared" si="5"/>
        <v>2.7700000000000003E-3</v>
      </c>
      <c r="G25" s="1286">
        <f t="shared" si="0"/>
        <v>8</v>
      </c>
      <c r="H25" s="811">
        <f t="shared" si="1"/>
        <v>-0.86697332600010235</v>
      </c>
      <c r="I25" s="811"/>
      <c r="J25" s="811"/>
      <c r="K25" s="811">
        <f t="shared" si="2"/>
        <v>-39.990318362105796</v>
      </c>
    </row>
    <row r="26" spans="1:11" ht="15.75">
      <c r="A26" s="787" t="s">
        <v>382</v>
      </c>
      <c r="B26" s="787" t="str">
        <f t="shared" si="3"/>
        <v>Year 2021</v>
      </c>
      <c r="C26" s="787"/>
      <c r="D26" s="811">
        <f t="shared" si="4"/>
        <v>39.123345036105697</v>
      </c>
      <c r="E26" s="811"/>
      <c r="F26" s="812">
        <f t="shared" si="5"/>
        <v>2.7700000000000003E-3</v>
      </c>
      <c r="G26" s="1286">
        <f t="shared" si="0"/>
        <v>7</v>
      </c>
      <c r="H26" s="811">
        <f t="shared" si="1"/>
        <v>-0.75860166025008957</v>
      </c>
      <c r="I26" s="811"/>
      <c r="J26" s="811"/>
      <c r="K26" s="811">
        <f t="shared" si="2"/>
        <v>-39.881946696355783</v>
      </c>
    </row>
    <row r="27" spans="1:11" ht="15.75">
      <c r="A27" s="787" t="s">
        <v>189</v>
      </c>
      <c r="B27" s="787" t="str">
        <f t="shared" si="3"/>
        <v>Year 2021</v>
      </c>
      <c r="C27" s="787"/>
      <c r="D27" s="811">
        <f t="shared" si="4"/>
        <v>39.123345036105697</v>
      </c>
      <c r="E27" s="811"/>
      <c r="F27" s="812">
        <f t="shared" si="5"/>
        <v>2.7700000000000003E-3</v>
      </c>
      <c r="G27" s="1286">
        <f t="shared" si="0"/>
        <v>6</v>
      </c>
      <c r="H27" s="811">
        <f t="shared" si="1"/>
        <v>-0.65022999450007679</v>
      </c>
      <c r="I27" s="811"/>
      <c r="J27" s="811"/>
      <c r="K27" s="811">
        <f t="shared" si="2"/>
        <v>-39.773575030605777</v>
      </c>
    </row>
    <row r="28" spans="1:11" ht="15.75">
      <c r="A28" s="787" t="s">
        <v>190</v>
      </c>
      <c r="B28" s="787" t="str">
        <f t="shared" si="3"/>
        <v>Year 2021</v>
      </c>
      <c r="C28" s="787"/>
      <c r="D28" s="811">
        <f t="shared" si="4"/>
        <v>39.123345036105697</v>
      </c>
      <c r="E28" s="811"/>
      <c r="F28" s="812">
        <f t="shared" si="5"/>
        <v>2.7700000000000003E-3</v>
      </c>
      <c r="G28" s="1286">
        <f t="shared" si="0"/>
        <v>5</v>
      </c>
      <c r="H28" s="811">
        <f t="shared" si="1"/>
        <v>-0.54185832875006401</v>
      </c>
      <c r="I28" s="811"/>
      <c r="J28" s="811"/>
      <c r="K28" s="811">
        <f t="shared" si="2"/>
        <v>-39.665203364855763</v>
      </c>
    </row>
    <row r="29" spans="1:11" ht="15.75">
      <c r="A29" s="787" t="s">
        <v>192</v>
      </c>
      <c r="B29" s="787" t="str">
        <f t="shared" si="3"/>
        <v>Year 2021</v>
      </c>
      <c r="C29" s="787"/>
      <c r="D29" s="811">
        <f t="shared" si="4"/>
        <v>39.123345036105697</v>
      </c>
      <c r="E29" s="811"/>
      <c r="F29" s="812">
        <f t="shared" si="5"/>
        <v>2.7700000000000003E-3</v>
      </c>
      <c r="G29" s="1286">
        <f t="shared" si="0"/>
        <v>4</v>
      </c>
      <c r="H29" s="811">
        <f t="shared" si="1"/>
        <v>-0.43348666300005118</v>
      </c>
      <c r="I29" s="811"/>
      <c r="J29" s="811"/>
      <c r="K29" s="811">
        <f t="shared" si="2"/>
        <v>-39.55683169910575</v>
      </c>
    </row>
    <row r="30" spans="1:11" ht="15.75">
      <c r="A30" s="787" t="s">
        <v>560</v>
      </c>
      <c r="B30" s="787" t="str">
        <f t="shared" si="3"/>
        <v>Year 2021</v>
      </c>
      <c r="C30" s="787"/>
      <c r="D30" s="811">
        <f t="shared" si="4"/>
        <v>39.123345036105697</v>
      </c>
      <c r="E30" s="811"/>
      <c r="F30" s="812">
        <f t="shared" si="5"/>
        <v>2.7700000000000003E-3</v>
      </c>
      <c r="G30" s="1286">
        <f t="shared" si="0"/>
        <v>3</v>
      </c>
      <c r="H30" s="811">
        <f t="shared" si="1"/>
        <v>-0.3251149972500384</v>
      </c>
      <c r="I30" s="811"/>
      <c r="J30" s="811"/>
      <c r="K30" s="811">
        <f t="shared" si="2"/>
        <v>-39.448460033355737</v>
      </c>
    </row>
    <row r="31" spans="1:11" ht="15.75">
      <c r="A31" s="787" t="s">
        <v>561</v>
      </c>
      <c r="B31" s="787" t="str">
        <f t="shared" si="3"/>
        <v>Year 2021</v>
      </c>
      <c r="C31" s="787"/>
      <c r="D31" s="811">
        <f t="shared" si="4"/>
        <v>39.123345036105697</v>
      </c>
      <c r="E31" s="811"/>
      <c r="F31" s="812">
        <f t="shared" si="5"/>
        <v>2.7700000000000003E-3</v>
      </c>
      <c r="G31" s="1286">
        <f t="shared" si="0"/>
        <v>2</v>
      </c>
      <c r="H31" s="811">
        <f t="shared" si="1"/>
        <v>-0.21674333150002559</v>
      </c>
      <c r="I31" s="811"/>
      <c r="J31" s="811"/>
      <c r="K31" s="811">
        <f t="shared" si="2"/>
        <v>-39.340088367605723</v>
      </c>
    </row>
    <row r="32" spans="1:11" ht="15.75">
      <c r="A32" s="787" t="s">
        <v>191</v>
      </c>
      <c r="B32" s="787" t="str">
        <f t="shared" si="3"/>
        <v>Year 2021</v>
      </c>
      <c r="C32" s="787"/>
      <c r="D32" s="811">
        <f t="shared" si="4"/>
        <v>39.123345036105697</v>
      </c>
      <c r="E32" s="811"/>
      <c r="F32" s="812">
        <f t="shared" si="5"/>
        <v>2.7700000000000003E-3</v>
      </c>
      <c r="G32" s="1286">
        <f t="shared" si="0"/>
        <v>1</v>
      </c>
      <c r="H32" s="813">
        <f t="shared" si="1"/>
        <v>-0.10837166575001279</v>
      </c>
      <c r="I32" s="811"/>
      <c r="J32" s="811"/>
      <c r="K32" s="811">
        <f t="shared" si="2"/>
        <v>-39.23171670185571</v>
      </c>
    </row>
    <row r="33" spans="1:11" ht="15.75">
      <c r="A33" s="787"/>
      <c r="B33" s="787"/>
      <c r="C33" s="787"/>
      <c r="D33" s="811"/>
      <c r="E33" s="811"/>
      <c r="F33" s="812"/>
      <c r="G33" s="798"/>
      <c r="H33" s="811">
        <f>SUM(H21:H32)</f>
        <v>-8.4529899285009975</v>
      </c>
      <c r="I33" s="811"/>
      <c r="J33" s="811"/>
      <c r="K33" s="814">
        <f>SUM(K21:K32)</f>
        <v>-477.93313036176937</v>
      </c>
    </row>
    <row r="34" spans="1:11" ht="15.75">
      <c r="A34" s="787"/>
      <c r="B34" s="787"/>
      <c r="C34" s="787"/>
      <c r="D34" s="811"/>
      <c r="E34" s="811"/>
      <c r="F34" s="812"/>
      <c r="G34" s="798"/>
      <c r="H34" s="811"/>
      <c r="I34" s="811" t="s">
        <v>114</v>
      </c>
      <c r="J34" s="811"/>
      <c r="K34" s="510"/>
    </row>
    <row r="35" spans="1:11" ht="15.75">
      <c r="A35" s="787"/>
      <c r="B35" s="787"/>
      <c r="C35" s="787"/>
      <c r="D35" s="797"/>
      <c r="E35" s="797"/>
      <c r="F35" s="812"/>
      <c r="G35" s="798"/>
      <c r="H35" s="815" t="s">
        <v>562</v>
      </c>
      <c r="I35" s="811"/>
      <c r="J35" s="811"/>
      <c r="K35" s="811"/>
    </row>
    <row r="36" spans="1:11" ht="15.75">
      <c r="A36" s="787" t="s">
        <v>563</v>
      </c>
      <c r="B36" s="787" t="str">
        <f>"Year "&amp;TCOS!L4-1</f>
        <v>Year 2022</v>
      </c>
      <c r="C36" s="787"/>
      <c r="D36" s="797">
        <f>K33</f>
        <v>-477.93313036176937</v>
      </c>
      <c r="E36" s="797"/>
      <c r="F36" s="812">
        <f>+F32</f>
        <v>2.7700000000000003E-3</v>
      </c>
      <c r="G36" s="1286">
        <v>12</v>
      </c>
      <c r="H36" s="811">
        <f>+G36*F36*D36</f>
        <v>-15.886497253225217</v>
      </c>
      <c r="I36" s="811"/>
      <c r="J36" s="811"/>
      <c r="K36" s="814">
        <f>+D36+H36</f>
        <v>-493.8196276149946</v>
      </c>
    </row>
    <row r="37" spans="1:11" ht="15.75">
      <c r="A37" s="787"/>
      <c r="B37" s="787"/>
      <c r="C37" s="787"/>
      <c r="D37" s="797"/>
      <c r="E37" s="797"/>
      <c r="F37" s="812"/>
      <c r="G37" s="787"/>
      <c r="H37" s="811"/>
      <c r="I37" s="811"/>
      <c r="J37" s="811"/>
      <c r="K37" s="811"/>
    </row>
    <row r="38" spans="1:11" ht="15.75">
      <c r="A38" s="816" t="s">
        <v>564</v>
      </c>
      <c r="B38" s="787"/>
      <c r="C38" s="787"/>
      <c r="D38" s="811"/>
      <c r="E38" s="811"/>
      <c r="F38" s="812"/>
      <c r="G38" s="787"/>
      <c r="H38" s="815" t="s">
        <v>558</v>
      </c>
      <c r="I38" s="811"/>
      <c r="J38" s="811"/>
      <c r="K38" s="811"/>
    </row>
    <row r="39" spans="1:11" ht="15.75">
      <c r="A39" s="787" t="s">
        <v>185</v>
      </c>
      <c r="B39" s="787" t="str">
        <f>"Year "&amp;TCOS!L4</f>
        <v>Year 2023</v>
      </c>
      <c r="C39" s="787"/>
      <c r="D39" s="817">
        <f>-K36</f>
        <v>493.8196276149946</v>
      </c>
      <c r="E39" s="797"/>
      <c r="F39" s="812">
        <f>+F32</f>
        <v>2.7700000000000003E-3</v>
      </c>
      <c r="G39" s="787"/>
      <c r="H39" s="811">
        <f xml:space="preserve"> -F39*D39</f>
        <v>-1.3678803684935352</v>
      </c>
      <c r="I39" s="811">
        <f>PMT(F39,12,K$36)</f>
        <v>41.896328278867003</v>
      </c>
      <c r="J39" s="811"/>
      <c r="K39" s="811">
        <f>(+D39+D39*F39-I39)*-1</f>
        <v>-453.29117970462119</v>
      </c>
    </row>
    <row r="40" spans="1:11" ht="15.75">
      <c r="A40" s="787" t="s">
        <v>559</v>
      </c>
      <c r="B40" s="787" t="str">
        <f>+B39</f>
        <v>Year 2023</v>
      </c>
      <c r="C40" s="787"/>
      <c r="D40" s="797">
        <f>-K39</f>
        <v>453.29117970462119</v>
      </c>
      <c r="E40" s="797"/>
      <c r="F40" s="812">
        <f>+F39</f>
        <v>2.7700000000000003E-3</v>
      </c>
      <c r="G40" s="787"/>
      <c r="H40" s="811">
        <f xml:space="preserve"> -F40*D40</f>
        <v>-1.2556165677818008</v>
      </c>
      <c r="I40" s="811">
        <f>I39</f>
        <v>41.896328278867003</v>
      </c>
      <c r="J40" s="811"/>
      <c r="K40" s="811">
        <f t="shared" ref="K40:K50" si="6">(+D40+D40*F40-I40)*-1</f>
        <v>-412.65046799353604</v>
      </c>
    </row>
    <row r="41" spans="1:11" ht="15.75">
      <c r="A41" s="787" t="s">
        <v>186</v>
      </c>
      <c r="B41" s="787" t="str">
        <f>+B40</f>
        <v>Year 2023</v>
      </c>
      <c r="C41" s="787"/>
      <c r="D41" s="797">
        <f t="shared" ref="D41:D50" si="7">-K40</f>
        <v>412.65046799353604</v>
      </c>
      <c r="E41" s="797"/>
      <c r="F41" s="812">
        <f t="shared" ref="F41:F50" si="8">+F40</f>
        <v>2.7700000000000003E-3</v>
      </c>
      <c r="G41" s="787"/>
      <c r="H41" s="811">
        <f t="shared" ref="H41:H50" si="9" xml:space="preserve"> -F41*D41</f>
        <v>-1.1430417963420949</v>
      </c>
      <c r="I41" s="811">
        <f t="shared" ref="I41:I50" si="10">I40</f>
        <v>41.896328278867003</v>
      </c>
      <c r="J41" s="811"/>
      <c r="K41" s="811">
        <f t="shared" si="6"/>
        <v>-371.89718151101113</v>
      </c>
    </row>
    <row r="42" spans="1:11" ht="15.75">
      <c r="A42" s="787" t="s">
        <v>187</v>
      </c>
      <c r="B42" s="787" t="str">
        <f>+B41</f>
        <v>Year 2023</v>
      </c>
      <c r="C42" s="787"/>
      <c r="D42" s="797">
        <f t="shared" si="7"/>
        <v>371.89718151101113</v>
      </c>
      <c r="E42" s="797"/>
      <c r="F42" s="812">
        <f t="shared" si="8"/>
        <v>2.7700000000000003E-3</v>
      </c>
      <c r="G42" s="787"/>
      <c r="H42" s="811">
        <f t="shared" si="9"/>
        <v>-1.0301551927855011</v>
      </c>
      <c r="I42" s="811">
        <f t="shared" si="10"/>
        <v>41.896328278867003</v>
      </c>
      <c r="J42" s="811"/>
      <c r="K42" s="811">
        <f t="shared" si="6"/>
        <v>-331.03100842492961</v>
      </c>
    </row>
    <row r="43" spans="1:11" ht="15.75">
      <c r="A43" s="787" t="s">
        <v>188</v>
      </c>
      <c r="B43" s="787" t="str">
        <f>+B42</f>
        <v>Year 2023</v>
      </c>
      <c r="C43" s="787"/>
      <c r="D43" s="797">
        <f t="shared" si="7"/>
        <v>331.03100842492961</v>
      </c>
      <c r="E43" s="797"/>
      <c r="F43" s="812">
        <f t="shared" si="8"/>
        <v>2.7700000000000003E-3</v>
      </c>
      <c r="G43" s="787"/>
      <c r="H43" s="811">
        <f t="shared" si="9"/>
        <v>-0.91695589333705507</v>
      </c>
      <c r="I43" s="811">
        <f>I42</f>
        <v>41.896328278867003</v>
      </c>
      <c r="J43" s="811"/>
      <c r="K43" s="811">
        <f t="shared" si="6"/>
        <v>-290.05163603939968</v>
      </c>
    </row>
    <row r="44" spans="1:11" ht="15.75">
      <c r="A44" s="787" t="s">
        <v>382</v>
      </c>
      <c r="B44" s="787" t="str">
        <f>B43</f>
        <v>Year 2023</v>
      </c>
      <c r="C44" s="510"/>
      <c r="D44" s="797">
        <f t="shared" si="7"/>
        <v>290.05163603939968</v>
      </c>
      <c r="E44" s="797"/>
      <c r="F44" s="812">
        <f t="shared" si="8"/>
        <v>2.7700000000000003E-3</v>
      </c>
      <c r="G44" s="787"/>
      <c r="H44" s="811">
        <f t="shared" si="9"/>
        <v>-0.80344303182913723</v>
      </c>
      <c r="I44" s="811">
        <f t="shared" si="10"/>
        <v>41.896328278867003</v>
      </c>
      <c r="J44" s="811"/>
      <c r="K44" s="811">
        <f t="shared" si="6"/>
        <v>-248.95875079236183</v>
      </c>
    </row>
    <row r="45" spans="1:11" ht="15.75">
      <c r="A45" s="787" t="s">
        <v>189</v>
      </c>
      <c r="B45" s="787" t="str">
        <f t="shared" ref="B45:B50" si="11">+B44</f>
        <v>Year 2023</v>
      </c>
      <c r="C45" s="787"/>
      <c r="D45" s="797">
        <f t="shared" si="7"/>
        <v>248.95875079236183</v>
      </c>
      <c r="E45" s="797"/>
      <c r="F45" s="812">
        <f t="shared" si="8"/>
        <v>2.7700000000000003E-3</v>
      </c>
      <c r="G45" s="787"/>
      <c r="H45" s="811">
        <f t="shared" si="9"/>
        <v>-0.68961573969484236</v>
      </c>
      <c r="I45" s="811">
        <f t="shared" si="10"/>
        <v>41.896328278867003</v>
      </c>
      <c r="J45" s="811"/>
      <c r="K45" s="811">
        <f t="shared" si="6"/>
        <v>-207.75203825318965</v>
      </c>
    </row>
    <row r="46" spans="1:11" ht="15.75">
      <c r="A46" s="787" t="s">
        <v>190</v>
      </c>
      <c r="B46" s="787" t="str">
        <f t="shared" si="11"/>
        <v>Year 2023</v>
      </c>
      <c r="C46" s="787"/>
      <c r="D46" s="797">
        <f t="shared" si="7"/>
        <v>207.75203825318965</v>
      </c>
      <c r="E46" s="797"/>
      <c r="F46" s="812">
        <f t="shared" si="8"/>
        <v>2.7700000000000003E-3</v>
      </c>
      <c r="G46" s="787"/>
      <c r="H46" s="811">
        <f t="shared" si="9"/>
        <v>-0.57547314596133536</v>
      </c>
      <c r="I46" s="811">
        <f t="shared" si="10"/>
        <v>41.896328278867003</v>
      </c>
      <c r="J46" s="811"/>
      <c r="K46" s="811">
        <f t="shared" si="6"/>
        <v>-166.43118312028398</v>
      </c>
    </row>
    <row r="47" spans="1:11" ht="15.75">
      <c r="A47" s="787" t="s">
        <v>192</v>
      </c>
      <c r="B47" s="787" t="str">
        <f t="shared" si="11"/>
        <v>Year 2023</v>
      </c>
      <c r="C47" s="787"/>
      <c r="D47" s="797">
        <f t="shared" si="7"/>
        <v>166.43118312028398</v>
      </c>
      <c r="E47" s="797"/>
      <c r="F47" s="812">
        <f t="shared" si="8"/>
        <v>2.7700000000000003E-3</v>
      </c>
      <c r="G47" s="787"/>
      <c r="H47" s="811">
        <f t="shared" si="9"/>
        <v>-0.46101437724318667</v>
      </c>
      <c r="I47" s="811">
        <f>I46</f>
        <v>41.896328278867003</v>
      </c>
      <c r="J47" s="811"/>
      <c r="K47" s="811">
        <f t="shared" si="6"/>
        <v>-124.99586921866015</v>
      </c>
    </row>
    <row r="48" spans="1:11" ht="15.75">
      <c r="A48" s="787" t="s">
        <v>560</v>
      </c>
      <c r="B48" s="787" t="str">
        <f t="shared" si="11"/>
        <v>Year 2023</v>
      </c>
      <c r="C48" s="787"/>
      <c r="D48" s="797">
        <f t="shared" si="7"/>
        <v>124.99586921866015</v>
      </c>
      <c r="E48" s="797"/>
      <c r="F48" s="812">
        <f t="shared" si="8"/>
        <v>2.7700000000000003E-3</v>
      </c>
      <c r="G48" s="787"/>
      <c r="H48" s="811">
        <f t="shared" si="9"/>
        <v>-0.34623855773568862</v>
      </c>
      <c r="I48" s="811">
        <f t="shared" si="10"/>
        <v>41.896328278867003</v>
      </c>
      <c r="J48" s="811"/>
      <c r="K48" s="811">
        <f t="shared" si="6"/>
        <v>-83.445779497528832</v>
      </c>
    </row>
    <row r="49" spans="1:11" ht="15.75">
      <c r="A49" s="787" t="s">
        <v>561</v>
      </c>
      <c r="B49" s="787" t="str">
        <f t="shared" si="11"/>
        <v>Year 2023</v>
      </c>
      <c r="C49" s="787"/>
      <c r="D49" s="797">
        <f t="shared" si="7"/>
        <v>83.445779497528832</v>
      </c>
      <c r="E49" s="797"/>
      <c r="F49" s="812">
        <f t="shared" si="8"/>
        <v>2.7700000000000003E-3</v>
      </c>
      <c r="G49" s="787"/>
      <c r="H49" s="811">
        <f t="shared" si="9"/>
        <v>-0.23114480920815489</v>
      </c>
      <c r="I49" s="811">
        <f t="shared" si="10"/>
        <v>41.896328278867003</v>
      </c>
      <c r="J49" s="811"/>
      <c r="K49" s="811">
        <f t="shared" si="6"/>
        <v>-41.78059602786999</v>
      </c>
    </row>
    <row r="50" spans="1:11" ht="15.75">
      <c r="A50" s="787" t="s">
        <v>191</v>
      </c>
      <c r="B50" s="787" t="str">
        <f t="shared" si="11"/>
        <v>Year 2023</v>
      </c>
      <c r="C50" s="787"/>
      <c r="D50" s="797">
        <f t="shared" si="7"/>
        <v>41.78059602786999</v>
      </c>
      <c r="E50" s="797"/>
      <c r="F50" s="812">
        <f t="shared" si="8"/>
        <v>2.7700000000000003E-3</v>
      </c>
      <c r="G50" s="787"/>
      <c r="H50" s="813">
        <f t="shared" si="9"/>
        <v>-0.11573225099719989</v>
      </c>
      <c r="I50" s="811">
        <f t="shared" si="10"/>
        <v>41.896328278867003</v>
      </c>
      <c r="J50" s="811"/>
      <c r="K50" s="811">
        <f t="shared" si="6"/>
        <v>-1.8474111129762605E-13</v>
      </c>
    </row>
    <row r="51" spans="1:11" ht="15.75">
      <c r="A51" s="787"/>
      <c r="B51" s="787"/>
      <c r="C51" s="787"/>
      <c r="D51" s="797"/>
      <c r="E51" s="797"/>
      <c r="F51" s="812"/>
      <c r="G51" s="787"/>
      <c r="H51" s="811">
        <f>SUM(H39:H50)</f>
        <v>-8.9363117314095302</v>
      </c>
      <c r="I51" s="811"/>
      <c r="J51" s="811"/>
      <c r="K51" s="811"/>
    </row>
    <row r="52" spans="1:11" ht="15">
      <c r="A52" s="510"/>
      <c r="B52" s="510"/>
      <c r="C52" s="510"/>
      <c r="D52" s="510"/>
      <c r="E52" s="510"/>
      <c r="F52" s="510"/>
      <c r="G52" s="510"/>
      <c r="H52" s="510"/>
      <c r="I52" s="818"/>
      <c r="J52" s="510"/>
      <c r="K52" s="510"/>
    </row>
    <row r="53" spans="1:11" ht="15.75">
      <c r="A53" s="787" t="s">
        <v>569</v>
      </c>
      <c r="B53" s="510"/>
      <c r="C53" s="510"/>
      <c r="D53" s="510"/>
      <c r="E53" s="510"/>
      <c r="F53" s="510"/>
      <c r="G53" s="510"/>
      <c r="H53" s="510"/>
      <c r="I53" s="819">
        <f>(SUM(I39:I50)*-1)</f>
        <v>-502.75593934640415</v>
      </c>
      <c r="J53" s="510"/>
      <c r="K53" s="510"/>
    </row>
    <row r="54" spans="1:11" ht="15.75">
      <c r="A54" s="787" t="s">
        <v>565</v>
      </c>
      <c r="B54" s="510"/>
      <c r="C54" s="510"/>
      <c r="D54" s="510"/>
      <c r="E54" s="510"/>
      <c r="F54" s="510"/>
      <c r="G54" s="510"/>
      <c r="H54" s="510"/>
      <c r="I54" s="820">
        <f>+H10</f>
        <v>469.48014043326839</v>
      </c>
      <c r="J54" s="510"/>
      <c r="K54" s="510"/>
    </row>
    <row r="55" spans="1:11" ht="15.75">
      <c r="A55" s="787" t="s">
        <v>566</v>
      </c>
      <c r="B55" s="510"/>
      <c r="C55" s="510"/>
      <c r="D55" s="510"/>
      <c r="E55" s="510"/>
      <c r="F55" s="510"/>
      <c r="G55" s="510"/>
      <c r="H55" s="510"/>
      <c r="I55" s="819">
        <f>(I53+I54)</f>
        <v>-33.275798913135759</v>
      </c>
      <c r="J55" s="510"/>
      <c r="K55" s="510"/>
    </row>
    <row r="56" spans="1:11">
      <c r="A56" s="404"/>
      <c r="B56" s="404"/>
      <c r="C56" s="404"/>
      <c r="D56" s="404"/>
      <c r="E56" s="404"/>
      <c r="F56" s="404"/>
      <c r="G56" s="404"/>
      <c r="H56" s="404"/>
      <c r="I56" s="404"/>
      <c r="J56" s="404"/>
      <c r="K56" s="404"/>
    </row>
    <row r="57" spans="1:11" ht="102" customHeight="1">
      <c r="A57" s="1557" t="s">
        <v>570</v>
      </c>
      <c r="B57" s="1557"/>
      <c r="C57" s="1557"/>
      <c r="D57" s="1557"/>
      <c r="E57" s="821"/>
      <c r="F57" s="821"/>
      <c r="G57" s="821"/>
      <c r="H57" s="821"/>
      <c r="I57" s="821"/>
      <c r="J57" s="821"/>
      <c r="K57" s="821"/>
    </row>
  </sheetData>
  <mergeCells count="5">
    <mergeCell ref="A1:K1"/>
    <mergeCell ref="A2:K2"/>
    <mergeCell ref="A3:K3"/>
    <mergeCell ref="D4:G4"/>
    <mergeCell ref="A57:D57"/>
  </mergeCells>
  <pageMargins left="0.7" right="0.7" top="0.75" bottom="0.75" header="0.3" footer="0.3"/>
  <pageSetup scale="5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57"/>
  <sheetViews>
    <sheetView view="pageBreakPreview" zoomScale="60" zoomScaleNormal="100" workbookViewId="0">
      <selection activeCell="D9" sqref="D9"/>
    </sheetView>
  </sheetViews>
  <sheetFormatPr defaultRowHeight="12.75"/>
  <cols>
    <col min="1" max="1" width="33.42578125" customWidth="1"/>
    <col min="4" max="4" width="27.5703125" customWidth="1"/>
    <col min="6" max="6" width="11.5703125" bestFit="1" customWidth="1"/>
    <col min="8" max="8" width="20.85546875" customWidth="1"/>
    <col min="9" max="9" width="16" customWidth="1"/>
    <col min="11" max="11" width="19.5703125" customWidth="1"/>
  </cols>
  <sheetData>
    <row r="1" spans="1:11" ht="15.75">
      <c r="A1" s="1555" t="s">
        <v>387</v>
      </c>
      <c r="B1" s="1555"/>
      <c r="C1" s="1555"/>
      <c r="D1" s="1555"/>
      <c r="E1" s="1555"/>
      <c r="F1" s="1555"/>
      <c r="G1" s="1555"/>
      <c r="H1" s="1555"/>
      <c r="I1" s="1555"/>
      <c r="J1" s="1555"/>
      <c r="K1" s="1555"/>
    </row>
    <row r="2" spans="1:11" ht="15.75">
      <c r="A2" s="1556" t="s">
        <v>567</v>
      </c>
      <c r="B2" s="1556"/>
      <c r="C2" s="1556"/>
      <c r="D2" s="1556"/>
      <c r="E2" s="1556"/>
      <c r="F2" s="1556"/>
      <c r="G2" s="1556"/>
      <c r="H2" s="1556"/>
      <c r="I2" s="1556"/>
      <c r="J2" s="1556"/>
      <c r="K2" s="1556"/>
    </row>
    <row r="3" spans="1:11" ht="15.75">
      <c r="A3" s="1556" t="s">
        <v>568</v>
      </c>
      <c r="B3" s="1556"/>
      <c r="C3" s="1556"/>
      <c r="D3" s="1556"/>
      <c r="E3" s="1556"/>
      <c r="F3" s="1556"/>
      <c r="G3" s="1556"/>
      <c r="H3" s="1556"/>
      <c r="I3" s="1556"/>
      <c r="J3" s="1556"/>
      <c r="K3" s="1556"/>
    </row>
    <row r="4" spans="1:11" ht="15.75">
      <c r="A4" s="510"/>
      <c r="B4" s="510"/>
      <c r="C4" s="510"/>
      <c r="D4" s="1556"/>
      <c r="E4" s="1556"/>
      <c r="F4" s="1556"/>
      <c r="G4" s="1556"/>
      <c r="H4" s="510"/>
      <c r="I4" s="510"/>
      <c r="J4" s="510"/>
      <c r="K4" s="510"/>
    </row>
    <row r="5" spans="1:11">
      <c r="A5" s="404"/>
      <c r="B5" s="404"/>
      <c r="C5" s="404"/>
      <c r="D5" s="404"/>
      <c r="E5" s="404"/>
      <c r="F5" s="404"/>
      <c r="G5" s="404"/>
      <c r="H5" s="404"/>
      <c r="I5" s="404"/>
      <c r="J5" s="404"/>
      <c r="K5" s="404"/>
    </row>
    <row r="6" spans="1:11">
      <c r="A6" s="404"/>
      <c r="B6" s="404"/>
      <c r="C6" s="404"/>
      <c r="D6" s="404"/>
      <c r="E6" s="404"/>
      <c r="F6" s="404"/>
      <c r="G6" s="404"/>
      <c r="H6" s="404"/>
      <c r="I6" s="404"/>
      <c r="J6" s="404"/>
      <c r="K6" s="404"/>
    </row>
    <row r="7" spans="1:11" ht="16.5" thickBot="1">
      <c r="A7" s="786"/>
      <c r="B7" s="787"/>
      <c r="C7" s="787"/>
      <c r="D7" s="787"/>
      <c r="E7" s="787"/>
      <c r="F7" s="787"/>
      <c r="G7" s="787"/>
      <c r="H7" s="787"/>
      <c r="I7" s="787"/>
      <c r="J7" s="787"/>
      <c r="K7" s="787"/>
    </row>
    <row r="8" spans="1:11" ht="47.25">
      <c r="A8" s="788" t="str">
        <f>'WSQ NSPR'!A8</f>
        <v>Reconciliation Revenue Requirement For Year 2021 Available May 25, 2022</v>
      </c>
      <c r="B8" s="787"/>
      <c r="C8" s="787"/>
      <c r="D8" s="788" t="s">
        <v>1060</v>
      </c>
      <c r="E8" s="787"/>
      <c r="F8" s="787"/>
      <c r="G8" s="510"/>
      <c r="H8" s="788" t="s">
        <v>548</v>
      </c>
      <c r="I8" s="510"/>
      <c r="J8" s="510"/>
      <c r="K8" s="510"/>
    </row>
    <row r="9" spans="1:11" ht="15.75">
      <c r="A9" s="789" t="s">
        <v>114</v>
      </c>
      <c r="B9" s="787"/>
      <c r="C9" s="787"/>
      <c r="D9" s="789"/>
      <c r="E9" s="787"/>
      <c r="F9" s="787"/>
      <c r="G9" s="510"/>
      <c r="H9" s="790"/>
      <c r="I9" s="510"/>
      <c r="J9" s="510"/>
      <c r="K9" s="510"/>
    </row>
    <row r="10" spans="1:11" ht="16.5" thickBot="1">
      <c r="A10" s="868">
        <v>59257.575595006521</v>
      </c>
      <c r="B10" s="791" t="str">
        <f>"-"</f>
        <v>-</v>
      </c>
      <c r="C10" s="792"/>
      <c r="D10" s="868">
        <v>37625.377914419805</v>
      </c>
      <c r="E10" s="793"/>
      <c r="F10" s="794" t="str">
        <f>"="</f>
        <v>=</v>
      </c>
      <c r="G10" s="795"/>
      <c r="H10" s="796">
        <f>IF(A10=0,0,D10-A10)</f>
        <v>-21632.197680586716</v>
      </c>
      <c r="I10" s="510"/>
      <c r="J10" s="510"/>
      <c r="K10" s="510"/>
    </row>
    <row r="11" spans="1:11" ht="15.75">
      <c r="A11" s="797"/>
      <c r="B11" s="798"/>
      <c r="C11" s="798"/>
      <c r="D11" s="797"/>
      <c r="E11" s="797"/>
      <c r="F11" s="798"/>
      <c r="G11" s="797"/>
      <c r="H11" s="510"/>
      <c r="I11" s="510"/>
      <c r="J11" s="510"/>
      <c r="K11" s="510"/>
    </row>
    <row r="12" spans="1:11" ht="16.5" thickBot="1">
      <c r="A12" s="799"/>
      <c r="B12" s="800"/>
      <c r="C12" s="800"/>
      <c r="D12" s="799"/>
      <c r="E12" s="799"/>
      <c r="F12" s="800"/>
      <c r="G12" s="799"/>
      <c r="H12" s="801"/>
      <c r="I12" s="801"/>
      <c r="J12" s="801"/>
      <c r="K12" s="801"/>
    </row>
    <row r="13" spans="1:11" ht="15.75">
      <c r="A13" s="802"/>
      <c r="B13" s="798"/>
      <c r="C13" s="798"/>
      <c r="D13" s="797"/>
      <c r="E13" s="797"/>
      <c r="F13" s="798"/>
      <c r="G13" s="797"/>
      <c r="H13" s="510"/>
      <c r="I13" s="510"/>
      <c r="J13" s="510"/>
      <c r="K13" s="510"/>
    </row>
    <row r="14" spans="1:11" ht="63">
      <c r="A14" s="803" t="s">
        <v>549</v>
      </c>
      <c r="B14" s="798"/>
      <c r="C14" s="798"/>
      <c r="D14" s="804" t="s">
        <v>550</v>
      </c>
      <c r="E14" s="797"/>
      <c r="F14" s="804" t="s">
        <v>551</v>
      </c>
      <c r="G14" s="805" t="s">
        <v>552</v>
      </c>
      <c r="H14" s="806" t="s">
        <v>553</v>
      </c>
      <c r="I14" s="804" t="s">
        <v>554</v>
      </c>
      <c r="J14" s="807"/>
      <c r="K14" s="804" t="s">
        <v>555</v>
      </c>
    </row>
    <row r="15" spans="1:11" ht="15.75">
      <c r="A15" s="803" t="s">
        <v>556</v>
      </c>
      <c r="B15" s="798"/>
      <c r="C15" s="798"/>
      <c r="D15" s="510"/>
      <c r="E15" s="808"/>
      <c r="F15" s="1287">
        <f>'WSQ NSPR'!F15</f>
        <v>2.7700000000000003E-3</v>
      </c>
      <c r="G15" s="322"/>
      <c r="H15" s="510"/>
      <c r="I15" s="510"/>
      <c r="J15" s="510"/>
      <c r="K15" s="510"/>
    </row>
    <row r="16" spans="1:11" ht="15.75">
      <c r="A16" s="803"/>
      <c r="B16" s="798"/>
      <c r="C16" s="798"/>
      <c r="D16" s="510"/>
      <c r="E16" s="808"/>
      <c r="F16" s="808"/>
      <c r="G16" s="797"/>
      <c r="H16" s="510"/>
      <c r="I16" s="510"/>
      <c r="J16" s="510"/>
      <c r="K16" s="510"/>
    </row>
    <row r="17" spans="1:11" ht="15.75">
      <c r="A17" s="803" t="str">
        <f>'WSQ NSPR'!A17</f>
        <v>An over or under collection will be recovered prorata over 2021, held for 2022 and returned prorate over 2023</v>
      </c>
      <c r="B17" s="798"/>
      <c r="C17" s="798"/>
      <c r="D17" s="510"/>
      <c r="E17" s="808"/>
      <c r="F17" s="808"/>
      <c r="G17" s="797"/>
      <c r="H17" s="510"/>
      <c r="I17" s="510"/>
      <c r="J17" s="510"/>
      <c r="K17" s="510"/>
    </row>
    <row r="18" spans="1:11" ht="15.75">
      <c r="A18" s="809" t="s">
        <v>114</v>
      </c>
      <c r="B18" s="798"/>
      <c r="C18" s="798"/>
      <c r="D18" s="798"/>
      <c r="E18" s="798"/>
      <c r="F18" s="798" t="s">
        <v>114</v>
      </c>
      <c r="G18" s="510"/>
      <c r="H18" s="510"/>
      <c r="I18" s="510"/>
      <c r="J18" s="510"/>
      <c r="K18" s="510"/>
    </row>
    <row r="19" spans="1:11" ht="15.75">
      <c r="A19" s="810"/>
      <c r="B19" s="798"/>
      <c r="C19" s="798"/>
      <c r="D19" s="798"/>
      <c r="E19" s="798"/>
      <c r="F19" s="510"/>
      <c r="G19" s="510"/>
      <c r="H19" s="805"/>
      <c r="I19" s="798"/>
      <c r="J19" s="798"/>
      <c r="K19" s="798"/>
    </row>
    <row r="20" spans="1:11" ht="15.75">
      <c r="A20" s="810" t="s">
        <v>557</v>
      </c>
      <c r="B20" s="798"/>
      <c r="C20" s="798"/>
      <c r="D20" s="798"/>
      <c r="E20" s="798"/>
      <c r="F20" s="510"/>
      <c r="G20" s="510"/>
      <c r="H20" s="805" t="s">
        <v>558</v>
      </c>
      <c r="I20" s="798"/>
      <c r="J20" s="798"/>
      <c r="K20" s="798"/>
    </row>
    <row r="21" spans="1:11" ht="15.75">
      <c r="A21" s="787" t="s">
        <v>185</v>
      </c>
      <c r="B21" s="787" t="str">
        <f>"Year "&amp;TCOS!L4-2</f>
        <v>Year 2021</v>
      </c>
      <c r="C21" s="787"/>
      <c r="D21" s="811">
        <f>H10/12</f>
        <v>-1802.6831400488929</v>
      </c>
      <c r="E21" s="811"/>
      <c r="F21" s="812">
        <f>+F15</f>
        <v>2.7700000000000003E-3</v>
      </c>
      <c r="G21" s="1286">
        <v>12</v>
      </c>
      <c r="H21" s="811">
        <f>F21*D21*G21*-1</f>
        <v>59.921187575225204</v>
      </c>
      <c r="I21" s="811"/>
      <c r="J21" s="811"/>
      <c r="K21" s="811">
        <f>(-H21+D21)*-1</f>
        <v>1862.6043276241182</v>
      </c>
    </row>
    <row r="22" spans="1:11" ht="15.75">
      <c r="A22" s="787" t="s">
        <v>559</v>
      </c>
      <c r="B22" s="787" t="str">
        <f>B21</f>
        <v>Year 2021</v>
      </c>
      <c r="C22" s="787"/>
      <c r="D22" s="811">
        <f>+D21</f>
        <v>-1802.6831400488929</v>
      </c>
      <c r="E22" s="811"/>
      <c r="F22" s="812">
        <f>+F21</f>
        <v>2.7700000000000003E-3</v>
      </c>
      <c r="G22" s="1286">
        <f t="shared" ref="G22:G32" si="0">+G21-1</f>
        <v>11</v>
      </c>
      <c r="H22" s="811">
        <f t="shared" ref="H22:H32" si="1">F22*D22*G22*-1</f>
        <v>54.927755277289776</v>
      </c>
      <c r="I22" s="811"/>
      <c r="J22" s="811"/>
      <c r="K22" s="811">
        <f t="shared" ref="K22:K32" si="2">(-H22+D22)*-1</f>
        <v>1857.6108953261828</v>
      </c>
    </row>
    <row r="23" spans="1:11" ht="15.75">
      <c r="A23" s="787" t="s">
        <v>186</v>
      </c>
      <c r="B23" s="787" t="str">
        <f t="shared" ref="B23:B32" si="3">B22</f>
        <v>Year 2021</v>
      </c>
      <c r="C23" s="787"/>
      <c r="D23" s="811">
        <f t="shared" ref="D23:D32" si="4">+D22</f>
        <v>-1802.6831400488929</v>
      </c>
      <c r="E23" s="811"/>
      <c r="F23" s="812">
        <f t="shared" ref="F23:F32" si="5">+F22</f>
        <v>2.7700000000000003E-3</v>
      </c>
      <c r="G23" s="1286">
        <f t="shared" si="0"/>
        <v>10</v>
      </c>
      <c r="H23" s="811">
        <f t="shared" si="1"/>
        <v>49.934322979354341</v>
      </c>
      <c r="I23" s="811"/>
      <c r="J23" s="811"/>
      <c r="K23" s="811">
        <f t="shared" si="2"/>
        <v>1852.6174630282474</v>
      </c>
    </row>
    <row r="24" spans="1:11" ht="15.75">
      <c r="A24" s="787" t="s">
        <v>187</v>
      </c>
      <c r="B24" s="787" t="str">
        <f t="shared" si="3"/>
        <v>Year 2021</v>
      </c>
      <c r="C24" s="787"/>
      <c r="D24" s="811">
        <f t="shared" si="4"/>
        <v>-1802.6831400488929</v>
      </c>
      <c r="E24" s="811"/>
      <c r="F24" s="812">
        <f t="shared" si="5"/>
        <v>2.7700000000000003E-3</v>
      </c>
      <c r="G24" s="1286">
        <f t="shared" si="0"/>
        <v>9</v>
      </c>
      <c r="H24" s="811">
        <f t="shared" si="1"/>
        <v>44.940890681418907</v>
      </c>
      <c r="I24" s="811"/>
      <c r="J24" s="811"/>
      <c r="K24" s="811">
        <f t="shared" si="2"/>
        <v>1847.6240307303119</v>
      </c>
    </row>
    <row r="25" spans="1:11" ht="15.75">
      <c r="A25" s="787" t="s">
        <v>188</v>
      </c>
      <c r="B25" s="787" t="str">
        <f t="shared" si="3"/>
        <v>Year 2021</v>
      </c>
      <c r="C25" s="787"/>
      <c r="D25" s="811">
        <f t="shared" si="4"/>
        <v>-1802.6831400488929</v>
      </c>
      <c r="E25" s="811"/>
      <c r="F25" s="812">
        <f t="shared" si="5"/>
        <v>2.7700000000000003E-3</v>
      </c>
      <c r="G25" s="1286">
        <f t="shared" si="0"/>
        <v>8</v>
      </c>
      <c r="H25" s="811">
        <f t="shared" si="1"/>
        <v>39.947458383483472</v>
      </c>
      <c r="I25" s="811"/>
      <c r="J25" s="811"/>
      <c r="K25" s="811">
        <f t="shared" si="2"/>
        <v>1842.6305984323765</v>
      </c>
    </row>
    <row r="26" spans="1:11" ht="15.75">
      <c r="A26" s="787" t="s">
        <v>382</v>
      </c>
      <c r="B26" s="787" t="str">
        <f t="shared" si="3"/>
        <v>Year 2021</v>
      </c>
      <c r="C26" s="787"/>
      <c r="D26" s="811">
        <f t="shared" si="4"/>
        <v>-1802.6831400488929</v>
      </c>
      <c r="E26" s="811"/>
      <c r="F26" s="812">
        <f t="shared" si="5"/>
        <v>2.7700000000000003E-3</v>
      </c>
      <c r="G26" s="1286">
        <f t="shared" si="0"/>
        <v>7</v>
      </c>
      <c r="H26" s="811">
        <f t="shared" si="1"/>
        <v>34.954026085548037</v>
      </c>
      <c r="I26" s="811"/>
      <c r="J26" s="811"/>
      <c r="K26" s="811">
        <f t="shared" si="2"/>
        <v>1837.637166134441</v>
      </c>
    </row>
    <row r="27" spans="1:11" ht="15.75">
      <c r="A27" s="787" t="s">
        <v>189</v>
      </c>
      <c r="B27" s="787" t="str">
        <f t="shared" si="3"/>
        <v>Year 2021</v>
      </c>
      <c r="C27" s="787"/>
      <c r="D27" s="811">
        <f t="shared" si="4"/>
        <v>-1802.6831400488929</v>
      </c>
      <c r="E27" s="811"/>
      <c r="F27" s="812">
        <f t="shared" si="5"/>
        <v>2.7700000000000003E-3</v>
      </c>
      <c r="G27" s="1286">
        <f t="shared" si="0"/>
        <v>6</v>
      </c>
      <c r="H27" s="811">
        <f t="shared" si="1"/>
        <v>29.960593787612602</v>
      </c>
      <c r="I27" s="811"/>
      <c r="J27" s="811"/>
      <c r="K27" s="811">
        <f t="shared" si="2"/>
        <v>1832.6437338365056</v>
      </c>
    </row>
    <row r="28" spans="1:11" ht="15.75">
      <c r="A28" s="787" t="s">
        <v>190</v>
      </c>
      <c r="B28" s="787" t="str">
        <f t="shared" si="3"/>
        <v>Year 2021</v>
      </c>
      <c r="C28" s="787"/>
      <c r="D28" s="811">
        <f t="shared" si="4"/>
        <v>-1802.6831400488929</v>
      </c>
      <c r="E28" s="811"/>
      <c r="F28" s="812">
        <f t="shared" si="5"/>
        <v>2.7700000000000003E-3</v>
      </c>
      <c r="G28" s="1286">
        <f t="shared" si="0"/>
        <v>5</v>
      </c>
      <c r="H28" s="811">
        <f t="shared" si="1"/>
        <v>24.967161489677171</v>
      </c>
      <c r="I28" s="811"/>
      <c r="J28" s="811"/>
      <c r="K28" s="811">
        <f t="shared" si="2"/>
        <v>1827.6503015385701</v>
      </c>
    </row>
    <row r="29" spans="1:11" ht="15.75">
      <c r="A29" s="787" t="s">
        <v>192</v>
      </c>
      <c r="B29" s="787" t="str">
        <f t="shared" si="3"/>
        <v>Year 2021</v>
      </c>
      <c r="C29" s="787"/>
      <c r="D29" s="811">
        <f t="shared" si="4"/>
        <v>-1802.6831400488929</v>
      </c>
      <c r="E29" s="811"/>
      <c r="F29" s="812">
        <f t="shared" si="5"/>
        <v>2.7700000000000003E-3</v>
      </c>
      <c r="G29" s="1286">
        <f t="shared" si="0"/>
        <v>4</v>
      </c>
      <c r="H29" s="811">
        <f t="shared" si="1"/>
        <v>19.973729191741736</v>
      </c>
      <c r="I29" s="811"/>
      <c r="J29" s="811"/>
      <c r="K29" s="811">
        <f t="shared" si="2"/>
        <v>1822.6568692406347</v>
      </c>
    </row>
    <row r="30" spans="1:11" ht="15.75">
      <c r="A30" s="787" t="s">
        <v>560</v>
      </c>
      <c r="B30" s="787" t="str">
        <f t="shared" si="3"/>
        <v>Year 2021</v>
      </c>
      <c r="C30" s="787"/>
      <c r="D30" s="811">
        <f t="shared" si="4"/>
        <v>-1802.6831400488929</v>
      </c>
      <c r="E30" s="811"/>
      <c r="F30" s="812">
        <f t="shared" si="5"/>
        <v>2.7700000000000003E-3</v>
      </c>
      <c r="G30" s="1286">
        <f t="shared" si="0"/>
        <v>3</v>
      </c>
      <c r="H30" s="811">
        <f t="shared" si="1"/>
        <v>14.980296893806301</v>
      </c>
      <c r="I30" s="811"/>
      <c r="J30" s="811"/>
      <c r="K30" s="811">
        <f t="shared" si="2"/>
        <v>1817.6634369426993</v>
      </c>
    </row>
    <row r="31" spans="1:11" ht="15.75">
      <c r="A31" s="787" t="s">
        <v>561</v>
      </c>
      <c r="B31" s="787" t="str">
        <f t="shared" si="3"/>
        <v>Year 2021</v>
      </c>
      <c r="C31" s="787"/>
      <c r="D31" s="811">
        <f t="shared" si="4"/>
        <v>-1802.6831400488929</v>
      </c>
      <c r="E31" s="811"/>
      <c r="F31" s="812">
        <f t="shared" si="5"/>
        <v>2.7700000000000003E-3</v>
      </c>
      <c r="G31" s="1286">
        <f t="shared" si="0"/>
        <v>2</v>
      </c>
      <c r="H31" s="811">
        <f t="shared" si="1"/>
        <v>9.9868645958708679</v>
      </c>
      <c r="I31" s="811"/>
      <c r="J31" s="811"/>
      <c r="K31" s="811">
        <f t="shared" si="2"/>
        <v>1812.6700046447638</v>
      </c>
    </row>
    <row r="32" spans="1:11" ht="15.75">
      <c r="A32" s="787" t="s">
        <v>191</v>
      </c>
      <c r="B32" s="787" t="str">
        <f t="shared" si="3"/>
        <v>Year 2021</v>
      </c>
      <c r="C32" s="787"/>
      <c r="D32" s="811">
        <f t="shared" si="4"/>
        <v>-1802.6831400488929</v>
      </c>
      <c r="E32" s="811"/>
      <c r="F32" s="812">
        <f t="shared" si="5"/>
        <v>2.7700000000000003E-3</v>
      </c>
      <c r="G32" s="1286">
        <f t="shared" si="0"/>
        <v>1</v>
      </c>
      <c r="H32" s="813">
        <f t="shared" si="1"/>
        <v>4.993432297935434</v>
      </c>
      <c r="I32" s="811"/>
      <c r="J32" s="811"/>
      <c r="K32" s="811">
        <f t="shared" si="2"/>
        <v>1807.6765723468284</v>
      </c>
    </row>
    <row r="33" spans="1:11" ht="15.75">
      <c r="A33" s="787"/>
      <c r="B33" s="787"/>
      <c r="C33" s="787"/>
      <c r="D33" s="811"/>
      <c r="E33" s="811"/>
      <c r="F33" s="812"/>
      <c r="G33" s="798"/>
      <c r="H33" s="811">
        <f>SUM(H21:H32)</f>
        <v>389.48771923896385</v>
      </c>
      <c r="I33" s="811"/>
      <c r="J33" s="811"/>
      <c r="K33" s="814">
        <f>SUM(K21:K32)</f>
        <v>22021.685399825681</v>
      </c>
    </row>
    <row r="34" spans="1:11" ht="15.75">
      <c r="A34" s="787"/>
      <c r="B34" s="787"/>
      <c r="C34" s="787"/>
      <c r="D34" s="811"/>
      <c r="E34" s="811"/>
      <c r="F34" s="812"/>
      <c r="G34" s="798"/>
      <c r="H34" s="811"/>
      <c r="I34" s="811" t="s">
        <v>114</v>
      </c>
      <c r="J34" s="811"/>
      <c r="K34" s="510"/>
    </row>
    <row r="35" spans="1:11" ht="15.75">
      <c r="A35" s="787"/>
      <c r="B35" s="787"/>
      <c r="C35" s="787"/>
      <c r="D35" s="797"/>
      <c r="E35" s="797"/>
      <c r="F35" s="812"/>
      <c r="G35" s="798"/>
      <c r="H35" s="815" t="s">
        <v>562</v>
      </c>
      <c r="I35" s="811"/>
      <c r="J35" s="811"/>
      <c r="K35" s="811"/>
    </row>
    <row r="36" spans="1:11" ht="15.75">
      <c r="A36" s="787" t="s">
        <v>563</v>
      </c>
      <c r="B36" s="787" t="str">
        <f>"Year "&amp;TCOS!L4-1</f>
        <v>Year 2022</v>
      </c>
      <c r="C36" s="787"/>
      <c r="D36" s="797">
        <f>K33</f>
        <v>22021.685399825681</v>
      </c>
      <c r="E36" s="797"/>
      <c r="F36" s="812">
        <f>+F32</f>
        <v>2.7700000000000003E-3</v>
      </c>
      <c r="G36" s="1286">
        <v>12</v>
      </c>
      <c r="H36" s="811">
        <f>+G36*F36*D36</f>
        <v>732.00082269020572</v>
      </c>
      <c r="I36" s="811"/>
      <c r="J36" s="811"/>
      <c r="K36" s="814">
        <f>+D36+H36</f>
        <v>22753.686222515887</v>
      </c>
    </row>
    <row r="37" spans="1:11" ht="15.75">
      <c r="A37" s="787"/>
      <c r="B37" s="787"/>
      <c r="C37" s="787"/>
      <c r="D37" s="797"/>
      <c r="E37" s="797"/>
      <c r="F37" s="812"/>
      <c r="G37" s="787"/>
      <c r="H37" s="811"/>
      <c r="I37" s="811"/>
      <c r="J37" s="811"/>
      <c r="K37" s="811"/>
    </row>
    <row r="38" spans="1:11" ht="15.75">
      <c r="A38" s="816" t="s">
        <v>564</v>
      </c>
      <c r="B38" s="787"/>
      <c r="C38" s="787"/>
      <c r="D38" s="811"/>
      <c r="E38" s="811"/>
      <c r="F38" s="812"/>
      <c r="G38" s="787"/>
      <c r="H38" s="815" t="s">
        <v>558</v>
      </c>
      <c r="I38" s="811"/>
      <c r="J38" s="811"/>
      <c r="K38" s="811"/>
    </row>
    <row r="39" spans="1:11" ht="15.75">
      <c r="A39" s="787" t="s">
        <v>185</v>
      </c>
      <c r="B39" s="787" t="str">
        <f>"Year "&amp;TCOS!L4</f>
        <v>Year 2023</v>
      </c>
      <c r="C39" s="787"/>
      <c r="D39" s="811">
        <f>-K36</f>
        <v>-22753.686222515887</v>
      </c>
      <c r="E39" s="797"/>
      <c r="F39" s="812">
        <f>+F32</f>
        <v>2.7700000000000003E-3</v>
      </c>
      <c r="G39" s="787"/>
      <c r="H39" s="811">
        <f xml:space="preserve"> -F39*D39</f>
        <v>63.027710836369017</v>
      </c>
      <c r="I39" s="811">
        <f>PMT(F39,12,K$36)</f>
        <v>-1930.453660047903</v>
      </c>
      <c r="J39" s="811"/>
      <c r="K39" s="811">
        <f>(+D39+D39*F39-I39)*-1</f>
        <v>20886.260273304353</v>
      </c>
    </row>
    <row r="40" spans="1:11" ht="15.75">
      <c r="A40" s="787" t="s">
        <v>559</v>
      </c>
      <c r="B40" s="787" t="str">
        <f>+B39</f>
        <v>Year 2023</v>
      </c>
      <c r="C40" s="787"/>
      <c r="D40" s="797">
        <f>-K39</f>
        <v>-20886.260273304353</v>
      </c>
      <c r="E40" s="797"/>
      <c r="F40" s="812">
        <f>+F39</f>
        <v>2.7700000000000003E-3</v>
      </c>
      <c r="G40" s="787"/>
      <c r="H40" s="811">
        <f xml:space="preserve"> -F40*D40</f>
        <v>57.854940957053067</v>
      </c>
      <c r="I40" s="811">
        <f>I39</f>
        <v>-1930.453660047903</v>
      </c>
      <c r="J40" s="811"/>
      <c r="K40" s="811">
        <f t="shared" ref="K40:K50" si="6">(+D40+D40*F40-I40)*-1</f>
        <v>19013.6615542135</v>
      </c>
    </row>
    <row r="41" spans="1:11" ht="15.75">
      <c r="A41" s="787" t="s">
        <v>186</v>
      </c>
      <c r="B41" s="787" t="str">
        <f>+B40</f>
        <v>Year 2023</v>
      </c>
      <c r="C41" s="787"/>
      <c r="D41" s="797">
        <f t="shared" ref="D41:D50" si="7">-K40</f>
        <v>-19013.6615542135</v>
      </c>
      <c r="E41" s="797"/>
      <c r="F41" s="812">
        <f t="shared" ref="F41:F50" si="8">+F40</f>
        <v>2.7700000000000003E-3</v>
      </c>
      <c r="G41" s="787"/>
      <c r="H41" s="811">
        <f t="shared" ref="H41:H50" si="9" xml:space="preserve"> -F41*D41</f>
        <v>52.6678425051714</v>
      </c>
      <c r="I41" s="811">
        <f t="shared" ref="I41:I50" si="10">I40</f>
        <v>-1930.453660047903</v>
      </c>
      <c r="J41" s="811"/>
      <c r="K41" s="811">
        <f t="shared" si="6"/>
        <v>17135.875736670769</v>
      </c>
    </row>
    <row r="42" spans="1:11" ht="15.75">
      <c r="A42" s="787" t="s">
        <v>187</v>
      </c>
      <c r="B42" s="787" t="str">
        <f>+B41</f>
        <v>Year 2023</v>
      </c>
      <c r="C42" s="787"/>
      <c r="D42" s="797">
        <f t="shared" si="7"/>
        <v>-17135.875736670769</v>
      </c>
      <c r="E42" s="797"/>
      <c r="F42" s="812">
        <f t="shared" si="8"/>
        <v>2.7700000000000003E-3</v>
      </c>
      <c r="G42" s="787"/>
      <c r="H42" s="811">
        <f t="shared" si="9"/>
        <v>47.466375790578034</v>
      </c>
      <c r="I42" s="811">
        <f t="shared" si="10"/>
        <v>-1930.453660047903</v>
      </c>
      <c r="J42" s="811"/>
      <c r="K42" s="811">
        <f t="shared" si="6"/>
        <v>15252.888452413443</v>
      </c>
    </row>
    <row r="43" spans="1:11" ht="15.75">
      <c r="A43" s="787" t="s">
        <v>188</v>
      </c>
      <c r="B43" s="787" t="str">
        <f>+B42</f>
        <v>Year 2023</v>
      </c>
      <c r="C43" s="787"/>
      <c r="D43" s="797">
        <f t="shared" si="7"/>
        <v>-15252.888452413443</v>
      </c>
      <c r="E43" s="797"/>
      <c r="F43" s="812">
        <f t="shared" si="8"/>
        <v>2.7700000000000003E-3</v>
      </c>
      <c r="G43" s="787"/>
      <c r="H43" s="811">
        <f t="shared" si="9"/>
        <v>42.250501013185243</v>
      </c>
      <c r="I43" s="811">
        <f>I42</f>
        <v>-1930.453660047903</v>
      </c>
      <c r="J43" s="811"/>
      <c r="K43" s="811">
        <f t="shared" si="6"/>
        <v>13364.685293378725</v>
      </c>
    </row>
    <row r="44" spans="1:11" ht="15.75">
      <c r="A44" s="787" t="s">
        <v>382</v>
      </c>
      <c r="B44" s="787" t="str">
        <f>B43</f>
        <v>Year 2023</v>
      </c>
      <c r="C44" s="510"/>
      <c r="D44" s="797">
        <f t="shared" si="7"/>
        <v>-13364.685293378725</v>
      </c>
      <c r="E44" s="797"/>
      <c r="F44" s="812">
        <f t="shared" si="8"/>
        <v>2.7700000000000003E-3</v>
      </c>
      <c r="G44" s="787"/>
      <c r="H44" s="811">
        <f t="shared" si="9"/>
        <v>37.020178262659073</v>
      </c>
      <c r="I44" s="811">
        <f t="shared" si="10"/>
        <v>-1930.453660047903</v>
      </c>
      <c r="J44" s="811"/>
      <c r="K44" s="811">
        <f t="shared" si="6"/>
        <v>11471.251811593482</v>
      </c>
    </row>
    <row r="45" spans="1:11" ht="15.75">
      <c r="A45" s="787" t="s">
        <v>189</v>
      </c>
      <c r="B45" s="787" t="str">
        <f t="shared" ref="B45:B50" si="11">+B44</f>
        <v>Year 2023</v>
      </c>
      <c r="C45" s="787"/>
      <c r="D45" s="797">
        <f t="shared" si="7"/>
        <v>-11471.251811593482</v>
      </c>
      <c r="E45" s="797"/>
      <c r="F45" s="812">
        <f t="shared" si="8"/>
        <v>2.7700000000000003E-3</v>
      </c>
      <c r="G45" s="787"/>
      <c r="H45" s="811">
        <f t="shared" si="9"/>
        <v>31.775367518113949</v>
      </c>
      <c r="I45" s="811">
        <f t="shared" si="10"/>
        <v>-1930.453660047903</v>
      </c>
      <c r="J45" s="811"/>
      <c r="K45" s="811">
        <f t="shared" si="6"/>
        <v>9572.5735190636933</v>
      </c>
    </row>
    <row r="46" spans="1:11" ht="15.75">
      <c r="A46" s="787" t="s">
        <v>190</v>
      </c>
      <c r="B46" s="787" t="str">
        <f t="shared" si="11"/>
        <v>Year 2023</v>
      </c>
      <c r="C46" s="787"/>
      <c r="D46" s="797">
        <f t="shared" si="7"/>
        <v>-9572.5735190636933</v>
      </c>
      <c r="E46" s="797"/>
      <c r="F46" s="812">
        <f t="shared" si="8"/>
        <v>2.7700000000000003E-3</v>
      </c>
      <c r="G46" s="787"/>
      <c r="H46" s="811">
        <f t="shared" si="9"/>
        <v>26.516028647806433</v>
      </c>
      <c r="I46" s="811">
        <f t="shared" si="10"/>
        <v>-1930.453660047903</v>
      </c>
      <c r="J46" s="811"/>
      <c r="K46" s="811">
        <f t="shared" si="6"/>
        <v>7668.6358876635959</v>
      </c>
    </row>
    <row r="47" spans="1:11" ht="15.75">
      <c r="A47" s="787" t="s">
        <v>192</v>
      </c>
      <c r="B47" s="787" t="str">
        <f t="shared" si="11"/>
        <v>Year 2023</v>
      </c>
      <c r="C47" s="787"/>
      <c r="D47" s="797">
        <f t="shared" si="7"/>
        <v>-7668.6358876635959</v>
      </c>
      <c r="E47" s="797"/>
      <c r="F47" s="812">
        <f t="shared" si="8"/>
        <v>2.7700000000000003E-3</v>
      </c>
      <c r="G47" s="787"/>
      <c r="H47" s="811">
        <f t="shared" si="9"/>
        <v>21.242121408828162</v>
      </c>
      <c r="I47" s="811">
        <f>I46</f>
        <v>-1930.453660047903</v>
      </c>
      <c r="J47" s="811"/>
      <c r="K47" s="811">
        <f t="shared" si="6"/>
        <v>5759.4243490245208</v>
      </c>
    </row>
    <row r="48" spans="1:11" ht="15.75">
      <c r="A48" s="787" t="s">
        <v>560</v>
      </c>
      <c r="B48" s="787" t="str">
        <f t="shared" si="11"/>
        <v>Year 2023</v>
      </c>
      <c r="C48" s="787"/>
      <c r="D48" s="797">
        <f t="shared" si="7"/>
        <v>-5759.4243490245208</v>
      </c>
      <c r="E48" s="797"/>
      <c r="F48" s="812">
        <f t="shared" si="8"/>
        <v>2.7700000000000003E-3</v>
      </c>
      <c r="G48" s="787"/>
      <c r="H48" s="811">
        <f t="shared" si="9"/>
        <v>15.953605446797924</v>
      </c>
      <c r="I48" s="811">
        <f t="shared" si="10"/>
        <v>-1930.453660047903</v>
      </c>
      <c r="J48" s="811"/>
      <c r="K48" s="811">
        <f t="shared" si="6"/>
        <v>3844.9242944234156</v>
      </c>
    </row>
    <row r="49" spans="1:11" ht="15.75">
      <c r="A49" s="787" t="s">
        <v>561</v>
      </c>
      <c r="B49" s="787" t="str">
        <f t="shared" si="11"/>
        <v>Year 2023</v>
      </c>
      <c r="C49" s="787"/>
      <c r="D49" s="797">
        <f t="shared" si="7"/>
        <v>-3844.9242944234156</v>
      </c>
      <c r="E49" s="797"/>
      <c r="F49" s="812">
        <f t="shared" si="8"/>
        <v>2.7700000000000003E-3</v>
      </c>
      <c r="G49" s="787"/>
      <c r="H49" s="811">
        <f t="shared" si="9"/>
        <v>10.650440295552862</v>
      </c>
      <c r="I49" s="811">
        <f t="shared" si="10"/>
        <v>-1930.453660047903</v>
      </c>
      <c r="J49" s="811"/>
      <c r="K49" s="811">
        <f t="shared" si="6"/>
        <v>1925.1210746710656</v>
      </c>
    </row>
    <row r="50" spans="1:11" ht="15.75">
      <c r="A50" s="787" t="s">
        <v>191</v>
      </c>
      <c r="B50" s="787" t="str">
        <f t="shared" si="11"/>
        <v>Year 2023</v>
      </c>
      <c r="C50" s="787"/>
      <c r="D50" s="797">
        <f t="shared" si="7"/>
        <v>-1925.1210746710656</v>
      </c>
      <c r="E50" s="797"/>
      <c r="F50" s="812">
        <f t="shared" si="8"/>
        <v>2.7700000000000003E-3</v>
      </c>
      <c r="G50" s="787"/>
      <c r="H50" s="813">
        <f t="shared" si="9"/>
        <v>5.3325853768388525</v>
      </c>
      <c r="I50" s="811">
        <f t="shared" si="10"/>
        <v>-1930.453660047903</v>
      </c>
      <c r="J50" s="811"/>
      <c r="K50" s="811">
        <f t="shared" si="6"/>
        <v>1.3642420526593924E-12</v>
      </c>
    </row>
    <row r="51" spans="1:11" ht="15.75">
      <c r="A51" s="787"/>
      <c r="B51" s="787"/>
      <c r="C51" s="787"/>
      <c r="D51" s="797"/>
      <c r="E51" s="797"/>
      <c r="F51" s="812"/>
      <c r="G51" s="787"/>
      <c r="H51" s="811">
        <f>SUM(H39:H50)</f>
        <v>411.75769805895402</v>
      </c>
      <c r="I51" s="811"/>
      <c r="J51" s="811"/>
      <c r="K51" s="811"/>
    </row>
    <row r="52" spans="1:11" ht="15">
      <c r="A52" s="510"/>
      <c r="B52" s="510"/>
      <c r="C52" s="510"/>
      <c r="D52" s="510"/>
      <c r="E52" s="510"/>
      <c r="F52" s="510"/>
      <c r="G52" s="510"/>
      <c r="H52" s="510"/>
      <c r="I52" s="818"/>
      <c r="J52" s="510"/>
      <c r="K52" s="510"/>
    </row>
    <row r="53" spans="1:11" ht="15.75">
      <c r="A53" s="787" t="s">
        <v>569</v>
      </c>
      <c r="B53" s="510"/>
      <c r="C53" s="510"/>
      <c r="D53" s="510"/>
      <c r="E53" s="510"/>
      <c r="F53" s="510"/>
      <c r="G53" s="510"/>
      <c r="H53" s="510"/>
      <c r="I53" s="819">
        <f>(SUM(I39:I50)*-1)</f>
        <v>23165.443920574839</v>
      </c>
      <c r="J53" s="510"/>
      <c r="K53" s="510"/>
    </row>
    <row r="54" spans="1:11" ht="15.75">
      <c r="A54" s="787" t="s">
        <v>565</v>
      </c>
      <c r="B54" s="510"/>
      <c r="C54" s="510"/>
      <c r="D54" s="510"/>
      <c r="E54" s="510"/>
      <c r="F54" s="510"/>
      <c r="G54" s="510"/>
      <c r="H54" s="510"/>
      <c r="I54" s="820">
        <f>+H10</f>
        <v>-21632.197680586716</v>
      </c>
      <c r="J54" s="510"/>
      <c r="K54" s="510"/>
    </row>
    <row r="55" spans="1:11" ht="15.75">
      <c r="A55" s="787" t="s">
        <v>566</v>
      </c>
      <c r="B55" s="510"/>
      <c r="C55" s="510"/>
      <c r="D55" s="510"/>
      <c r="E55" s="510"/>
      <c r="F55" s="510"/>
      <c r="G55" s="510"/>
      <c r="H55" s="510"/>
      <c r="I55" s="819">
        <f>(I53+I54)</f>
        <v>1533.2462399881224</v>
      </c>
      <c r="J55" s="510"/>
      <c r="K55" s="510"/>
    </row>
    <row r="56" spans="1:11">
      <c r="A56" s="404"/>
      <c r="B56" s="404"/>
      <c r="C56" s="404"/>
      <c r="D56" s="404"/>
      <c r="E56" s="404"/>
      <c r="F56" s="404"/>
      <c r="G56" s="404"/>
      <c r="H56" s="404"/>
      <c r="I56" s="404"/>
      <c r="J56" s="404"/>
      <c r="K56" s="404"/>
    </row>
    <row r="57" spans="1:11" ht="81.75" customHeight="1">
      <c r="A57" s="1557" t="s">
        <v>570</v>
      </c>
      <c r="B57" s="1557"/>
      <c r="C57" s="1557"/>
      <c r="D57" s="1557"/>
      <c r="E57" s="821"/>
      <c r="F57" s="821"/>
      <c r="G57" s="821"/>
      <c r="H57" s="821"/>
      <c r="I57" s="821"/>
      <c r="J57" s="821"/>
      <c r="K57" s="821"/>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118"/>
  <sheetViews>
    <sheetView view="pageBreakPreview" topLeftCell="A16" zoomScale="85" zoomScaleNormal="75" zoomScaleSheetLayoutView="85" workbookViewId="0">
      <selection activeCell="N62" sqref="N62"/>
    </sheetView>
  </sheetViews>
  <sheetFormatPr defaultRowHeight="12.75"/>
  <cols>
    <col min="1" max="1" width="9.140625" style="29"/>
    <col min="2" max="2" width="0.85546875" style="33" customWidth="1"/>
    <col min="3" max="3" width="41.5703125" style="29" customWidth="1"/>
    <col min="4" max="4" width="34.42578125" style="29" bestFit="1" customWidth="1"/>
    <col min="5" max="5" width="23.140625" style="29" customWidth="1"/>
    <col min="6" max="6" width="3.140625" style="29" customWidth="1"/>
    <col min="7" max="7" width="24.5703125" style="29" customWidth="1"/>
    <col min="8" max="8" width="2.85546875" style="29" customWidth="1"/>
    <col min="9" max="9" width="20.85546875" style="29" customWidth="1"/>
    <col min="10" max="10" width="4.7109375" style="29" customWidth="1"/>
    <col min="11" max="11" width="18" style="29" bestFit="1" customWidth="1"/>
    <col min="12" max="12" width="20.42578125" style="29" customWidth="1"/>
    <col min="13" max="15" width="9.140625" style="29"/>
    <col min="16" max="16" width="10" style="29" bestFit="1" customWidth="1"/>
    <col min="17" max="17" width="17.7109375" style="29" customWidth="1"/>
    <col min="18" max="18" width="15.5703125" style="29" bestFit="1" customWidth="1"/>
    <col min="19" max="16384" width="9.140625" style="29"/>
  </cols>
  <sheetData>
    <row r="1" spans="1:15" ht="15.75">
      <c r="A1" s="874" t="s">
        <v>114</v>
      </c>
    </row>
    <row r="2" spans="1:15" ht="15.75">
      <c r="A2" s="874" t="s">
        <v>114</v>
      </c>
    </row>
    <row r="3" spans="1:15" ht="15">
      <c r="A3" s="1454" t="s">
        <v>387</v>
      </c>
      <c r="B3" s="1454"/>
      <c r="C3" s="1454"/>
      <c r="D3" s="1454"/>
      <c r="E3" s="1454"/>
      <c r="F3" s="1454"/>
      <c r="G3" s="1454"/>
      <c r="H3" s="1454"/>
      <c r="I3" s="1454"/>
      <c r="J3" s="37"/>
      <c r="K3" s="37"/>
    </row>
    <row r="4" spans="1:15" ht="15">
      <c r="A4" s="1455" t="str">
        <f>"Cost of Service Formula Rate Using Actual/Projected FF1 Balances"</f>
        <v>Cost of Service Formula Rate Using Actual/Projected FF1 Balances</v>
      </c>
      <c r="B4" s="1455"/>
      <c r="C4" s="1455"/>
      <c r="D4" s="1455"/>
      <c r="E4" s="1455"/>
      <c r="F4" s="1455"/>
      <c r="G4" s="1455"/>
      <c r="H4" s="1455"/>
      <c r="I4" s="1455"/>
      <c r="J4" s="93"/>
      <c r="K4" s="93"/>
    </row>
    <row r="5" spans="1:15" ht="15">
      <c r="A5" s="1455" t="s">
        <v>471</v>
      </c>
      <c r="B5" s="1455"/>
      <c r="C5" s="1455"/>
      <c r="D5" s="1455"/>
      <c r="E5" s="1455"/>
      <c r="F5" s="1455"/>
      <c r="G5" s="1455"/>
      <c r="H5" s="1455"/>
      <c r="I5" s="1455"/>
      <c r="J5" s="92"/>
      <c r="K5" s="92"/>
    </row>
    <row r="6" spans="1:15" ht="15">
      <c r="A6" s="1466" t="str">
        <f>TCOS!F9</f>
        <v>WHEELING POWER COMPANY</v>
      </c>
      <c r="B6" s="1466"/>
      <c r="C6" s="1466"/>
      <c r="D6" s="1466"/>
      <c r="E6" s="1466"/>
      <c r="F6" s="1466"/>
      <c r="G6" s="1466"/>
      <c r="H6" s="1466"/>
      <c r="I6" s="1466"/>
      <c r="J6" s="3"/>
      <c r="K6" s="3"/>
      <c r="L6"/>
      <c r="M6"/>
    </row>
    <row r="7" spans="1:15">
      <c r="C7" s="31"/>
      <c r="D7" s="31"/>
    </row>
    <row r="8" spans="1:15">
      <c r="C8" s="7" t="s">
        <v>162</v>
      </c>
      <c r="D8" s="7" t="s">
        <v>163</v>
      </c>
      <c r="E8" s="7" t="s">
        <v>164</v>
      </c>
      <c r="G8" s="7" t="s">
        <v>165</v>
      </c>
      <c r="I8" s="7" t="s">
        <v>84</v>
      </c>
      <c r="J8" s="7"/>
      <c r="K8" s="7"/>
      <c r="L8" s="7"/>
      <c r="M8"/>
      <c r="N8"/>
      <c r="O8"/>
    </row>
    <row r="9" spans="1:15">
      <c r="A9" s="91"/>
      <c r="I9" s="13"/>
      <c r="J9"/>
      <c r="K9"/>
      <c r="L9"/>
      <c r="M9"/>
      <c r="N9"/>
      <c r="O9"/>
    </row>
    <row r="10" spans="1:15" ht="12.75" customHeight="1">
      <c r="A10" s="11" t="s">
        <v>169</v>
      </c>
      <c r="C10" s="32"/>
      <c r="D10" s="32"/>
      <c r="E10" s="1464" t="str">
        <f>"Balance @ December 31, "&amp;TCOS!L4&amp;""</f>
        <v>Balance @ December 31, 2023</v>
      </c>
      <c r="F10" s="138"/>
      <c r="G10" s="1464" t="str">
        <f>"Balance @ December 31, "&amp;TCOS!L4-1&amp;""</f>
        <v>Balance @ December 31, 2022</v>
      </c>
      <c r="H10" s="138"/>
      <c r="I10" s="1467" t="str">
        <f>"Average Balance for "&amp;TCOS!L4&amp;""</f>
        <v>Average Balance for 2023</v>
      </c>
      <c r="J10"/>
      <c r="K10"/>
      <c r="L10"/>
      <c r="M10"/>
      <c r="N10"/>
      <c r="O10"/>
    </row>
    <row r="11" spans="1:15">
      <c r="A11" s="11" t="s">
        <v>106</v>
      </c>
      <c r="B11" s="10"/>
      <c r="C11" s="11" t="s">
        <v>167</v>
      </c>
      <c r="D11" s="11" t="s">
        <v>206</v>
      </c>
      <c r="E11" s="1465"/>
      <c r="F11" s="83"/>
      <c r="G11" s="1465"/>
      <c r="H11" s="220"/>
      <c r="I11" s="1465"/>
      <c r="J11"/>
      <c r="K11"/>
      <c r="L11"/>
      <c r="M11"/>
      <c r="N11"/>
      <c r="O11"/>
    </row>
    <row r="12" spans="1:15">
      <c r="A12" s="91"/>
      <c r="C12" s="31"/>
      <c r="D12" s="31"/>
      <c r="G12" s="232"/>
      <c r="J12" s="23"/>
      <c r="K12" s="23"/>
    </row>
    <row r="13" spans="1:15">
      <c r="A13" s="91"/>
      <c r="C13" s="31"/>
      <c r="D13" s="31"/>
      <c r="J13" s="23"/>
      <c r="K13" s="23"/>
    </row>
    <row r="14" spans="1:15">
      <c r="A14" s="91"/>
      <c r="C14" s="31"/>
      <c r="D14" s="31"/>
      <c r="J14" s="23"/>
      <c r="K14" s="23"/>
    </row>
    <row r="15" spans="1:15" ht="15.75">
      <c r="A15" s="91">
        <v>1</v>
      </c>
      <c r="C15" s="55" t="s">
        <v>509</v>
      </c>
      <c r="D15" s="55"/>
      <c r="J15" s="23"/>
      <c r="K15" s="23"/>
    </row>
    <row r="16" spans="1:15" ht="15.75">
      <c r="A16" s="91"/>
      <c r="C16" s="55"/>
      <c r="D16" s="55"/>
      <c r="H16"/>
      <c r="J16" s="23"/>
      <c r="K16" s="23"/>
    </row>
    <row r="17" spans="1:17">
      <c r="A17" s="91">
        <f>+A15+1</f>
        <v>2</v>
      </c>
      <c r="C17" s="57" t="s">
        <v>515</v>
      </c>
      <c r="D17" s="82" t="s">
        <v>517</v>
      </c>
      <c r="E17" s="832">
        <v>47954000</v>
      </c>
      <c r="G17" s="832">
        <v>46380000</v>
      </c>
      <c r="H17"/>
      <c r="I17" s="134">
        <f>IF(G17="",0,(E17+G17)/2)</f>
        <v>47167000</v>
      </c>
      <c r="J17" s="23"/>
      <c r="K17" s="23"/>
    </row>
    <row r="18" spans="1:17">
      <c r="A18" s="91">
        <f>+A17+1</f>
        <v>3</v>
      </c>
      <c r="C18" s="57" t="s">
        <v>519</v>
      </c>
      <c r="D18" s="299" t="str">
        <f>"WS B-1 - Actual Stmt. AF Ln. " &amp;'WS B-1 - Actual Stmt. AF'!A24&amp;" (Note 1)"</f>
        <v>WS B-1 - Actual Stmt. AF Ln. 4 (Note 1)</v>
      </c>
      <c r="E18" s="871">
        <v>0</v>
      </c>
      <c r="G18" s="871">
        <v>0</v>
      </c>
      <c r="H18"/>
      <c r="I18" s="134">
        <f>IF(G18="",0,(E18+G18)/2)</f>
        <v>0</v>
      </c>
      <c r="J18" s="23"/>
      <c r="K18" s="23"/>
    </row>
    <row r="19" spans="1:17" ht="15">
      <c r="A19" s="91">
        <f>+A18+1</f>
        <v>4</v>
      </c>
      <c r="C19" s="57" t="s">
        <v>520</v>
      </c>
      <c r="D19" s="299" t="str">
        <f>"WS B-1 - Actual Stmt. AF Ln. " &amp;'WS B-1 - Actual Stmt. AF'!A23&amp;" (Note 1)"</f>
        <v>WS B-1 - Actual Stmt. AF Ln. 3 (Note 1)</v>
      </c>
      <c r="E19" s="872">
        <v>47954000</v>
      </c>
      <c r="G19" s="872">
        <v>46380000</v>
      </c>
      <c r="I19" s="204">
        <f>IF(G19="",0,(E19+G19)/2)</f>
        <v>47167000</v>
      </c>
      <c r="J19" s="23"/>
      <c r="K19" s="23"/>
    </row>
    <row r="20" spans="1:17">
      <c r="A20" s="91">
        <f>+A19+1</f>
        <v>5</v>
      </c>
      <c r="C20" s="57" t="s">
        <v>516</v>
      </c>
      <c r="D20" s="139" t="str">
        <f>"Ln "&amp;A17&amp;" - ln "&amp;A18&amp;" - ln "&amp;A19&amp;""</f>
        <v>Ln 2 - ln 3 - ln 4</v>
      </c>
      <c r="E20" s="24">
        <f>+E17-E18-E19</f>
        <v>0</v>
      </c>
      <c r="G20" s="24">
        <f>+G17-G18-G19</f>
        <v>0</v>
      </c>
      <c r="I20" s="134">
        <f>+I17-I18-I19</f>
        <v>0</v>
      </c>
      <c r="J20" s="23"/>
      <c r="K20" s="23"/>
    </row>
    <row r="21" spans="1:17">
      <c r="A21" s="91"/>
      <c r="C21" s="57"/>
      <c r="D21" s="139"/>
      <c r="J21" s="23"/>
      <c r="K21" s="23"/>
    </row>
    <row r="22" spans="1:17">
      <c r="A22" s="91"/>
      <c r="C22" s="57"/>
      <c r="D22" s="139"/>
      <c r="J22" s="23"/>
      <c r="K22" s="24"/>
      <c r="L22" s="24"/>
      <c r="M22" s="24"/>
      <c r="N22" s="24"/>
      <c r="O22" s="24"/>
    </row>
    <row r="23" spans="1:17" ht="15.75">
      <c r="A23" s="91">
        <f>+A20+1</f>
        <v>6</v>
      </c>
      <c r="C23" s="55" t="s">
        <v>510</v>
      </c>
      <c r="D23" s="139"/>
      <c r="J23" s="23"/>
      <c r="K23" s="24"/>
      <c r="L23" s="24"/>
      <c r="M23" s="24"/>
      <c r="N23" s="24"/>
      <c r="O23" s="24"/>
    </row>
    <row r="24" spans="1:17">
      <c r="A24" s="91"/>
      <c r="C24" s="57"/>
      <c r="D24" s="139"/>
      <c r="J24" s="23"/>
      <c r="K24" s="24"/>
      <c r="L24" s="24"/>
      <c r="M24" s="24"/>
      <c r="N24" s="24"/>
      <c r="O24" s="24"/>
    </row>
    <row r="25" spans="1:17">
      <c r="A25" s="91">
        <f>+A23+1</f>
        <v>7</v>
      </c>
      <c r="C25" s="57" t="s">
        <v>515</v>
      </c>
      <c r="D25" s="82" t="s">
        <v>449</v>
      </c>
      <c r="E25" s="832">
        <v>140104000</v>
      </c>
      <c r="G25" s="832">
        <v>135504000</v>
      </c>
      <c r="H25"/>
      <c r="I25" s="134">
        <f>IF(G25="",0,(E25+G25)/2)</f>
        <v>137804000</v>
      </c>
      <c r="J25" s="23"/>
      <c r="K25" s="24"/>
      <c r="L25" s="24"/>
      <c r="M25" s="24"/>
      <c r="N25" s="24"/>
      <c r="O25" s="24"/>
    </row>
    <row r="26" spans="1:17">
      <c r="A26" s="91">
        <f>+A25+1</f>
        <v>8</v>
      </c>
      <c r="C26" s="57" t="s">
        <v>519</v>
      </c>
      <c r="D26" s="299" t="str">
        <f>"WS B-1 - Actual Stmt. AF Ln. " &amp;'WS B-1 - Actual Stmt. AF'!A72&amp;" (Note 1)"</f>
        <v>WS B-1 - Actual Stmt. AF Ln. 7 (Note 1)</v>
      </c>
      <c r="E26" s="871">
        <v>914000</v>
      </c>
      <c r="G26" s="871">
        <v>914000</v>
      </c>
      <c r="H26"/>
      <c r="I26" s="134">
        <f>IF(G26="",0,(E26+G26)/2)</f>
        <v>914000</v>
      </c>
      <c r="J26" s="23"/>
      <c r="K26" s="24"/>
      <c r="L26" s="24"/>
      <c r="M26" s="24"/>
      <c r="N26" s="24"/>
      <c r="O26" s="24"/>
    </row>
    <row r="27" spans="1:17" ht="15">
      <c r="A27" s="91">
        <f>+A26+1</f>
        <v>9</v>
      </c>
      <c r="C27" s="57" t="s">
        <v>520</v>
      </c>
      <c r="D27" s="299" t="str">
        <f>"WS B-1 - Actual Stmt. AF Ln. " &amp;'WS B-1 - Actual Stmt. AF'!A71&amp;" (Note 1)"</f>
        <v>WS B-1 - Actual Stmt. AF Ln. 6 (Note 1)</v>
      </c>
      <c r="E27" s="872">
        <v>113174000</v>
      </c>
      <c r="G27" s="872">
        <v>108974000</v>
      </c>
      <c r="I27" s="204">
        <f>IF(G27="",0,(E27+G27)/2)</f>
        <v>111074000</v>
      </c>
      <c r="J27" s="23"/>
      <c r="K27" s="24"/>
      <c r="L27" s="24"/>
      <c r="M27" s="24"/>
      <c r="N27" s="24"/>
      <c r="O27" s="24"/>
    </row>
    <row r="28" spans="1:17">
      <c r="A28" s="91">
        <f>+A27+1</f>
        <v>10</v>
      </c>
      <c r="C28" s="57" t="s">
        <v>516</v>
      </c>
      <c r="D28" s="139" t="str">
        <f>"Ln "&amp;A25&amp;" - ln "&amp;A26&amp;" - ln "&amp;A27&amp;""</f>
        <v>Ln 7 - ln 8 - ln 9</v>
      </c>
      <c r="E28" s="24">
        <f>+E25-E26-E27</f>
        <v>26016000</v>
      </c>
      <c r="G28" s="24">
        <f>+G25-G26-G27</f>
        <v>25616000</v>
      </c>
      <c r="I28" s="134">
        <f>+I25-I26-I27</f>
        <v>25816000</v>
      </c>
      <c r="J28" s="23"/>
      <c r="K28" s="24"/>
      <c r="L28" s="24"/>
      <c r="M28" s="24"/>
      <c r="N28" s="24"/>
      <c r="O28" s="24"/>
    </row>
    <row r="29" spans="1:17">
      <c r="A29" s="91"/>
      <c r="C29" s="57"/>
      <c r="D29" s="139"/>
      <c r="J29" s="23"/>
      <c r="K29" s="24"/>
      <c r="L29" s="24"/>
      <c r="M29" s="24"/>
      <c r="N29" s="24"/>
      <c r="O29" s="24"/>
      <c r="P29" s="24"/>
      <c r="Q29" s="24"/>
    </row>
    <row r="30" spans="1:17">
      <c r="A30" s="91"/>
      <c r="C30" s="57"/>
      <c r="D30" s="139"/>
      <c r="E30" s="136"/>
      <c r="G30" s="136"/>
      <c r="J30" s="23"/>
      <c r="K30" s="24"/>
      <c r="L30" s="24"/>
      <c r="M30" s="24"/>
      <c r="N30" s="24"/>
      <c r="O30" s="24"/>
      <c r="P30" s="24"/>
      <c r="Q30" s="24"/>
    </row>
    <row r="31" spans="1:17" ht="15.75">
      <c r="A31" s="91">
        <f>+A28+1</f>
        <v>11</v>
      </c>
      <c r="C31" s="55" t="s">
        <v>511</v>
      </c>
      <c r="D31" s="139"/>
      <c r="J31" s="23"/>
      <c r="K31" s="24"/>
      <c r="L31" s="24"/>
      <c r="M31" s="24"/>
      <c r="N31" s="24"/>
      <c r="O31" s="24"/>
      <c r="P31" s="24"/>
      <c r="Q31" s="24"/>
    </row>
    <row r="32" spans="1:17" ht="15.75">
      <c r="A32" s="91"/>
      <c r="C32" s="55"/>
      <c r="D32" s="139"/>
      <c r="J32" s="23"/>
      <c r="K32" s="24"/>
      <c r="L32" s="24"/>
      <c r="M32" s="24"/>
      <c r="N32" s="24"/>
      <c r="O32" s="24"/>
      <c r="P32" s="24"/>
      <c r="Q32" s="24"/>
    </row>
    <row r="33" spans="1:17">
      <c r="A33" s="91">
        <f>+A31+1</f>
        <v>12</v>
      </c>
      <c r="C33" s="57" t="s">
        <v>515</v>
      </c>
      <c r="D33" s="82" t="s">
        <v>518</v>
      </c>
      <c r="E33" s="832">
        <v>59790000</v>
      </c>
      <c r="G33" s="832">
        <v>58294000</v>
      </c>
      <c r="H33"/>
      <c r="I33" s="134">
        <f>IF(G33="",0,(E33+G33)/2)</f>
        <v>59042000</v>
      </c>
      <c r="J33" s="23"/>
      <c r="K33" s="24"/>
      <c r="L33" s="24"/>
      <c r="M33" s="24"/>
      <c r="N33" s="24"/>
      <c r="O33" s="24"/>
      <c r="P33" s="24"/>
      <c r="Q33" s="24"/>
    </row>
    <row r="34" spans="1:17">
      <c r="A34" s="91">
        <f>+A33+1</f>
        <v>13</v>
      </c>
      <c r="C34" s="57" t="s">
        <v>519</v>
      </c>
      <c r="D34" s="299" t="str">
        <f>"WS B-1 - Actual Stmt. AF Ln. " &amp;'WS B-1 - Actual Stmt. AF'!A184&amp;" (Note 1)"</f>
        <v>WS B-1 - Actual Stmt. AF Ln. 13 (Note 1)</v>
      </c>
      <c r="E34" s="871">
        <v>0</v>
      </c>
      <c r="G34" s="871">
        <v>0</v>
      </c>
      <c r="H34"/>
      <c r="I34" s="134">
        <f>IF(G34="",0,(E34+G34)/2)</f>
        <v>0</v>
      </c>
      <c r="J34" s="23"/>
      <c r="K34" s="1050"/>
      <c r="L34" s="1050"/>
      <c r="M34" s="1050"/>
      <c r="N34" s="1050"/>
      <c r="O34" s="1050"/>
    </row>
    <row r="35" spans="1:17" ht="15">
      <c r="A35" s="91">
        <f>+A34+1</f>
        <v>14</v>
      </c>
      <c r="C35" s="57" t="s">
        <v>520</v>
      </c>
      <c r="D35" s="299" t="str">
        <f>"WS B-1 - Actual Stmt. AF Ln. " &amp;'WS B-1 - Actual Stmt. AF'!A183&amp;" (Note 1)"</f>
        <v>WS B-1 - Actual Stmt. AF Ln. 12 (Note 1)</v>
      </c>
      <c r="E35" s="872">
        <v>59185000</v>
      </c>
      <c r="G35" s="872">
        <v>57674000</v>
      </c>
      <c r="I35" s="204">
        <f>IF(G35="",0,(E35+G35)/2)</f>
        <v>58429500</v>
      </c>
      <c r="J35" s="23"/>
      <c r="K35" s="23"/>
    </row>
    <row r="36" spans="1:17">
      <c r="A36" s="91">
        <f>+A35+1</f>
        <v>15</v>
      </c>
      <c r="C36" s="57" t="s">
        <v>516</v>
      </c>
      <c r="D36" s="139" t="str">
        <f>"Ln "&amp;A33&amp;" - ln "&amp;A34&amp;" - ln "&amp;A35&amp;""</f>
        <v>Ln 12 - ln 13 - ln 14</v>
      </c>
      <c r="E36" s="24">
        <f>+E33-E34-E35</f>
        <v>605000</v>
      </c>
      <c r="G36" s="24">
        <f>+G33-G34-G35</f>
        <v>620000</v>
      </c>
      <c r="I36" s="134">
        <f>+I33-I34-I35</f>
        <v>612500</v>
      </c>
      <c r="J36" s="23"/>
      <c r="K36" s="23"/>
    </row>
    <row r="37" spans="1:17" ht="15.75">
      <c r="A37" s="91"/>
      <c r="C37" s="55"/>
      <c r="D37" s="139"/>
      <c r="J37" s="23"/>
      <c r="K37" s="24"/>
      <c r="L37" s="24"/>
      <c r="M37" s="24"/>
      <c r="N37" s="24"/>
      <c r="O37" s="24"/>
      <c r="P37" s="24"/>
    </row>
    <row r="38" spans="1:17">
      <c r="A38" s="91"/>
      <c r="C38" s="57"/>
      <c r="D38" s="139"/>
      <c r="J38" s="23"/>
      <c r="K38" s="24"/>
      <c r="L38" s="24"/>
      <c r="M38" s="24"/>
      <c r="N38" s="24"/>
      <c r="O38" s="24"/>
      <c r="P38" s="24"/>
    </row>
    <row r="39" spans="1:17" ht="15.75">
      <c r="A39" s="91">
        <f>+A36+1</f>
        <v>16</v>
      </c>
      <c r="C39" s="55" t="s">
        <v>512</v>
      </c>
      <c r="D39" s="139"/>
      <c r="J39" s="23"/>
      <c r="K39" s="24"/>
      <c r="L39" s="24"/>
      <c r="M39" s="24"/>
      <c r="N39" s="24"/>
      <c r="O39" s="24"/>
      <c r="P39" s="24"/>
    </row>
    <row r="40" spans="1:17">
      <c r="A40" s="91"/>
      <c r="C40" s="57"/>
      <c r="D40" s="139"/>
      <c r="J40" s="23"/>
      <c r="K40" s="24"/>
      <c r="L40" s="24"/>
      <c r="M40" s="24"/>
      <c r="N40" s="24"/>
      <c r="O40" s="24"/>
      <c r="P40" s="24"/>
    </row>
    <row r="41" spans="1:17">
      <c r="A41" s="91">
        <f>+A39+1</f>
        <v>17</v>
      </c>
      <c r="C41" s="57" t="s">
        <v>515</v>
      </c>
      <c r="D41" s="82" t="s">
        <v>514</v>
      </c>
      <c r="E41" s="832">
        <v>6516000</v>
      </c>
      <c r="G41" s="832">
        <v>6530000</v>
      </c>
      <c r="H41"/>
      <c r="I41" s="134">
        <f>IF(G41="",0,(E41+G41)/2)</f>
        <v>6523000</v>
      </c>
      <c r="J41" s="23"/>
      <c r="K41" s="24"/>
      <c r="L41" s="24"/>
      <c r="M41" s="24"/>
      <c r="N41" s="24"/>
      <c r="O41" s="24"/>
    </row>
    <row r="42" spans="1:17">
      <c r="A42" s="91">
        <f>+A41+1</f>
        <v>18</v>
      </c>
      <c r="C42" s="57" t="s">
        <v>519</v>
      </c>
      <c r="D42" s="299" t="str">
        <f>"WS B-2 - Actual Stmt. AG Ln. " &amp;'WS B-2 - Actual Stmt. AG'!A110&amp;" (Note 1)"</f>
        <v>WS B-2 - Actual Stmt. AG Ln. 4 (Note 1)</v>
      </c>
      <c r="E42" s="871">
        <v>1719000</v>
      </c>
      <c r="G42" s="871">
        <v>1719000</v>
      </c>
      <c r="H42"/>
      <c r="I42" s="134">
        <f>IF(G42="",0,(E42+G42)/2)</f>
        <v>1719000</v>
      </c>
      <c r="J42" s="23"/>
      <c r="K42" s="24"/>
      <c r="L42" s="24"/>
      <c r="M42" s="24"/>
      <c r="N42" s="24"/>
      <c r="O42" s="24"/>
    </row>
    <row r="43" spans="1:17" ht="15">
      <c r="A43" s="91">
        <f>+A42+1</f>
        <v>19</v>
      </c>
      <c r="C43" s="57" t="s">
        <v>520</v>
      </c>
      <c r="D43" s="299" t="str">
        <f>"WS B-2 - Actual Stmt. AG Ln. " &amp;'WS B-2 - Actual Stmt. AG'!A109&amp;" (Note 1)"</f>
        <v>WS B-2 - Actual Stmt. AG Ln. 3 (Note 1)</v>
      </c>
      <c r="E43" s="872">
        <v>2254000</v>
      </c>
      <c r="G43" s="872">
        <v>2106000</v>
      </c>
      <c r="I43" s="204">
        <f>IF(G43="",0,(E43+G43)/2)</f>
        <v>2180000</v>
      </c>
      <c r="J43" s="23"/>
      <c r="K43" s="24"/>
      <c r="L43" s="24"/>
      <c r="M43" s="24"/>
      <c r="N43" s="24"/>
      <c r="O43" s="24"/>
    </row>
    <row r="44" spans="1:17">
      <c r="A44" s="91">
        <f>+A43+1</f>
        <v>20</v>
      </c>
      <c r="C44" s="57" t="s">
        <v>516</v>
      </c>
      <c r="D44" s="139" t="str">
        <f>"Ln "&amp;A41&amp;" - ln "&amp;A42&amp;" - ln "&amp;A43&amp;""</f>
        <v>Ln 17 - ln 18 - ln 19</v>
      </c>
      <c r="E44" s="24">
        <f>+E41-E42-E43</f>
        <v>2543000</v>
      </c>
      <c r="G44" s="24">
        <f>+G41-G42-G43</f>
        <v>2705000</v>
      </c>
      <c r="I44" s="134">
        <f>+I41-I42-I43</f>
        <v>2624000</v>
      </c>
      <c r="J44" s="23"/>
      <c r="K44" s="23"/>
    </row>
    <row r="45" spans="1:17">
      <c r="A45" s="91"/>
      <c r="C45" s="57"/>
      <c r="D45" s="139"/>
      <c r="J45" s="23"/>
      <c r="K45" s="23"/>
    </row>
    <row r="46" spans="1:17">
      <c r="A46" s="91"/>
      <c r="C46" s="57"/>
      <c r="D46" s="139"/>
      <c r="J46" s="23"/>
      <c r="K46" s="23"/>
    </row>
    <row r="47" spans="1:17" ht="15.75">
      <c r="A47" s="91">
        <f>+A44+1</f>
        <v>21</v>
      </c>
      <c r="C47" s="55" t="s">
        <v>513</v>
      </c>
      <c r="D47" s="139"/>
      <c r="J47" s="23"/>
      <c r="K47" s="23"/>
    </row>
    <row r="48" spans="1:17">
      <c r="A48" s="91"/>
      <c r="C48" s="57"/>
      <c r="D48" s="139"/>
      <c r="J48" s="23"/>
      <c r="K48" s="24"/>
      <c r="L48" s="24"/>
      <c r="M48" s="24"/>
      <c r="N48" s="24"/>
      <c r="O48" s="24"/>
    </row>
    <row r="49" spans="1:15">
      <c r="A49" s="91">
        <f>+A47+1</f>
        <v>22</v>
      </c>
      <c r="C49" s="57" t="s">
        <v>521</v>
      </c>
      <c r="D49" s="82" t="s">
        <v>470</v>
      </c>
      <c r="E49" s="871">
        <v>0</v>
      </c>
      <c r="G49" s="871">
        <v>0</v>
      </c>
      <c r="H49"/>
      <c r="I49" s="134">
        <f>IF(G49="",0,(E49+G49)/2)</f>
        <v>0</v>
      </c>
      <c r="J49" s="23"/>
      <c r="K49" s="24"/>
      <c r="L49" s="24"/>
      <c r="M49" s="24"/>
      <c r="N49" s="24"/>
      <c r="O49" s="24"/>
    </row>
    <row r="50" spans="1:15" ht="15">
      <c r="A50" s="91">
        <f>+A49+1</f>
        <v>23</v>
      </c>
      <c r="C50" s="57" t="s">
        <v>522</v>
      </c>
      <c r="D50" s="299" t="s">
        <v>67</v>
      </c>
      <c r="E50" s="871">
        <v>0</v>
      </c>
      <c r="G50" s="871">
        <v>0</v>
      </c>
      <c r="H50"/>
      <c r="I50" s="204">
        <f>IF(G50="",0,(E50+G50)/2)</f>
        <v>0</v>
      </c>
      <c r="J50" s="23"/>
      <c r="K50" s="24"/>
      <c r="L50" s="24"/>
      <c r="M50" s="24"/>
      <c r="N50" s="24"/>
      <c r="O50" s="24"/>
    </row>
    <row r="51" spans="1:15">
      <c r="A51" s="91">
        <f>+A50+1</f>
        <v>24</v>
      </c>
      <c r="C51" s="57" t="s">
        <v>388</v>
      </c>
      <c r="D51" s="139" t="str">
        <f>"Ln "&amp;A49&amp;" - ln "&amp;A50&amp;""</f>
        <v>Ln 22 - ln 23</v>
      </c>
      <c r="E51" s="24">
        <f>+E49-E50</f>
        <v>0</v>
      </c>
      <c r="G51" s="24">
        <f>+G49-G50</f>
        <v>0</v>
      </c>
      <c r="H51"/>
      <c r="I51" s="134">
        <f>+I49-I50</f>
        <v>0</v>
      </c>
      <c r="J51" s="23"/>
      <c r="K51" s="24"/>
      <c r="L51" s="24"/>
      <c r="M51" s="24"/>
      <c r="N51" s="24"/>
      <c r="O51" s="24"/>
    </row>
    <row r="52" spans="1:15">
      <c r="A52" s="91">
        <f>+A51+1</f>
        <v>25</v>
      </c>
      <c r="C52" s="57" t="s">
        <v>516</v>
      </c>
      <c r="D52" s="299" t="str">
        <f>"WS B-1 - Actual Stmt. AF Ln. " &amp;'WS B-1 - Actual Stmt. AF'!A197&amp;" (Note 1)"</f>
        <v>WS B-1 - Actual Stmt. AF Ln. 20 (Note 1)</v>
      </c>
      <c r="E52" s="871">
        <v>0</v>
      </c>
      <c r="G52" s="871">
        <v>0</v>
      </c>
      <c r="H52"/>
      <c r="I52" s="134">
        <f>IF(G52="",0,(E52+G52)/2)</f>
        <v>0</v>
      </c>
      <c r="J52" s="23"/>
      <c r="K52" s="24"/>
      <c r="L52" s="24"/>
      <c r="M52" s="24"/>
      <c r="N52" s="24"/>
      <c r="O52" s="24"/>
    </row>
    <row r="53" spans="1:15">
      <c r="A53" s="91"/>
      <c r="C53" s="57"/>
      <c r="D53" s="57"/>
      <c r="J53" s="23"/>
      <c r="K53" s="24"/>
      <c r="L53" s="24"/>
      <c r="M53" s="24"/>
      <c r="N53" s="24"/>
      <c r="O53" s="24"/>
    </row>
    <row r="54" spans="1:15">
      <c r="A54" s="80" t="s">
        <v>68</v>
      </c>
      <c r="C54" s="1463" t="s">
        <v>819</v>
      </c>
      <c r="D54" s="1463"/>
      <c r="E54" s="1463"/>
      <c r="F54" s="1463"/>
      <c r="G54" s="1463"/>
      <c r="H54" s="1463"/>
      <c r="I54" s="1463"/>
      <c r="J54" s="23"/>
      <c r="K54" s="23"/>
    </row>
    <row r="55" spans="1:15">
      <c r="A55" s="80"/>
      <c r="C55" s="1463"/>
      <c r="D55" s="1463"/>
      <c r="E55" s="1463"/>
      <c r="F55" s="1463"/>
      <c r="G55" s="1463"/>
      <c r="H55" s="1463"/>
      <c r="I55" s="1463"/>
      <c r="J55" s="23"/>
      <c r="K55" s="23"/>
    </row>
    <row r="56" spans="1:15">
      <c r="A56" s="91"/>
      <c r="C56" s="57"/>
      <c r="D56" s="57"/>
    </row>
    <row r="57" spans="1:15">
      <c r="A57" s="91" t="s">
        <v>69</v>
      </c>
      <c r="B57" s="33" t="s">
        <v>70</v>
      </c>
      <c r="C57" s="57"/>
      <c r="D57" s="57"/>
    </row>
    <row r="58" spans="1:15">
      <c r="B58" s="5"/>
      <c r="C58" s="5"/>
      <c r="D58" s="5"/>
      <c r="E58" s="5"/>
      <c r="F58" s="5"/>
      <c r="G58" s="5"/>
      <c r="H58" s="5"/>
      <c r="I58" s="5"/>
      <c r="J58" s="5"/>
      <c r="K58" s="5"/>
    </row>
    <row r="59" spans="1:15">
      <c r="B59" s="5"/>
      <c r="C59" s="5"/>
      <c r="D59" s="5"/>
      <c r="E59" s="5"/>
      <c r="F59" s="5"/>
      <c r="G59" s="5"/>
      <c r="H59" s="5"/>
      <c r="I59" s="5"/>
      <c r="J59" s="5"/>
      <c r="K59" s="5"/>
    </row>
    <row r="60" spans="1:15">
      <c r="B60" s="5"/>
      <c r="C60" s="5"/>
      <c r="D60" s="5"/>
      <c r="E60" s="5"/>
      <c r="F60" s="5"/>
      <c r="G60" s="5"/>
      <c r="H60" s="5"/>
      <c r="I60" s="5"/>
      <c r="J60" s="5"/>
      <c r="K60" s="5"/>
      <c r="L60" s="5"/>
    </row>
    <row r="61" spans="1:15">
      <c r="B61" s="5"/>
      <c r="C61" s="5"/>
      <c r="D61" s="5"/>
      <c r="E61" s="5"/>
      <c r="F61" s="5"/>
      <c r="G61" s="5"/>
      <c r="H61" s="5"/>
      <c r="I61" s="5"/>
      <c r="J61" s="5"/>
      <c r="K61" s="5"/>
      <c r="L61" s="5"/>
    </row>
    <row r="62" spans="1:15">
      <c r="B62" s="5"/>
      <c r="C62" s="5"/>
      <c r="D62" s="5"/>
      <c r="E62" s="5"/>
      <c r="F62" s="5"/>
      <c r="G62" s="5"/>
      <c r="H62" s="5"/>
      <c r="I62" s="5"/>
      <c r="J62" s="5"/>
      <c r="K62" s="5"/>
      <c r="L62" s="5"/>
    </row>
    <row r="63" spans="1:15">
      <c r="B63" s="5"/>
      <c r="C63" s="5"/>
      <c r="D63" s="5"/>
      <c r="E63" s="5"/>
      <c r="F63" s="5"/>
      <c r="G63" s="5"/>
      <c r="H63" s="5"/>
      <c r="I63" s="5"/>
      <c r="J63" s="5"/>
      <c r="K63" s="5"/>
      <c r="L63" s="5"/>
    </row>
    <row r="64" spans="1:15">
      <c r="B64" s="5"/>
      <c r="C64" s="5"/>
      <c r="D64" s="5"/>
      <c r="E64" s="5"/>
      <c r="F64" s="5"/>
      <c r="G64" s="5"/>
      <c r="H64" s="5"/>
      <c r="I64" s="5"/>
      <c r="J64" s="5"/>
      <c r="K64" s="5"/>
      <c r="L64" s="5"/>
    </row>
    <row r="65" spans="2:12">
      <c r="B65" s="5"/>
      <c r="C65" s="5"/>
      <c r="D65" s="5"/>
      <c r="E65" s="5"/>
      <c r="F65" s="5"/>
      <c r="G65" s="5"/>
      <c r="H65" s="5"/>
      <c r="I65" s="5"/>
      <c r="J65" s="5"/>
      <c r="K65" s="5"/>
      <c r="L65" s="5"/>
    </row>
    <row r="66" spans="2:12">
      <c r="B66" s="5"/>
      <c r="C66" s="5"/>
      <c r="D66" s="5"/>
      <c r="E66" s="5"/>
      <c r="F66" s="5"/>
      <c r="G66" s="5"/>
      <c r="H66" s="5"/>
      <c r="I66" s="5"/>
      <c r="J66" s="5"/>
      <c r="K66" s="5"/>
      <c r="L66" s="5"/>
    </row>
    <row r="67" spans="2:12">
      <c r="B67" s="5"/>
      <c r="C67" s="5"/>
      <c r="D67" s="5"/>
      <c r="E67" s="5"/>
      <c r="F67" s="5"/>
      <c r="G67" s="5"/>
      <c r="H67" s="5"/>
      <c r="I67" s="5"/>
      <c r="J67" s="5"/>
      <c r="K67" s="5"/>
      <c r="L67" s="5"/>
    </row>
    <row r="68" spans="2:12">
      <c r="B68" s="5"/>
      <c r="C68" s="5"/>
      <c r="D68" s="5"/>
      <c r="E68" s="5"/>
      <c r="F68" s="5"/>
      <c r="G68" s="5"/>
      <c r="H68" s="5"/>
      <c r="I68" s="5"/>
      <c r="J68" s="5"/>
      <c r="K68" s="5"/>
      <c r="L68" s="5"/>
    </row>
    <row r="69" spans="2:12">
      <c r="B69" s="5"/>
      <c r="C69" s="5"/>
      <c r="D69" s="5"/>
      <c r="E69" s="5"/>
      <c r="F69" s="5"/>
      <c r="G69" s="5"/>
      <c r="H69" s="5"/>
      <c r="I69" s="5"/>
      <c r="J69" s="5"/>
      <c r="K69" s="5"/>
      <c r="L69" s="5"/>
    </row>
    <row r="70" spans="2:12">
      <c r="B70" s="5"/>
      <c r="C70" s="5"/>
      <c r="D70" s="5"/>
      <c r="E70" s="5"/>
      <c r="F70" s="5"/>
      <c r="G70" s="5"/>
      <c r="H70" s="5"/>
      <c r="I70" s="5"/>
      <c r="J70" s="5"/>
      <c r="K70" s="5"/>
      <c r="L70" s="5"/>
    </row>
    <row r="71" spans="2:12">
      <c r="B71" s="5"/>
      <c r="C71" s="5"/>
      <c r="D71" s="5"/>
      <c r="E71" s="5"/>
      <c r="F71" s="5"/>
      <c r="G71" s="5"/>
      <c r="H71" s="5"/>
      <c r="I71" s="5"/>
      <c r="J71" s="5"/>
      <c r="K71" s="5"/>
      <c r="L71" s="5"/>
    </row>
    <row r="72" spans="2:12">
      <c r="B72" s="5"/>
      <c r="C72" s="5"/>
      <c r="D72" s="5"/>
      <c r="E72" s="5"/>
      <c r="F72" s="5"/>
      <c r="G72" s="5"/>
      <c r="H72" s="5"/>
      <c r="I72" s="5"/>
      <c r="J72" s="5"/>
      <c r="K72" s="5"/>
      <c r="L72" s="5"/>
    </row>
    <row r="73" spans="2:12">
      <c r="B73" s="5"/>
      <c r="C73" s="5"/>
      <c r="D73" s="5"/>
      <c r="E73" s="5"/>
      <c r="F73" s="5"/>
      <c r="G73" s="5"/>
      <c r="H73" s="5"/>
      <c r="I73" s="5"/>
      <c r="J73" s="5"/>
      <c r="K73" s="5"/>
      <c r="L73" s="5"/>
    </row>
    <row r="74" spans="2:12">
      <c r="B74" s="5"/>
      <c r="C74" s="5"/>
      <c r="D74" s="5"/>
      <c r="E74" s="5"/>
      <c r="F74" s="5"/>
      <c r="G74" s="5"/>
      <c r="H74" s="5"/>
      <c r="I74" s="5"/>
      <c r="J74" s="5"/>
      <c r="K74" s="5"/>
      <c r="L74" s="5"/>
    </row>
    <row r="75" spans="2:12">
      <c r="B75" s="5"/>
      <c r="C75" s="5"/>
      <c r="D75" s="5"/>
      <c r="E75" s="5"/>
      <c r="F75" s="5"/>
      <c r="G75" s="5"/>
      <c r="H75" s="5"/>
      <c r="I75" s="5"/>
      <c r="J75" s="5"/>
      <c r="K75" s="5"/>
      <c r="L75" s="5"/>
    </row>
    <row r="76" spans="2:12">
      <c r="B76" s="5"/>
      <c r="C76" s="5"/>
      <c r="D76" s="5"/>
      <c r="E76" s="5"/>
      <c r="F76" s="5"/>
      <c r="G76" s="5"/>
      <c r="H76" s="5"/>
      <c r="I76" s="5"/>
      <c r="J76" s="5"/>
      <c r="K76" s="5"/>
      <c r="L76" s="5"/>
    </row>
    <row r="77" spans="2:12">
      <c r="B77" s="5"/>
      <c r="C77" s="5"/>
      <c r="D77" s="5"/>
      <c r="E77" s="5"/>
      <c r="F77" s="5"/>
      <c r="G77" s="5"/>
      <c r="H77" s="5"/>
      <c r="I77" s="5"/>
      <c r="J77" s="5"/>
      <c r="K77" s="5"/>
      <c r="L77" s="5"/>
    </row>
    <row r="78" spans="2:12">
      <c r="B78" s="5"/>
      <c r="C78" s="5"/>
      <c r="D78" s="5"/>
      <c r="E78" s="5"/>
      <c r="F78" s="5"/>
      <c r="G78" s="5"/>
      <c r="H78" s="5"/>
      <c r="I78" s="5"/>
      <c r="J78" s="5"/>
      <c r="K78" s="5"/>
      <c r="L78" s="5"/>
    </row>
    <row r="79" spans="2:12">
      <c r="B79" s="5"/>
      <c r="C79" s="5"/>
      <c r="D79" s="5"/>
      <c r="E79" s="5"/>
      <c r="F79" s="5"/>
      <c r="G79" s="5"/>
      <c r="H79" s="5"/>
      <c r="I79" s="5"/>
      <c r="J79" s="5"/>
      <c r="K79" s="5"/>
      <c r="L79" s="5"/>
    </row>
    <row r="80" spans="2:12">
      <c r="B80" s="5"/>
      <c r="C80" s="5"/>
      <c r="D80" s="5"/>
      <c r="E80" s="5"/>
      <c r="F80" s="5"/>
      <c r="G80" s="5"/>
      <c r="H80" s="5"/>
      <c r="I80" s="5"/>
      <c r="J80" s="5"/>
      <c r="K80" s="5"/>
      <c r="L80" s="5"/>
    </row>
    <row r="81" spans="2:12">
      <c r="B81" s="5"/>
      <c r="C81" s="5"/>
      <c r="D81" s="5"/>
      <c r="E81" s="5"/>
      <c r="F81" s="5"/>
      <c r="G81" s="5"/>
      <c r="H81" s="5"/>
      <c r="I81" s="5"/>
      <c r="J81" s="5"/>
      <c r="K81" s="5"/>
      <c r="L81" s="5"/>
    </row>
    <row r="82" spans="2:12">
      <c r="B82" s="5"/>
      <c r="C82" s="5"/>
      <c r="D82" s="5"/>
      <c r="E82" s="5"/>
      <c r="F82" s="5"/>
      <c r="G82" s="5"/>
      <c r="H82" s="5"/>
      <c r="I82" s="5"/>
      <c r="J82" s="5"/>
      <c r="K82" s="5"/>
      <c r="L82" s="5"/>
    </row>
    <row r="83" spans="2:12">
      <c r="B83" s="5"/>
      <c r="C83" s="5"/>
      <c r="D83" s="5"/>
      <c r="E83" s="5"/>
      <c r="F83" s="5"/>
      <c r="G83" s="5"/>
      <c r="H83" s="5"/>
      <c r="I83" s="5"/>
      <c r="J83" s="5"/>
      <c r="K83" s="5"/>
      <c r="L83" s="5"/>
    </row>
    <row r="84" spans="2:12">
      <c r="B84" s="5"/>
      <c r="C84" s="5"/>
      <c r="D84" s="5"/>
      <c r="E84" s="5"/>
      <c r="F84" s="5"/>
      <c r="G84" s="5"/>
      <c r="H84" s="5"/>
      <c r="I84" s="5"/>
      <c r="J84" s="5"/>
      <c r="K84" s="5"/>
      <c r="L84" s="5"/>
    </row>
    <row r="85" spans="2:12" ht="14.25" customHeight="1">
      <c r="B85" s="5"/>
      <c r="C85" s="5"/>
      <c r="D85" s="5"/>
      <c r="E85" s="5"/>
      <c r="F85" s="5"/>
      <c r="G85" s="5"/>
      <c r="H85" s="5"/>
      <c r="I85" s="5"/>
      <c r="J85" s="5"/>
      <c r="K85" s="5"/>
      <c r="L85" s="5"/>
    </row>
    <row r="86" spans="2:12" ht="12.75" customHeight="1">
      <c r="B86" s="5"/>
      <c r="C86" s="5"/>
      <c r="D86" s="5"/>
      <c r="E86" s="5"/>
      <c r="F86" s="5"/>
      <c r="G86" s="5"/>
      <c r="H86" s="5"/>
      <c r="I86" s="5"/>
      <c r="J86" s="5"/>
      <c r="K86" s="5"/>
      <c r="L86" s="5"/>
    </row>
    <row r="87" spans="2:12" ht="12.75" customHeight="1">
      <c r="B87" s="5"/>
      <c r="C87" s="5"/>
      <c r="D87" s="5"/>
      <c r="E87" s="5"/>
      <c r="F87" s="5"/>
      <c r="G87" s="5"/>
      <c r="H87" s="5"/>
      <c r="I87" s="5"/>
      <c r="J87" s="5"/>
      <c r="K87" s="5"/>
      <c r="L87" s="5"/>
    </row>
    <row r="88" spans="2:12" ht="12.75" customHeight="1">
      <c r="B88" s="5"/>
      <c r="C88" s="5"/>
      <c r="D88" s="5"/>
      <c r="E88" s="5"/>
      <c r="F88" s="5"/>
      <c r="G88" s="5"/>
      <c r="H88" s="5"/>
      <c r="I88" s="5"/>
      <c r="J88" s="5"/>
      <c r="K88" s="5"/>
      <c r="L88" s="5"/>
    </row>
    <row r="89" spans="2:12" ht="12.75" customHeight="1">
      <c r="B89" s="5"/>
      <c r="C89" s="5"/>
      <c r="D89" s="5"/>
      <c r="E89" s="5"/>
      <c r="F89" s="5"/>
      <c r="G89" s="5"/>
      <c r="H89" s="5"/>
      <c r="I89" s="5"/>
      <c r="J89" s="5"/>
      <c r="K89" s="5"/>
      <c r="L89" s="5"/>
    </row>
    <row r="90" spans="2:12" ht="12.75" customHeight="1">
      <c r="B90" s="5"/>
      <c r="C90" s="5"/>
      <c r="D90" s="5"/>
      <c r="E90" s="5"/>
      <c r="F90" s="5"/>
      <c r="G90" s="5"/>
      <c r="H90" s="5"/>
      <c r="I90" s="5"/>
      <c r="J90" s="5"/>
      <c r="K90" s="5"/>
      <c r="L90" s="5"/>
    </row>
    <row r="91" spans="2:12" ht="12.75" customHeight="1">
      <c r="B91" s="5"/>
      <c r="C91" s="5"/>
      <c r="D91" s="5"/>
      <c r="E91" s="5"/>
      <c r="F91" s="5"/>
      <c r="G91" s="5"/>
      <c r="H91" s="5"/>
      <c r="I91" s="5"/>
      <c r="J91" s="5"/>
      <c r="K91" s="5"/>
      <c r="L91" s="5"/>
    </row>
    <row r="92" spans="2:12" ht="12.75" customHeight="1">
      <c r="B92" s="5"/>
      <c r="C92" s="5"/>
      <c r="D92" s="5"/>
      <c r="E92" s="5"/>
      <c r="F92" s="5"/>
      <c r="G92" s="5"/>
      <c r="H92" s="5"/>
      <c r="I92" s="5"/>
      <c r="J92" s="5"/>
      <c r="K92" s="5"/>
      <c r="L92" s="5"/>
    </row>
    <row r="93" spans="2:12" ht="12.75" customHeight="1">
      <c r="B93" s="5"/>
      <c r="C93" s="5"/>
      <c r="D93" s="5"/>
      <c r="E93" s="5"/>
      <c r="F93" s="5"/>
      <c r="G93" s="5"/>
      <c r="H93" s="5"/>
      <c r="I93" s="5"/>
      <c r="J93" s="5"/>
      <c r="K93" s="5"/>
      <c r="L93" s="5"/>
    </row>
    <row r="94" spans="2:12" ht="12.75" customHeight="1">
      <c r="B94" s="5"/>
      <c r="C94" s="5"/>
      <c r="D94" s="5"/>
      <c r="E94" s="5"/>
      <c r="F94" s="5"/>
      <c r="G94" s="5"/>
      <c r="H94" s="5"/>
      <c r="I94" s="5"/>
      <c r="J94" s="5"/>
      <c r="K94" s="5"/>
      <c r="L94" s="5"/>
    </row>
    <row r="95" spans="2:12" ht="12.75" customHeight="1">
      <c r="B95" s="5"/>
      <c r="C95" s="5"/>
      <c r="D95" s="5"/>
      <c r="E95" s="5"/>
      <c r="F95" s="5"/>
      <c r="G95" s="5"/>
      <c r="H95" s="5"/>
      <c r="I95" s="5"/>
      <c r="J95" s="5"/>
      <c r="K95" s="5"/>
      <c r="L95" s="5"/>
    </row>
    <row r="96" spans="2:12" ht="12.75" customHeight="1">
      <c r="B96" s="5"/>
      <c r="C96" s="5"/>
      <c r="D96" s="5"/>
      <c r="E96" s="5"/>
      <c r="F96" s="5"/>
      <c r="G96" s="5"/>
      <c r="H96" s="5"/>
      <c r="I96" s="5"/>
      <c r="J96" s="5"/>
      <c r="K96" s="5"/>
      <c r="L96" s="5"/>
    </row>
    <row r="97" spans="2:12" ht="12.75" customHeight="1">
      <c r="B97" s="5"/>
      <c r="C97" s="5"/>
      <c r="D97" s="5"/>
      <c r="E97" s="5"/>
      <c r="F97" s="5"/>
      <c r="G97" s="5"/>
      <c r="H97" s="5"/>
      <c r="I97" s="5"/>
      <c r="J97" s="5"/>
      <c r="K97" s="5"/>
      <c r="L97" s="5"/>
    </row>
    <row r="98" spans="2:12" ht="12.75" customHeight="1">
      <c r="B98" s="5"/>
      <c r="C98" s="5"/>
      <c r="D98" s="5"/>
      <c r="E98" s="5"/>
      <c r="F98" s="5"/>
      <c r="G98" s="5"/>
      <c r="H98" s="5"/>
      <c r="I98" s="5"/>
      <c r="J98" s="5"/>
      <c r="K98" s="5"/>
      <c r="L98" s="5"/>
    </row>
    <row r="99" spans="2:12" ht="12.75" customHeight="1">
      <c r="B99" s="5"/>
      <c r="C99" s="5"/>
      <c r="D99" s="5"/>
      <c r="E99" s="5"/>
      <c r="F99" s="5"/>
      <c r="G99" s="5"/>
      <c r="H99" s="5"/>
      <c r="I99" s="5"/>
      <c r="J99" s="5"/>
      <c r="K99" s="5"/>
      <c r="L99" s="5"/>
    </row>
    <row r="100" spans="2:12" ht="12.75" customHeight="1">
      <c r="B100" s="5"/>
      <c r="C100" s="5"/>
      <c r="D100" s="5"/>
      <c r="E100" s="5"/>
      <c r="F100" s="5"/>
      <c r="G100" s="5"/>
      <c r="H100" s="5"/>
      <c r="I100" s="5"/>
      <c r="J100" s="5"/>
      <c r="K100" s="5"/>
      <c r="L100" s="5"/>
    </row>
    <row r="101" spans="2:12">
      <c r="B101" s="5"/>
      <c r="C101" s="5"/>
      <c r="D101" s="5"/>
      <c r="E101" s="5"/>
      <c r="F101" s="5"/>
      <c r="G101" s="5"/>
      <c r="H101" s="5"/>
      <c r="I101" s="5"/>
      <c r="J101" s="5"/>
      <c r="K101" s="5"/>
      <c r="L101" s="5"/>
    </row>
    <row r="102" spans="2:12">
      <c r="B102" s="5"/>
      <c r="C102" s="5"/>
      <c r="D102" s="5"/>
      <c r="E102" s="5"/>
      <c r="F102" s="5"/>
      <c r="G102" s="5"/>
      <c r="H102" s="5"/>
      <c r="I102" s="5"/>
      <c r="J102" s="5"/>
      <c r="K102" s="5"/>
      <c r="L102" s="5"/>
    </row>
    <row r="103" spans="2:12">
      <c r="B103" s="5"/>
      <c r="C103" s="5"/>
      <c r="D103" s="5"/>
      <c r="E103" s="5"/>
      <c r="F103" s="5"/>
      <c r="G103" s="5"/>
      <c r="H103" s="5"/>
      <c r="I103" s="5"/>
      <c r="J103" s="5"/>
      <c r="K103" s="5"/>
      <c r="L103" s="5"/>
    </row>
    <row r="104" spans="2:12">
      <c r="B104" s="5"/>
      <c r="C104" s="5"/>
      <c r="D104" s="5"/>
      <c r="E104" s="5"/>
      <c r="F104" s="5"/>
      <c r="G104" s="5"/>
      <c r="H104" s="5"/>
      <c r="I104" s="5"/>
      <c r="J104" s="5"/>
      <c r="K104" s="5"/>
      <c r="L104" s="5"/>
    </row>
    <row r="105" spans="2:12">
      <c r="B105" s="5"/>
      <c r="C105" s="5"/>
      <c r="D105" s="5"/>
      <c r="E105" s="5"/>
      <c r="F105" s="5"/>
      <c r="G105" s="5"/>
      <c r="H105" s="5"/>
      <c r="I105" s="5"/>
      <c r="J105" s="5"/>
      <c r="K105" s="5"/>
      <c r="L105" s="5"/>
    </row>
    <row r="106" spans="2:12">
      <c r="B106" s="5"/>
      <c r="C106" s="5"/>
      <c r="D106" s="5"/>
      <c r="E106" s="5"/>
      <c r="F106" s="5"/>
      <c r="G106" s="5"/>
      <c r="H106" s="5"/>
      <c r="I106" s="5"/>
      <c r="J106" s="5"/>
      <c r="K106" s="5"/>
      <c r="L106" s="5"/>
    </row>
    <row r="107" spans="2:12">
      <c r="B107" s="5"/>
      <c r="C107" s="5"/>
      <c r="D107" s="5"/>
      <c r="E107" s="5"/>
      <c r="F107" s="5"/>
      <c r="G107" s="5"/>
      <c r="H107" s="5"/>
      <c r="I107" s="5"/>
      <c r="J107" s="5"/>
      <c r="K107" s="5"/>
      <c r="L107" s="5"/>
    </row>
    <row r="108" spans="2:12">
      <c r="B108" s="5"/>
      <c r="C108" s="5"/>
      <c r="D108" s="5"/>
      <c r="E108" s="5"/>
      <c r="F108" s="5"/>
      <c r="G108" s="5"/>
      <c r="H108" s="5"/>
      <c r="I108" s="5"/>
      <c r="J108" s="5"/>
      <c r="K108" s="5"/>
      <c r="L108" s="5"/>
    </row>
    <row r="109" spans="2:12">
      <c r="B109" s="5"/>
      <c r="C109" s="5"/>
      <c r="D109" s="5"/>
      <c r="E109" s="5"/>
      <c r="F109" s="5"/>
      <c r="G109" s="5"/>
      <c r="H109" s="5"/>
      <c r="I109" s="5"/>
      <c r="J109" s="5"/>
      <c r="K109" s="5"/>
      <c r="L109" s="5"/>
    </row>
    <row r="110" spans="2:12">
      <c r="B110" s="5"/>
      <c r="C110" s="5"/>
      <c r="D110" s="5"/>
      <c r="E110" s="5"/>
      <c r="F110" s="5"/>
      <c r="G110" s="5"/>
      <c r="H110" s="5"/>
      <c r="I110" s="5"/>
      <c r="J110" s="5"/>
      <c r="K110" s="5"/>
      <c r="L110" s="5"/>
    </row>
    <row r="111" spans="2:12">
      <c r="B111" s="5"/>
      <c r="C111" s="5"/>
      <c r="D111" s="5"/>
      <c r="E111" s="5"/>
      <c r="F111" s="5"/>
      <c r="G111" s="5"/>
      <c r="H111" s="5"/>
      <c r="I111" s="5"/>
      <c r="J111" s="5"/>
      <c r="K111" s="5"/>
      <c r="L111" s="5"/>
    </row>
    <row r="112" spans="2:12">
      <c r="B112" s="5"/>
      <c r="C112" s="5"/>
      <c r="D112" s="5"/>
      <c r="E112" s="5"/>
      <c r="F112" s="5"/>
      <c r="G112" s="5"/>
      <c r="H112" s="5"/>
      <c r="I112" s="5"/>
      <c r="J112" s="5"/>
      <c r="K112" s="5"/>
      <c r="L112" s="5"/>
    </row>
    <row r="113" spans="2:12">
      <c r="B113" s="5"/>
      <c r="C113" s="5"/>
      <c r="D113" s="5"/>
      <c r="E113" s="5"/>
      <c r="F113" s="5"/>
      <c r="G113" s="5"/>
      <c r="H113" s="5"/>
      <c r="I113" s="5"/>
      <c r="J113" s="5"/>
      <c r="K113" s="5"/>
      <c r="L113" s="5"/>
    </row>
    <row r="114" spans="2:12">
      <c r="B114" s="5"/>
      <c r="C114" s="5"/>
      <c r="D114" s="5"/>
      <c r="E114" s="5"/>
      <c r="F114" s="5"/>
      <c r="G114" s="5"/>
      <c r="H114" s="5"/>
      <c r="I114" s="5"/>
      <c r="J114" s="5"/>
      <c r="K114" s="5"/>
      <c r="L114" s="5"/>
    </row>
    <row r="115" spans="2:12">
      <c r="B115" s="5"/>
      <c r="C115" s="5"/>
      <c r="D115" s="5"/>
      <c r="E115" s="5"/>
      <c r="F115" s="5"/>
      <c r="G115" s="5"/>
      <c r="H115" s="5"/>
      <c r="I115" s="5"/>
      <c r="J115" s="5"/>
      <c r="K115" s="5"/>
      <c r="L115" s="5"/>
    </row>
    <row r="116" spans="2:12">
      <c r="B116" s="5"/>
      <c r="C116" s="5"/>
      <c r="D116" s="5"/>
      <c r="E116" s="5"/>
      <c r="F116" s="5"/>
      <c r="G116" s="5"/>
      <c r="H116" s="5"/>
      <c r="I116" s="5"/>
      <c r="J116" s="5"/>
      <c r="K116" s="5"/>
      <c r="L116" s="5"/>
    </row>
    <row r="117" spans="2:12">
      <c r="B117" s="5"/>
      <c r="C117" s="5"/>
      <c r="D117" s="5"/>
      <c r="E117" s="5"/>
      <c r="F117" s="5"/>
      <c r="G117" s="5"/>
      <c r="H117" s="5"/>
      <c r="I117" s="5"/>
      <c r="J117" s="5"/>
      <c r="K117" s="5"/>
      <c r="L117" s="5"/>
    </row>
    <row r="118" spans="2:12">
      <c r="B118" s="5"/>
      <c r="C118" s="5"/>
      <c r="D118" s="5"/>
      <c r="E118" s="5"/>
      <c r="F118" s="5"/>
      <c r="G118" s="5"/>
      <c r="H118" s="5"/>
      <c r="I118" s="5"/>
      <c r="J118" s="5"/>
      <c r="K118" s="5"/>
      <c r="L118" s="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97"/>
  <sheetViews>
    <sheetView view="pageBreakPreview" zoomScale="60" zoomScaleNormal="50" workbookViewId="0">
      <selection activeCell="F20" sqref="A20:F23"/>
    </sheetView>
  </sheetViews>
  <sheetFormatPr defaultRowHeight="12.75"/>
  <cols>
    <col min="1" max="1" width="7.7109375" style="1" bestFit="1" customWidth="1"/>
    <col min="2" max="2" width="57.7109375" bestFit="1" customWidth="1"/>
    <col min="3" max="4" width="14.85546875" customWidth="1"/>
    <col min="5" max="6" width="14.28515625" customWidth="1"/>
    <col min="7" max="7" width="15.28515625" bestFit="1" customWidth="1"/>
    <col min="8" max="8" width="3.7109375" customWidth="1"/>
    <col min="9" max="9" width="13.140625" bestFit="1" customWidth="1"/>
    <col min="10" max="10" width="15" bestFit="1" customWidth="1"/>
    <col min="11" max="11" width="13.5703125" bestFit="1" customWidth="1"/>
    <col min="12" max="12" width="3.7109375" customWidth="1"/>
    <col min="13" max="13" width="13.140625" bestFit="1" customWidth="1"/>
    <col min="14" max="14" width="15" bestFit="1" customWidth="1"/>
    <col min="15" max="15" width="13.5703125" bestFit="1" customWidth="1"/>
    <col min="16" max="16" width="3" customWidth="1"/>
    <col min="17" max="17" width="13.140625" bestFit="1" customWidth="1"/>
    <col min="18" max="18" width="15" bestFit="1" customWidth="1"/>
    <col min="19" max="19" width="13.5703125" bestFit="1" customWidth="1"/>
  </cols>
  <sheetData>
    <row r="1" spans="1:19">
      <c r="A1" s="1034"/>
      <c r="B1" s="1101" t="str">
        <f>TCOS!F9</f>
        <v>WHEELING POWER COMPANY</v>
      </c>
      <c r="C1" s="1014"/>
      <c r="D1" s="1014"/>
      <c r="E1" s="1014"/>
      <c r="F1" s="1014"/>
      <c r="G1" s="1015"/>
      <c r="H1" s="1015"/>
      <c r="I1" s="1015"/>
      <c r="J1" s="1015"/>
      <c r="K1" s="1015"/>
      <c r="L1" s="1015"/>
      <c r="M1" s="1014"/>
      <c r="N1" s="1014"/>
      <c r="O1" s="1014"/>
      <c r="P1" s="1014"/>
      <c r="Q1" s="1014"/>
      <c r="R1" s="1014"/>
      <c r="S1" s="1015"/>
    </row>
    <row r="2" spans="1:19">
      <c r="A2" s="1034"/>
      <c r="B2" s="1013" t="s">
        <v>821</v>
      </c>
      <c r="C2" s="1014"/>
      <c r="D2" s="1014"/>
      <c r="E2" s="1014"/>
      <c r="F2" s="1014"/>
      <c r="G2" s="1015"/>
      <c r="H2" s="1015"/>
      <c r="I2" s="1015"/>
      <c r="J2" s="1015"/>
      <c r="K2" s="1015"/>
      <c r="L2" s="1015"/>
      <c r="M2" s="1014"/>
      <c r="N2" s="1014"/>
      <c r="O2" s="1014"/>
      <c r="P2" s="1014"/>
      <c r="Q2" s="1014"/>
      <c r="R2" s="1014"/>
      <c r="S2" s="1015"/>
    </row>
    <row r="3" spans="1:19">
      <c r="A3" s="1034"/>
      <c r="B3" s="1056" t="str">
        <f>"PERIOD ENDED DECEMBER 31, "&amp;TCOS!L4</f>
        <v>PERIOD ENDED DECEMBER 31, 2023</v>
      </c>
      <c r="C3" s="1014"/>
      <c r="D3" s="1014"/>
      <c r="E3" s="1014"/>
      <c r="F3" s="1014"/>
      <c r="G3" s="1014"/>
      <c r="H3" s="1014"/>
      <c r="I3" s="1014"/>
      <c r="J3" s="1014"/>
      <c r="K3" s="1014"/>
      <c r="L3" s="1014"/>
      <c r="M3" s="1014"/>
      <c r="N3" s="1014"/>
      <c r="O3" s="1014"/>
      <c r="P3" s="1014"/>
      <c r="Q3" s="1014"/>
      <c r="R3" s="1014"/>
      <c r="S3" s="1014"/>
    </row>
    <row r="4" spans="1:19">
      <c r="A4" s="1034"/>
      <c r="B4" s="1014"/>
      <c r="C4" s="1014"/>
      <c r="D4" s="1014"/>
      <c r="E4" s="1014"/>
      <c r="F4" s="1014"/>
      <c r="G4" s="935" t="s">
        <v>696</v>
      </c>
      <c r="H4" s="935"/>
      <c r="I4" s="935"/>
      <c r="J4" s="935"/>
      <c r="K4" s="935"/>
      <c r="L4" s="935"/>
      <c r="M4" s="1014"/>
      <c r="N4" s="1014"/>
      <c r="O4" s="1014"/>
      <c r="P4" s="1014"/>
      <c r="Q4" s="1014"/>
      <c r="R4" s="1014"/>
      <c r="S4" s="1014"/>
    </row>
    <row r="5" spans="1:19">
      <c r="A5" s="1034"/>
      <c r="B5" s="1016"/>
      <c r="C5" s="1014"/>
      <c r="D5" s="1014"/>
      <c r="E5" s="1014"/>
      <c r="F5" s="1014"/>
      <c r="G5" s="1014"/>
      <c r="H5" s="1014"/>
      <c r="I5" s="1014"/>
      <c r="J5" s="1014"/>
      <c r="K5" s="1014"/>
      <c r="L5" s="1014"/>
      <c r="M5" s="1014"/>
      <c r="N5" s="1014"/>
      <c r="O5" s="1014"/>
      <c r="P5" s="1014"/>
      <c r="Q5" s="1014"/>
      <c r="R5" s="1014"/>
      <c r="S5" s="1014"/>
    </row>
    <row r="6" spans="1:19">
      <c r="A6" s="1034"/>
      <c r="B6" s="1014"/>
      <c r="C6" s="1014"/>
      <c r="D6" s="1014"/>
      <c r="E6" s="1014"/>
      <c r="F6" s="1014"/>
      <c r="G6" s="1014"/>
      <c r="H6" s="1014"/>
      <c r="I6" s="1014"/>
      <c r="J6" s="1014"/>
      <c r="K6" s="1014"/>
      <c r="L6" s="1014"/>
      <c r="M6" s="1014"/>
      <c r="N6" s="1014"/>
      <c r="O6" s="1014"/>
      <c r="P6" s="1014"/>
      <c r="Q6" s="1014"/>
      <c r="R6" s="1014"/>
      <c r="S6" s="1014"/>
    </row>
    <row r="7" spans="1:19">
      <c r="A7" s="1034"/>
      <c r="B7" s="1014"/>
      <c r="C7" s="1014"/>
      <c r="D7" s="1014"/>
      <c r="E7" s="1014"/>
      <c r="F7" s="1014"/>
      <c r="G7" s="1014"/>
      <c r="H7" s="1014"/>
      <c r="I7" s="1014"/>
      <c r="J7" s="1014"/>
      <c r="K7" s="1014"/>
      <c r="L7" s="1014"/>
      <c r="M7" s="1014"/>
      <c r="N7" s="1014"/>
      <c r="O7" s="1014"/>
      <c r="P7" s="1014"/>
      <c r="Q7" s="1014"/>
      <c r="R7" s="1014"/>
      <c r="S7" s="1014"/>
    </row>
    <row r="8" spans="1:19">
      <c r="A8" s="1034"/>
      <c r="B8" s="1017" t="s">
        <v>697</v>
      </c>
      <c r="C8" s="1017" t="s">
        <v>698</v>
      </c>
      <c r="D8" s="1017" t="s">
        <v>699</v>
      </c>
      <c r="E8" s="1017" t="s">
        <v>700</v>
      </c>
      <c r="F8" s="1017" t="s">
        <v>701</v>
      </c>
      <c r="G8" s="1017" t="s">
        <v>702</v>
      </c>
      <c r="H8" s="1017"/>
      <c r="I8" s="1017" t="s">
        <v>703</v>
      </c>
      <c r="J8" s="1017" t="s">
        <v>704</v>
      </c>
      <c r="K8" s="1017" t="s">
        <v>705</v>
      </c>
      <c r="L8" s="1017"/>
      <c r="M8" s="1017" t="s">
        <v>706</v>
      </c>
      <c r="N8" s="1017" t="s">
        <v>707</v>
      </c>
      <c r="O8" s="1017" t="s">
        <v>708</v>
      </c>
      <c r="P8" s="1014"/>
      <c r="Q8" s="1017" t="s">
        <v>709</v>
      </c>
      <c r="R8" s="1017" t="s">
        <v>710</v>
      </c>
      <c r="S8" s="1017" t="s">
        <v>711</v>
      </c>
    </row>
    <row r="9" spans="1:19">
      <c r="A9" s="1034"/>
      <c r="B9" s="1014"/>
      <c r="C9" s="1014"/>
      <c r="D9" s="1014"/>
      <c r="E9" s="1014"/>
      <c r="F9" s="1014"/>
      <c r="G9" s="1014"/>
      <c r="H9" s="1014"/>
      <c r="I9" s="1014"/>
      <c r="J9" s="1014"/>
      <c r="K9" s="1014"/>
      <c r="L9" s="1014"/>
      <c r="M9" s="1014"/>
      <c r="N9" s="1014"/>
      <c r="O9" s="1014"/>
      <c r="P9" s="1014"/>
      <c r="Q9" s="1014"/>
      <c r="R9" s="1014"/>
      <c r="S9" s="1014"/>
    </row>
    <row r="10" spans="1:19">
      <c r="A10" s="1034"/>
      <c r="B10" s="1014"/>
      <c r="C10" s="1018" t="s">
        <v>712</v>
      </c>
      <c r="D10" s="1018"/>
      <c r="E10" s="1019" t="s">
        <v>713</v>
      </c>
      <c r="F10" s="1018"/>
      <c r="G10" s="21" t="s">
        <v>714</v>
      </c>
      <c r="H10" s="21"/>
      <c r="I10" s="1020" t="s">
        <v>715</v>
      </c>
      <c r="J10" s="1018"/>
      <c r="K10" s="1018"/>
      <c r="L10" s="21"/>
      <c r="M10" s="1020" t="str">
        <f>"FUNCTIONALIZATION 12/31/"&amp;TCOS!L4-1</f>
        <v>FUNCTIONALIZATION 12/31/2022</v>
      </c>
      <c r="N10" s="1018"/>
      <c r="O10" s="1018"/>
      <c r="P10" s="1014"/>
      <c r="Q10" s="1020" t="str">
        <f>"FUNCTIONALIZATION 12/31/"&amp;TCOS!L4</f>
        <v>FUNCTIONALIZATION 12/31/2023</v>
      </c>
      <c r="R10" s="1018"/>
      <c r="S10" s="1018"/>
    </row>
    <row r="11" spans="1:19">
      <c r="A11" s="1034"/>
      <c r="B11" s="1014"/>
      <c r="C11" s="1022"/>
      <c r="D11" s="1022"/>
      <c r="E11" s="1014"/>
      <c r="F11" s="1014"/>
      <c r="G11" s="21" t="s">
        <v>716</v>
      </c>
      <c r="H11" s="21"/>
      <c r="I11" s="1022"/>
      <c r="J11" s="1022"/>
      <c r="K11" s="1022"/>
      <c r="L11" s="21"/>
      <c r="M11" s="1022"/>
      <c r="N11" s="1022"/>
      <c r="O11" s="1022"/>
      <c r="P11" s="1014"/>
      <c r="Q11" s="1022"/>
      <c r="R11" s="1022"/>
      <c r="S11" s="1022"/>
    </row>
    <row r="12" spans="1:19" s="20" customFormat="1">
      <c r="A12" s="1034"/>
      <c r="B12" s="1014"/>
      <c r="C12" s="21" t="s">
        <v>717</v>
      </c>
      <c r="D12" s="21" t="s">
        <v>717</v>
      </c>
      <c r="E12" s="21" t="s">
        <v>717</v>
      </c>
      <c r="F12" s="21" t="s">
        <v>717</v>
      </c>
      <c r="G12" s="21" t="s">
        <v>718</v>
      </c>
      <c r="H12" s="21"/>
      <c r="I12" s="1014"/>
      <c r="J12" s="1014"/>
      <c r="K12" s="1014"/>
      <c r="L12" s="21"/>
      <c r="M12" s="1014"/>
      <c r="N12" s="1014"/>
      <c r="O12" s="1014"/>
      <c r="P12" s="1014"/>
      <c r="Q12" s="1014"/>
      <c r="R12" s="1014"/>
      <c r="S12" s="1014"/>
    </row>
    <row r="13" spans="1:19" s="20" customFormat="1">
      <c r="A13" s="1034"/>
      <c r="B13" s="1017" t="s">
        <v>719</v>
      </c>
      <c r="C13" s="1017" t="str">
        <f>"OF 12-31-"&amp;TCOS!L4-1</f>
        <v>OF 12-31-2022</v>
      </c>
      <c r="D13" s="1017" t="str">
        <f>"OF 12-31-"&amp;TCOS!L4</f>
        <v>OF 12-31-2023</v>
      </c>
      <c r="E13" s="1017" t="str">
        <f>"OF 12-31-"&amp;TCOS!L4-1</f>
        <v>OF 12-31-2022</v>
      </c>
      <c r="F13" s="1017" t="str">
        <f>"OF 12-31-"&amp;TCOS!L4</f>
        <v>OF 12-31-2023</v>
      </c>
      <c r="G13" s="1017" t="s">
        <v>720</v>
      </c>
      <c r="H13" s="1017"/>
      <c r="I13" s="1017" t="s">
        <v>721</v>
      </c>
      <c r="J13" s="1017" t="s">
        <v>722</v>
      </c>
      <c r="K13" s="1017" t="s">
        <v>723</v>
      </c>
      <c r="L13" s="1017"/>
      <c r="M13" s="1017" t="s">
        <v>721</v>
      </c>
      <c r="N13" s="1017" t="s">
        <v>722</v>
      </c>
      <c r="O13" s="1017" t="s">
        <v>723</v>
      </c>
      <c r="P13" s="1014"/>
      <c r="Q13" s="1017" t="s">
        <v>721</v>
      </c>
      <c r="R13" s="1017" t="s">
        <v>722</v>
      </c>
      <c r="S13" s="1017" t="s">
        <v>723</v>
      </c>
    </row>
    <row r="14" spans="1:19">
      <c r="A14" s="1034"/>
      <c r="B14" s="1014"/>
      <c r="C14" s="1014"/>
      <c r="D14" s="1014"/>
      <c r="E14" s="1014"/>
      <c r="F14" s="1014"/>
      <c r="G14" s="1014"/>
      <c r="H14" s="1014"/>
      <c r="I14" s="1014"/>
      <c r="J14" s="1014"/>
      <c r="K14" s="1014"/>
      <c r="L14" s="1014"/>
      <c r="M14" s="1014"/>
      <c r="N14" s="1014"/>
      <c r="O14" s="1014"/>
      <c r="P14" s="1014"/>
      <c r="Q14" s="1014"/>
      <c r="R14" s="1014"/>
      <c r="S14" s="1014"/>
    </row>
    <row r="15" spans="1:19">
      <c r="A15" s="1055">
        <v>1</v>
      </c>
      <c r="B15" s="832" t="s">
        <v>724</v>
      </c>
      <c r="C15" s="1024"/>
      <c r="D15" s="1024"/>
      <c r="E15" s="1024"/>
      <c r="F15" s="1025"/>
      <c r="G15" s="1024"/>
      <c r="H15" s="1024"/>
      <c r="I15" s="1024"/>
      <c r="J15" s="1024"/>
      <c r="K15" s="1024"/>
      <c r="L15" s="1024"/>
      <c r="M15" s="1024"/>
      <c r="N15" s="1024"/>
      <c r="O15" s="1024"/>
      <c r="P15" s="1024"/>
      <c r="Q15" s="1024"/>
      <c r="R15" s="1024"/>
      <c r="S15" s="1024"/>
    </row>
    <row r="16" spans="1:19">
      <c r="A16" s="1055">
        <v>2.0099999999999998</v>
      </c>
      <c r="B16" s="832"/>
      <c r="C16" s="1024"/>
      <c r="D16" s="1024"/>
      <c r="E16" s="1024"/>
      <c r="F16" s="1024"/>
      <c r="G16" s="1024"/>
      <c r="H16" s="1024"/>
      <c r="I16" s="1024"/>
      <c r="J16" s="1024"/>
      <c r="K16" s="1024"/>
      <c r="L16" s="1024"/>
      <c r="M16" s="1024"/>
      <c r="N16" s="1024"/>
      <c r="O16" s="1024"/>
      <c r="P16" s="1024"/>
      <c r="Q16" s="1024"/>
      <c r="R16" s="1024"/>
      <c r="S16" s="1024"/>
    </row>
    <row r="17" spans="1:19">
      <c r="A17" s="1055">
        <v>2.02</v>
      </c>
      <c r="B17" s="832"/>
      <c r="C17" s="1024">
        <f>SUM(M17:O17)</f>
        <v>0</v>
      </c>
      <c r="D17" s="1024">
        <f>SUM(Q17:S17)</f>
        <v>0</v>
      </c>
      <c r="E17" s="1024"/>
      <c r="F17" s="1024"/>
      <c r="G17" s="1024">
        <f>ROUND(SUM(C17:F17)/2,0)</f>
        <v>0</v>
      </c>
      <c r="H17" s="1024"/>
      <c r="I17" s="1024">
        <f>(M17+Q17)/2</f>
        <v>0</v>
      </c>
      <c r="J17" s="1024">
        <f>(N17+R17)/2</f>
        <v>0</v>
      </c>
      <c r="K17" s="1024">
        <f>(O17+S17)/2</f>
        <v>0</v>
      </c>
      <c r="L17" s="1024"/>
      <c r="M17" s="832"/>
      <c r="N17" s="832"/>
      <c r="O17" s="832"/>
      <c r="P17" s="1024"/>
      <c r="Q17" s="832"/>
      <c r="R17" s="832"/>
      <c r="S17" s="832"/>
    </row>
    <row r="18" spans="1:19">
      <c r="A18" s="1055">
        <v>2.0299999999999998</v>
      </c>
      <c r="B18" s="832"/>
      <c r="C18" s="1024"/>
      <c r="D18" s="1024"/>
      <c r="E18" s="1024"/>
      <c r="F18" s="1024"/>
      <c r="G18" s="1024"/>
      <c r="H18" s="1024"/>
      <c r="I18" s="1024"/>
      <c r="J18" s="1024"/>
      <c r="K18" s="1024"/>
      <c r="L18" s="1024"/>
      <c r="M18" s="1024"/>
      <c r="N18" s="1024"/>
      <c r="O18" s="1024"/>
      <c r="P18" s="1024"/>
      <c r="Q18" s="1024"/>
      <c r="R18" s="1024"/>
      <c r="S18" s="1024"/>
    </row>
    <row r="19" spans="1:19">
      <c r="A19" s="1055">
        <v>2.04</v>
      </c>
      <c r="B19" s="832"/>
      <c r="C19" s="1024">
        <v>0</v>
      </c>
      <c r="D19" s="1024">
        <v>0</v>
      </c>
      <c r="E19" s="1024">
        <f t="shared" ref="E19:F21" si="0">-C19</f>
        <v>0</v>
      </c>
      <c r="F19" s="1024">
        <f t="shared" si="0"/>
        <v>0</v>
      </c>
      <c r="G19" s="1024">
        <f>ROUND(SUM(C19:F19)/2,0)</f>
        <v>0</v>
      </c>
      <c r="H19" s="1024"/>
      <c r="I19" s="1024"/>
      <c r="J19" s="1024"/>
      <c r="K19" s="1024"/>
      <c r="L19" s="1024"/>
      <c r="M19" s="1024"/>
      <c r="N19" s="1024"/>
      <c r="O19" s="1024"/>
      <c r="P19" s="1024"/>
      <c r="Q19" s="1024"/>
      <c r="R19" s="1024"/>
      <c r="S19" s="1024"/>
    </row>
    <row r="20" spans="1:19">
      <c r="A20" s="1055">
        <v>2.0499999999999998</v>
      </c>
      <c r="B20" s="832"/>
      <c r="C20" s="1024">
        <v>0</v>
      </c>
      <c r="D20" s="1024">
        <v>0</v>
      </c>
      <c r="E20" s="1024">
        <f t="shared" si="0"/>
        <v>0</v>
      </c>
      <c r="F20" s="1024">
        <f t="shared" si="0"/>
        <v>0</v>
      </c>
      <c r="G20" s="1024">
        <f>ROUND(SUM(C20:F20)/2,0)</f>
        <v>0</v>
      </c>
      <c r="H20" s="1024"/>
      <c r="I20" s="1024"/>
      <c r="J20" s="1024"/>
      <c r="K20" s="1024"/>
      <c r="L20" s="1024"/>
      <c r="M20" s="1024"/>
      <c r="N20" s="1024"/>
      <c r="O20" s="1024"/>
      <c r="P20" s="1024"/>
      <c r="Q20" s="1024"/>
      <c r="R20" s="1024"/>
      <c r="S20" s="1024"/>
    </row>
    <row r="21" spans="1:19">
      <c r="A21" s="1055">
        <v>2.06</v>
      </c>
      <c r="B21" s="832"/>
      <c r="C21" s="1024">
        <v>0</v>
      </c>
      <c r="D21" s="1024">
        <v>0</v>
      </c>
      <c r="E21" s="1024">
        <f t="shared" si="0"/>
        <v>0</v>
      </c>
      <c r="F21" s="1024">
        <f t="shared" si="0"/>
        <v>0</v>
      </c>
      <c r="G21" s="1024">
        <f>ROUND(SUM(C21:F21)/2,0)</f>
        <v>0</v>
      </c>
      <c r="H21" s="1024"/>
      <c r="I21" s="1024"/>
      <c r="J21" s="1024"/>
      <c r="K21" s="1024"/>
      <c r="L21" s="1024"/>
      <c r="M21" s="1024"/>
      <c r="N21" s="1024"/>
      <c r="O21" s="1024"/>
      <c r="P21" s="1024"/>
      <c r="Q21" s="1024"/>
      <c r="R21" s="1024"/>
      <c r="S21" s="1024"/>
    </row>
    <row r="22" spans="1:19">
      <c r="A22" s="1051"/>
      <c r="B22" s="1014"/>
      <c r="C22" s="1024"/>
      <c r="D22" s="1024"/>
      <c r="E22" s="1024"/>
      <c r="F22" s="1024"/>
      <c r="G22" s="1024"/>
      <c r="H22" s="1024"/>
      <c r="I22" s="1024"/>
      <c r="J22" s="1024"/>
      <c r="K22" s="1024"/>
      <c r="L22" s="1024"/>
      <c r="M22" s="1024"/>
      <c r="N22" s="1024"/>
      <c r="O22" s="1024"/>
      <c r="P22" s="1024"/>
      <c r="Q22" s="1024"/>
      <c r="R22" s="1024"/>
      <c r="S22" s="1024"/>
    </row>
    <row r="23" spans="1:19" ht="13.5" thickBot="1">
      <c r="A23" s="1035">
        <v>3</v>
      </c>
      <c r="B23" s="239" t="s">
        <v>725</v>
      </c>
      <c r="C23" s="1027">
        <f>SUM(C17:C22)</f>
        <v>0</v>
      </c>
      <c r="D23" s="1027">
        <f>SUM(D17:D22)</f>
        <v>0</v>
      </c>
      <c r="E23" s="1027">
        <f>SUM(E17:E22)</f>
        <v>0</v>
      </c>
      <c r="F23" s="1027">
        <f>SUM(F17:F22)</f>
        <v>0</v>
      </c>
      <c r="G23" s="1027">
        <f>SUM(G17:G22)</f>
        <v>0</v>
      </c>
      <c r="H23" s="1024"/>
      <c r="I23" s="1027">
        <f>SUM(I17:I22)</f>
        <v>0</v>
      </c>
      <c r="J23" s="1027">
        <f>SUM(J17:J22)</f>
        <v>0</v>
      </c>
      <c r="K23" s="1027">
        <f>SUM(K17:K22)</f>
        <v>0</v>
      </c>
      <c r="L23" s="1024"/>
      <c r="M23" s="1027">
        <f>SUM(M17:M22)</f>
        <v>0</v>
      </c>
      <c r="N23" s="1027">
        <f>SUM(N17:N22)</f>
        <v>0</v>
      </c>
      <c r="O23" s="1027">
        <f>SUM(O17:O22)</f>
        <v>0</v>
      </c>
      <c r="P23" s="1024"/>
      <c r="Q23" s="1027">
        <f>SUM(Q17:Q22)</f>
        <v>0</v>
      </c>
      <c r="R23" s="1027">
        <f>SUM(R17:R22)</f>
        <v>0</v>
      </c>
      <c r="S23" s="1027">
        <f>SUM(S17:S22)</f>
        <v>0</v>
      </c>
    </row>
    <row r="24" spans="1:19" ht="13.5" thickTop="1">
      <c r="A24" s="1035">
        <f>A23+1</f>
        <v>4</v>
      </c>
      <c r="B24" s="1102" t="s">
        <v>743</v>
      </c>
      <c r="C24" s="1048">
        <v>0</v>
      </c>
      <c r="D24" s="1048">
        <v>0</v>
      </c>
      <c r="E24" s="1048">
        <v>0</v>
      </c>
      <c r="F24" s="1048">
        <v>0</v>
      </c>
      <c r="G24" s="1048">
        <v>0</v>
      </c>
      <c r="H24" s="1049"/>
      <c r="I24" s="1048">
        <v>0</v>
      </c>
      <c r="J24" s="1048">
        <v>0</v>
      </c>
      <c r="K24" s="1048">
        <v>0</v>
      </c>
      <c r="L24" s="1049"/>
      <c r="M24" s="1048">
        <v>0</v>
      </c>
      <c r="N24" s="1048">
        <v>0</v>
      </c>
      <c r="O24" s="1048">
        <v>0</v>
      </c>
      <c r="P24" s="1049"/>
      <c r="Q24" s="1048">
        <v>0</v>
      </c>
      <c r="R24" s="1048">
        <v>0</v>
      </c>
      <c r="S24" s="1048">
        <v>0</v>
      </c>
    </row>
    <row r="25" spans="1:19">
      <c r="A25" s="1035"/>
      <c r="B25" s="1014"/>
      <c r="C25" s="1024"/>
      <c r="D25" s="1024"/>
      <c r="E25" s="1024"/>
      <c r="F25" s="1024"/>
      <c r="G25" s="1024"/>
      <c r="H25" s="1024"/>
      <c r="I25" s="1024"/>
      <c r="J25" s="1024"/>
      <c r="K25" s="1024"/>
      <c r="L25" s="1024"/>
      <c r="M25" s="1024"/>
      <c r="N25" s="1024"/>
      <c r="O25" s="1024"/>
      <c r="P25" s="1024"/>
      <c r="Q25" s="1024"/>
      <c r="R25" s="1024"/>
      <c r="S25" s="1024"/>
    </row>
    <row r="26" spans="1:19">
      <c r="A26" s="1035">
        <v>5</v>
      </c>
      <c r="B26" s="1015" t="s">
        <v>726</v>
      </c>
      <c r="C26" s="1024"/>
      <c r="D26" s="1024"/>
      <c r="E26" s="1024"/>
      <c r="F26" s="1024"/>
      <c r="G26" s="1024"/>
      <c r="H26" s="1024"/>
      <c r="I26" s="1024"/>
      <c r="J26" s="1024"/>
      <c r="K26" s="1024"/>
      <c r="L26" s="1024"/>
      <c r="M26" s="1024"/>
      <c r="N26" s="1024"/>
      <c r="O26" s="1024"/>
      <c r="P26" s="1024"/>
      <c r="Q26" s="1024"/>
      <c r="R26" s="1024"/>
      <c r="S26" s="1024"/>
    </row>
    <row r="27" spans="1:19">
      <c r="A27" s="1052"/>
      <c r="B27" s="1014"/>
      <c r="C27" s="1024"/>
      <c r="D27" s="1024"/>
      <c r="E27" s="1024"/>
      <c r="F27" s="1024"/>
      <c r="G27" s="1024"/>
      <c r="H27" s="1024"/>
      <c r="I27" s="1024"/>
      <c r="J27" s="1024"/>
      <c r="K27" s="1024"/>
      <c r="L27" s="1024"/>
      <c r="M27" s="1024"/>
      <c r="N27" s="1024"/>
      <c r="O27" s="1024"/>
      <c r="P27" s="1024"/>
      <c r="Q27" s="1024"/>
      <c r="R27" s="1024"/>
      <c r="S27" s="1024"/>
    </row>
    <row r="28" spans="1:19">
      <c r="A28" s="1055">
        <v>5.01</v>
      </c>
      <c r="B28" s="832"/>
      <c r="C28" s="1024">
        <f t="shared" ref="C28:C64" si="1">SUM(M28:O28)</f>
        <v>0</v>
      </c>
      <c r="D28" s="1024">
        <f t="shared" ref="D28:D64" si="2">SUM(Q28:S28)</f>
        <v>0</v>
      </c>
      <c r="E28" s="1024"/>
      <c r="F28" s="1024"/>
      <c r="G28" s="1024">
        <f t="shared" ref="G28:G50" si="3">ROUND(SUM(C28:F28)/2,0)</f>
        <v>0</v>
      </c>
      <c r="H28" s="1024"/>
      <c r="I28" s="1024">
        <f t="shared" ref="I28:K65" si="4">(M28+Q28)/2</f>
        <v>0</v>
      </c>
      <c r="J28" s="1024">
        <f t="shared" si="4"/>
        <v>0</v>
      </c>
      <c r="K28" s="1024">
        <f t="shared" si="4"/>
        <v>0</v>
      </c>
      <c r="L28" s="1024"/>
      <c r="M28" s="832"/>
      <c r="N28" s="832"/>
      <c r="O28" s="832"/>
      <c r="P28" s="1024"/>
      <c r="Q28" s="832"/>
      <c r="R28" s="832"/>
      <c r="S28" s="832"/>
    </row>
    <row r="29" spans="1:19">
      <c r="A29" s="1055">
        <f>A28+0.01</f>
        <v>5.0199999999999996</v>
      </c>
      <c r="B29" s="832"/>
      <c r="C29" s="1024">
        <f>SUM(M29:O29)</f>
        <v>0</v>
      </c>
      <c r="D29" s="1024">
        <f>SUM(Q29:S29)</f>
        <v>0</v>
      </c>
      <c r="E29" s="1024"/>
      <c r="F29" s="1024"/>
      <c r="G29" s="1024">
        <f t="shared" si="3"/>
        <v>0</v>
      </c>
      <c r="H29" s="1024"/>
      <c r="I29" s="1024">
        <f t="shared" si="4"/>
        <v>0</v>
      </c>
      <c r="J29" s="1024">
        <f t="shared" si="4"/>
        <v>0</v>
      </c>
      <c r="K29" s="1024">
        <f t="shared" si="4"/>
        <v>0</v>
      </c>
      <c r="L29" s="1024"/>
      <c r="M29" s="832"/>
      <c r="N29" s="832"/>
      <c r="O29" s="832"/>
      <c r="P29" s="1024"/>
      <c r="Q29" s="832"/>
      <c r="R29" s="832"/>
      <c r="S29" s="832"/>
    </row>
    <row r="30" spans="1:19">
      <c r="A30" s="1055">
        <f t="shared" ref="A30:A68" si="5">A29+0.01</f>
        <v>5.0299999999999994</v>
      </c>
      <c r="B30" s="832"/>
      <c r="C30" s="1024">
        <f t="shared" si="1"/>
        <v>0</v>
      </c>
      <c r="D30" s="1024">
        <f t="shared" si="2"/>
        <v>0</v>
      </c>
      <c r="E30" s="1024"/>
      <c r="F30" s="1024"/>
      <c r="G30" s="1024">
        <f t="shared" si="3"/>
        <v>0</v>
      </c>
      <c r="H30" s="1024"/>
      <c r="I30" s="1024">
        <f t="shared" si="4"/>
        <v>0</v>
      </c>
      <c r="J30" s="1024">
        <f t="shared" si="4"/>
        <v>0</v>
      </c>
      <c r="K30" s="1024">
        <f t="shared" si="4"/>
        <v>0</v>
      </c>
      <c r="L30" s="1024"/>
      <c r="M30" s="1089"/>
      <c r="N30" s="1089"/>
      <c r="O30" s="832"/>
      <c r="P30" s="1024"/>
      <c r="Q30" s="1089"/>
      <c r="R30" s="1089"/>
      <c r="S30" s="832"/>
    </row>
    <row r="31" spans="1:19">
      <c r="A31" s="1055">
        <f t="shared" si="5"/>
        <v>5.0399999999999991</v>
      </c>
      <c r="B31" s="832"/>
      <c r="C31" s="1024">
        <f>SUM(M31:O31)</f>
        <v>0</v>
      </c>
      <c r="D31" s="1024">
        <f>SUM(Q31:S31)</f>
        <v>0</v>
      </c>
      <c r="E31" s="1024"/>
      <c r="F31" s="1024"/>
      <c r="G31" s="1024">
        <f t="shared" si="3"/>
        <v>0</v>
      </c>
      <c r="H31" s="1024"/>
      <c r="I31" s="1024">
        <f t="shared" si="4"/>
        <v>0</v>
      </c>
      <c r="J31" s="1024">
        <f t="shared" si="4"/>
        <v>0</v>
      </c>
      <c r="K31" s="1024">
        <f t="shared" si="4"/>
        <v>0</v>
      </c>
      <c r="L31" s="1024"/>
      <c r="M31" s="832"/>
      <c r="N31" s="832"/>
      <c r="O31" s="832"/>
      <c r="P31" s="1024"/>
      <c r="Q31" s="832"/>
      <c r="R31" s="832"/>
      <c r="S31" s="832"/>
    </row>
    <row r="32" spans="1:19">
      <c r="A32" s="1055">
        <f t="shared" si="5"/>
        <v>5.0499999999999989</v>
      </c>
      <c r="B32" s="832"/>
      <c r="C32" s="1024">
        <f t="shared" si="1"/>
        <v>0</v>
      </c>
      <c r="D32" s="1024">
        <f t="shared" si="2"/>
        <v>0</v>
      </c>
      <c r="E32" s="1024"/>
      <c r="F32" s="1024"/>
      <c r="G32" s="1024">
        <f t="shared" si="3"/>
        <v>0</v>
      </c>
      <c r="H32" s="1024"/>
      <c r="I32" s="1024">
        <f t="shared" si="4"/>
        <v>0</v>
      </c>
      <c r="J32" s="1024">
        <f t="shared" si="4"/>
        <v>0</v>
      </c>
      <c r="K32" s="1024">
        <f t="shared" si="4"/>
        <v>0</v>
      </c>
      <c r="L32" s="1024"/>
      <c r="M32" s="832"/>
      <c r="N32" s="832"/>
      <c r="O32" s="832"/>
      <c r="P32" s="1024"/>
      <c r="Q32" s="832"/>
      <c r="R32" s="832"/>
      <c r="S32" s="832"/>
    </row>
    <row r="33" spans="1:19">
      <c r="A33" s="1055">
        <f t="shared" si="5"/>
        <v>5.0599999999999987</v>
      </c>
      <c r="B33" s="832"/>
      <c r="C33" s="1024">
        <f t="shared" ref="C33:C39" si="6">SUM(M33:O33)</f>
        <v>0</v>
      </c>
      <c r="D33" s="1024">
        <f t="shared" ref="D33:D39" si="7">SUM(Q33:S33)</f>
        <v>0</v>
      </c>
      <c r="E33" s="1024"/>
      <c r="F33" s="1024"/>
      <c r="G33" s="1024">
        <f t="shared" si="3"/>
        <v>0</v>
      </c>
      <c r="H33" s="1024"/>
      <c r="I33" s="1024">
        <f t="shared" si="4"/>
        <v>0</v>
      </c>
      <c r="J33" s="1024">
        <f t="shared" si="4"/>
        <v>0</v>
      </c>
      <c r="K33" s="1024">
        <f t="shared" si="4"/>
        <v>0</v>
      </c>
      <c r="L33" s="1024"/>
      <c r="M33" s="832"/>
      <c r="N33" s="832"/>
      <c r="O33" s="832"/>
      <c r="P33" s="1024"/>
      <c r="Q33" s="832"/>
      <c r="R33" s="832"/>
      <c r="S33" s="832"/>
    </row>
    <row r="34" spans="1:19">
      <c r="A34" s="1055">
        <f t="shared" si="5"/>
        <v>5.0699999999999985</v>
      </c>
      <c r="B34" s="832"/>
      <c r="C34" s="1029">
        <f t="shared" si="6"/>
        <v>0</v>
      </c>
      <c r="D34" s="1029">
        <f t="shared" si="7"/>
        <v>0</v>
      </c>
      <c r="E34" s="1029"/>
      <c r="F34" s="1029"/>
      <c r="G34" s="1029">
        <f t="shared" si="3"/>
        <v>0</v>
      </c>
      <c r="H34" s="1029"/>
      <c r="I34" s="1029">
        <f t="shared" si="4"/>
        <v>0</v>
      </c>
      <c r="J34" s="1029">
        <f t="shared" si="4"/>
        <v>0</v>
      </c>
      <c r="K34" s="1029">
        <f t="shared" si="4"/>
        <v>0</v>
      </c>
      <c r="L34" s="1029"/>
      <c r="M34" s="832"/>
      <c r="N34" s="1089"/>
      <c r="O34" s="832"/>
      <c r="P34" s="1024"/>
      <c r="Q34" s="1089"/>
      <c r="R34" s="1089"/>
      <c r="S34" s="832"/>
    </row>
    <row r="35" spans="1:19">
      <c r="A35" s="1055">
        <f t="shared" si="5"/>
        <v>5.0799999999999983</v>
      </c>
      <c r="B35" s="832"/>
      <c r="C35" s="1029">
        <f t="shared" si="6"/>
        <v>0</v>
      </c>
      <c r="D35" s="1029">
        <f t="shared" si="7"/>
        <v>0</v>
      </c>
      <c r="E35" s="1029"/>
      <c r="F35" s="1029"/>
      <c r="G35" s="1029">
        <f t="shared" si="3"/>
        <v>0</v>
      </c>
      <c r="H35" s="1029"/>
      <c r="I35" s="1029">
        <f t="shared" si="4"/>
        <v>0</v>
      </c>
      <c r="J35" s="1029">
        <f t="shared" si="4"/>
        <v>0</v>
      </c>
      <c r="K35" s="1029">
        <f t="shared" si="4"/>
        <v>0</v>
      </c>
      <c r="L35" s="1029"/>
      <c r="M35" s="832"/>
      <c r="N35" s="832"/>
      <c r="O35" s="832"/>
      <c r="P35" s="1029"/>
      <c r="Q35" s="832"/>
      <c r="R35" s="832"/>
      <c r="S35" s="832"/>
    </row>
    <row r="36" spans="1:19">
      <c r="A36" s="1055">
        <f t="shared" si="5"/>
        <v>5.0899999999999981</v>
      </c>
      <c r="B36" s="832"/>
      <c r="C36" s="1024">
        <f>SUM(M36:O36)</f>
        <v>0</v>
      </c>
      <c r="D36" s="1024">
        <f t="shared" si="7"/>
        <v>0</v>
      </c>
      <c r="E36" s="1024"/>
      <c r="F36" s="1024"/>
      <c r="G36" s="1024">
        <f>ROUND(SUM(C36:F36)/2,0)</f>
        <v>0</v>
      </c>
      <c r="H36" s="1024"/>
      <c r="I36" s="1024">
        <f t="shared" si="4"/>
        <v>0</v>
      </c>
      <c r="J36" s="1024">
        <f t="shared" si="4"/>
        <v>0</v>
      </c>
      <c r="K36" s="1024">
        <f t="shared" si="4"/>
        <v>0</v>
      </c>
      <c r="L36" s="1024"/>
      <c r="M36" s="832"/>
      <c r="N36" s="832"/>
      <c r="O36" s="832"/>
      <c r="P36" s="1024"/>
      <c r="Q36" s="832"/>
      <c r="R36" s="832"/>
      <c r="S36" s="832"/>
    </row>
    <row r="37" spans="1:19">
      <c r="A37" s="1055">
        <f t="shared" si="5"/>
        <v>5.0999999999999979</v>
      </c>
      <c r="B37" s="832"/>
      <c r="C37" s="1024">
        <f t="shared" si="6"/>
        <v>0</v>
      </c>
      <c r="D37" s="1024">
        <f t="shared" si="7"/>
        <v>0</v>
      </c>
      <c r="E37" s="1024"/>
      <c r="F37" s="1024"/>
      <c r="G37" s="1024">
        <f t="shared" si="3"/>
        <v>0</v>
      </c>
      <c r="H37" s="1024"/>
      <c r="I37" s="1024">
        <f t="shared" si="4"/>
        <v>0</v>
      </c>
      <c r="J37" s="1024">
        <f t="shared" si="4"/>
        <v>0</v>
      </c>
      <c r="K37" s="1024">
        <f t="shared" si="4"/>
        <v>0</v>
      </c>
      <c r="L37" s="1024"/>
      <c r="M37" s="832"/>
      <c r="N37" s="832"/>
      <c r="O37" s="832"/>
      <c r="P37" s="1024"/>
      <c r="Q37" s="832"/>
      <c r="R37" s="832"/>
      <c r="S37" s="832"/>
    </row>
    <row r="38" spans="1:19" hidden="1">
      <c r="A38" s="1055">
        <f t="shared" si="5"/>
        <v>5.1099999999999977</v>
      </c>
      <c r="B38" s="832"/>
      <c r="C38" s="1024">
        <f t="shared" si="6"/>
        <v>0</v>
      </c>
      <c r="D38" s="1024">
        <f t="shared" si="7"/>
        <v>0</v>
      </c>
      <c r="E38" s="1024"/>
      <c r="F38" s="1024"/>
      <c r="G38" s="1024">
        <f t="shared" si="3"/>
        <v>0</v>
      </c>
      <c r="H38" s="1024"/>
      <c r="I38" s="1024">
        <f t="shared" si="4"/>
        <v>0</v>
      </c>
      <c r="J38" s="1024">
        <f t="shared" si="4"/>
        <v>0</v>
      </c>
      <c r="K38" s="1024">
        <f t="shared" si="4"/>
        <v>0</v>
      </c>
      <c r="L38" s="1024"/>
      <c r="M38" s="832"/>
      <c r="N38" s="832"/>
      <c r="O38" s="832"/>
      <c r="P38" s="1024"/>
      <c r="Q38" s="832"/>
      <c r="R38" s="832"/>
      <c r="S38" s="832"/>
    </row>
    <row r="39" spans="1:19" hidden="1">
      <c r="A39" s="1055">
        <f t="shared" si="5"/>
        <v>5.1199999999999974</v>
      </c>
      <c r="B39" s="832"/>
      <c r="C39" s="1024">
        <f t="shared" si="6"/>
        <v>0</v>
      </c>
      <c r="D39" s="1024">
        <f t="shared" si="7"/>
        <v>0</v>
      </c>
      <c r="E39" s="1024"/>
      <c r="F39" s="1024"/>
      <c r="G39" s="1024">
        <f t="shared" si="3"/>
        <v>0</v>
      </c>
      <c r="H39" s="1024"/>
      <c r="I39" s="1024">
        <f t="shared" si="4"/>
        <v>0</v>
      </c>
      <c r="J39" s="1024">
        <f t="shared" si="4"/>
        <v>0</v>
      </c>
      <c r="K39" s="1024">
        <f t="shared" si="4"/>
        <v>0</v>
      </c>
      <c r="L39" s="1024"/>
      <c r="M39" s="832"/>
      <c r="N39" s="832"/>
      <c r="O39" s="832"/>
      <c r="P39" s="1024"/>
      <c r="Q39" s="832"/>
      <c r="R39" s="832"/>
      <c r="S39" s="832"/>
    </row>
    <row r="40" spans="1:19" hidden="1">
      <c r="A40" s="1055">
        <f t="shared" si="5"/>
        <v>5.1299999999999972</v>
      </c>
      <c r="B40" s="832"/>
      <c r="C40" s="1024">
        <f t="shared" si="1"/>
        <v>0</v>
      </c>
      <c r="D40" s="1024">
        <f t="shared" si="2"/>
        <v>0</v>
      </c>
      <c r="E40" s="1024"/>
      <c r="F40" s="1024"/>
      <c r="G40" s="1024">
        <f t="shared" si="3"/>
        <v>0</v>
      </c>
      <c r="H40" s="1024"/>
      <c r="I40" s="1024">
        <f t="shared" si="4"/>
        <v>0</v>
      </c>
      <c r="J40" s="1024">
        <f t="shared" si="4"/>
        <v>0</v>
      </c>
      <c r="K40" s="1024">
        <f t="shared" si="4"/>
        <v>0</v>
      </c>
      <c r="L40" s="1024"/>
      <c r="M40" s="832"/>
      <c r="N40" s="832"/>
      <c r="O40" s="832"/>
      <c r="P40" s="1024"/>
      <c r="Q40" s="832"/>
      <c r="R40" s="832"/>
      <c r="S40" s="832"/>
    </row>
    <row r="41" spans="1:19" hidden="1">
      <c r="A41" s="1055">
        <f t="shared" si="5"/>
        <v>5.139999999999997</v>
      </c>
      <c r="B41" s="832"/>
      <c r="C41" s="1024">
        <f t="shared" si="1"/>
        <v>0</v>
      </c>
      <c r="D41" s="1024">
        <f t="shared" si="2"/>
        <v>0</v>
      </c>
      <c r="E41" s="1024"/>
      <c r="F41" s="1024"/>
      <c r="G41" s="1024">
        <f t="shared" si="3"/>
        <v>0</v>
      </c>
      <c r="H41" s="1024"/>
      <c r="I41" s="1024">
        <f t="shared" si="4"/>
        <v>0</v>
      </c>
      <c r="J41" s="1024">
        <f t="shared" si="4"/>
        <v>0</v>
      </c>
      <c r="K41" s="1024">
        <f t="shared" si="4"/>
        <v>0</v>
      </c>
      <c r="L41" s="1024"/>
      <c r="M41" s="832"/>
      <c r="N41" s="832"/>
      <c r="O41" s="832"/>
      <c r="P41" s="1024"/>
      <c r="Q41" s="832"/>
      <c r="R41" s="832"/>
      <c r="S41" s="832"/>
    </row>
    <row r="42" spans="1:19" hidden="1">
      <c r="A42" s="1055">
        <f t="shared" si="5"/>
        <v>5.1499999999999968</v>
      </c>
      <c r="B42" s="832"/>
      <c r="C42" s="1024">
        <f t="shared" si="1"/>
        <v>0</v>
      </c>
      <c r="D42" s="1024">
        <f t="shared" si="2"/>
        <v>0</v>
      </c>
      <c r="E42" s="1024"/>
      <c r="F42" s="1024"/>
      <c r="G42" s="1024">
        <f t="shared" si="3"/>
        <v>0</v>
      </c>
      <c r="H42" s="1024"/>
      <c r="I42" s="1024">
        <f t="shared" si="4"/>
        <v>0</v>
      </c>
      <c r="J42" s="1024">
        <f t="shared" si="4"/>
        <v>0</v>
      </c>
      <c r="K42" s="1024">
        <f t="shared" si="4"/>
        <v>0</v>
      </c>
      <c r="L42" s="1024"/>
      <c r="M42" s="832"/>
      <c r="N42" s="832"/>
      <c r="O42" s="832"/>
      <c r="P42" s="1024"/>
      <c r="Q42" s="832"/>
      <c r="R42" s="832"/>
      <c r="S42" s="832"/>
    </row>
    <row r="43" spans="1:19" hidden="1">
      <c r="A43" s="1055">
        <f t="shared" si="5"/>
        <v>5.1599999999999966</v>
      </c>
      <c r="B43" s="832"/>
      <c r="C43" s="1024">
        <f t="shared" si="1"/>
        <v>0</v>
      </c>
      <c r="D43" s="1024">
        <f t="shared" si="2"/>
        <v>0</v>
      </c>
      <c r="E43" s="1024"/>
      <c r="F43" s="1024"/>
      <c r="G43" s="1024">
        <f t="shared" si="3"/>
        <v>0</v>
      </c>
      <c r="H43" s="1024"/>
      <c r="I43" s="1024">
        <f t="shared" si="4"/>
        <v>0</v>
      </c>
      <c r="J43" s="1024">
        <f t="shared" si="4"/>
        <v>0</v>
      </c>
      <c r="K43" s="1024">
        <f t="shared" si="4"/>
        <v>0</v>
      </c>
      <c r="L43" s="1024"/>
      <c r="M43" s="832"/>
      <c r="N43" s="832"/>
      <c r="O43" s="832"/>
      <c r="P43" s="1024"/>
      <c r="Q43" s="832"/>
      <c r="R43" s="832"/>
      <c r="S43" s="832"/>
    </row>
    <row r="44" spans="1:19" hidden="1">
      <c r="A44" s="1055">
        <f t="shared" si="5"/>
        <v>5.1699999999999964</v>
      </c>
      <c r="B44" s="832"/>
      <c r="C44" s="1024">
        <f t="shared" si="1"/>
        <v>0</v>
      </c>
      <c r="D44" s="1024">
        <f t="shared" si="2"/>
        <v>0</v>
      </c>
      <c r="E44" s="1024"/>
      <c r="F44" s="1024"/>
      <c r="G44" s="1024">
        <f t="shared" si="3"/>
        <v>0</v>
      </c>
      <c r="H44" s="1024"/>
      <c r="I44" s="1024">
        <f t="shared" si="4"/>
        <v>0</v>
      </c>
      <c r="J44" s="1024">
        <f t="shared" si="4"/>
        <v>0</v>
      </c>
      <c r="K44" s="1024">
        <f t="shared" si="4"/>
        <v>0</v>
      </c>
      <c r="L44" s="1024"/>
      <c r="M44" s="832"/>
      <c r="N44" s="832"/>
      <c r="O44" s="832"/>
      <c r="P44" s="1024"/>
      <c r="Q44" s="832"/>
      <c r="R44" s="832"/>
      <c r="S44" s="832"/>
    </row>
    <row r="45" spans="1:19" hidden="1">
      <c r="A45" s="1055">
        <f t="shared" si="5"/>
        <v>5.1799999999999962</v>
      </c>
      <c r="B45" s="832"/>
      <c r="C45" s="1024">
        <f t="shared" si="1"/>
        <v>0</v>
      </c>
      <c r="D45" s="1024">
        <f t="shared" si="2"/>
        <v>0</v>
      </c>
      <c r="E45" s="1024"/>
      <c r="F45" s="1024"/>
      <c r="G45" s="1024">
        <f t="shared" si="3"/>
        <v>0</v>
      </c>
      <c r="H45" s="1024"/>
      <c r="I45" s="1024">
        <f t="shared" si="4"/>
        <v>0</v>
      </c>
      <c r="J45" s="1024">
        <f t="shared" si="4"/>
        <v>0</v>
      </c>
      <c r="K45" s="1024">
        <f t="shared" si="4"/>
        <v>0</v>
      </c>
      <c r="L45" s="1024"/>
      <c r="M45" s="832"/>
      <c r="N45" s="832"/>
      <c r="O45" s="832"/>
      <c r="P45" s="1024"/>
      <c r="Q45" s="832"/>
      <c r="R45" s="832"/>
      <c r="S45" s="832"/>
    </row>
    <row r="46" spans="1:19" hidden="1">
      <c r="A46" s="1055">
        <f t="shared" si="5"/>
        <v>5.1899999999999959</v>
      </c>
      <c r="B46" s="832"/>
      <c r="C46" s="1024">
        <f t="shared" si="1"/>
        <v>0</v>
      </c>
      <c r="D46" s="1024">
        <f t="shared" si="2"/>
        <v>0</v>
      </c>
      <c r="E46" s="1024"/>
      <c r="F46" s="1024"/>
      <c r="G46" s="1024">
        <f t="shared" si="3"/>
        <v>0</v>
      </c>
      <c r="H46" s="1024"/>
      <c r="I46" s="1024">
        <f t="shared" si="4"/>
        <v>0</v>
      </c>
      <c r="J46" s="1024">
        <f t="shared" si="4"/>
        <v>0</v>
      </c>
      <c r="K46" s="1024">
        <f t="shared" si="4"/>
        <v>0</v>
      </c>
      <c r="L46" s="1024"/>
      <c r="M46" s="832"/>
      <c r="N46" s="832"/>
      <c r="O46" s="832"/>
      <c r="P46" s="1024"/>
      <c r="Q46" s="832"/>
      <c r="R46" s="832"/>
      <c r="S46" s="832"/>
    </row>
    <row r="47" spans="1:19" hidden="1">
      <c r="A47" s="1055">
        <f t="shared" si="5"/>
        <v>5.1999999999999957</v>
      </c>
      <c r="B47" s="832"/>
      <c r="C47" s="1024">
        <f t="shared" si="1"/>
        <v>0</v>
      </c>
      <c r="D47" s="1024">
        <f t="shared" si="2"/>
        <v>0</v>
      </c>
      <c r="E47" s="1024"/>
      <c r="F47" s="1024"/>
      <c r="G47" s="1024">
        <f t="shared" si="3"/>
        <v>0</v>
      </c>
      <c r="H47" s="1024"/>
      <c r="I47" s="1024">
        <f t="shared" si="4"/>
        <v>0</v>
      </c>
      <c r="J47" s="1024">
        <f t="shared" si="4"/>
        <v>0</v>
      </c>
      <c r="K47" s="1024">
        <f t="shared" si="4"/>
        <v>0</v>
      </c>
      <c r="L47" s="1024"/>
      <c r="M47" s="832"/>
      <c r="N47" s="832"/>
      <c r="O47" s="832"/>
      <c r="P47" s="1024"/>
      <c r="Q47" s="832"/>
      <c r="R47" s="832"/>
      <c r="S47" s="832"/>
    </row>
    <row r="48" spans="1:19" hidden="1">
      <c r="A48" s="1055">
        <f t="shared" si="5"/>
        <v>5.2099999999999955</v>
      </c>
      <c r="B48" s="832"/>
      <c r="C48" s="1024">
        <f t="shared" si="1"/>
        <v>0</v>
      </c>
      <c r="D48" s="1024">
        <f t="shared" si="2"/>
        <v>0</v>
      </c>
      <c r="E48" s="1024"/>
      <c r="F48" s="1024"/>
      <c r="G48" s="1024">
        <f t="shared" si="3"/>
        <v>0</v>
      </c>
      <c r="H48" s="1024"/>
      <c r="I48" s="1024">
        <f t="shared" si="4"/>
        <v>0</v>
      </c>
      <c r="J48" s="1024">
        <f t="shared" si="4"/>
        <v>0</v>
      </c>
      <c r="K48" s="1024">
        <f t="shared" si="4"/>
        <v>0</v>
      </c>
      <c r="L48" s="1024"/>
      <c r="M48" s="832"/>
      <c r="N48" s="832"/>
      <c r="O48" s="832"/>
      <c r="P48" s="1024"/>
      <c r="Q48" s="832"/>
      <c r="R48" s="832"/>
      <c r="S48" s="832"/>
    </row>
    <row r="49" spans="1:19" hidden="1">
      <c r="A49" s="1055">
        <f t="shared" si="5"/>
        <v>5.2199999999999953</v>
      </c>
      <c r="B49" s="832"/>
      <c r="C49" s="1024">
        <f t="shared" ref="C49:C55" si="8">SUM(M49:O49)</f>
        <v>0</v>
      </c>
      <c r="D49" s="1024">
        <f t="shared" ref="D49:D55" si="9">SUM(Q49:S49)</f>
        <v>0</v>
      </c>
      <c r="E49" s="1024"/>
      <c r="F49" s="1024"/>
      <c r="G49" s="1024">
        <f t="shared" si="3"/>
        <v>0</v>
      </c>
      <c r="H49" s="1024"/>
      <c r="I49" s="1024">
        <f t="shared" si="4"/>
        <v>0</v>
      </c>
      <c r="J49" s="1024">
        <f t="shared" si="4"/>
        <v>0</v>
      </c>
      <c r="K49" s="1024">
        <f t="shared" si="4"/>
        <v>0</v>
      </c>
      <c r="L49" s="1024"/>
      <c r="M49" s="832"/>
      <c r="N49" s="832"/>
      <c r="O49" s="832"/>
      <c r="P49" s="1024"/>
      <c r="Q49" s="832"/>
      <c r="R49" s="832"/>
      <c r="S49" s="832"/>
    </row>
    <row r="50" spans="1:19" hidden="1">
      <c r="A50" s="1055">
        <f t="shared" si="5"/>
        <v>5.2299999999999951</v>
      </c>
      <c r="B50" s="832"/>
      <c r="C50" s="1024">
        <f t="shared" si="8"/>
        <v>0</v>
      </c>
      <c r="D50" s="1024">
        <f t="shared" si="9"/>
        <v>0</v>
      </c>
      <c r="E50" s="1024"/>
      <c r="F50" s="1024"/>
      <c r="G50" s="1024">
        <f t="shared" si="3"/>
        <v>0</v>
      </c>
      <c r="H50" s="1024"/>
      <c r="I50" s="1024">
        <f t="shared" si="4"/>
        <v>0</v>
      </c>
      <c r="J50" s="1024">
        <f t="shared" si="4"/>
        <v>0</v>
      </c>
      <c r="K50" s="1024">
        <f t="shared" si="4"/>
        <v>0</v>
      </c>
      <c r="L50" s="1024"/>
      <c r="M50" s="832"/>
      <c r="N50" s="832"/>
      <c r="O50" s="832"/>
      <c r="P50" s="1024"/>
      <c r="Q50" s="832"/>
      <c r="R50" s="832"/>
      <c r="S50" s="832"/>
    </row>
    <row r="51" spans="1:19" hidden="1">
      <c r="A51" s="1055">
        <f t="shared" si="5"/>
        <v>5.2399999999999949</v>
      </c>
      <c r="B51" s="832"/>
      <c r="C51" s="1024">
        <f t="shared" si="8"/>
        <v>0</v>
      </c>
      <c r="D51" s="1024">
        <f t="shared" si="9"/>
        <v>0</v>
      </c>
      <c r="E51" s="1024"/>
      <c r="F51" s="1024"/>
      <c r="G51" s="1024">
        <f>ROUND(SUM(C51:F51)/2,0)</f>
        <v>0</v>
      </c>
      <c r="H51" s="1024"/>
      <c r="I51" s="1024">
        <f t="shared" si="4"/>
        <v>0</v>
      </c>
      <c r="J51" s="1024">
        <f t="shared" si="4"/>
        <v>0</v>
      </c>
      <c r="K51" s="1024">
        <f t="shared" si="4"/>
        <v>0</v>
      </c>
      <c r="L51" s="1024"/>
      <c r="M51" s="832"/>
      <c r="N51" s="832"/>
      <c r="O51" s="832"/>
      <c r="P51" s="1024"/>
      <c r="Q51" s="832"/>
      <c r="R51" s="832"/>
      <c r="S51" s="832"/>
    </row>
    <row r="52" spans="1:19" hidden="1">
      <c r="A52" s="1055">
        <f t="shared" si="5"/>
        <v>5.2499999999999947</v>
      </c>
      <c r="B52" s="832"/>
      <c r="C52" s="1024">
        <f t="shared" si="8"/>
        <v>0</v>
      </c>
      <c r="D52" s="1024">
        <f t="shared" si="9"/>
        <v>0</v>
      </c>
      <c r="E52" s="1024"/>
      <c r="F52" s="1024"/>
      <c r="G52" s="1024">
        <f>ROUND(SUM(C52:F52)/2,0)</f>
        <v>0</v>
      </c>
      <c r="H52" s="1024"/>
      <c r="I52" s="1024">
        <f t="shared" si="4"/>
        <v>0</v>
      </c>
      <c r="J52" s="1024">
        <f t="shared" si="4"/>
        <v>0</v>
      </c>
      <c r="K52" s="1024">
        <f t="shared" si="4"/>
        <v>0</v>
      </c>
      <c r="L52" s="1024"/>
      <c r="M52" s="832"/>
      <c r="N52" s="832"/>
      <c r="O52" s="832"/>
      <c r="P52" s="1024"/>
      <c r="Q52" s="832"/>
      <c r="R52" s="832"/>
      <c r="S52" s="832"/>
    </row>
    <row r="53" spans="1:19" hidden="1">
      <c r="A53" s="1055">
        <f t="shared" si="5"/>
        <v>5.2599999999999945</v>
      </c>
      <c r="B53" s="832"/>
      <c r="C53" s="1024">
        <f t="shared" si="8"/>
        <v>0</v>
      </c>
      <c r="D53" s="1024">
        <f t="shared" si="9"/>
        <v>0</v>
      </c>
      <c r="E53" s="1024"/>
      <c r="F53" s="1024"/>
      <c r="G53" s="1024">
        <f>ROUND(SUM(C53:F53)/2,0)</f>
        <v>0</v>
      </c>
      <c r="H53" s="1024"/>
      <c r="I53" s="1024">
        <f t="shared" si="4"/>
        <v>0</v>
      </c>
      <c r="J53" s="1024">
        <f t="shared" si="4"/>
        <v>0</v>
      </c>
      <c r="K53" s="1024">
        <f t="shared" si="4"/>
        <v>0</v>
      </c>
      <c r="L53" s="1024"/>
      <c r="M53" s="832"/>
      <c r="N53" s="832"/>
      <c r="O53" s="832"/>
      <c r="P53" s="1024"/>
      <c r="Q53" s="832"/>
      <c r="R53" s="832"/>
      <c r="S53" s="832"/>
    </row>
    <row r="54" spans="1:19" hidden="1">
      <c r="A54" s="1055">
        <f t="shared" si="5"/>
        <v>5.2699999999999942</v>
      </c>
      <c r="B54" s="832"/>
      <c r="C54" s="1024">
        <f t="shared" si="8"/>
        <v>0</v>
      </c>
      <c r="D54" s="1024">
        <f t="shared" si="9"/>
        <v>0</v>
      </c>
      <c r="E54" s="1024"/>
      <c r="F54" s="1024"/>
      <c r="G54" s="1024">
        <f>ROUND(SUM(C54:F54)/2,0)</f>
        <v>0</v>
      </c>
      <c r="H54" s="1024"/>
      <c r="I54" s="1024">
        <f t="shared" si="4"/>
        <v>0</v>
      </c>
      <c r="J54" s="1024">
        <f t="shared" si="4"/>
        <v>0</v>
      </c>
      <c r="K54" s="1024">
        <f t="shared" si="4"/>
        <v>0</v>
      </c>
      <c r="L54" s="1024"/>
      <c r="M54" s="832"/>
      <c r="N54" s="832"/>
      <c r="O54" s="832"/>
      <c r="P54" s="1024"/>
      <c r="Q54" s="832"/>
      <c r="R54" s="832"/>
      <c r="S54" s="832"/>
    </row>
    <row r="55" spans="1:19" hidden="1">
      <c r="A55" s="1055">
        <f t="shared" si="5"/>
        <v>5.279999999999994</v>
      </c>
      <c r="B55" s="832"/>
      <c r="C55" s="1024">
        <f t="shared" si="8"/>
        <v>0</v>
      </c>
      <c r="D55" s="1024">
        <f t="shared" si="9"/>
        <v>0</v>
      </c>
      <c r="E55" s="1024"/>
      <c r="F55" s="1024"/>
      <c r="G55" s="1024">
        <f>ROUND(SUM(C55:F55)/2,0)</f>
        <v>0</v>
      </c>
      <c r="H55" s="1024"/>
      <c r="I55" s="1024">
        <f t="shared" si="4"/>
        <v>0</v>
      </c>
      <c r="J55" s="1024">
        <f t="shared" si="4"/>
        <v>0</v>
      </c>
      <c r="K55" s="1024">
        <f t="shared" si="4"/>
        <v>0</v>
      </c>
      <c r="L55" s="1024"/>
      <c r="M55" s="832"/>
      <c r="N55" s="832"/>
      <c r="O55" s="832"/>
      <c r="P55" s="1024"/>
      <c r="Q55" s="832"/>
      <c r="R55" s="832"/>
      <c r="S55" s="832"/>
    </row>
    <row r="56" spans="1:19" hidden="1">
      <c r="A56" s="1055">
        <f t="shared" si="5"/>
        <v>5.2899999999999938</v>
      </c>
      <c r="B56" s="832"/>
      <c r="C56" s="1024">
        <f t="shared" si="1"/>
        <v>0</v>
      </c>
      <c r="D56" s="1024">
        <f t="shared" si="2"/>
        <v>0</v>
      </c>
      <c r="E56" s="1024"/>
      <c r="F56" s="1024"/>
      <c r="G56" s="1024">
        <f t="shared" ref="G56:G68" si="10">ROUND(SUM(C56:F56)/2,0)</f>
        <v>0</v>
      </c>
      <c r="H56" s="1024"/>
      <c r="I56" s="1024">
        <f t="shared" si="4"/>
        <v>0</v>
      </c>
      <c r="J56" s="1024">
        <f t="shared" si="4"/>
        <v>0</v>
      </c>
      <c r="K56" s="1024">
        <f t="shared" si="4"/>
        <v>0</v>
      </c>
      <c r="L56" s="1024"/>
      <c r="M56" s="832"/>
      <c r="N56" s="832"/>
      <c r="O56" s="832"/>
      <c r="P56" s="1024"/>
      <c r="Q56" s="832"/>
      <c r="R56" s="832"/>
      <c r="S56" s="832"/>
    </row>
    <row r="57" spans="1:19" hidden="1">
      <c r="A57" s="1055">
        <f t="shared" si="5"/>
        <v>5.2999999999999936</v>
      </c>
      <c r="B57" s="832"/>
      <c r="C57" s="1024">
        <f t="shared" si="1"/>
        <v>0</v>
      </c>
      <c r="D57" s="1024">
        <f t="shared" si="2"/>
        <v>0</v>
      </c>
      <c r="E57" s="1024"/>
      <c r="F57" s="1024"/>
      <c r="G57" s="1024">
        <f t="shared" si="10"/>
        <v>0</v>
      </c>
      <c r="H57" s="1024"/>
      <c r="I57" s="1024">
        <f t="shared" si="4"/>
        <v>0</v>
      </c>
      <c r="J57" s="1024">
        <f t="shared" si="4"/>
        <v>0</v>
      </c>
      <c r="K57" s="1024">
        <f t="shared" si="4"/>
        <v>0</v>
      </c>
      <c r="L57" s="1024"/>
      <c r="M57" s="832"/>
      <c r="N57" s="832"/>
      <c r="O57" s="832"/>
      <c r="P57" s="1024"/>
      <c r="Q57" s="832"/>
      <c r="R57" s="832"/>
      <c r="S57" s="832"/>
    </row>
    <row r="58" spans="1:19" hidden="1">
      <c r="A58" s="1055">
        <f t="shared" si="5"/>
        <v>5.3099999999999934</v>
      </c>
      <c r="B58" s="832"/>
      <c r="C58" s="1024">
        <f>SUM(M58:O58)</f>
        <v>0</v>
      </c>
      <c r="D58" s="1024">
        <f>SUM(Q58:S58)</f>
        <v>0</v>
      </c>
      <c r="E58" s="1024"/>
      <c r="F58" s="1024"/>
      <c r="G58" s="1024">
        <f>ROUND(SUM(C58:F58)/2,0)</f>
        <v>0</v>
      </c>
      <c r="H58" s="1024"/>
      <c r="I58" s="1024">
        <f t="shared" si="4"/>
        <v>0</v>
      </c>
      <c r="J58" s="1024">
        <f t="shared" si="4"/>
        <v>0</v>
      </c>
      <c r="K58" s="1024">
        <f t="shared" si="4"/>
        <v>0</v>
      </c>
      <c r="L58" s="1024"/>
      <c r="M58" s="832"/>
      <c r="N58" s="832"/>
      <c r="O58" s="832"/>
      <c r="P58" s="1024"/>
      <c r="Q58" s="832"/>
      <c r="R58" s="832"/>
      <c r="S58" s="832"/>
    </row>
    <row r="59" spans="1:19" hidden="1">
      <c r="A59" s="1055">
        <f t="shared" si="5"/>
        <v>5.3199999999999932</v>
      </c>
      <c r="B59" s="832"/>
      <c r="C59" s="1024">
        <f t="shared" si="1"/>
        <v>0</v>
      </c>
      <c r="D59" s="1024">
        <f t="shared" si="2"/>
        <v>0</v>
      </c>
      <c r="E59" s="1024"/>
      <c r="F59" s="1024"/>
      <c r="G59" s="1024">
        <f t="shared" si="10"/>
        <v>0</v>
      </c>
      <c r="H59" s="1024"/>
      <c r="I59" s="1024">
        <f t="shared" si="4"/>
        <v>0</v>
      </c>
      <c r="J59" s="1024">
        <f t="shared" si="4"/>
        <v>0</v>
      </c>
      <c r="K59" s="1024">
        <f t="shared" si="4"/>
        <v>0</v>
      </c>
      <c r="L59" s="1024"/>
      <c r="M59" s="832"/>
      <c r="N59" s="832"/>
      <c r="O59" s="832"/>
      <c r="P59" s="1024"/>
      <c r="Q59" s="832"/>
      <c r="R59" s="832"/>
      <c r="S59" s="832"/>
    </row>
    <row r="60" spans="1:19" hidden="1">
      <c r="A60" s="1055">
        <f t="shared" si="5"/>
        <v>5.329999999999993</v>
      </c>
      <c r="B60" s="832"/>
      <c r="C60" s="1024">
        <f t="shared" si="1"/>
        <v>0</v>
      </c>
      <c r="D60" s="1024">
        <f t="shared" si="2"/>
        <v>0</v>
      </c>
      <c r="E60" s="1024"/>
      <c r="F60" s="1024"/>
      <c r="G60" s="1024">
        <f t="shared" si="10"/>
        <v>0</v>
      </c>
      <c r="H60" s="1024"/>
      <c r="I60" s="1024">
        <f t="shared" si="4"/>
        <v>0</v>
      </c>
      <c r="J60" s="1024">
        <f t="shared" si="4"/>
        <v>0</v>
      </c>
      <c r="K60" s="1024">
        <f t="shared" si="4"/>
        <v>0</v>
      </c>
      <c r="L60" s="1024"/>
      <c r="M60" s="832"/>
      <c r="N60" s="832"/>
      <c r="O60" s="832"/>
      <c r="P60" s="1024"/>
      <c r="Q60" s="832"/>
      <c r="R60" s="832"/>
      <c r="S60" s="832"/>
    </row>
    <row r="61" spans="1:19" hidden="1">
      <c r="A61" s="1055">
        <f t="shared" si="5"/>
        <v>5.3399999999999928</v>
      </c>
      <c r="B61" s="832"/>
      <c r="C61" s="1029">
        <f>SUM(M61:O61)</f>
        <v>0</v>
      </c>
      <c r="D61" s="1029">
        <f>SUM(Q61:S61)</f>
        <v>0</v>
      </c>
      <c r="E61" s="1029"/>
      <c r="F61" s="1029"/>
      <c r="G61" s="1029">
        <f>ROUND(SUM(C61:F61)/2,0)</f>
        <v>0</v>
      </c>
      <c r="H61" s="1029"/>
      <c r="I61" s="1029">
        <f t="shared" si="4"/>
        <v>0</v>
      </c>
      <c r="J61" s="1029">
        <f t="shared" si="4"/>
        <v>0</v>
      </c>
      <c r="K61" s="1029">
        <f t="shared" si="4"/>
        <v>0</v>
      </c>
      <c r="L61" s="1029"/>
      <c r="M61" s="832"/>
      <c r="N61" s="832"/>
      <c r="O61" s="832"/>
      <c r="P61" s="1029"/>
      <c r="Q61" s="832"/>
      <c r="R61" s="832"/>
      <c r="S61" s="832"/>
    </row>
    <row r="62" spans="1:19" hidden="1">
      <c r="A62" s="1055">
        <f t="shared" si="5"/>
        <v>5.3499999999999925</v>
      </c>
      <c r="B62" s="832"/>
      <c r="C62" s="1029">
        <f t="shared" si="1"/>
        <v>0</v>
      </c>
      <c r="D62" s="1029">
        <f t="shared" si="2"/>
        <v>0</v>
      </c>
      <c r="E62" s="1029"/>
      <c r="F62" s="1029"/>
      <c r="G62" s="1029">
        <f t="shared" si="10"/>
        <v>0</v>
      </c>
      <c r="H62" s="1029"/>
      <c r="I62" s="1029">
        <f t="shared" si="4"/>
        <v>0</v>
      </c>
      <c r="J62" s="1029">
        <f t="shared" si="4"/>
        <v>0</v>
      </c>
      <c r="K62" s="1029">
        <f t="shared" si="4"/>
        <v>0</v>
      </c>
      <c r="L62" s="1029"/>
      <c r="M62" s="832"/>
      <c r="N62" s="832"/>
      <c r="O62" s="832"/>
      <c r="P62" s="1029"/>
      <c r="Q62" s="832"/>
      <c r="R62" s="832"/>
      <c r="S62" s="832"/>
    </row>
    <row r="63" spans="1:19" hidden="1">
      <c r="A63" s="1055">
        <f t="shared" si="5"/>
        <v>5.3599999999999923</v>
      </c>
      <c r="B63" s="832"/>
      <c r="C63" s="1024">
        <f t="shared" si="1"/>
        <v>0</v>
      </c>
      <c r="D63" s="1024">
        <f t="shared" si="2"/>
        <v>0</v>
      </c>
      <c r="E63" s="1024"/>
      <c r="F63" s="1024"/>
      <c r="G63" s="1024">
        <f t="shared" si="10"/>
        <v>0</v>
      </c>
      <c r="H63" s="1024"/>
      <c r="I63" s="1024">
        <f t="shared" si="4"/>
        <v>0</v>
      </c>
      <c r="J63" s="1024">
        <f t="shared" si="4"/>
        <v>0</v>
      </c>
      <c r="K63" s="1024">
        <f t="shared" si="4"/>
        <v>0</v>
      </c>
      <c r="L63" s="1024"/>
      <c r="M63" s="832"/>
      <c r="N63" s="832"/>
      <c r="O63" s="832"/>
      <c r="P63" s="1024"/>
      <c r="Q63" s="832"/>
      <c r="R63" s="832"/>
      <c r="S63" s="832"/>
    </row>
    <row r="64" spans="1:19" hidden="1">
      <c r="A64" s="1055">
        <f t="shared" si="5"/>
        <v>5.3699999999999921</v>
      </c>
      <c r="B64" s="832"/>
      <c r="C64" s="1024">
        <f t="shared" si="1"/>
        <v>0</v>
      </c>
      <c r="D64" s="1024">
        <f t="shared" si="2"/>
        <v>0</v>
      </c>
      <c r="E64" s="1024"/>
      <c r="F64" s="1024"/>
      <c r="G64" s="1024">
        <f t="shared" si="10"/>
        <v>0</v>
      </c>
      <c r="H64" s="1024"/>
      <c r="I64" s="1024">
        <f t="shared" si="4"/>
        <v>0</v>
      </c>
      <c r="J64" s="1024">
        <f t="shared" si="4"/>
        <v>0</v>
      </c>
      <c r="K64" s="1024">
        <f t="shared" si="4"/>
        <v>0</v>
      </c>
      <c r="L64" s="1024"/>
      <c r="M64" s="832"/>
      <c r="N64" s="832"/>
      <c r="O64" s="832"/>
      <c r="P64" s="1024"/>
      <c r="Q64" s="832"/>
      <c r="R64" s="832"/>
      <c r="S64" s="832"/>
    </row>
    <row r="65" spans="1:19">
      <c r="A65" s="1055">
        <f t="shared" si="5"/>
        <v>5.3799999999999919</v>
      </c>
      <c r="B65" s="832"/>
      <c r="C65" s="1024">
        <f>SUM(M65:O65)</f>
        <v>0</v>
      </c>
      <c r="D65" s="1024">
        <f>SUM(Q65:S65)</f>
        <v>0</v>
      </c>
      <c r="E65" s="1024"/>
      <c r="F65" s="1024"/>
      <c r="G65" s="1024">
        <f>ROUND(SUM(C65:F65)/2,0)</f>
        <v>0</v>
      </c>
      <c r="H65" s="1024"/>
      <c r="I65" s="1024">
        <f t="shared" si="4"/>
        <v>0</v>
      </c>
      <c r="J65" s="1024">
        <f t="shared" si="4"/>
        <v>0</v>
      </c>
      <c r="K65" s="1024">
        <f t="shared" si="4"/>
        <v>0</v>
      </c>
      <c r="L65" s="1024"/>
      <c r="M65" s="832"/>
      <c r="N65" s="832"/>
      <c r="O65" s="832"/>
      <c r="P65" s="1024"/>
      <c r="Q65" s="832"/>
      <c r="R65" s="832"/>
      <c r="S65" s="832"/>
    </row>
    <row r="66" spans="1:19">
      <c r="A66" s="1055">
        <f t="shared" si="5"/>
        <v>5.3899999999999917</v>
      </c>
      <c r="B66" s="832"/>
      <c r="C66" s="832"/>
      <c r="D66" s="832"/>
      <c r="E66" s="1024">
        <f t="shared" ref="E66:F68" si="11">-C66</f>
        <v>0</v>
      </c>
      <c r="F66" s="1024">
        <f t="shared" si="11"/>
        <v>0</v>
      </c>
      <c r="G66" s="1024">
        <f t="shared" si="10"/>
        <v>0</v>
      </c>
      <c r="H66" s="1024"/>
      <c r="I66" s="1024"/>
      <c r="J66" s="1024"/>
      <c r="K66" s="1024"/>
      <c r="L66" s="1024"/>
      <c r="M66" s="1024"/>
      <c r="N66" s="1024"/>
      <c r="O66" s="1024"/>
      <c r="P66" s="1024"/>
      <c r="Q66" s="1024"/>
      <c r="R66" s="1024"/>
      <c r="S66" s="1024"/>
    </row>
    <row r="67" spans="1:19">
      <c r="A67" s="1055">
        <f t="shared" si="5"/>
        <v>5.3999999999999915</v>
      </c>
      <c r="B67" s="832"/>
      <c r="C67" s="832"/>
      <c r="D67" s="832"/>
      <c r="E67" s="1024">
        <f t="shared" si="11"/>
        <v>0</v>
      </c>
      <c r="F67" s="1024">
        <f t="shared" si="11"/>
        <v>0</v>
      </c>
      <c r="G67" s="1024">
        <f t="shared" si="10"/>
        <v>0</v>
      </c>
      <c r="H67" s="1024"/>
      <c r="I67" s="1024"/>
      <c r="J67" s="1024"/>
      <c r="K67" s="1024"/>
      <c r="L67" s="1024"/>
      <c r="M67" s="1024"/>
      <c r="N67" s="1024"/>
      <c r="O67" s="1024"/>
      <c r="P67" s="1024"/>
      <c r="Q67" s="1024"/>
      <c r="R67" s="1024"/>
      <c r="S67" s="1024"/>
    </row>
    <row r="68" spans="1:19">
      <c r="A68" s="1055">
        <f t="shared" si="5"/>
        <v>5.4099999999999913</v>
      </c>
      <c r="B68" s="832"/>
      <c r="C68" s="832"/>
      <c r="D68" s="832"/>
      <c r="E68" s="1024">
        <f t="shared" si="11"/>
        <v>0</v>
      </c>
      <c r="F68" s="1024">
        <f t="shared" si="11"/>
        <v>0</v>
      </c>
      <c r="G68" s="1024">
        <f t="shared" si="10"/>
        <v>0</v>
      </c>
      <c r="H68" s="1024"/>
      <c r="I68" s="1024"/>
      <c r="J68" s="1024"/>
      <c r="K68" s="1024"/>
      <c r="L68" s="1024"/>
      <c r="M68" s="1024"/>
      <c r="N68" s="1024"/>
      <c r="O68" s="1024"/>
      <c r="P68" s="1024"/>
      <c r="Q68" s="1024"/>
      <c r="R68" s="1024"/>
      <c r="S68" s="1024"/>
    </row>
    <row r="69" spans="1:19">
      <c r="A69"/>
    </row>
    <row r="70" spans="1:19">
      <c r="A70" s="1035"/>
      <c r="B70" s="1014"/>
      <c r="C70" s="1024"/>
      <c r="D70" s="1024"/>
      <c r="E70" s="1024"/>
      <c r="F70" s="1024"/>
      <c r="G70" s="1024"/>
      <c r="H70" s="1024"/>
      <c r="I70" s="1024"/>
      <c r="J70" s="1024"/>
      <c r="K70" s="1024"/>
      <c r="L70" s="1024"/>
      <c r="M70" s="1024"/>
      <c r="N70" s="1024"/>
      <c r="O70" s="1024"/>
      <c r="P70" s="1024"/>
      <c r="Q70" s="1024"/>
      <c r="R70" s="1024"/>
      <c r="S70" s="1024"/>
    </row>
    <row r="71" spans="1:19" ht="13.5" thickBot="1">
      <c r="A71" s="1035">
        <v>6</v>
      </c>
      <c r="B71" s="1015" t="s">
        <v>727</v>
      </c>
      <c r="C71" s="1027">
        <f>SUM(C28:C70)</f>
        <v>0</v>
      </c>
      <c r="D71" s="1027">
        <f>SUM(D28:D70)</f>
        <v>0</v>
      </c>
      <c r="E71" s="1027">
        <f>SUM(E28:E70)</f>
        <v>0</v>
      </c>
      <c r="F71" s="1027">
        <f>SUM(F28:F70)</f>
        <v>0</v>
      </c>
      <c r="G71" s="1027">
        <f>SUM(G28:G70)</f>
        <v>0</v>
      </c>
      <c r="H71" s="1024"/>
      <c r="I71" s="1027">
        <f>SUM(I28:I70)</f>
        <v>0</v>
      </c>
      <c r="J71" s="1027">
        <f>SUM(J28:J70)</f>
        <v>0</v>
      </c>
      <c r="K71" s="1027">
        <f>SUM(K28:K70)</f>
        <v>0</v>
      </c>
      <c r="L71" s="1024"/>
      <c r="M71" s="1027">
        <f>SUM(M28:M70)</f>
        <v>0</v>
      </c>
      <c r="N71" s="1027">
        <f>SUM(N28:N70)</f>
        <v>0</v>
      </c>
      <c r="O71" s="1027">
        <f>SUM(O28:O70)</f>
        <v>0</v>
      </c>
      <c r="P71" s="1024"/>
      <c r="Q71" s="1027">
        <f>SUM(Q28:Q70)</f>
        <v>0</v>
      </c>
      <c r="R71" s="1027">
        <f>SUM(R28:R70)</f>
        <v>0</v>
      </c>
      <c r="S71" s="1027">
        <f>SUM(S28:S70)</f>
        <v>0</v>
      </c>
    </row>
    <row r="72" spans="1:19" ht="13.5" thickTop="1">
      <c r="A72" s="1035">
        <f>A71+1</f>
        <v>7</v>
      </c>
      <c r="B72" s="1102" t="s">
        <v>740</v>
      </c>
      <c r="C72" s="1028">
        <f>SUM(C34,C35,C61,C62)</f>
        <v>0</v>
      </c>
      <c r="D72" s="1028">
        <f>SUM(D34,D35,D61,D62)</f>
        <v>0</v>
      </c>
      <c r="E72" s="1028">
        <f>SUM(E34,E35,E61,E62)</f>
        <v>0</v>
      </c>
      <c r="F72" s="1028">
        <f>SUM(F34,F35,F61,F62)</f>
        <v>0</v>
      </c>
      <c r="G72" s="1028">
        <f>SUM(G34,G35,G61,G62)</f>
        <v>0</v>
      </c>
      <c r="H72" s="1024"/>
      <c r="I72" s="1028">
        <f>SUM(I34,I35,I61,I62)</f>
        <v>0</v>
      </c>
      <c r="J72" s="1028">
        <f>SUM(J34,J35,J61,J62)</f>
        <v>0</v>
      </c>
      <c r="K72" s="1028">
        <f>SUM(K34,K35,K61,K62)</f>
        <v>0</v>
      </c>
      <c r="L72" s="1028"/>
      <c r="M72" s="1028">
        <f>SUM(M34,M35,M61,M62)</f>
        <v>0</v>
      </c>
      <c r="N72" s="1028">
        <f>SUM(N34,N35,N61,N62)</f>
        <v>0</v>
      </c>
      <c r="O72" s="1028">
        <f>SUM(O34,O35,O61,O62)</f>
        <v>0</v>
      </c>
      <c r="P72" s="1024"/>
      <c r="Q72" s="1028">
        <f>SUM(Q34,Q35,Q61,Q62)</f>
        <v>0</v>
      </c>
      <c r="R72" s="1028">
        <f>SUM(R34,R35,R61,R62)</f>
        <v>0</v>
      </c>
      <c r="S72" s="1028">
        <f>SUM(S34,S35,S61,S62)</f>
        <v>0</v>
      </c>
    </row>
    <row r="73" spans="1:19">
      <c r="A73" s="1035"/>
      <c r="B73" s="1015"/>
      <c r="C73" s="1024"/>
      <c r="D73" s="1030"/>
      <c r="E73" s="1024"/>
      <c r="F73" s="1024"/>
      <c r="G73" s="1024"/>
      <c r="H73" s="1024"/>
      <c r="I73" s="1024"/>
      <c r="J73" s="1024"/>
      <c r="K73" s="1024"/>
      <c r="L73" s="1024"/>
      <c r="M73" s="1024"/>
      <c r="N73" s="1024"/>
      <c r="O73" s="1024"/>
      <c r="P73" s="1024"/>
      <c r="Q73" s="1024"/>
      <c r="R73" s="1024"/>
      <c r="S73" s="1024"/>
    </row>
    <row r="74" spans="1:19">
      <c r="A74" s="1035">
        <v>8</v>
      </c>
      <c r="B74" s="239" t="s">
        <v>728</v>
      </c>
      <c r="C74" s="1024" t="s">
        <v>114</v>
      </c>
      <c r="D74" s="1024"/>
      <c r="E74" s="1024"/>
      <c r="F74" s="1024"/>
      <c r="G74" s="1024"/>
      <c r="H74" s="1024"/>
      <c r="I74" s="1024"/>
      <c r="J74" s="1024"/>
      <c r="K74" s="1024"/>
      <c r="L74" s="1024"/>
      <c r="M74" s="1024"/>
      <c r="N74" s="1024"/>
      <c r="O74" s="1024"/>
      <c r="P74" s="1024"/>
      <c r="Q74" s="1024"/>
      <c r="R74" s="1024"/>
      <c r="S74" s="1024"/>
    </row>
    <row r="75" spans="1:19">
      <c r="A75" s="1035"/>
      <c r="B75" s="1014"/>
      <c r="C75" s="1024"/>
      <c r="D75" s="1024"/>
      <c r="E75" s="1024"/>
      <c r="F75" s="1024"/>
      <c r="G75" s="1024"/>
      <c r="H75" s="1024"/>
      <c r="I75" s="1024"/>
      <c r="J75" s="1024"/>
      <c r="K75" s="1024"/>
      <c r="L75" s="1024"/>
      <c r="M75" s="1024"/>
      <c r="N75" s="1024"/>
      <c r="O75" s="1024"/>
      <c r="P75" s="1024"/>
      <c r="Q75" s="1024"/>
      <c r="R75" s="1024"/>
      <c r="S75" s="1024"/>
    </row>
    <row r="76" spans="1:19">
      <c r="A76" s="1055">
        <v>9.01</v>
      </c>
      <c r="B76" s="832"/>
      <c r="C76" s="1024">
        <f>SUM(M76:O76)</f>
        <v>0</v>
      </c>
      <c r="D76" s="1024">
        <f t="shared" ref="D76:D139" si="12">SUM(Q76:S76)</f>
        <v>0</v>
      </c>
      <c r="E76" s="1024"/>
      <c r="F76" s="1024"/>
      <c r="G76" s="1024">
        <f t="shared" ref="G76:G130" si="13">ROUND(SUM(C76:F76)/2,0)</f>
        <v>0</v>
      </c>
      <c r="H76" s="1024"/>
      <c r="I76" s="1024">
        <f>(M76+Q76)/2</f>
        <v>0</v>
      </c>
      <c r="J76" s="1024">
        <f>(N76+R76)/2</f>
        <v>0</v>
      </c>
      <c r="K76" s="1024">
        <f>(O76+S76)/2</f>
        <v>0</v>
      </c>
      <c r="L76" s="1024"/>
      <c r="M76" s="832"/>
      <c r="N76" s="832"/>
      <c r="O76" s="832"/>
      <c r="P76" s="1024"/>
      <c r="Q76" s="832"/>
      <c r="R76" s="832"/>
      <c r="S76" s="832"/>
    </row>
    <row r="77" spans="1:19">
      <c r="A77" s="1055">
        <f>A76+0.01</f>
        <v>9.02</v>
      </c>
      <c r="B77" s="832"/>
      <c r="C77" s="1024">
        <f t="shared" ref="C77:C140" si="14">SUM(M77:O77)</f>
        <v>0</v>
      </c>
      <c r="D77" s="1024">
        <f t="shared" si="12"/>
        <v>0</v>
      </c>
      <c r="E77" s="1024"/>
      <c r="F77" s="1024"/>
      <c r="G77" s="1024">
        <f>ROUND(SUM(C77:F77)/2,0)</f>
        <v>0</v>
      </c>
      <c r="H77" s="1024"/>
      <c r="I77" s="1024">
        <f t="shared" ref="I77:K136" si="15">(M77+Q77)/2</f>
        <v>0</v>
      </c>
      <c r="J77" s="1024">
        <f t="shared" si="15"/>
        <v>0</v>
      </c>
      <c r="K77" s="1024">
        <f t="shared" si="15"/>
        <v>0</v>
      </c>
      <c r="L77" s="1024"/>
      <c r="M77" s="832"/>
      <c r="N77" s="832"/>
      <c r="O77" s="832"/>
      <c r="P77" s="1024"/>
      <c r="Q77" s="832"/>
      <c r="R77" s="832"/>
      <c r="S77" s="832"/>
    </row>
    <row r="78" spans="1:19">
      <c r="A78" s="1055">
        <f t="shared" ref="A78:A141" si="16">A77+0.01</f>
        <v>9.0299999999999994</v>
      </c>
      <c r="B78" s="832"/>
      <c r="C78" s="1024">
        <f t="shared" si="14"/>
        <v>0</v>
      </c>
      <c r="D78" s="1024">
        <f t="shared" si="12"/>
        <v>0</v>
      </c>
      <c r="E78" s="1024"/>
      <c r="F78" s="1024"/>
      <c r="G78" s="1024">
        <f t="shared" si="13"/>
        <v>0</v>
      </c>
      <c r="H78" s="1024"/>
      <c r="I78" s="1024">
        <f t="shared" si="15"/>
        <v>0</v>
      </c>
      <c r="J78" s="1024">
        <f t="shared" si="15"/>
        <v>0</v>
      </c>
      <c r="K78" s="1024">
        <f t="shared" si="15"/>
        <v>0</v>
      </c>
      <c r="L78" s="1024"/>
      <c r="M78" s="832"/>
      <c r="N78" s="832"/>
      <c r="O78" s="832"/>
      <c r="P78" s="1024"/>
      <c r="Q78" s="832"/>
      <c r="R78" s="832"/>
      <c r="S78" s="832"/>
    </row>
    <row r="79" spans="1:19">
      <c r="A79" s="1055">
        <f t="shared" si="16"/>
        <v>9.0399999999999991</v>
      </c>
      <c r="B79" s="832"/>
      <c r="C79" s="1024">
        <f t="shared" si="14"/>
        <v>0</v>
      </c>
      <c r="D79" s="1024">
        <f t="shared" si="12"/>
        <v>0</v>
      </c>
      <c r="E79" s="1024"/>
      <c r="F79" s="1024"/>
      <c r="G79" s="1024">
        <f t="shared" si="13"/>
        <v>0</v>
      </c>
      <c r="H79" s="1024"/>
      <c r="I79" s="1024">
        <f t="shared" si="15"/>
        <v>0</v>
      </c>
      <c r="J79" s="1024">
        <f t="shared" si="15"/>
        <v>0</v>
      </c>
      <c r="K79" s="1024">
        <f t="shared" si="15"/>
        <v>0</v>
      </c>
      <c r="L79" s="1024"/>
      <c r="M79" s="832"/>
      <c r="N79" s="832"/>
      <c r="O79" s="832"/>
      <c r="P79" s="1024"/>
      <c r="Q79" s="832"/>
      <c r="R79" s="832"/>
      <c r="S79" s="832"/>
    </row>
    <row r="80" spans="1:19">
      <c r="A80" s="1055">
        <f t="shared" si="16"/>
        <v>9.0499999999999989</v>
      </c>
      <c r="B80" s="832"/>
      <c r="C80" s="1024">
        <f t="shared" si="14"/>
        <v>0</v>
      </c>
      <c r="D80" s="1024">
        <f t="shared" si="12"/>
        <v>0</v>
      </c>
      <c r="E80" s="1024"/>
      <c r="F80" s="1024"/>
      <c r="G80" s="1024">
        <f t="shared" si="13"/>
        <v>0</v>
      </c>
      <c r="H80" s="1024"/>
      <c r="I80" s="1024">
        <f t="shared" si="15"/>
        <v>0</v>
      </c>
      <c r="J80" s="1024">
        <f t="shared" si="15"/>
        <v>0</v>
      </c>
      <c r="K80" s="1024">
        <f t="shared" si="15"/>
        <v>0</v>
      </c>
      <c r="L80" s="1024"/>
      <c r="M80" s="832"/>
      <c r="N80" s="832"/>
      <c r="O80" s="832"/>
      <c r="P80" s="1024"/>
      <c r="Q80" s="832"/>
      <c r="R80" s="832"/>
      <c r="S80" s="832"/>
    </row>
    <row r="81" spans="1:19">
      <c r="A81" s="1055">
        <f t="shared" si="16"/>
        <v>9.0599999999999987</v>
      </c>
      <c r="B81" s="832"/>
      <c r="C81" s="1024">
        <f t="shared" si="14"/>
        <v>0</v>
      </c>
      <c r="D81" s="1024">
        <f t="shared" si="12"/>
        <v>0</v>
      </c>
      <c r="E81" s="1024"/>
      <c r="F81" s="1024"/>
      <c r="G81" s="1024">
        <f t="shared" si="13"/>
        <v>0</v>
      </c>
      <c r="H81" s="1024"/>
      <c r="I81" s="1024">
        <f t="shared" si="15"/>
        <v>0</v>
      </c>
      <c r="J81" s="1024">
        <f t="shared" si="15"/>
        <v>0</v>
      </c>
      <c r="K81" s="1024">
        <f t="shared" si="15"/>
        <v>0</v>
      </c>
      <c r="L81" s="1024"/>
      <c r="M81" s="832"/>
      <c r="N81" s="832"/>
      <c r="O81" s="832"/>
      <c r="P81" s="1024"/>
      <c r="Q81" s="832"/>
      <c r="R81" s="832"/>
      <c r="S81" s="832"/>
    </row>
    <row r="82" spans="1:19">
      <c r="A82" s="1055">
        <f t="shared" si="16"/>
        <v>9.0699999999999985</v>
      </c>
      <c r="B82" s="832"/>
      <c r="C82" s="1024">
        <f t="shared" si="14"/>
        <v>0</v>
      </c>
      <c r="D82" s="1024">
        <f t="shared" si="12"/>
        <v>0</v>
      </c>
      <c r="E82" s="1024"/>
      <c r="F82" s="1024"/>
      <c r="G82" s="1024">
        <f>ROUND(SUM(C82:F82)/2,0)</f>
        <v>0</v>
      </c>
      <c r="H82" s="1024"/>
      <c r="I82" s="1024">
        <f t="shared" si="15"/>
        <v>0</v>
      </c>
      <c r="J82" s="1024">
        <f t="shared" si="15"/>
        <v>0</v>
      </c>
      <c r="K82" s="1024">
        <f t="shared" si="15"/>
        <v>0</v>
      </c>
      <c r="L82" s="1024"/>
      <c r="M82" s="832"/>
      <c r="N82" s="832"/>
      <c r="O82" s="832"/>
      <c r="P82" s="1024"/>
      <c r="Q82" s="832"/>
      <c r="R82" s="832"/>
      <c r="S82" s="832"/>
    </row>
    <row r="83" spans="1:19">
      <c r="A83" s="1055">
        <f t="shared" si="16"/>
        <v>9.0799999999999983</v>
      </c>
      <c r="B83" s="832"/>
      <c r="C83" s="1024">
        <f t="shared" si="14"/>
        <v>0</v>
      </c>
      <c r="D83" s="1024">
        <f t="shared" si="12"/>
        <v>0</v>
      </c>
      <c r="E83" s="1024"/>
      <c r="F83" s="1024"/>
      <c r="G83" s="1024">
        <f>ROUND(SUM(C83:F83)/2,0)</f>
        <v>0</v>
      </c>
      <c r="H83" s="1024"/>
      <c r="I83" s="1024">
        <f t="shared" si="15"/>
        <v>0</v>
      </c>
      <c r="J83" s="1024">
        <f t="shared" si="15"/>
        <v>0</v>
      </c>
      <c r="K83" s="1024">
        <f t="shared" si="15"/>
        <v>0</v>
      </c>
      <c r="L83" s="1024"/>
      <c r="M83" s="832"/>
      <c r="N83" s="832"/>
      <c r="O83" s="832"/>
      <c r="P83" s="1024"/>
      <c r="Q83" s="832"/>
      <c r="R83" s="832"/>
      <c r="S83" s="832"/>
    </row>
    <row r="84" spans="1:19" hidden="1">
      <c r="A84" s="1055">
        <f t="shared" si="16"/>
        <v>9.0899999999999981</v>
      </c>
      <c r="B84" s="832"/>
      <c r="C84" s="1024">
        <f t="shared" si="14"/>
        <v>0</v>
      </c>
      <c r="D84" s="1024">
        <f t="shared" si="12"/>
        <v>0</v>
      </c>
      <c r="E84" s="1024"/>
      <c r="F84" s="1024"/>
      <c r="G84" s="1024">
        <f t="shared" si="13"/>
        <v>0</v>
      </c>
      <c r="H84" s="1024"/>
      <c r="I84" s="1024">
        <f t="shared" si="15"/>
        <v>0</v>
      </c>
      <c r="J84" s="1024">
        <f t="shared" si="15"/>
        <v>0</v>
      </c>
      <c r="K84" s="1024">
        <f t="shared" si="15"/>
        <v>0</v>
      </c>
      <c r="L84" s="1024"/>
      <c r="M84" s="832"/>
      <c r="N84" s="832"/>
      <c r="O84" s="832"/>
      <c r="P84" s="1024"/>
      <c r="Q84" s="832"/>
      <c r="R84" s="832"/>
      <c r="S84" s="832"/>
    </row>
    <row r="85" spans="1:19" hidden="1">
      <c r="A85" s="1055">
        <f t="shared" si="16"/>
        <v>9.0999999999999979</v>
      </c>
      <c r="B85" s="832"/>
      <c r="C85" s="1024">
        <f t="shared" si="14"/>
        <v>0</v>
      </c>
      <c r="D85" s="1024">
        <f t="shared" si="12"/>
        <v>0</v>
      </c>
      <c r="E85" s="1024"/>
      <c r="F85" s="1024"/>
      <c r="G85" s="1024">
        <f>ROUND(SUM(C85:F85)/2,0)</f>
        <v>0</v>
      </c>
      <c r="H85" s="1024"/>
      <c r="I85" s="1024">
        <f t="shared" si="15"/>
        <v>0</v>
      </c>
      <c r="J85" s="1024">
        <f t="shared" si="15"/>
        <v>0</v>
      </c>
      <c r="K85" s="1024">
        <f t="shared" si="15"/>
        <v>0</v>
      </c>
      <c r="L85" s="1024"/>
      <c r="M85" s="832"/>
      <c r="N85" s="832"/>
      <c r="O85" s="832"/>
      <c r="P85" s="1024"/>
      <c r="Q85" s="832"/>
      <c r="R85" s="832"/>
      <c r="S85" s="832"/>
    </row>
    <row r="86" spans="1:19" hidden="1">
      <c r="A86" s="1055">
        <f t="shared" si="16"/>
        <v>9.1099999999999977</v>
      </c>
      <c r="B86" s="832"/>
      <c r="C86" s="1024">
        <f t="shared" si="14"/>
        <v>0</v>
      </c>
      <c r="D86" s="1024">
        <f t="shared" si="12"/>
        <v>0</v>
      </c>
      <c r="E86" s="1024"/>
      <c r="F86" s="1024"/>
      <c r="G86" s="1024">
        <f>ROUND(SUM(C86:F86)/2,0)</f>
        <v>0</v>
      </c>
      <c r="H86" s="1024"/>
      <c r="I86" s="1024">
        <f t="shared" si="15"/>
        <v>0</v>
      </c>
      <c r="J86" s="1024">
        <f t="shared" si="15"/>
        <v>0</v>
      </c>
      <c r="K86" s="1024">
        <f t="shared" si="15"/>
        <v>0</v>
      </c>
      <c r="L86" s="1024"/>
      <c r="M86" s="832"/>
      <c r="N86" s="832"/>
      <c r="O86" s="832"/>
      <c r="P86" s="1024"/>
      <c r="Q86" s="832"/>
      <c r="R86" s="832"/>
      <c r="S86" s="832"/>
    </row>
    <row r="87" spans="1:19" hidden="1">
      <c r="A87" s="1055">
        <f t="shared" si="16"/>
        <v>9.1199999999999974</v>
      </c>
      <c r="B87" s="832"/>
      <c r="C87" s="1024">
        <f t="shared" si="14"/>
        <v>0</v>
      </c>
      <c r="D87" s="1024">
        <f t="shared" si="12"/>
        <v>0</v>
      </c>
      <c r="E87" s="1024"/>
      <c r="F87" s="1024"/>
      <c r="G87" s="1024">
        <f t="shared" si="13"/>
        <v>0</v>
      </c>
      <c r="H87" s="1024"/>
      <c r="I87" s="1024">
        <f t="shared" si="15"/>
        <v>0</v>
      </c>
      <c r="J87" s="1024">
        <f t="shared" si="15"/>
        <v>0</v>
      </c>
      <c r="K87" s="1024">
        <f t="shared" si="15"/>
        <v>0</v>
      </c>
      <c r="L87" s="1024"/>
      <c r="M87" s="832"/>
      <c r="N87" s="832"/>
      <c r="O87" s="832"/>
      <c r="P87" s="1024"/>
      <c r="Q87" s="832"/>
      <c r="R87" s="832"/>
      <c r="S87" s="832"/>
    </row>
    <row r="88" spans="1:19" hidden="1">
      <c r="A88" s="1055">
        <f t="shared" si="16"/>
        <v>9.1299999999999972</v>
      </c>
      <c r="B88" s="832"/>
      <c r="C88" s="1024">
        <f t="shared" si="14"/>
        <v>0</v>
      </c>
      <c r="D88" s="1024">
        <f t="shared" si="12"/>
        <v>0</v>
      </c>
      <c r="E88" s="1024"/>
      <c r="F88" s="1024"/>
      <c r="G88" s="1024">
        <f t="shared" si="13"/>
        <v>0</v>
      </c>
      <c r="H88" s="1024"/>
      <c r="I88" s="1024">
        <f t="shared" si="15"/>
        <v>0</v>
      </c>
      <c r="J88" s="1024">
        <f t="shared" si="15"/>
        <v>0</v>
      </c>
      <c r="K88" s="1024">
        <f t="shared" si="15"/>
        <v>0</v>
      </c>
      <c r="L88" s="1024"/>
      <c r="M88" s="832"/>
      <c r="N88" s="832"/>
      <c r="O88" s="832"/>
      <c r="P88" s="1024"/>
      <c r="Q88" s="832"/>
      <c r="R88" s="832"/>
      <c r="S88" s="832"/>
    </row>
    <row r="89" spans="1:19" hidden="1">
      <c r="A89" s="1055">
        <f t="shared" si="16"/>
        <v>9.139999999999997</v>
      </c>
      <c r="B89" s="832"/>
      <c r="C89" s="1024">
        <f t="shared" si="14"/>
        <v>0</v>
      </c>
      <c r="D89" s="1024">
        <f t="shared" si="12"/>
        <v>0</v>
      </c>
      <c r="E89" s="1024"/>
      <c r="F89" s="1024"/>
      <c r="G89" s="1024">
        <f t="shared" si="13"/>
        <v>0</v>
      </c>
      <c r="H89" s="1024"/>
      <c r="I89" s="1024">
        <f t="shared" si="15"/>
        <v>0</v>
      </c>
      <c r="J89" s="1024">
        <f t="shared" si="15"/>
        <v>0</v>
      </c>
      <c r="K89" s="1024">
        <f t="shared" si="15"/>
        <v>0</v>
      </c>
      <c r="L89" s="1024"/>
      <c r="M89" s="832"/>
      <c r="N89" s="832"/>
      <c r="O89" s="832"/>
      <c r="P89" s="1024"/>
      <c r="Q89" s="832"/>
      <c r="R89" s="832"/>
      <c r="S89" s="832"/>
    </row>
    <row r="90" spans="1:19" hidden="1">
      <c r="A90" s="1055">
        <f t="shared" si="16"/>
        <v>9.1499999999999968</v>
      </c>
      <c r="B90" s="832"/>
      <c r="C90" s="1024">
        <f t="shared" si="14"/>
        <v>0</v>
      </c>
      <c r="D90" s="1024">
        <f t="shared" si="12"/>
        <v>0</v>
      </c>
      <c r="E90" s="1024"/>
      <c r="F90" s="1024"/>
      <c r="G90" s="1024">
        <f t="shared" si="13"/>
        <v>0</v>
      </c>
      <c r="H90" s="1024"/>
      <c r="I90" s="1024">
        <f t="shared" si="15"/>
        <v>0</v>
      </c>
      <c r="J90" s="1024">
        <f t="shared" si="15"/>
        <v>0</v>
      </c>
      <c r="K90" s="1024">
        <f t="shared" si="15"/>
        <v>0</v>
      </c>
      <c r="L90" s="1024"/>
      <c r="M90" s="832"/>
      <c r="N90" s="832"/>
      <c r="O90" s="832"/>
      <c r="P90" s="1024"/>
      <c r="Q90" s="832"/>
      <c r="R90" s="832"/>
      <c r="S90" s="832"/>
    </row>
    <row r="91" spans="1:19" hidden="1">
      <c r="A91" s="1055">
        <f t="shared" si="16"/>
        <v>9.1599999999999966</v>
      </c>
      <c r="B91" s="832"/>
      <c r="C91" s="1024">
        <f t="shared" si="14"/>
        <v>0</v>
      </c>
      <c r="D91" s="1024">
        <f t="shared" si="12"/>
        <v>0</v>
      </c>
      <c r="E91" s="1024"/>
      <c r="F91" s="1024"/>
      <c r="G91" s="1024">
        <f t="shared" si="13"/>
        <v>0</v>
      </c>
      <c r="H91" s="1024"/>
      <c r="I91" s="1024">
        <f t="shared" si="15"/>
        <v>0</v>
      </c>
      <c r="J91" s="1024">
        <f t="shared" si="15"/>
        <v>0</v>
      </c>
      <c r="K91" s="1024">
        <f t="shared" si="15"/>
        <v>0</v>
      </c>
      <c r="L91" s="1024"/>
      <c r="M91" s="832"/>
      <c r="N91" s="832"/>
      <c r="O91" s="832"/>
      <c r="P91" s="1024"/>
      <c r="Q91" s="832"/>
      <c r="R91" s="832"/>
      <c r="S91" s="832"/>
    </row>
    <row r="92" spans="1:19" hidden="1">
      <c r="A92" s="1055">
        <f t="shared" si="16"/>
        <v>9.1699999999999964</v>
      </c>
      <c r="B92" s="832"/>
      <c r="C92" s="1024">
        <f t="shared" si="14"/>
        <v>0</v>
      </c>
      <c r="D92" s="1024">
        <f t="shared" si="12"/>
        <v>0</v>
      </c>
      <c r="E92" s="1024"/>
      <c r="F92" s="1024"/>
      <c r="G92" s="1024">
        <f t="shared" si="13"/>
        <v>0</v>
      </c>
      <c r="H92" s="1024"/>
      <c r="I92" s="1024">
        <f t="shared" si="15"/>
        <v>0</v>
      </c>
      <c r="J92" s="1024">
        <f t="shared" si="15"/>
        <v>0</v>
      </c>
      <c r="K92" s="1024">
        <f t="shared" si="15"/>
        <v>0</v>
      </c>
      <c r="L92" s="1024"/>
      <c r="M92" s="832"/>
      <c r="N92" s="832"/>
      <c r="O92" s="832"/>
      <c r="P92" s="1024"/>
      <c r="Q92" s="832"/>
      <c r="R92" s="832"/>
      <c r="S92" s="832"/>
    </row>
    <row r="93" spans="1:19" hidden="1">
      <c r="A93" s="1055">
        <f t="shared" si="16"/>
        <v>9.1799999999999962</v>
      </c>
      <c r="B93" s="832"/>
      <c r="C93" s="1024">
        <f t="shared" si="14"/>
        <v>0</v>
      </c>
      <c r="D93" s="1024">
        <f t="shared" si="12"/>
        <v>0</v>
      </c>
      <c r="E93" s="1024"/>
      <c r="F93" s="1024"/>
      <c r="G93" s="1024">
        <f t="shared" si="13"/>
        <v>0</v>
      </c>
      <c r="H93" s="1024"/>
      <c r="I93" s="1024">
        <f t="shared" si="15"/>
        <v>0</v>
      </c>
      <c r="J93" s="1024">
        <f t="shared" si="15"/>
        <v>0</v>
      </c>
      <c r="K93" s="1024">
        <f t="shared" si="15"/>
        <v>0</v>
      </c>
      <c r="L93" s="1024"/>
      <c r="M93" s="832"/>
      <c r="N93" s="832"/>
      <c r="O93" s="832"/>
      <c r="P93" s="1024"/>
      <c r="Q93" s="832"/>
      <c r="R93" s="832"/>
      <c r="S93" s="832"/>
    </row>
    <row r="94" spans="1:19" hidden="1">
      <c r="A94" s="1055">
        <f t="shared" si="16"/>
        <v>9.1899999999999959</v>
      </c>
      <c r="B94" s="832"/>
      <c r="C94" s="1024">
        <f t="shared" si="14"/>
        <v>0</v>
      </c>
      <c r="D94" s="1024">
        <f t="shared" si="12"/>
        <v>0</v>
      </c>
      <c r="E94" s="1024"/>
      <c r="F94" s="1024"/>
      <c r="G94" s="1024">
        <f t="shared" si="13"/>
        <v>0</v>
      </c>
      <c r="H94" s="1024"/>
      <c r="I94" s="1024">
        <f t="shared" si="15"/>
        <v>0</v>
      </c>
      <c r="J94" s="1024">
        <f t="shared" si="15"/>
        <v>0</v>
      </c>
      <c r="K94" s="1024">
        <f t="shared" si="15"/>
        <v>0</v>
      </c>
      <c r="L94" s="1024"/>
      <c r="M94" s="832"/>
      <c r="N94" s="832"/>
      <c r="O94" s="832"/>
      <c r="P94" s="1024"/>
      <c r="Q94" s="832"/>
      <c r="R94" s="832"/>
      <c r="S94" s="832"/>
    </row>
    <row r="95" spans="1:19" hidden="1">
      <c r="A95" s="1055">
        <f t="shared" si="16"/>
        <v>9.1999999999999957</v>
      </c>
      <c r="B95" s="832"/>
      <c r="C95" s="1024">
        <f t="shared" si="14"/>
        <v>0</v>
      </c>
      <c r="D95" s="1024">
        <f t="shared" si="12"/>
        <v>0</v>
      </c>
      <c r="E95" s="1024"/>
      <c r="F95" s="1024"/>
      <c r="G95" s="1024">
        <f t="shared" si="13"/>
        <v>0</v>
      </c>
      <c r="H95" s="1024"/>
      <c r="I95" s="1024">
        <f t="shared" si="15"/>
        <v>0</v>
      </c>
      <c r="J95" s="1024">
        <f t="shared" si="15"/>
        <v>0</v>
      </c>
      <c r="K95" s="1024">
        <f t="shared" si="15"/>
        <v>0</v>
      </c>
      <c r="L95" s="1024"/>
      <c r="M95" s="832"/>
      <c r="N95" s="832"/>
      <c r="O95" s="832"/>
      <c r="P95" s="1024"/>
      <c r="Q95" s="832"/>
      <c r="R95" s="832"/>
      <c r="S95" s="832"/>
    </row>
    <row r="96" spans="1:19" hidden="1">
      <c r="A96" s="1055">
        <f t="shared" si="16"/>
        <v>9.2099999999999955</v>
      </c>
      <c r="B96" s="832"/>
      <c r="C96" s="1024">
        <f t="shared" si="14"/>
        <v>0</v>
      </c>
      <c r="D96" s="1024">
        <f t="shared" si="12"/>
        <v>0</v>
      </c>
      <c r="E96" s="1024"/>
      <c r="F96" s="1024"/>
      <c r="G96" s="1024">
        <f t="shared" si="13"/>
        <v>0</v>
      </c>
      <c r="H96" s="1024"/>
      <c r="I96" s="1024">
        <f t="shared" si="15"/>
        <v>0</v>
      </c>
      <c r="J96" s="1024">
        <f t="shared" si="15"/>
        <v>0</v>
      </c>
      <c r="K96" s="1024">
        <f t="shared" si="15"/>
        <v>0</v>
      </c>
      <c r="L96" s="1024"/>
      <c r="M96" s="832"/>
      <c r="N96" s="832"/>
      <c r="O96" s="832"/>
      <c r="P96" s="1024"/>
      <c r="Q96" s="832"/>
      <c r="R96" s="832"/>
      <c r="S96" s="832"/>
    </row>
    <row r="97" spans="1:19" hidden="1">
      <c r="A97" s="1055">
        <f t="shared" si="16"/>
        <v>9.2199999999999953</v>
      </c>
      <c r="B97" s="832"/>
      <c r="C97" s="1024">
        <f t="shared" si="14"/>
        <v>0</v>
      </c>
      <c r="D97" s="1024">
        <f t="shared" si="12"/>
        <v>0</v>
      </c>
      <c r="E97" s="1024"/>
      <c r="F97" s="1024"/>
      <c r="G97" s="1024">
        <f t="shared" si="13"/>
        <v>0</v>
      </c>
      <c r="H97" s="1024"/>
      <c r="I97" s="1024">
        <f t="shared" si="15"/>
        <v>0</v>
      </c>
      <c r="J97" s="1024">
        <f t="shared" si="15"/>
        <v>0</v>
      </c>
      <c r="K97" s="1024">
        <f t="shared" si="15"/>
        <v>0</v>
      </c>
      <c r="L97" s="1024"/>
      <c r="M97" s="832"/>
      <c r="N97" s="832"/>
      <c r="O97" s="832"/>
      <c r="P97" s="1024"/>
      <c r="Q97" s="832"/>
      <c r="R97" s="832"/>
      <c r="S97" s="832"/>
    </row>
    <row r="98" spans="1:19" hidden="1">
      <c r="A98" s="1055">
        <f t="shared" si="16"/>
        <v>9.2299999999999951</v>
      </c>
      <c r="B98" s="832"/>
      <c r="C98" s="1024">
        <f t="shared" si="14"/>
        <v>0</v>
      </c>
      <c r="D98" s="1024">
        <f t="shared" si="12"/>
        <v>0</v>
      </c>
      <c r="E98" s="1024"/>
      <c r="F98" s="1024"/>
      <c r="G98" s="1024">
        <f t="shared" si="13"/>
        <v>0</v>
      </c>
      <c r="H98" s="1024"/>
      <c r="I98" s="1024">
        <f t="shared" si="15"/>
        <v>0</v>
      </c>
      <c r="J98" s="1024">
        <f t="shared" si="15"/>
        <v>0</v>
      </c>
      <c r="K98" s="1024">
        <f t="shared" si="15"/>
        <v>0</v>
      </c>
      <c r="L98" s="1024"/>
      <c r="M98" s="832"/>
      <c r="N98" s="832"/>
      <c r="O98" s="832"/>
      <c r="P98" s="1024"/>
      <c r="Q98" s="832"/>
      <c r="R98" s="832"/>
      <c r="S98" s="832"/>
    </row>
    <row r="99" spans="1:19" hidden="1">
      <c r="A99" s="1055">
        <f t="shared" si="16"/>
        <v>9.2399999999999949</v>
      </c>
      <c r="B99" s="832"/>
      <c r="C99" s="1024">
        <f t="shared" si="14"/>
        <v>0</v>
      </c>
      <c r="D99" s="1024">
        <f t="shared" si="12"/>
        <v>0</v>
      </c>
      <c r="E99" s="1024"/>
      <c r="F99" s="1024"/>
      <c r="G99" s="1024">
        <f t="shared" si="13"/>
        <v>0</v>
      </c>
      <c r="H99" s="1024"/>
      <c r="I99" s="1024">
        <f t="shared" si="15"/>
        <v>0</v>
      </c>
      <c r="J99" s="1024">
        <f t="shared" si="15"/>
        <v>0</v>
      </c>
      <c r="K99" s="1024">
        <f t="shared" si="15"/>
        <v>0</v>
      </c>
      <c r="L99" s="1024"/>
      <c r="M99" s="832"/>
      <c r="N99" s="832"/>
      <c r="O99" s="832"/>
      <c r="P99" s="1024"/>
      <c r="Q99" s="832"/>
      <c r="R99" s="832"/>
      <c r="S99" s="832"/>
    </row>
    <row r="100" spans="1:19" hidden="1">
      <c r="A100" s="1055">
        <f t="shared" si="16"/>
        <v>9.2499999999999947</v>
      </c>
      <c r="B100" s="832"/>
      <c r="C100" s="1024">
        <f t="shared" si="14"/>
        <v>0</v>
      </c>
      <c r="D100" s="1024">
        <f t="shared" si="12"/>
        <v>0</v>
      </c>
      <c r="E100" s="1024"/>
      <c r="F100" s="1024"/>
      <c r="G100" s="1024">
        <f>ROUND(SUM(C100:F100)/2,0)</f>
        <v>0</v>
      </c>
      <c r="H100" s="1024"/>
      <c r="I100" s="1024">
        <f t="shared" si="15"/>
        <v>0</v>
      </c>
      <c r="J100" s="1024">
        <f t="shared" si="15"/>
        <v>0</v>
      </c>
      <c r="K100" s="1024">
        <f t="shared" si="15"/>
        <v>0</v>
      </c>
      <c r="L100" s="1024"/>
      <c r="M100" s="832"/>
      <c r="N100" s="832"/>
      <c r="O100" s="832"/>
      <c r="P100" s="1024"/>
      <c r="Q100" s="832"/>
      <c r="R100" s="832"/>
      <c r="S100" s="832"/>
    </row>
    <row r="101" spans="1:19" hidden="1">
      <c r="A101" s="1055">
        <f t="shared" si="16"/>
        <v>9.2599999999999945</v>
      </c>
      <c r="B101" s="832"/>
      <c r="C101" s="1024">
        <f t="shared" si="14"/>
        <v>0</v>
      </c>
      <c r="D101" s="1024">
        <f t="shared" si="12"/>
        <v>0</v>
      </c>
      <c r="E101" s="1024"/>
      <c r="F101" s="1024"/>
      <c r="G101" s="1024">
        <f t="shared" si="13"/>
        <v>0</v>
      </c>
      <c r="H101" s="1024"/>
      <c r="I101" s="1024">
        <f t="shared" si="15"/>
        <v>0</v>
      </c>
      <c r="J101" s="1024">
        <f t="shared" si="15"/>
        <v>0</v>
      </c>
      <c r="K101" s="1024">
        <f t="shared" si="15"/>
        <v>0</v>
      </c>
      <c r="L101" s="1024"/>
      <c r="M101" s="832"/>
      <c r="N101" s="832"/>
      <c r="O101" s="832"/>
      <c r="P101" s="1024"/>
      <c r="Q101" s="832"/>
      <c r="R101" s="832"/>
      <c r="S101" s="832"/>
    </row>
    <row r="102" spans="1:19" hidden="1">
      <c r="A102" s="1055">
        <f t="shared" si="16"/>
        <v>9.2699999999999942</v>
      </c>
      <c r="B102" s="832"/>
      <c r="C102" s="1024">
        <f t="shared" si="14"/>
        <v>0</v>
      </c>
      <c r="D102" s="1024">
        <f t="shared" si="12"/>
        <v>0</v>
      </c>
      <c r="E102" s="1024"/>
      <c r="F102" s="1024"/>
      <c r="G102" s="1024">
        <f t="shared" si="13"/>
        <v>0</v>
      </c>
      <c r="H102" s="1024"/>
      <c r="I102" s="1024">
        <f t="shared" si="15"/>
        <v>0</v>
      </c>
      <c r="J102" s="1024">
        <f t="shared" si="15"/>
        <v>0</v>
      </c>
      <c r="K102" s="1024">
        <f t="shared" si="15"/>
        <v>0</v>
      </c>
      <c r="L102" s="1024"/>
      <c r="M102" s="832"/>
      <c r="N102" s="832"/>
      <c r="O102" s="832"/>
      <c r="P102" s="1024"/>
      <c r="Q102" s="832"/>
      <c r="R102" s="832"/>
      <c r="S102" s="832"/>
    </row>
    <row r="103" spans="1:19" hidden="1">
      <c r="A103" s="1055">
        <f t="shared" si="16"/>
        <v>9.279999999999994</v>
      </c>
      <c r="B103" s="832"/>
      <c r="C103" s="1024">
        <f t="shared" si="14"/>
        <v>0</v>
      </c>
      <c r="D103" s="1024">
        <f t="shared" si="12"/>
        <v>0</v>
      </c>
      <c r="E103" s="1024"/>
      <c r="F103" s="1024"/>
      <c r="G103" s="1024">
        <f>ROUND(SUM(C103:F103)/2,0)</f>
        <v>0</v>
      </c>
      <c r="H103" s="1024"/>
      <c r="I103" s="1024">
        <f t="shared" si="15"/>
        <v>0</v>
      </c>
      <c r="J103" s="1024">
        <f t="shared" si="15"/>
        <v>0</v>
      </c>
      <c r="K103" s="1024">
        <f t="shared" si="15"/>
        <v>0</v>
      </c>
      <c r="L103" s="1024"/>
      <c r="M103" s="832"/>
      <c r="N103" s="832"/>
      <c r="O103" s="832"/>
      <c r="P103" s="1024"/>
      <c r="Q103" s="832"/>
      <c r="R103" s="832"/>
      <c r="S103" s="832"/>
    </row>
    <row r="104" spans="1:19" hidden="1">
      <c r="A104" s="1055">
        <f t="shared" si="16"/>
        <v>9.2899999999999938</v>
      </c>
      <c r="B104" s="832"/>
      <c r="C104" s="1024">
        <f t="shared" si="14"/>
        <v>0</v>
      </c>
      <c r="D104" s="1024">
        <f t="shared" si="12"/>
        <v>0</v>
      </c>
      <c r="E104" s="1024"/>
      <c r="F104" s="1024"/>
      <c r="G104" s="1024">
        <f t="shared" si="13"/>
        <v>0</v>
      </c>
      <c r="H104" s="1024"/>
      <c r="I104" s="1024">
        <f t="shared" si="15"/>
        <v>0</v>
      </c>
      <c r="J104" s="1024">
        <f t="shared" si="15"/>
        <v>0</v>
      </c>
      <c r="K104" s="1024">
        <f t="shared" si="15"/>
        <v>0</v>
      </c>
      <c r="L104" s="1024"/>
      <c r="M104" s="832"/>
      <c r="N104" s="832"/>
      <c r="O104" s="832"/>
      <c r="P104" s="1024"/>
      <c r="Q104" s="832"/>
      <c r="R104" s="832"/>
      <c r="S104" s="832"/>
    </row>
    <row r="105" spans="1:19" hidden="1">
      <c r="A105" s="1055">
        <f t="shared" si="16"/>
        <v>9.2999999999999936</v>
      </c>
      <c r="B105" s="832"/>
      <c r="C105" s="1024">
        <f t="shared" si="14"/>
        <v>0</v>
      </c>
      <c r="D105" s="1024">
        <f t="shared" si="12"/>
        <v>0</v>
      </c>
      <c r="E105" s="1024"/>
      <c r="F105" s="1024"/>
      <c r="G105" s="1024">
        <f t="shared" si="13"/>
        <v>0</v>
      </c>
      <c r="H105" s="1024"/>
      <c r="I105" s="1024">
        <f t="shared" si="15"/>
        <v>0</v>
      </c>
      <c r="J105" s="1024">
        <f t="shared" si="15"/>
        <v>0</v>
      </c>
      <c r="K105" s="1024">
        <f t="shared" si="15"/>
        <v>0</v>
      </c>
      <c r="L105" s="1024"/>
      <c r="M105" s="832"/>
      <c r="N105" s="832"/>
      <c r="O105" s="832"/>
      <c r="P105" s="1024"/>
      <c r="Q105" s="832"/>
      <c r="R105" s="832"/>
      <c r="S105" s="832"/>
    </row>
    <row r="106" spans="1:19" hidden="1">
      <c r="A106" s="1055">
        <f t="shared" si="16"/>
        <v>9.3099999999999934</v>
      </c>
      <c r="B106" s="832"/>
      <c r="C106" s="1029">
        <f t="shared" si="14"/>
        <v>0</v>
      </c>
      <c r="D106" s="1029">
        <f t="shared" si="12"/>
        <v>0</v>
      </c>
      <c r="E106" s="1029"/>
      <c r="F106" s="1029"/>
      <c r="G106" s="1029">
        <f t="shared" si="13"/>
        <v>0</v>
      </c>
      <c r="H106" s="1029"/>
      <c r="I106" s="1029">
        <f t="shared" si="15"/>
        <v>0</v>
      </c>
      <c r="J106" s="1029">
        <f t="shared" si="15"/>
        <v>0</v>
      </c>
      <c r="K106" s="1029">
        <f t="shared" si="15"/>
        <v>0</v>
      </c>
      <c r="L106" s="1029"/>
      <c r="M106" s="832"/>
      <c r="N106" s="832"/>
      <c r="O106" s="832"/>
      <c r="P106" s="1029"/>
      <c r="Q106" s="832"/>
      <c r="R106" s="832"/>
      <c r="S106" s="832"/>
    </row>
    <row r="107" spans="1:19" hidden="1">
      <c r="A107" s="1055">
        <f t="shared" si="16"/>
        <v>9.3199999999999932</v>
      </c>
      <c r="B107" s="832"/>
      <c r="C107" s="1024">
        <f t="shared" si="14"/>
        <v>0</v>
      </c>
      <c r="D107" s="1024">
        <f t="shared" si="12"/>
        <v>0</v>
      </c>
      <c r="E107" s="1024"/>
      <c r="F107" s="1024"/>
      <c r="G107" s="1024">
        <f t="shared" si="13"/>
        <v>0</v>
      </c>
      <c r="H107" s="1024"/>
      <c r="I107" s="1024">
        <f t="shared" si="15"/>
        <v>0</v>
      </c>
      <c r="J107" s="1024">
        <f t="shared" si="15"/>
        <v>0</v>
      </c>
      <c r="K107" s="1024">
        <f t="shared" si="15"/>
        <v>0</v>
      </c>
      <c r="L107" s="1024"/>
      <c r="M107" s="832"/>
      <c r="N107" s="832"/>
      <c r="O107" s="832"/>
      <c r="P107" s="1024"/>
      <c r="Q107" s="832"/>
      <c r="R107" s="832"/>
      <c r="S107" s="832"/>
    </row>
    <row r="108" spans="1:19" hidden="1">
      <c r="A108" s="1055">
        <f t="shared" si="16"/>
        <v>9.329999999999993</v>
      </c>
      <c r="B108" s="832"/>
      <c r="C108" s="1024">
        <f t="shared" si="14"/>
        <v>0</v>
      </c>
      <c r="D108" s="1024">
        <f t="shared" si="12"/>
        <v>0</v>
      </c>
      <c r="E108" s="1024"/>
      <c r="F108" s="1024"/>
      <c r="G108" s="1024">
        <f t="shared" si="13"/>
        <v>0</v>
      </c>
      <c r="H108" s="1024"/>
      <c r="I108" s="1024">
        <f t="shared" si="15"/>
        <v>0</v>
      </c>
      <c r="J108" s="1024">
        <f t="shared" si="15"/>
        <v>0</v>
      </c>
      <c r="K108" s="1024">
        <f t="shared" si="15"/>
        <v>0</v>
      </c>
      <c r="L108" s="1024"/>
      <c r="M108" s="832"/>
      <c r="N108" s="832"/>
      <c r="O108" s="832"/>
      <c r="P108" s="1024"/>
      <c r="Q108" s="832"/>
      <c r="R108" s="832"/>
      <c r="S108" s="832"/>
    </row>
    <row r="109" spans="1:19" hidden="1">
      <c r="A109" s="1055">
        <f t="shared" si="16"/>
        <v>9.3399999999999928</v>
      </c>
      <c r="B109" s="832"/>
      <c r="C109" s="1024">
        <f t="shared" si="14"/>
        <v>0</v>
      </c>
      <c r="D109" s="1024">
        <f t="shared" si="12"/>
        <v>0</v>
      </c>
      <c r="E109" s="1024"/>
      <c r="F109" s="1024"/>
      <c r="G109" s="1024">
        <f t="shared" si="13"/>
        <v>0</v>
      </c>
      <c r="H109" s="1024"/>
      <c r="I109" s="1024">
        <f t="shared" si="15"/>
        <v>0</v>
      </c>
      <c r="J109" s="1024">
        <f t="shared" si="15"/>
        <v>0</v>
      </c>
      <c r="K109" s="1024">
        <f t="shared" si="15"/>
        <v>0</v>
      </c>
      <c r="L109" s="1024"/>
      <c r="M109" s="832"/>
      <c r="N109" s="832"/>
      <c r="O109" s="832"/>
      <c r="P109" s="1024"/>
      <c r="Q109" s="832"/>
      <c r="R109" s="832"/>
      <c r="S109" s="832"/>
    </row>
    <row r="110" spans="1:19" hidden="1">
      <c r="A110" s="1055">
        <f t="shared" si="16"/>
        <v>9.3499999999999925</v>
      </c>
      <c r="B110" s="832"/>
      <c r="C110" s="1024">
        <f t="shared" si="14"/>
        <v>0</v>
      </c>
      <c r="D110" s="1024">
        <f t="shared" si="12"/>
        <v>0</v>
      </c>
      <c r="E110" s="1024"/>
      <c r="F110" s="1024"/>
      <c r="G110" s="1024">
        <f t="shared" si="13"/>
        <v>0</v>
      </c>
      <c r="H110" s="1024"/>
      <c r="I110" s="1024">
        <f t="shared" si="15"/>
        <v>0</v>
      </c>
      <c r="J110" s="1024">
        <f t="shared" si="15"/>
        <v>0</v>
      </c>
      <c r="K110" s="1024">
        <f t="shared" si="15"/>
        <v>0</v>
      </c>
      <c r="L110" s="1024"/>
      <c r="M110" s="832"/>
      <c r="N110" s="832"/>
      <c r="O110" s="832"/>
      <c r="P110" s="1024"/>
      <c r="Q110" s="832"/>
      <c r="R110" s="832"/>
      <c r="S110" s="832"/>
    </row>
    <row r="111" spans="1:19" hidden="1">
      <c r="A111" s="1055">
        <f t="shared" si="16"/>
        <v>9.3599999999999923</v>
      </c>
      <c r="B111" s="832"/>
      <c r="C111" s="1024">
        <f t="shared" si="14"/>
        <v>0</v>
      </c>
      <c r="D111" s="1024">
        <f t="shared" si="12"/>
        <v>0</v>
      </c>
      <c r="E111" s="1024"/>
      <c r="F111" s="1024"/>
      <c r="G111" s="1024">
        <f t="shared" si="13"/>
        <v>0</v>
      </c>
      <c r="H111" s="1024"/>
      <c r="I111" s="1024">
        <f t="shared" si="15"/>
        <v>0</v>
      </c>
      <c r="J111" s="1024">
        <f t="shared" si="15"/>
        <v>0</v>
      </c>
      <c r="K111" s="1024">
        <f t="shared" si="15"/>
        <v>0</v>
      </c>
      <c r="L111" s="1024"/>
      <c r="M111" s="832"/>
      <c r="N111" s="832"/>
      <c r="O111" s="832"/>
      <c r="P111" s="1024"/>
      <c r="Q111" s="832"/>
      <c r="R111" s="832"/>
      <c r="S111" s="832"/>
    </row>
    <row r="112" spans="1:19" hidden="1">
      <c r="A112" s="1055">
        <f t="shared" si="16"/>
        <v>9.3699999999999921</v>
      </c>
      <c r="B112" s="832"/>
      <c r="C112" s="1024">
        <f t="shared" si="14"/>
        <v>0</v>
      </c>
      <c r="D112" s="1024">
        <f t="shared" si="12"/>
        <v>0</v>
      </c>
      <c r="E112" s="1024"/>
      <c r="F112" s="1024"/>
      <c r="G112" s="1024">
        <f t="shared" si="13"/>
        <v>0</v>
      </c>
      <c r="H112" s="1024"/>
      <c r="I112" s="1024">
        <f t="shared" si="15"/>
        <v>0</v>
      </c>
      <c r="J112" s="1024">
        <f t="shared" si="15"/>
        <v>0</v>
      </c>
      <c r="K112" s="1024">
        <f t="shared" si="15"/>
        <v>0</v>
      </c>
      <c r="L112" s="1024"/>
      <c r="M112" s="832"/>
      <c r="N112" s="832"/>
      <c r="O112" s="832"/>
      <c r="P112" s="1024"/>
      <c r="Q112" s="832"/>
      <c r="R112" s="832"/>
      <c r="S112" s="832"/>
    </row>
    <row r="113" spans="1:19" hidden="1">
      <c r="A113" s="1055">
        <f t="shared" si="16"/>
        <v>9.3799999999999919</v>
      </c>
      <c r="B113" s="832"/>
      <c r="C113" s="1024">
        <f t="shared" si="14"/>
        <v>0</v>
      </c>
      <c r="D113" s="1024">
        <f t="shared" si="12"/>
        <v>0</v>
      </c>
      <c r="E113" s="1024"/>
      <c r="F113" s="1024"/>
      <c r="G113" s="1024">
        <f t="shared" si="13"/>
        <v>0</v>
      </c>
      <c r="H113" s="1024"/>
      <c r="I113" s="1024">
        <f t="shared" si="15"/>
        <v>0</v>
      </c>
      <c r="J113" s="1024">
        <f t="shared" si="15"/>
        <v>0</v>
      </c>
      <c r="K113" s="1024">
        <f t="shared" si="15"/>
        <v>0</v>
      </c>
      <c r="L113" s="1024"/>
      <c r="M113" s="832"/>
      <c r="N113" s="832"/>
      <c r="O113" s="832"/>
      <c r="P113" s="1024"/>
      <c r="Q113" s="832"/>
      <c r="R113" s="832"/>
      <c r="S113" s="832"/>
    </row>
    <row r="114" spans="1:19" hidden="1">
      <c r="A114" s="1055">
        <f t="shared" si="16"/>
        <v>9.3899999999999917</v>
      </c>
      <c r="B114" s="832"/>
      <c r="C114" s="1024">
        <f t="shared" si="14"/>
        <v>0</v>
      </c>
      <c r="D114" s="1024">
        <f t="shared" si="12"/>
        <v>0</v>
      </c>
      <c r="E114" s="1024"/>
      <c r="F114" s="1024"/>
      <c r="G114" s="1024">
        <f t="shared" si="13"/>
        <v>0</v>
      </c>
      <c r="H114" s="1024"/>
      <c r="I114" s="1024">
        <f t="shared" si="15"/>
        <v>0</v>
      </c>
      <c r="J114" s="1024">
        <f t="shared" si="15"/>
        <v>0</v>
      </c>
      <c r="K114" s="1024">
        <f t="shared" si="15"/>
        <v>0</v>
      </c>
      <c r="L114" s="1024"/>
      <c r="M114" s="832"/>
      <c r="N114" s="832"/>
      <c r="O114" s="832"/>
      <c r="P114" s="1024"/>
      <c r="Q114" s="832"/>
      <c r="R114" s="832"/>
      <c r="S114" s="832"/>
    </row>
    <row r="115" spans="1:19" hidden="1">
      <c r="A115" s="1055">
        <f t="shared" si="16"/>
        <v>9.3999999999999915</v>
      </c>
      <c r="B115" s="832"/>
      <c r="C115" s="1024">
        <f t="shared" si="14"/>
        <v>0</v>
      </c>
      <c r="D115" s="1024">
        <f t="shared" si="12"/>
        <v>0</v>
      </c>
      <c r="E115" s="1024"/>
      <c r="F115" s="1024"/>
      <c r="G115" s="1024">
        <f t="shared" si="13"/>
        <v>0</v>
      </c>
      <c r="H115" s="1024"/>
      <c r="I115" s="1024">
        <f t="shared" si="15"/>
        <v>0</v>
      </c>
      <c r="J115" s="1024">
        <f t="shared" si="15"/>
        <v>0</v>
      </c>
      <c r="K115" s="1024">
        <f t="shared" si="15"/>
        <v>0</v>
      </c>
      <c r="L115" s="1024"/>
      <c r="M115" s="832"/>
      <c r="N115" s="832"/>
      <c r="O115" s="832"/>
      <c r="P115" s="1024"/>
      <c r="Q115" s="832"/>
      <c r="R115" s="832"/>
      <c r="S115" s="832"/>
    </row>
    <row r="116" spans="1:19" hidden="1">
      <c r="A116" s="1055">
        <f t="shared" si="16"/>
        <v>9.4099999999999913</v>
      </c>
      <c r="B116" s="832"/>
      <c r="C116" s="1024">
        <f t="shared" si="14"/>
        <v>0</v>
      </c>
      <c r="D116" s="1024">
        <f t="shared" si="12"/>
        <v>0</v>
      </c>
      <c r="E116" s="1024"/>
      <c r="F116" s="1024"/>
      <c r="G116" s="1024">
        <f t="shared" si="13"/>
        <v>0</v>
      </c>
      <c r="H116" s="1024"/>
      <c r="I116" s="1024">
        <f t="shared" si="15"/>
        <v>0</v>
      </c>
      <c r="J116" s="1024">
        <f t="shared" si="15"/>
        <v>0</v>
      </c>
      <c r="K116" s="1024">
        <f t="shared" si="15"/>
        <v>0</v>
      </c>
      <c r="L116" s="1024"/>
      <c r="M116" s="832"/>
      <c r="N116" s="832"/>
      <c r="O116" s="832"/>
      <c r="P116" s="1024"/>
      <c r="Q116" s="832"/>
      <c r="R116" s="832"/>
      <c r="S116" s="832"/>
    </row>
    <row r="117" spans="1:19" hidden="1">
      <c r="A117" s="1055">
        <f t="shared" si="16"/>
        <v>9.419999999999991</v>
      </c>
      <c r="B117" s="832"/>
      <c r="C117" s="1024">
        <f t="shared" si="14"/>
        <v>0</v>
      </c>
      <c r="D117" s="1024">
        <f t="shared" si="12"/>
        <v>0</v>
      </c>
      <c r="E117" s="1024"/>
      <c r="F117" s="1024"/>
      <c r="G117" s="1024">
        <f t="shared" si="13"/>
        <v>0</v>
      </c>
      <c r="H117" s="1024"/>
      <c r="I117" s="1024">
        <f t="shared" si="15"/>
        <v>0</v>
      </c>
      <c r="J117" s="1024">
        <f t="shared" si="15"/>
        <v>0</v>
      </c>
      <c r="K117" s="1024">
        <f t="shared" si="15"/>
        <v>0</v>
      </c>
      <c r="L117" s="1024"/>
      <c r="M117" s="832"/>
      <c r="N117" s="832"/>
      <c r="O117" s="832"/>
      <c r="P117" s="1024"/>
      <c r="Q117" s="832"/>
      <c r="R117" s="832"/>
      <c r="S117" s="832"/>
    </row>
    <row r="118" spans="1:19" hidden="1">
      <c r="A118" s="1055">
        <f t="shared" si="16"/>
        <v>9.4299999999999908</v>
      </c>
      <c r="B118" s="832"/>
      <c r="C118" s="1024">
        <f t="shared" si="14"/>
        <v>0</v>
      </c>
      <c r="D118" s="1024">
        <f t="shared" si="12"/>
        <v>0</v>
      </c>
      <c r="E118" s="1024"/>
      <c r="F118" s="1024"/>
      <c r="G118" s="1024">
        <f t="shared" si="13"/>
        <v>0</v>
      </c>
      <c r="H118" s="1024"/>
      <c r="I118" s="1024">
        <f t="shared" si="15"/>
        <v>0</v>
      </c>
      <c r="J118" s="1024">
        <f t="shared" si="15"/>
        <v>0</v>
      </c>
      <c r="K118" s="1024">
        <f t="shared" si="15"/>
        <v>0</v>
      </c>
      <c r="L118" s="1024"/>
      <c r="M118" s="832"/>
      <c r="N118" s="832"/>
      <c r="O118" s="832"/>
      <c r="P118" s="1024"/>
      <c r="Q118" s="832"/>
      <c r="R118" s="832"/>
      <c r="S118" s="832"/>
    </row>
    <row r="119" spans="1:19" hidden="1">
      <c r="A119" s="1055">
        <f t="shared" si="16"/>
        <v>9.4399999999999906</v>
      </c>
      <c r="B119" s="832"/>
      <c r="C119" s="1024">
        <f t="shared" si="14"/>
        <v>0</v>
      </c>
      <c r="D119" s="1024">
        <f t="shared" si="12"/>
        <v>0</v>
      </c>
      <c r="E119" s="1024"/>
      <c r="F119" s="1024"/>
      <c r="G119" s="1024">
        <f t="shared" si="13"/>
        <v>0</v>
      </c>
      <c r="H119" s="1024"/>
      <c r="I119" s="1024">
        <f t="shared" si="15"/>
        <v>0</v>
      </c>
      <c r="J119" s="1024">
        <f t="shared" si="15"/>
        <v>0</v>
      </c>
      <c r="K119" s="1024">
        <f t="shared" si="15"/>
        <v>0</v>
      </c>
      <c r="L119" s="1024"/>
      <c r="M119" s="832"/>
      <c r="N119" s="832"/>
      <c r="O119" s="832"/>
      <c r="P119" s="1024"/>
      <c r="Q119" s="832"/>
      <c r="R119" s="832"/>
      <c r="S119" s="832"/>
    </row>
    <row r="120" spans="1:19" hidden="1">
      <c r="A120" s="1055">
        <f t="shared" si="16"/>
        <v>9.4499999999999904</v>
      </c>
      <c r="B120" s="832"/>
      <c r="C120" s="1024">
        <f t="shared" si="14"/>
        <v>0</v>
      </c>
      <c r="D120" s="1024">
        <f t="shared" si="12"/>
        <v>0</v>
      </c>
      <c r="E120" s="1024"/>
      <c r="F120" s="1024"/>
      <c r="G120" s="1024">
        <f t="shared" si="13"/>
        <v>0</v>
      </c>
      <c r="H120" s="1024"/>
      <c r="I120" s="1024">
        <f t="shared" si="15"/>
        <v>0</v>
      </c>
      <c r="J120" s="1024">
        <f t="shared" si="15"/>
        <v>0</v>
      </c>
      <c r="K120" s="1024">
        <f t="shared" si="15"/>
        <v>0</v>
      </c>
      <c r="L120" s="1024"/>
      <c r="M120" s="832"/>
      <c r="N120" s="832"/>
      <c r="O120" s="832"/>
      <c r="P120" s="1024"/>
      <c r="Q120" s="832"/>
      <c r="R120" s="832"/>
      <c r="S120" s="832"/>
    </row>
    <row r="121" spans="1:19" hidden="1">
      <c r="A121" s="1055">
        <f t="shared" si="16"/>
        <v>9.4599999999999902</v>
      </c>
      <c r="B121" s="832"/>
      <c r="C121" s="1024">
        <f t="shared" si="14"/>
        <v>0</v>
      </c>
      <c r="D121" s="1024">
        <f t="shared" si="12"/>
        <v>0</v>
      </c>
      <c r="E121" s="1024"/>
      <c r="F121" s="1024"/>
      <c r="G121" s="1024">
        <f t="shared" si="13"/>
        <v>0</v>
      </c>
      <c r="H121" s="1024"/>
      <c r="I121" s="1024">
        <f t="shared" si="15"/>
        <v>0</v>
      </c>
      <c r="J121" s="1024">
        <f t="shared" si="15"/>
        <v>0</v>
      </c>
      <c r="K121" s="1024">
        <f t="shared" si="15"/>
        <v>0</v>
      </c>
      <c r="L121" s="1024"/>
      <c r="M121" s="832"/>
      <c r="N121" s="832"/>
      <c r="O121" s="832"/>
      <c r="P121" s="1024"/>
      <c r="Q121" s="832"/>
      <c r="R121" s="832"/>
      <c r="S121" s="832"/>
    </row>
    <row r="122" spans="1:19" hidden="1">
      <c r="A122" s="1055">
        <f t="shared" si="16"/>
        <v>9.46999999999999</v>
      </c>
      <c r="B122" s="832"/>
      <c r="C122" s="1024">
        <f t="shared" si="14"/>
        <v>0</v>
      </c>
      <c r="D122" s="1024">
        <f t="shared" si="12"/>
        <v>0</v>
      </c>
      <c r="E122" s="1024"/>
      <c r="F122" s="1024"/>
      <c r="G122" s="1024">
        <f t="shared" si="13"/>
        <v>0</v>
      </c>
      <c r="H122" s="1024"/>
      <c r="I122" s="1024">
        <f t="shared" si="15"/>
        <v>0</v>
      </c>
      <c r="J122" s="1024">
        <f t="shared" si="15"/>
        <v>0</v>
      </c>
      <c r="K122" s="1024">
        <f t="shared" si="15"/>
        <v>0</v>
      </c>
      <c r="L122" s="1024"/>
      <c r="M122" s="832"/>
      <c r="N122" s="832"/>
      <c r="O122" s="832"/>
      <c r="P122" s="1024"/>
      <c r="Q122" s="832"/>
      <c r="R122" s="832"/>
      <c r="S122" s="832"/>
    </row>
    <row r="123" spans="1:19" hidden="1">
      <c r="A123" s="1055">
        <f t="shared" si="16"/>
        <v>9.4799999999999898</v>
      </c>
      <c r="B123" s="832"/>
      <c r="C123" s="1024">
        <f t="shared" si="14"/>
        <v>0</v>
      </c>
      <c r="D123" s="1024">
        <f t="shared" si="12"/>
        <v>0</v>
      </c>
      <c r="E123" s="1024"/>
      <c r="F123" s="1024"/>
      <c r="G123" s="1024">
        <f t="shared" si="13"/>
        <v>0</v>
      </c>
      <c r="H123" s="1024"/>
      <c r="I123" s="1024">
        <f t="shared" si="15"/>
        <v>0</v>
      </c>
      <c r="J123" s="1024">
        <f t="shared" si="15"/>
        <v>0</v>
      </c>
      <c r="K123" s="1024">
        <f t="shared" si="15"/>
        <v>0</v>
      </c>
      <c r="L123" s="1024"/>
      <c r="M123" s="832"/>
      <c r="N123" s="832"/>
      <c r="O123" s="832"/>
      <c r="P123" s="1024"/>
      <c r="Q123" s="832"/>
      <c r="R123" s="832"/>
      <c r="S123" s="832"/>
    </row>
    <row r="124" spans="1:19" hidden="1">
      <c r="A124" s="1055">
        <f t="shared" si="16"/>
        <v>9.4899999999999896</v>
      </c>
      <c r="B124" s="832"/>
      <c r="C124" s="1024">
        <f t="shared" si="14"/>
        <v>0</v>
      </c>
      <c r="D124" s="1024">
        <f t="shared" si="12"/>
        <v>0</v>
      </c>
      <c r="E124" s="1024"/>
      <c r="F124" s="1024"/>
      <c r="G124" s="1024">
        <f t="shared" si="13"/>
        <v>0</v>
      </c>
      <c r="H124" s="1024"/>
      <c r="I124" s="1024">
        <f t="shared" si="15"/>
        <v>0</v>
      </c>
      <c r="J124" s="1024">
        <f t="shared" si="15"/>
        <v>0</v>
      </c>
      <c r="K124" s="1024">
        <f t="shared" si="15"/>
        <v>0</v>
      </c>
      <c r="L124" s="1024"/>
      <c r="M124" s="832"/>
      <c r="N124" s="832"/>
      <c r="O124" s="832"/>
      <c r="P124" s="1024"/>
      <c r="Q124" s="832"/>
      <c r="R124" s="832"/>
      <c r="S124" s="832"/>
    </row>
    <row r="125" spans="1:19" hidden="1">
      <c r="A125" s="1055">
        <f t="shared" si="16"/>
        <v>9.4999999999999893</v>
      </c>
      <c r="B125" s="832"/>
      <c r="C125" s="1024">
        <f t="shared" si="14"/>
        <v>0</v>
      </c>
      <c r="D125" s="1024">
        <f t="shared" si="12"/>
        <v>0</v>
      </c>
      <c r="E125" s="1024"/>
      <c r="F125" s="1024"/>
      <c r="G125" s="1024">
        <f t="shared" si="13"/>
        <v>0</v>
      </c>
      <c r="H125" s="1024"/>
      <c r="I125" s="1024">
        <f t="shared" si="15"/>
        <v>0</v>
      </c>
      <c r="J125" s="1024">
        <f t="shared" si="15"/>
        <v>0</v>
      </c>
      <c r="K125" s="1024">
        <f t="shared" si="15"/>
        <v>0</v>
      </c>
      <c r="L125" s="1024"/>
      <c r="M125" s="832"/>
      <c r="N125" s="832"/>
      <c r="O125" s="832"/>
      <c r="P125" s="1024"/>
      <c r="Q125" s="832"/>
      <c r="R125" s="832"/>
      <c r="S125" s="832"/>
    </row>
    <row r="126" spans="1:19" hidden="1">
      <c r="A126" s="1055">
        <f t="shared" si="16"/>
        <v>9.5099999999999891</v>
      </c>
      <c r="B126" s="832"/>
      <c r="C126" s="1024">
        <f t="shared" si="14"/>
        <v>0</v>
      </c>
      <c r="D126" s="1024">
        <f t="shared" si="12"/>
        <v>0</v>
      </c>
      <c r="E126" s="1024"/>
      <c r="F126" s="1024"/>
      <c r="G126" s="1024">
        <f t="shared" si="13"/>
        <v>0</v>
      </c>
      <c r="H126" s="1024"/>
      <c r="I126" s="1024">
        <f t="shared" si="15"/>
        <v>0</v>
      </c>
      <c r="J126" s="1024">
        <f t="shared" si="15"/>
        <v>0</v>
      </c>
      <c r="K126" s="1024">
        <f t="shared" si="15"/>
        <v>0</v>
      </c>
      <c r="L126" s="1024"/>
      <c r="M126" s="832"/>
      <c r="N126" s="832"/>
      <c r="O126" s="832"/>
      <c r="P126" s="1024"/>
      <c r="Q126" s="832"/>
      <c r="R126" s="832"/>
      <c r="S126" s="832"/>
    </row>
    <row r="127" spans="1:19" hidden="1">
      <c r="A127" s="1055">
        <f t="shared" si="16"/>
        <v>9.5199999999999889</v>
      </c>
      <c r="B127" s="832"/>
      <c r="C127" s="1024">
        <f t="shared" si="14"/>
        <v>0</v>
      </c>
      <c r="D127" s="1024">
        <f t="shared" si="12"/>
        <v>0</v>
      </c>
      <c r="E127" s="1024"/>
      <c r="F127" s="1024"/>
      <c r="G127" s="1024">
        <f t="shared" si="13"/>
        <v>0</v>
      </c>
      <c r="H127" s="1024"/>
      <c r="I127" s="1024">
        <f t="shared" si="15"/>
        <v>0</v>
      </c>
      <c r="J127" s="1024">
        <f t="shared" si="15"/>
        <v>0</v>
      </c>
      <c r="K127" s="1024">
        <f t="shared" si="15"/>
        <v>0</v>
      </c>
      <c r="L127" s="1024"/>
      <c r="M127" s="832"/>
      <c r="N127" s="832"/>
      <c r="O127" s="832"/>
      <c r="P127" s="1024"/>
      <c r="Q127" s="832"/>
      <c r="R127" s="832"/>
      <c r="S127" s="832"/>
    </row>
    <row r="128" spans="1:19" hidden="1">
      <c r="A128" s="1055">
        <f t="shared" si="16"/>
        <v>9.5299999999999887</v>
      </c>
      <c r="B128" s="832"/>
      <c r="C128" s="1024">
        <f t="shared" si="14"/>
        <v>0</v>
      </c>
      <c r="D128" s="1024">
        <f t="shared" si="12"/>
        <v>0</v>
      </c>
      <c r="E128" s="1024"/>
      <c r="F128" s="1024"/>
      <c r="G128" s="1024">
        <f t="shared" si="13"/>
        <v>0</v>
      </c>
      <c r="H128" s="1024"/>
      <c r="I128" s="1024">
        <f t="shared" si="15"/>
        <v>0</v>
      </c>
      <c r="J128" s="1024">
        <f t="shared" si="15"/>
        <v>0</v>
      </c>
      <c r="K128" s="1024">
        <f t="shared" si="15"/>
        <v>0</v>
      </c>
      <c r="L128" s="1024"/>
      <c r="M128" s="832"/>
      <c r="N128" s="832"/>
      <c r="O128" s="832"/>
      <c r="P128" s="1024"/>
      <c r="Q128" s="832"/>
      <c r="R128" s="832"/>
      <c r="S128" s="832"/>
    </row>
    <row r="129" spans="1:19" hidden="1">
      <c r="A129" s="1055">
        <f t="shared" si="16"/>
        <v>9.5399999999999885</v>
      </c>
      <c r="B129" s="832"/>
      <c r="C129" s="1024">
        <f t="shared" si="14"/>
        <v>0</v>
      </c>
      <c r="D129" s="1024">
        <f t="shared" si="12"/>
        <v>0</v>
      </c>
      <c r="E129" s="1024"/>
      <c r="F129" s="1024"/>
      <c r="G129" s="1024">
        <f t="shared" si="13"/>
        <v>0</v>
      </c>
      <c r="H129" s="1024"/>
      <c r="I129" s="1024">
        <f t="shared" si="15"/>
        <v>0</v>
      </c>
      <c r="J129" s="1024">
        <f t="shared" si="15"/>
        <v>0</v>
      </c>
      <c r="K129" s="1024">
        <f t="shared" si="15"/>
        <v>0</v>
      </c>
      <c r="L129" s="1024"/>
      <c r="M129" s="832"/>
      <c r="N129" s="832"/>
      <c r="O129" s="832"/>
      <c r="P129" s="1024"/>
      <c r="Q129" s="832"/>
      <c r="R129" s="832"/>
      <c r="S129" s="832"/>
    </row>
    <row r="130" spans="1:19" hidden="1">
      <c r="A130" s="1055">
        <f t="shared" si="16"/>
        <v>9.5499999999999883</v>
      </c>
      <c r="B130" s="832"/>
      <c r="C130" s="1024">
        <f t="shared" si="14"/>
        <v>0</v>
      </c>
      <c r="D130" s="1024">
        <f t="shared" si="12"/>
        <v>0</v>
      </c>
      <c r="E130" s="1024"/>
      <c r="F130" s="1024"/>
      <c r="G130" s="1024">
        <f t="shared" si="13"/>
        <v>0</v>
      </c>
      <c r="H130" s="1024"/>
      <c r="I130" s="1024">
        <f t="shared" si="15"/>
        <v>0</v>
      </c>
      <c r="J130" s="1024">
        <f t="shared" si="15"/>
        <v>0</v>
      </c>
      <c r="K130" s="1024">
        <f t="shared" si="15"/>
        <v>0</v>
      </c>
      <c r="L130" s="1024"/>
      <c r="M130" s="832"/>
      <c r="N130" s="832"/>
      <c r="O130" s="832"/>
      <c r="P130" s="1024"/>
      <c r="Q130" s="832"/>
      <c r="R130" s="832"/>
      <c r="S130" s="832"/>
    </row>
    <row r="131" spans="1:19" hidden="1">
      <c r="A131" s="1055">
        <f t="shared" si="16"/>
        <v>9.5599999999999881</v>
      </c>
      <c r="B131" s="832"/>
      <c r="C131" s="1024">
        <f t="shared" si="14"/>
        <v>0</v>
      </c>
      <c r="D131" s="1024">
        <f t="shared" si="12"/>
        <v>0</v>
      </c>
      <c r="E131" s="1024"/>
      <c r="F131" s="1024"/>
      <c r="G131" s="1024">
        <f>ROUND(SUM(C131:F131)/2,0)</f>
        <v>0</v>
      </c>
      <c r="H131" s="1024"/>
      <c r="I131" s="1024">
        <f t="shared" si="15"/>
        <v>0</v>
      </c>
      <c r="J131" s="1024">
        <f t="shared" si="15"/>
        <v>0</v>
      </c>
      <c r="K131" s="1024">
        <f t="shared" si="15"/>
        <v>0</v>
      </c>
      <c r="L131" s="1024"/>
      <c r="M131" s="832"/>
      <c r="N131" s="832"/>
      <c r="O131" s="832"/>
      <c r="P131" s="1024"/>
      <c r="Q131" s="832"/>
      <c r="R131" s="832"/>
      <c r="S131" s="832"/>
    </row>
    <row r="132" spans="1:19" hidden="1">
      <c r="A132" s="1055">
        <f t="shared" si="16"/>
        <v>9.5699999999999878</v>
      </c>
      <c r="B132" s="832"/>
      <c r="C132" s="1024">
        <f t="shared" si="14"/>
        <v>0</v>
      </c>
      <c r="D132" s="1024">
        <f t="shared" si="12"/>
        <v>0</v>
      </c>
      <c r="E132" s="1024"/>
      <c r="F132" s="1024"/>
      <c r="G132" s="1024">
        <f>ROUND(SUM(C132:F132)/2,0)</f>
        <v>0</v>
      </c>
      <c r="H132" s="1024"/>
      <c r="I132" s="1024">
        <f t="shared" si="15"/>
        <v>0</v>
      </c>
      <c r="J132" s="1024">
        <f t="shared" si="15"/>
        <v>0</v>
      </c>
      <c r="K132" s="1024">
        <f t="shared" si="15"/>
        <v>0</v>
      </c>
      <c r="L132" s="1024"/>
      <c r="M132" s="832"/>
      <c r="N132" s="832"/>
      <c r="O132" s="832"/>
      <c r="P132" s="1024"/>
      <c r="Q132" s="832"/>
      <c r="R132" s="832"/>
      <c r="S132" s="832"/>
    </row>
    <row r="133" spans="1:19" hidden="1">
      <c r="A133" s="1055">
        <f t="shared" si="16"/>
        <v>9.5799999999999876</v>
      </c>
      <c r="B133" s="832"/>
      <c r="C133" s="1024">
        <f t="shared" si="14"/>
        <v>0</v>
      </c>
      <c r="D133" s="1024">
        <f t="shared" si="12"/>
        <v>0</v>
      </c>
      <c r="E133" s="1024"/>
      <c r="F133" s="1024"/>
      <c r="G133" s="1024">
        <f>ROUND(SUM(C133:F133)/2,0)</f>
        <v>0</v>
      </c>
      <c r="H133" s="1024"/>
      <c r="I133" s="1024">
        <f t="shared" si="15"/>
        <v>0</v>
      </c>
      <c r="J133" s="1024">
        <f t="shared" si="15"/>
        <v>0</v>
      </c>
      <c r="K133" s="1024">
        <f t="shared" si="15"/>
        <v>0</v>
      </c>
      <c r="L133" s="1024"/>
      <c r="M133" s="832"/>
      <c r="N133" s="832"/>
      <c r="O133" s="832"/>
      <c r="P133" s="1024"/>
      <c r="Q133" s="832"/>
      <c r="R133" s="832"/>
      <c r="S133" s="832"/>
    </row>
    <row r="134" spans="1:19" hidden="1">
      <c r="A134" s="1055">
        <f t="shared" si="16"/>
        <v>9.5899999999999874</v>
      </c>
      <c r="B134" s="832"/>
      <c r="C134" s="1024">
        <f t="shared" si="14"/>
        <v>0</v>
      </c>
      <c r="D134" s="1024">
        <f t="shared" si="12"/>
        <v>0</v>
      </c>
      <c r="E134" s="1024"/>
      <c r="F134" s="1024"/>
      <c r="G134" s="1024">
        <f t="shared" ref="G134:G174" si="17">ROUND(SUM(C134:F134)/2,0)</f>
        <v>0</v>
      </c>
      <c r="H134" s="1024"/>
      <c r="I134" s="1024">
        <f t="shared" si="15"/>
        <v>0</v>
      </c>
      <c r="J134" s="1024">
        <f t="shared" si="15"/>
        <v>0</v>
      </c>
      <c r="K134" s="1024">
        <f t="shared" si="15"/>
        <v>0</v>
      </c>
      <c r="L134" s="1024"/>
      <c r="M134" s="832"/>
      <c r="N134" s="832"/>
      <c r="O134" s="832"/>
      <c r="P134" s="1024"/>
      <c r="Q134" s="832"/>
      <c r="R134" s="832"/>
      <c r="S134" s="832"/>
    </row>
    <row r="135" spans="1:19" hidden="1">
      <c r="A135" s="1055">
        <f t="shared" si="16"/>
        <v>9.5999999999999872</v>
      </c>
      <c r="B135" s="832"/>
      <c r="C135" s="1024">
        <f t="shared" si="14"/>
        <v>0</v>
      </c>
      <c r="D135" s="1024">
        <f t="shared" si="12"/>
        <v>0</v>
      </c>
      <c r="E135" s="1024"/>
      <c r="F135" s="1024"/>
      <c r="G135" s="1024">
        <f t="shared" si="17"/>
        <v>0</v>
      </c>
      <c r="H135" s="1024"/>
      <c r="I135" s="1024">
        <f t="shared" si="15"/>
        <v>0</v>
      </c>
      <c r="J135" s="1024">
        <f t="shared" si="15"/>
        <v>0</v>
      </c>
      <c r="K135" s="1024">
        <f t="shared" si="15"/>
        <v>0</v>
      </c>
      <c r="L135" s="1024"/>
      <c r="M135" s="832"/>
      <c r="N135" s="832"/>
      <c r="O135" s="832"/>
      <c r="P135" s="1024"/>
      <c r="Q135" s="832"/>
      <c r="R135" s="832"/>
      <c r="S135" s="832"/>
    </row>
    <row r="136" spans="1:19" hidden="1">
      <c r="A136" s="1055">
        <f t="shared" si="16"/>
        <v>9.609999999999987</v>
      </c>
      <c r="B136" s="832"/>
      <c r="C136" s="1024">
        <f t="shared" si="14"/>
        <v>0</v>
      </c>
      <c r="D136" s="1024">
        <f t="shared" si="12"/>
        <v>0</v>
      </c>
      <c r="E136" s="1024"/>
      <c r="F136" s="1024"/>
      <c r="G136" s="1024">
        <f t="shared" si="17"/>
        <v>0</v>
      </c>
      <c r="H136" s="1024"/>
      <c r="I136" s="1024">
        <f t="shared" si="15"/>
        <v>0</v>
      </c>
      <c r="J136" s="1024">
        <f t="shared" si="15"/>
        <v>0</v>
      </c>
      <c r="K136" s="1024">
        <f t="shared" si="15"/>
        <v>0</v>
      </c>
      <c r="L136" s="1024"/>
      <c r="M136" s="832"/>
      <c r="N136" s="832"/>
      <c r="O136" s="832"/>
      <c r="P136" s="1024"/>
      <c r="Q136" s="832"/>
      <c r="R136" s="832"/>
      <c r="S136" s="832"/>
    </row>
    <row r="137" spans="1:19" hidden="1">
      <c r="A137" s="1055">
        <f t="shared" si="16"/>
        <v>9.6199999999999868</v>
      </c>
      <c r="B137" s="832"/>
      <c r="C137" s="1024">
        <f t="shared" si="14"/>
        <v>0</v>
      </c>
      <c r="D137" s="1024">
        <f t="shared" si="12"/>
        <v>0</v>
      </c>
      <c r="E137" s="1024"/>
      <c r="F137" s="1024"/>
      <c r="G137" s="1024">
        <f t="shared" si="17"/>
        <v>0</v>
      </c>
      <c r="H137" s="1024"/>
      <c r="I137" s="1024">
        <f t="shared" ref="I137:K157" si="18">(M137+Q137)/2</f>
        <v>0</v>
      </c>
      <c r="J137" s="1024">
        <f t="shared" si="18"/>
        <v>0</v>
      </c>
      <c r="K137" s="1024">
        <f t="shared" si="18"/>
        <v>0</v>
      </c>
      <c r="L137" s="1024"/>
      <c r="M137" s="832"/>
      <c r="N137" s="832"/>
      <c r="O137" s="832"/>
      <c r="P137" s="1024"/>
      <c r="Q137" s="832"/>
      <c r="R137" s="832"/>
      <c r="S137" s="832"/>
    </row>
    <row r="138" spans="1:19" hidden="1">
      <c r="A138" s="1055">
        <f t="shared" si="16"/>
        <v>9.6299999999999866</v>
      </c>
      <c r="B138" s="832"/>
      <c r="C138" s="1024">
        <f t="shared" si="14"/>
        <v>0</v>
      </c>
      <c r="D138" s="1024">
        <f t="shared" si="12"/>
        <v>0</v>
      </c>
      <c r="E138" s="1024"/>
      <c r="F138" s="1024"/>
      <c r="G138" s="1024">
        <f t="shared" si="17"/>
        <v>0</v>
      </c>
      <c r="H138" s="1024"/>
      <c r="I138" s="1024">
        <f t="shared" si="18"/>
        <v>0</v>
      </c>
      <c r="J138" s="1024">
        <f t="shared" si="18"/>
        <v>0</v>
      </c>
      <c r="K138" s="1024">
        <f t="shared" si="18"/>
        <v>0</v>
      </c>
      <c r="L138" s="1024"/>
      <c r="M138" s="832"/>
      <c r="N138" s="832"/>
      <c r="O138" s="832"/>
      <c r="P138" s="1024"/>
      <c r="Q138" s="832"/>
      <c r="R138" s="832"/>
      <c r="S138" s="832"/>
    </row>
    <row r="139" spans="1:19" hidden="1">
      <c r="A139" s="1055">
        <f t="shared" si="16"/>
        <v>9.6399999999999864</v>
      </c>
      <c r="B139" s="832"/>
      <c r="C139" s="1029">
        <f t="shared" si="14"/>
        <v>0</v>
      </c>
      <c r="D139" s="1029">
        <f t="shared" si="12"/>
        <v>0</v>
      </c>
      <c r="E139" s="1029"/>
      <c r="F139" s="1029"/>
      <c r="G139" s="1029">
        <f t="shared" si="17"/>
        <v>0</v>
      </c>
      <c r="H139" s="1029"/>
      <c r="I139" s="1029">
        <f t="shared" si="18"/>
        <v>0</v>
      </c>
      <c r="J139" s="1029">
        <f t="shared" si="18"/>
        <v>0</v>
      </c>
      <c r="K139" s="1029">
        <f t="shared" si="18"/>
        <v>0</v>
      </c>
      <c r="L139" s="1029"/>
      <c r="M139" s="832"/>
      <c r="N139" s="832"/>
      <c r="O139" s="832"/>
      <c r="P139" s="1029"/>
      <c r="Q139" s="832"/>
      <c r="R139" s="832"/>
      <c r="S139" s="832"/>
    </row>
    <row r="140" spans="1:19" hidden="1">
      <c r="A140" s="1055">
        <f>A139+0.01</f>
        <v>9.6499999999999861</v>
      </c>
      <c r="B140" s="832"/>
      <c r="C140" s="1024">
        <f t="shared" si="14"/>
        <v>0</v>
      </c>
      <c r="D140" s="1024">
        <f t="shared" ref="D140:D168" si="19">SUM(Q140:S140)</f>
        <v>0</v>
      </c>
      <c r="E140" s="1024"/>
      <c r="F140" s="1024"/>
      <c r="G140" s="1024">
        <f t="shared" si="17"/>
        <v>0</v>
      </c>
      <c r="H140" s="1024"/>
      <c r="I140" s="1024">
        <f t="shared" si="18"/>
        <v>0</v>
      </c>
      <c r="J140" s="1024">
        <f t="shared" si="18"/>
        <v>0</v>
      </c>
      <c r="K140" s="1024">
        <f t="shared" si="18"/>
        <v>0</v>
      </c>
      <c r="L140" s="1024"/>
      <c r="M140" s="832"/>
      <c r="N140" s="832"/>
      <c r="O140" s="832"/>
      <c r="P140" s="1024"/>
      <c r="Q140" s="832"/>
      <c r="R140" s="832"/>
      <c r="S140" s="832"/>
    </row>
    <row r="141" spans="1:19" hidden="1">
      <c r="A141" s="1055">
        <f t="shared" si="16"/>
        <v>9.6599999999999859</v>
      </c>
      <c r="B141" s="832"/>
      <c r="C141" s="1024">
        <f t="shared" ref="C141:C168" si="20">SUM(M141:O141)</f>
        <v>0</v>
      </c>
      <c r="D141" s="1024">
        <f t="shared" si="19"/>
        <v>0</v>
      </c>
      <c r="E141" s="1024"/>
      <c r="F141" s="1024"/>
      <c r="G141" s="1024">
        <f t="shared" si="17"/>
        <v>0</v>
      </c>
      <c r="H141" s="1024"/>
      <c r="I141" s="1024">
        <f t="shared" si="18"/>
        <v>0</v>
      </c>
      <c r="J141" s="1024">
        <f t="shared" si="18"/>
        <v>0</v>
      </c>
      <c r="K141" s="1024">
        <f t="shared" si="18"/>
        <v>0</v>
      </c>
      <c r="L141" s="1024"/>
      <c r="M141" s="832"/>
      <c r="N141" s="832"/>
      <c r="O141" s="832"/>
      <c r="P141" s="1024"/>
      <c r="Q141" s="832"/>
      <c r="R141" s="832"/>
      <c r="S141" s="832"/>
    </row>
    <row r="142" spans="1:19" hidden="1">
      <c r="A142" s="1055">
        <f t="shared" ref="A142:A174" si="21">A141+0.01</f>
        <v>9.6699999999999857</v>
      </c>
      <c r="B142" s="832"/>
      <c r="C142" s="1024">
        <f t="shared" si="20"/>
        <v>0</v>
      </c>
      <c r="D142" s="1024">
        <f t="shared" si="19"/>
        <v>0</v>
      </c>
      <c r="E142" s="1024"/>
      <c r="F142" s="1024"/>
      <c r="G142" s="1024">
        <f t="shared" si="17"/>
        <v>0</v>
      </c>
      <c r="H142" s="1024"/>
      <c r="I142" s="1024">
        <f t="shared" si="18"/>
        <v>0</v>
      </c>
      <c r="J142" s="1024">
        <f t="shared" si="18"/>
        <v>0</v>
      </c>
      <c r="K142" s="1024">
        <f t="shared" si="18"/>
        <v>0</v>
      </c>
      <c r="L142" s="1024"/>
      <c r="M142" s="832"/>
      <c r="N142" s="832"/>
      <c r="O142" s="832"/>
      <c r="P142" s="1024"/>
      <c r="Q142" s="832"/>
      <c r="R142" s="832"/>
      <c r="S142" s="832"/>
    </row>
    <row r="143" spans="1:19" hidden="1">
      <c r="A143" s="1055">
        <f t="shared" si="21"/>
        <v>9.6799999999999855</v>
      </c>
      <c r="B143" s="832"/>
      <c r="C143" s="1024">
        <f t="shared" si="20"/>
        <v>0</v>
      </c>
      <c r="D143" s="1024">
        <f t="shared" si="19"/>
        <v>0</v>
      </c>
      <c r="E143" s="1024"/>
      <c r="F143" s="1024"/>
      <c r="G143" s="1024">
        <f t="shared" si="17"/>
        <v>0</v>
      </c>
      <c r="H143" s="1024"/>
      <c r="I143" s="1024">
        <f t="shared" si="18"/>
        <v>0</v>
      </c>
      <c r="J143" s="1024">
        <f t="shared" si="18"/>
        <v>0</v>
      </c>
      <c r="K143" s="1024">
        <f t="shared" si="18"/>
        <v>0</v>
      </c>
      <c r="L143" s="1024"/>
      <c r="M143" s="832"/>
      <c r="N143" s="832"/>
      <c r="O143" s="832"/>
      <c r="P143" s="1024"/>
      <c r="Q143" s="832"/>
      <c r="R143" s="832"/>
      <c r="S143" s="832"/>
    </row>
    <row r="144" spans="1:19" hidden="1">
      <c r="A144" s="1055">
        <f t="shared" si="21"/>
        <v>9.6899999999999853</v>
      </c>
      <c r="B144" s="832"/>
      <c r="C144" s="1024">
        <f t="shared" si="20"/>
        <v>0</v>
      </c>
      <c r="D144" s="1024">
        <f t="shared" si="19"/>
        <v>0</v>
      </c>
      <c r="E144" s="1024"/>
      <c r="F144" s="1024"/>
      <c r="G144" s="1024">
        <f t="shared" si="17"/>
        <v>0</v>
      </c>
      <c r="H144" s="1024"/>
      <c r="I144" s="1024">
        <f t="shared" si="18"/>
        <v>0</v>
      </c>
      <c r="J144" s="1024">
        <f t="shared" si="18"/>
        <v>0</v>
      </c>
      <c r="K144" s="1024">
        <f t="shared" si="18"/>
        <v>0</v>
      </c>
      <c r="L144" s="1024"/>
      <c r="M144" s="832"/>
      <c r="N144" s="832"/>
      <c r="O144" s="832"/>
      <c r="P144" s="1024"/>
      <c r="Q144" s="832"/>
      <c r="R144" s="832"/>
      <c r="S144" s="832"/>
    </row>
    <row r="145" spans="1:19" hidden="1">
      <c r="A145" s="1055">
        <f t="shared" si="21"/>
        <v>9.6999999999999851</v>
      </c>
      <c r="B145" s="832"/>
      <c r="C145" s="1024">
        <f>SUM(M145:O145)</f>
        <v>0</v>
      </c>
      <c r="D145" s="1024">
        <f t="shared" si="19"/>
        <v>0</v>
      </c>
      <c r="E145" s="1024"/>
      <c r="F145" s="1024"/>
      <c r="G145" s="1024">
        <f t="shared" si="17"/>
        <v>0</v>
      </c>
      <c r="H145" s="1024"/>
      <c r="I145" s="1024">
        <f t="shared" si="18"/>
        <v>0</v>
      </c>
      <c r="J145" s="1024">
        <f t="shared" si="18"/>
        <v>0</v>
      </c>
      <c r="K145" s="1024">
        <f t="shared" si="18"/>
        <v>0</v>
      </c>
      <c r="L145" s="1024"/>
      <c r="M145" s="832"/>
      <c r="N145" s="832"/>
      <c r="O145" s="832"/>
      <c r="P145" s="1024"/>
      <c r="Q145" s="832"/>
      <c r="R145" s="832"/>
      <c r="S145" s="832"/>
    </row>
    <row r="146" spans="1:19" hidden="1">
      <c r="A146" s="1055">
        <f t="shared" si="21"/>
        <v>9.7099999999999849</v>
      </c>
      <c r="B146" s="832"/>
      <c r="C146" s="1024">
        <f t="shared" si="20"/>
        <v>0</v>
      </c>
      <c r="D146" s="1024">
        <f t="shared" si="19"/>
        <v>0</v>
      </c>
      <c r="E146" s="1024"/>
      <c r="F146" s="1024"/>
      <c r="G146" s="1024">
        <f t="shared" si="17"/>
        <v>0</v>
      </c>
      <c r="H146" s="1024"/>
      <c r="I146" s="1024">
        <f t="shared" si="18"/>
        <v>0</v>
      </c>
      <c r="J146" s="1024">
        <f t="shared" si="18"/>
        <v>0</v>
      </c>
      <c r="K146" s="1024">
        <f t="shared" si="18"/>
        <v>0</v>
      </c>
      <c r="L146" s="1024"/>
      <c r="M146" s="832"/>
      <c r="N146" s="832"/>
      <c r="O146" s="832"/>
      <c r="P146" s="1024"/>
      <c r="Q146" s="832"/>
      <c r="R146" s="832"/>
      <c r="S146" s="832"/>
    </row>
    <row r="147" spans="1:19" hidden="1">
      <c r="A147" s="1055">
        <f t="shared" si="21"/>
        <v>9.7199999999999847</v>
      </c>
      <c r="B147" s="832"/>
      <c r="C147" s="1024">
        <f>SUM(M147:O147)</f>
        <v>0</v>
      </c>
      <c r="D147" s="1024">
        <f t="shared" si="19"/>
        <v>0</v>
      </c>
      <c r="E147" s="1024"/>
      <c r="F147" s="1024"/>
      <c r="G147" s="1024">
        <v>0</v>
      </c>
      <c r="H147" s="1024"/>
      <c r="I147" s="1024">
        <f t="shared" si="18"/>
        <v>0</v>
      </c>
      <c r="J147" s="1024">
        <f t="shared" si="18"/>
        <v>0</v>
      </c>
      <c r="K147" s="1024">
        <f t="shared" si="18"/>
        <v>0</v>
      </c>
      <c r="L147" s="1024"/>
      <c r="M147" s="832"/>
      <c r="N147" s="832"/>
      <c r="O147" s="832"/>
      <c r="P147" s="1024"/>
      <c r="Q147" s="832"/>
      <c r="R147" s="832"/>
      <c r="S147" s="832"/>
    </row>
    <row r="148" spans="1:19" hidden="1">
      <c r="A148" s="1055">
        <f t="shared" si="21"/>
        <v>9.7299999999999844</v>
      </c>
      <c r="B148" s="832"/>
      <c r="C148" s="1024">
        <f>SUM(M148:O148)</f>
        <v>0</v>
      </c>
      <c r="D148" s="1024">
        <f t="shared" si="19"/>
        <v>0</v>
      </c>
      <c r="E148" s="1024"/>
      <c r="F148" s="1024"/>
      <c r="G148" s="1024">
        <f t="shared" si="17"/>
        <v>0</v>
      </c>
      <c r="H148" s="1024"/>
      <c r="I148" s="1024">
        <f t="shared" si="18"/>
        <v>0</v>
      </c>
      <c r="J148" s="1024">
        <f t="shared" si="18"/>
        <v>0</v>
      </c>
      <c r="K148" s="1024">
        <f t="shared" si="18"/>
        <v>0</v>
      </c>
      <c r="L148" s="1024"/>
      <c r="M148" s="832"/>
      <c r="N148" s="832"/>
      <c r="O148" s="832"/>
      <c r="P148" s="1024"/>
      <c r="Q148" s="832"/>
      <c r="R148" s="832"/>
      <c r="S148" s="832"/>
    </row>
    <row r="149" spans="1:19" hidden="1">
      <c r="A149" s="1055">
        <f t="shared" si="21"/>
        <v>9.7399999999999842</v>
      </c>
      <c r="B149" s="832"/>
      <c r="C149" s="1024">
        <f>SUM(M149:O149)</f>
        <v>0</v>
      </c>
      <c r="D149" s="1024">
        <f t="shared" si="19"/>
        <v>0</v>
      </c>
      <c r="E149" s="1024"/>
      <c r="F149" s="1024"/>
      <c r="G149" s="1024">
        <f t="shared" si="17"/>
        <v>0</v>
      </c>
      <c r="H149" s="1024"/>
      <c r="I149" s="1024">
        <f t="shared" si="18"/>
        <v>0</v>
      </c>
      <c r="J149" s="1024">
        <f t="shared" si="18"/>
        <v>0</v>
      </c>
      <c r="K149" s="1024">
        <f t="shared" si="18"/>
        <v>0</v>
      </c>
      <c r="L149" s="1024"/>
      <c r="M149" s="832"/>
      <c r="N149" s="832"/>
      <c r="O149" s="832"/>
      <c r="P149" s="1024"/>
      <c r="Q149" s="832"/>
      <c r="R149" s="832"/>
      <c r="S149" s="832"/>
    </row>
    <row r="150" spans="1:19" hidden="1">
      <c r="A150" s="1055">
        <f t="shared" si="21"/>
        <v>9.749999999999984</v>
      </c>
      <c r="B150" s="832"/>
      <c r="C150" s="1024">
        <f>SUM(M150:O150)</f>
        <v>0</v>
      </c>
      <c r="D150" s="1024">
        <f t="shared" si="19"/>
        <v>0</v>
      </c>
      <c r="E150" s="1024"/>
      <c r="F150" s="1024"/>
      <c r="G150" s="1024">
        <f t="shared" si="17"/>
        <v>0</v>
      </c>
      <c r="H150" s="1024"/>
      <c r="I150" s="1024">
        <f t="shared" si="18"/>
        <v>0</v>
      </c>
      <c r="J150" s="1024">
        <f t="shared" si="18"/>
        <v>0</v>
      </c>
      <c r="K150" s="1024">
        <f t="shared" si="18"/>
        <v>0</v>
      </c>
      <c r="L150" s="1024"/>
      <c r="M150" s="832"/>
      <c r="N150" s="832"/>
      <c r="O150" s="832"/>
      <c r="P150" s="1024"/>
      <c r="Q150" s="832"/>
      <c r="R150" s="832"/>
      <c r="S150" s="832"/>
    </row>
    <row r="151" spans="1:19" hidden="1">
      <c r="A151" s="1055">
        <f t="shared" si="21"/>
        <v>9.7599999999999838</v>
      </c>
      <c r="B151" s="832"/>
      <c r="C151" s="1024">
        <f t="shared" si="20"/>
        <v>0</v>
      </c>
      <c r="D151" s="1024">
        <f t="shared" si="19"/>
        <v>0</v>
      </c>
      <c r="E151" s="1024"/>
      <c r="F151" s="1024"/>
      <c r="G151" s="1024">
        <f t="shared" si="17"/>
        <v>0</v>
      </c>
      <c r="H151" s="1024"/>
      <c r="I151" s="1024">
        <f t="shared" si="18"/>
        <v>0</v>
      </c>
      <c r="J151" s="1024">
        <f t="shared" si="18"/>
        <v>0</v>
      </c>
      <c r="K151" s="1024">
        <f t="shared" si="18"/>
        <v>0</v>
      </c>
      <c r="L151" s="1024"/>
      <c r="M151" s="832"/>
      <c r="N151" s="832"/>
      <c r="O151" s="832"/>
      <c r="P151" s="1024"/>
      <c r="Q151" s="832"/>
      <c r="R151" s="832"/>
      <c r="S151" s="832"/>
    </row>
    <row r="152" spans="1:19" hidden="1">
      <c r="A152" s="1055">
        <f t="shared" si="21"/>
        <v>9.7699999999999836</v>
      </c>
      <c r="B152" s="832"/>
      <c r="C152" s="1024">
        <f t="shared" si="20"/>
        <v>0</v>
      </c>
      <c r="D152" s="1024">
        <f t="shared" si="19"/>
        <v>0</v>
      </c>
      <c r="E152" s="1024"/>
      <c r="F152" s="1024"/>
      <c r="G152" s="1024">
        <f t="shared" si="17"/>
        <v>0</v>
      </c>
      <c r="H152" s="1024"/>
      <c r="I152" s="1024">
        <f t="shared" si="18"/>
        <v>0</v>
      </c>
      <c r="J152" s="1024">
        <f t="shared" si="18"/>
        <v>0</v>
      </c>
      <c r="K152" s="1024">
        <f t="shared" si="18"/>
        <v>0</v>
      </c>
      <c r="L152" s="1024"/>
      <c r="M152" s="832"/>
      <c r="N152" s="832"/>
      <c r="O152" s="832"/>
      <c r="P152" s="1024"/>
      <c r="Q152" s="832"/>
      <c r="R152" s="832"/>
      <c r="S152" s="832"/>
    </row>
    <row r="153" spans="1:19" hidden="1">
      <c r="A153" s="1055">
        <f t="shared" si="21"/>
        <v>9.7799999999999834</v>
      </c>
      <c r="B153" s="832"/>
      <c r="C153" s="1024">
        <f t="shared" si="20"/>
        <v>0</v>
      </c>
      <c r="D153" s="1024">
        <f t="shared" si="19"/>
        <v>0</v>
      </c>
      <c r="E153" s="1024"/>
      <c r="F153" s="1024"/>
      <c r="G153" s="1024">
        <f t="shared" si="17"/>
        <v>0</v>
      </c>
      <c r="H153" s="1024"/>
      <c r="I153" s="1024">
        <f t="shared" si="18"/>
        <v>0</v>
      </c>
      <c r="J153" s="1024">
        <f t="shared" si="18"/>
        <v>0</v>
      </c>
      <c r="K153" s="1024">
        <f t="shared" si="18"/>
        <v>0</v>
      </c>
      <c r="L153" s="1024"/>
      <c r="M153" s="832"/>
      <c r="N153" s="832"/>
      <c r="O153" s="832"/>
      <c r="P153" s="1024"/>
      <c r="Q153" s="832"/>
      <c r="R153" s="832"/>
      <c r="S153" s="832"/>
    </row>
    <row r="154" spans="1:19" hidden="1">
      <c r="A154" s="1055">
        <f t="shared" si="21"/>
        <v>9.7899999999999832</v>
      </c>
      <c r="B154" s="832"/>
      <c r="C154" s="1024">
        <f t="shared" si="20"/>
        <v>0</v>
      </c>
      <c r="D154" s="1024">
        <f t="shared" si="19"/>
        <v>0</v>
      </c>
      <c r="E154" s="1024"/>
      <c r="F154" s="1024"/>
      <c r="G154" s="1024">
        <f t="shared" si="17"/>
        <v>0</v>
      </c>
      <c r="H154" s="1024"/>
      <c r="I154" s="1024">
        <f t="shared" si="18"/>
        <v>0</v>
      </c>
      <c r="J154" s="1024">
        <f t="shared" si="18"/>
        <v>0</v>
      </c>
      <c r="K154" s="1024">
        <f t="shared" si="18"/>
        <v>0</v>
      </c>
      <c r="L154" s="1024"/>
      <c r="M154" s="832"/>
      <c r="N154" s="832"/>
      <c r="O154" s="832"/>
      <c r="P154" s="1024"/>
      <c r="Q154" s="832"/>
      <c r="R154" s="832"/>
      <c r="S154" s="832"/>
    </row>
    <row r="155" spans="1:19" hidden="1">
      <c r="A155" s="1055">
        <f t="shared" si="21"/>
        <v>9.7999999999999829</v>
      </c>
      <c r="B155" s="832"/>
      <c r="C155" s="1024">
        <f t="shared" si="20"/>
        <v>0</v>
      </c>
      <c r="D155" s="1024">
        <f t="shared" si="19"/>
        <v>0</v>
      </c>
      <c r="E155" s="1024"/>
      <c r="F155" s="1024"/>
      <c r="G155" s="1024">
        <f t="shared" si="17"/>
        <v>0</v>
      </c>
      <c r="H155" s="1024"/>
      <c r="I155" s="1024">
        <f t="shared" si="18"/>
        <v>0</v>
      </c>
      <c r="J155" s="1024">
        <f t="shared" si="18"/>
        <v>0</v>
      </c>
      <c r="K155" s="1024">
        <f t="shared" si="18"/>
        <v>0</v>
      </c>
      <c r="L155" s="1024"/>
      <c r="M155" s="832"/>
      <c r="N155" s="832"/>
      <c r="O155" s="832"/>
      <c r="P155" s="1024"/>
      <c r="Q155" s="832"/>
      <c r="R155" s="832"/>
      <c r="S155" s="832"/>
    </row>
    <row r="156" spans="1:19" hidden="1">
      <c r="A156" s="1055">
        <f t="shared" si="21"/>
        <v>9.8099999999999827</v>
      </c>
      <c r="B156" s="832"/>
      <c r="C156" s="1024">
        <f t="shared" si="20"/>
        <v>0</v>
      </c>
      <c r="D156" s="1024">
        <f t="shared" si="19"/>
        <v>0</v>
      </c>
      <c r="E156" s="1024"/>
      <c r="F156" s="1024"/>
      <c r="G156" s="1024">
        <f t="shared" si="17"/>
        <v>0</v>
      </c>
      <c r="H156" s="1024"/>
      <c r="I156" s="1024">
        <f t="shared" si="18"/>
        <v>0</v>
      </c>
      <c r="J156" s="1024">
        <f t="shared" si="18"/>
        <v>0</v>
      </c>
      <c r="K156" s="1024">
        <f t="shared" si="18"/>
        <v>0</v>
      </c>
      <c r="L156" s="1024"/>
      <c r="M156" s="832"/>
      <c r="N156" s="832"/>
      <c r="O156" s="832"/>
      <c r="P156" s="1024"/>
      <c r="Q156" s="832"/>
      <c r="R156" s="832"/>
      <c r="S156" s="832"/>
    </row>
    <row r="157" spans="1:19" hidden="1">
      <c r="A157" s="1055">
        <f t="shared" si="21"/>
        <v>9.8199999999999825</v>
      </c>
      <c r="B157" s="832"/>
      <c r="C157" s="1024">
        <f t="shared" si="20"/>
        <v>0</v>
      </c>
      <c r="D157" s="1024">
        <f t="shared" si="19"/>
        <v>0</v>
      </c>
      <c r="E157" s="1024"/>
      <c r="F157" s="1024"/>
      <c r="G157" s="1024">
        <f t="shared" si="17"/>
        <v>0</v>
      </c>
      <c r="H157" s="1024"/>
      <c r="I157" s="1024">
        <f t="shared" si="18"/>
        <v>0</v>
      </c>
      <c r="J157" s="1024">
        <f t="shared" si="18"/>
        <v>0</v>
      </c>
      <c r="K157" s="1024">
        <f t="shared" si="18"/>
        <v>0</v>
      </c>
      <c r="L157" s="1024"/>
      <c r="M157" s="832"/>
      <c r="N157" s="832"/>
      <c r="O157" s="832"/>
      <c r="P157" s="1024"/>
      <c r="Q157" s="832"/>
      <c r="R157" s="832"/>
      <c r="S157" s="832"/>
    </row>
    <row r="158" spans="1:19" hidden="1">
      <c r="A158" s="1055">
        <f t="shared" si="21"/>
        <v>9.8299999999999823</v>
      </c>
      <c r="B158" s="832"/>
      <c r="C158" s="1024">
        <f>SUM(M158:O158)</f>
        <v>0</v>
      </c>
      <c r="D158" s="1024">
        <f t="shared" si="19"/>
        <v>0</v>
      </c>
      <c r="E158" s="1024"/>
      <c r="F158" s="1024"/>
      <c r="G158" s="1024">
        <f t="shared" si="17"/>
        <v>0</v>
      </c>
      <c r="H158" s="1024"/>
      <c r="I158" s="1024">
        <f t="shared" ref="I158:K168" si="22">(M158+Q158)/2</f>
        <v>0</v>
      </c>
      <c r="J158" s="1024">
        <f t="shared" si="22"/>
        <v>0</v>
      </c>
      <c r="K158" s="1024">
        <f t="shared" si="22"/>
        <v>0</v>
      </c>
      <c r="L158" s="1024"/>
      <c r="M158" s="832"/>
      <c r="N158" s="832"/>
      <c r="O158" s="832"/>
      <c r="P158" s="1024"/>
      <c r="Q158" s="832"/>
      <c r="R158" s="832"/>
      <c r="S158" s="832"/>
    </row>
    <row r="159" spans="1:19" hidden="1">
      <c r="A159" s="1055">
        <f t="shared" si="21"/>
        <v>9.8399999999999821</v>
      </c>
      <c r="B159" s="832"/>
      <c r="C159" s="1024">
        <f>SUM(M159:O159)</f>
        <v>0</v>
      </c>
      <c r="D159" s="1024">
        <f t="shared" si="19"/>
        <v>0</v>
      </c>
      <c r="E159" s="1024"/>
      <c r="F159" s="1024"/>
      <c r="G159" s="1024">
        <f t="shared" si="17"/>
        <v>0</v>
      </c>
      <c r="H159" s="1024"/>
      <c r="I159" s="1024">
        <f t="shared" si="22"/>
        <v>0</v>
      </c>
      <c r="J159" s="1024">
        <f t="shared" si="22"/>
        <v>0</v>
      </c>
      <c r="K159" s="1024">
        <f t="shared" si="22"/>
        <v>0</v>
      </c>
      <c r="L159" s="1024"/>
      <c r="M159" s="832"/>
      <c r="N159" s="832"/>
      <c r="O159" s="832"/>
      <c r="P159" s="1024"/>
      <c r="Q159" s="832"/>
      <c r="R159" s="832"/>
      <c r="S159" s="832"/>
    </row>
    <row r="160" spans="1:19" hidden="1">
      <c r="A160" s="1055">
        <f t="shared" si="21"/>
        <v>9.8499999999999819</v>
      </c>
      <c r="B160" s="832"/>
      <c r="C160" s="1024">
        <f>SUM(M160:O160)</f>
        <v>0</v>
      </c>
      <c r="D160" s="1024">
        <f t="shared" si="19"/>
        <v>0</v>
      </c>
      <c r="E160" s="1024"/>
      <c r="F160" s="1024"/>
      <c r="G160" s="1024">
        <f t="shared" si="17"/>
        <v>0</v>
      </c>
      <c r="H160" s="1024"/>
      <c r="I160" s="1024">
        <f t="shared" si="22"/>
        <v>0</v>
      </c>
      <c r="J160" s="1024">
        <f t="shared" si="22"/>
        <v>0</v>
      </c>
      <c r="K160" s="1024">
        <f t="shared" si="22"/>
        <v>0</v>
      </c>
      <c r="L160" s="1024"/>
      <c r="M160" s="832"/>
      <c r="N160" s="832"/>
      <c r="O160" s="832"/>
      <c r="P160" s="1024"/>
      <c r="Q160" s="832"/>
      <c r="R160" s="832"/>
      <c r="S160" s="832"/>
    </row>
    <row r="161" spans="1:19" hidden="1">
      <c r="A161" s="1055">
        <f t="shared" si="21"/>
        <v>9.8599999999999817</v>
      </c>
      <c r="B161" s="832"/>
      <c r="C161" s="1024">
        <f>SUM(M161:O161)</f>
        <v>0</v>
      </c>
      <c r="D161" s="1024">
        <f t="shared" si="19"/>
        <v>0</v>
      </c>
      <c r="E161" s="1024"/>
      <c r="F161" s="1024"/>
      <c r="G161" s="1024">
        <f t="shared" si="17"/>
        <v>0</v>
      </c>
      <c r="H161" s="1024"/>
      <c r="I161" s="1024">
        <f t="shared" si="22"/>
        <v>0</v>
      </c>
      <c r="J161" s="1024">
        <f t="shared" si="22"/>
        <v>0</v>
      </c>
      <c r="K161" s="1024">
        <f t="shared" si="22"/>
        <v>0</v>
      </c>
      <c r="L161" s="1024"/>
      <c r="M161" s="832"/>
      <c r="N161" s="832"/>
      <c r="O161" s="832"/>
      <c r="P161" s="1024"/>
      <c r="Q161" s="832"/>
      <c r="R161" s="832"/>
      <c r="S161" s="832"/>
    </row>
    <row r="162" spans="1:19" hidden="1">
      <c r="A162" s="1055">
        <f t="shared" si="21"/>
        <v>9.8699999999999815</v>
      </c>
      <c r="B162" s="832"/>
      <c r="C162" s="1024">
        <f t="shared" si="20"/>
        <v>0</v>
      </c>
      <c r="D162" s="1024">
        <f t="shared" si="19"/>
        <v>0</v>
      </c>
      <c r="E162" s="1024"/>
      <c r="F162" s="1024"/>
      <c r="G162" s="1024">
        <f t="shared" si="17"/>
        <v>0</v>
      </c>
      <c r="H162" s="1024"/>
      <c r="I162" s="1024">
        <f t="shared" si="22"/>
        <v>0</v>
      </c>
      <c r="J162" s="1024">
        <f t="shared" si="22"/>
        <v>0</v>
      </c>
      <c r="K162" s="1024">
        <f t="shared" si="22"/>
        <v>0</v>
      </c>
      <c r="L162" s="1024"/>
      <c r="M162" s="832"/>
      <c r="N162" s="832"/>
      <c r="O162" s="832"/>
      <c r="P162" s="1024"/>
      <c r="Q162" s="832"/>
      <c r="R162" s="832"/>
      <c r="S162" s="832"/>
    </row>
    <row r="163" spans="1:19" hidden="1">
      <c r="A163" s="1055">
        <f t="shared" si="21"/>
        <v>9.8799999999999812</v>
      </c>
      <c r="B163" s="832"/>
      <c r="C163" s="1024">
        <f t="shared" si="20"/>
        <v>0</v>
      </c>
      <c r="D163" s="1024">
        <f t="shared" si="19"/>
        <v>0</v>
      </c>
      <c r="E163" s="1024"/>
      <c r="F163" s="1024"/>
      <c r="G163" s="1024">
        <f t="shared" si="17"/>
        <v>0</v>
      </c>
      <c r="H163" s="1024"/>
      <c r="I163" s="1024">
        <f t="shared" si="22"/>
        <v>0</v>
      </c>
      <c r="J163" s="1024">
        <f t="shared" si="22"/>
        <v>0</v>
      </c>
      <c r="K163" s="1024">
        <f t="shared" si="22"/>
        <v>0</v>
      </c>
      <c r="L163" s="1024"/>
      <c r="M163" s="832"/>
      <c r="N163" s="832"/>
      <c r="O163" s="832"/>
      <c r="P163" s="1024"/>
      <c r="Q163" s="832"/>
      <c r="R163" s="832"/>
      <c r="S163" s="832"/>
    </row>
    <row r="164" spans="1:19" hidden="1">
      <c r="A164" s="1055">
        <f t="shared" si="21"/>
        <v>9.889999999999981</v>
      </c>
      <c r="B164" s="832"/>
      <c r="C164" s="1024">
        <f t="shared" si="20"/>
        <v>0</v>
      </c>
      <c r="D164" s="1024">
        <f t="shared" si="19"/>
        <v>0</v>
      </c>
      <c r="E164" s="1024"/>
      <c r="F164" s="1024"/>
      <c r="G164" s="1280">
        <f t="shared" si="17"/>
        <v>0</v>
      </c>
      <c r="H164" s="1024"/>
      <c r="I164" s="1024">
        <f t="shared" si="22"/>
        <v>0</v>
      </c>
      <c r="J164" s="1024">
        <f t="shared" si="22"/>
        <v>0</v>
      </c>
      <c r="K164" s="1024">
        <f t="shared" si="22"/>
        <v>0</v>
      </c>
      <c r="L164" s="1280"/>
      <c r="M164" s="832"/>
      <c r="N164" s="832"/>
      <c r="O164" s="832"/>
      <c r="P164" s="1024"/>
      <c r="Q164" s="832"/>
      <c r="R164" s="832"/>
      <c r="S164" s="832"/>
    </row>
    <row r="165" spans="1:19" hidden="1">
      <c r="A165" s="1055">
        <f t="shared" si="21"/>
        <v>9.8999999999999808</v>
      </c>
      <c r="B165" s="832"/>
      <c r="C165" s="1024">
        <f t="shared" si="20"/>
        <v>0</v>
      </c>
      <c r="D165" s="1024">
        <f t="shared" si="19"/>
        <v>0</v>
      </c>
      <c r="E165" s="1024"/>
      <c r="F165" s="1024"/>
      <c r="G165" s="1024">
        <f t="shared" si="17"/>
        <v>0</v>
      </c>
      <c r="H165" s="1024"/>
      <c r="I165" s="1024">
        <f t="shared" si="22"/>
        <v>0</v>
      </c>
      <c r="J165" s="1024">
        <f t="shared" si="22"/>
        <v>0</v>
      </c>
      <c r="K165" s="1024">
        <f t="shared" si="22"/>
        <v>0</v>
      </c>
      <c r="L165" s="1024"/>
      <c r="M165" s="832"/>
      <c r="N165" s="832"/>
      <c r="O165" s="832"/>
      <c r="P165" s="1024"/>
      <c r="Q165" s="832"/>
      <c r="R165" s="832"/>
      <c r="S165" s="832"/>
    </row>
    <row r="166" spans="1:19" hidden="1">
      <c r="A166" s="1055">
        <f t="shared" si="21"/>
        <v>9.9099999999999806</v>
      </c>
      <c r="B166" s="832"/>
      <c r="C166" s="1024">
        <f t="shared" si="20"/>
        <v>0</v>
      </c>
      <c r="D166" s="1024">
        <f t="shared" si="19"/>
        <v>0</v>
      </c>
      <c r="E166" s="1024"/>
      <c r="F166" s="1024"/>
      <c r="G166" s="1024">
        <f>ROUND(SUM(C166:F166)/2,0)</f>
        <v>0</v>
      </c>
      <c r="H166" s="1024"/>
      <c r="I166" s="1024">
        <f t="shared" si="22"/>
        <v>0</v>
      </c>
      <c r="J166" s="1024">
        <f t="shared" si="22"/>
        <v>0</v>
      </c>
      <c r="K166" s="1024">
        <f t="shared" si="22"/>
        <v>0</v>
      </c>
      <c r="L166" s="1024"/>
      <c r="M166" s="832"/>
      <c r="N166" s="832"/>
      <c r="O166" s="832"/>
      <c r="P166" s="1024"/>
      <c r="Q166" s="832"/>
      <c r="R166" s="832"/>
      <c r="S166" s="832"/>
    </row>
    <row r="167" spans="1:19" hidden="1">
      <c r="A167" s="1055">
        <f t="shared" si="21"/>
        <v>9.9199999999999804</v>
      </c>
      <c r="B167" s="832"/>
      <c r="C167" s="1024">
        <f t="shared" si="20"/>
        <v>0</v>
      </c>
      <c r="D167" s="1024">
        <f t="shared" si="19"/>
        <v>0</v>
      </c>
      <c r="E167" s="1024"/>
      <c r="F167" s="1024"/>
      <c r="G167" s="1024">
        <f t="shared" si="17"/>
        <v>0</v>
      </c>
      <c r="H167" s="1024"/>
      <c r="I167" s="1024">
        <f t="shared" si="22"/>
        <v>0</v>
      </c>
      <c r="J167" s="1024">
        <f t="shared" si="22"/>
        <v>0</v>
      </c>
      <c r="K167" s="1024">
        <f t="shared" si="22"/>
        <v>0</v>
      </c>
      <c r="L167" s="1024"/>
      <c r="M167" s="832"/>
      <c r="N167" s="832"/>
      <c r="O167" s="832"/>
      <c r="P167" s="1024"/>
      <c r="Q167" s="832"/>
      <c r="R167" s="832"/>
      <c r="S167" s="832"/>
    </row>
    <row r="168" spans="1:19" hidden="1">
      <c r="A168" s="1055">
        <f t="shared" si="21"/>
        <v>9.9299999999999802</v>
      </c>
      <c r="B168" s="832"/>
      <c r="C168" s="1024">
        <f t="shared" si="20"/>
        <v>0</v>
      </c>
      <c r="D168" s="1024">
        <f t="shared" si="19"/>
        <v>0</v>
      </c>
      <c r="E168" s="1024"/>
      <c r="F168" s="1024"/>
      <c r="G168" s="1024">
        <f t="shared" si="17"/>
        <v>0</v>
      </c>
      <c r="H168" s="1024"/>
      <c r="I168" s="1024">
        <f t="shared" si="22"/>
        <v>0</v>
      </c>
      <c r="J168" s="1024">
        <f t="shared" si="22"/>
        <v>0</v>
      </c>
      <c r="K168" s="1024">
        <f t="shared" si="22"/>
        <v>0</v>
      </c>
      <c r="L168" s="1024"/>
      <c r="M168" s="832"/>
      <c r="N168" s="832"/>
      <c r="O168" s="832"/>
      <c r="P168" s="1024"/>
      <c r="Q168" s="832"/>
      <c r="R168" s="832"/>
      <c r="S168" s="832"/>
    </row>
    <row r="169" spans="1:19">
      <c r="A169" s="1055">
        <f t="shared" si="21"/>
        <v>9.93999999999998</v>
      </c>
      <c r="B169" s="832"/>
      <c r="C169" s="832"/>
      <c r="D169" s="832"/>
      <c r="E169" s="1024">
        <f t="shared" ref="E169:F174" si="23">-C169</f>
        <v>0</v>
      </c>
      <c r="F169" s="1024">
        <f t="shared" si="23"/>
        <v>0</v>
      </c>
      <c r="G169" s="1024">
        <f t="shared" si="17"/>
        <v>0</v>
      </c>
      <c r="H169" s="1024"/>
      <c r="I169" s="1024"/>
      <c r="J169" s="1024"/>
      <c r="K169" s="1024"/>
      <c r="L169" s="1024"/>
      <c r="M169" s="1024"/>
      <c r="N169" s="1024"/>
      <c r="O169" s="1024"/>
      <c r="P169" s="1024"/>
      <c r="Q169" s="1024"/>
      <c r="R169" s="1024"/>
      <c r="S169" s="1024"/>
    </row>
    <row r="170" spans="1:19">
      <c r="A170" s="1055">
        <f t="shared" si="21"/>
        <v>9.9499999999999797</v>
      </c>
      <c r="B170" s="832"/>
      <c r="C170" s="832"/>
      <c r="D170" s="832"/>
      <c r="E170" s="1024">
        <f t="shared" si="23"/>
        <v>0</v>
      </c>
      <c r="F170" s="1024">
        <f t="shared" si="23"/>
        <v>0</v>
      </c>
      <c r="G170" s="1024">
        <f t="shared" si="17"/>
        <v>0</v>
      </c>
      <c r="H170" s="1024"/>
      <c r="I170" s="1024"/>
      <c r="J170" s="1024"/>
      <c r="K170" s="1024"/>
      <c r="L170" s="1024"/>
      <c r="M170" s="1024"/>
      <c r="N170" s="1024"/>
      <c r="O170" s="1024"/>
      <c r="P170" s="1024"/>
      <c r="Q170" s="1024"/>
      <c r="R170" s="1024"/>
      <c r="S170" s="1024"/>
    </row>
    <row r="171" spans="1:19">
      <c r="A171" s="1055">
        <f t="shared" si="21"/>
        <v>9.9599999999999795</v>
      </c>
      <c r="B171" s="832"/>
      <c r="C171" s="832"/>
      <c r="D171" s="832"/>
      <c r="E171" s="1024">
        <f t="shared" si="23"/>
        <v>0</v>
      </c>
      <c r="F171" s="1024">
        <f t="shared" si="23"/>
        <v>0</v>
      </c>
      <c r="G171" s="1024">
        <f t="shared" si="17"/>
        <v>0</v>
      </c>
      <c r="H171" s="1024"/>
      <c r="I171" s="1024"/>
      <c r="J171" s="1024"/>
      <c r="K171" s="1024"/>
      <c r="L171" s="1024"/>
      <c r="M171" s="1024"/>
      <c r="N171" s="1024"/>
      <c r="O171" s="1024"/>
      <c r="P171" s="1024"/>
      <c r="Q171" s="1024"/>
      <c r="R171" s="1024"/>
      <c r="S171" s="1024"/>
    </row>
    <row r="172" spans="1:19">
      <c r="A172" s="1055">
        <f t="shared" si="21"/>
        <v>9.9699999999999793</v>
      </c>
      <c r="B172" s="832"/>
      <c r="C172" s="832"/>
      <c r="D172" s="832"/>
      <c r="E172" s="1024">
        <f>-C172</f>
        <v>0</v>
      </c>
      <c r="F172" s="1024">
        <f>-D172</f>
        <v>0</v>
      </c>
      <c r="G172" s="1024">
        <f t="shared" si="17"/>
        <v>0</v>
      </c>
      <c r="H172" s="1024"/>
      <c r="I172" s="1024"/>
      <c r="J172" s="1024"/>
      <c r="K172" s="1024"/>
      <c r="L172" s="1024"/>
      <c r="M172" s="1024"/>
      <c r="N172" s="1024"/>
      <c r="O172" s="1024"/>
      <c r="P172" s="1024"/>
      <c r="Q172" s="1024"/>
      <c r="R172" s="1024"/>
      <c r="S172" s="1024"/>
    </row>
    <row r="173" spans="1:19">
      <c r="A173" s="1055">
        <f t="shared" si="21"/>
        <v>9.9799999999999791</v>
      </c>
      <c r="B173" s="832"/>
      <c r="C173" s="832"/>
      <c r="D173" s="832"/>
      <c r="E173" s="1024">
        <f>-C173</f>
        <v>0</v>
      </c>
      <c r="F173" s="1024">
        <f>-D173</f>
        <v>0</v>
      </c>
      <c r="G173" s="1024">
        <f t="shared" si="17"/>
        <v>0</v>
      </c>
      <c r="H173" s="1024"/>
      <c r="I173" s="1024"/>
      <c r="J173" s="1024"/>
      <c r="K173" s="1024"/>
      <c r="L173" s="1024"/>
      <c r="M173" s="1024"/>
      <c r="N173" s="1024"/>
      <c r="O173" s="1024"/>
      <c r="P173" s="1024"/>
      <c r="Q173" s="1024"/>
      <c r="R173" s="1024"/>
      <c r="S173" s="1024"/>
    </row>
    <row r="174" spans="1:19">
      <c r="A174" s="1055">
        <f t="shared" si="21"/>
        <v>9.9899999999999789</v>
      </c>
      <c r="B174" s="832"/>
      <c r="C174" s="832"/>
      <c r="D174" s="832"/>
      <c r="E174" s="1024">
        <f t="shared" si="23"/>
        <v>0</v>
      </c>
      <c r="F174" s="1024">
        <f t="shared" si="23"/>
        <v>0</v>
      </c>
      <c r="G174" s="1024">
        <f t="shared" si="17"/>
        <v>0</v>
      </c>
      <c r="H174" s="1024"/>
      <c r="I174" s="1024"/>
      <c r="J174" s="1024"/>
      <c r="K174" s="1024"/>
      <c r="L174" s="1024"/>
      <c r="M174" s="1024"/>
      <c r="N174" s="1024"/>
      <c r="O174" s="1024"/>
      <c r="P174" s="1024"/>
      <c r="Q174" s="1024"/>
      <c r="R174" s="1024"/>
      <c r="S174" s="1024"/>
    </row>
    <row r="175" spans="1:19">
      <c r="A175" s="1035"/>
      <c r="B175" s="1014"/>
      <c r="C175" s="1024"/>
      <c r="D175" s="1024"/>
      <c r="E175" s="1024"/>
      <c r="F175" s="1024"/>
      <c r="G175" s="1024"/>
      <c r="H175" s="1024"/>
      <c r="I175" s="1024"/>
      <c r="J175" s="1024"/>
      <c r="K175" s="1024"/>
      <c r="L175" s="1024"/>
      <c r="M175" s="1024"/>
      <c r="N175" s="1024"/>
      <c r="O175" s="1024"/>
      <c r="P175" s="1024"/>
      <c r="Q175" s="1024"/>
      <c r="R175" s="1024"/>
      <c r="S175" s="1024"/>
    </row>
    <row r="176" spans="1:19">
      <c r="A176" s="1035"/>
      <c r="B176" s="1014"/>
      <c r="C176" s="1024"/>
      <c r="D176" s="1024"/>
      <c r="E176" s="1024"/>
      <c r="F176" s="1024"/>
      <c r="G176" s="1024"/>
      <c r="H176" s="1024"/>
      <c r="I176" s="1024"/>
      <c r="J176" s="1024"/>
      <c r="K176" s="1024"/>
      <c r="L176" s="1024"/>
      <c r="M176" s="1024"/>
      <c r="N176" s="1024"/>
      <c r="O176" s="1024"/>
      <c r="P176" s="1024"/>
      <c r="Q176" s="1024"/>
      <c r="R176" s="1024"/>
      <c r="S176" s="1024"/>
    </row>
    <row r="177" spans="1:19" ht="13.5" thickBot="1">
      <c r="A177" s="1035">
        <v>10</v>
      </c>
      <c r="B177" s="1015"/>
      <c r="C177" s="1027">
        <f>SUM(C76:C176)</f>
        <v>0</v>
      </c>
      <c r="D177" s="1027">
        <f>SUM(D76:D176)</f>
        <v>0</v>
      </c>
      <c r="E177" s="1027">
        <f>SUM(E76:E176)</f>
        <v>0</v>
      </c>
      <c r="F177" s="1027">
        <f>SUM(F76:F176)</f>
        <v>0</v>
      </c>
      <c r="G177" s="1027">
        <f>SUM(G76:G176)</f>
        <v>0</v>
      </c>
      <c r="H177" s="1031"/>
      <c r="I177" s="1027">
        <f>SUM(I76:I176)</f>
        <v>0</v>
      </c>
      <c r="J177" s="1027">
        <f>SUM(J76:J176)</f>
        <v>0</v>
      </c>
      <c r="K177" s="1027">
        <f>SUM(K76:K176)</f>
        <v>0</v>
      </c>
      <c r="L177" s="1031"/>
      <c r="M177" s="1027">
        <f>SUM(M76:M176)</f>
        <v>0</v>
      </c>
      <c r="N177" s="1027">
        <f>SUM(N76:N176)</f>
        <v>0</v>
      </c>
      <c r="O177" s="1027">
        <f>SUM(O76:O176)</f>
        <v>0</v>
      </c>
      <c r="P177" s="1031"/>
      <c r="Q177" s="1027">
        <f>SUM(Q76:Q176)</f>
        <v>0</v>
      </c>
      <c r="R177" s="1027">
        <f>SUM(R76:R176)</f>
        <v>0</v>
      </c>
      <c r="S177" s="1027">
        <f>SUM(S76:S176)</f>
        <v>0</v>
      </c>
    </row>
    <row r="178" spans="1:19" ht="13.5" thickTop="1">
      <c r="A178" s="1035"/>
      <c r="B178" s="1014"/>
      <c r="C178" s="1028"/>
      <c r="D178" s="1028"/>
      <c r="E178" s="1028"/>
      <c r="F178" s="1028"/>
      <c r="G178" s="1028"/>
      <c r="H178" s="1024"/>
      <c r="I178" s="1028"/>
      <c r="J178" s="1028"/>
      <c r="K178" s="1028"/>
      <c r="L178" s="1024"/>
      <c r="M178" s="1028"/>
      <c r="N178" s="1028"/>
      <c r="O178" s="1028"/>
      <c r="P178" s="1024"/>
      <c r="Q178" s="1028"/>
      <c r="R178" s="1028"/>
      <c r="S178" s="1028"/>
    </row>
    <row r="179" spans="1:19">
      <c r="A179" s="1035"/>
      <c r="B179" s="1014"/>
      <c r="C179" s="1024"/>
      <c r="D179" s="1024"/>
      <c r="E179" s="1024"/>
      <c r="F179" s="1024"/>
      <c r="G179" s="1024"/>
      <c r="H179" s="1024"/>
      <c r="I179" s="1024"/>
      <c r="J179" s="1024"/>
      <c r="K179" s="1024"/>
      <c r="L179" s="1024"/>
      <c r="M179" s="1024"/>
      <c r="N179" s="1024"/>
      <c r="O179" s="1024"/>
      <c r="P179" s="1024"/>
      <c r="Q179" s="1024"/>
      <c r="R179" s="1024"/>
      <c r="S179" s="1024"/>
    </row>
    <row r="180" spans="1:19">
      <c r="A180" s="1035">
        <f>+A177+1</f>
        <v>11</v>
      </c>
      <c r="B180" s="239" t="s">
        <v>729</v>
      </c>
      <c r="C180" s="1024">
        <f>SUM(M180:O180)</f>
        <v>0</v>
      </c>
      <c r="D180" s="1024">
        <f>SUM(Q180:S180)</f>
        <v>0</v>
      </c>
      <c r="E180" s="1024"/>
      <c r="F180" s="1024"/>
      <c r="G180" s="1024">
        <f>ROUND(SUM(C180:F180)/2,0)</f>
        <v>0</v>
      </c>
      <c r="H180" s="1024"/>
      <c r="I180" s="1024">
        <f>(M180+Q180)/2</f>
        <v>0</v>
      </c>
      <c r="J180" s="1024">
        <f>(N180+R180)/2</f>
        <v>0</v>
      </c>
      <c r="K180" s="1024">
        <f>(O180+S180)/2</f>
        <v>0</v>
      </c>
      <c r="L180" s="1024"/>
      <c r="M180" s="832"/>
      <c r="N180" s="832"/>
      <c r="O180" s="832"/>
      <c r="P180" s="1024"/>
      <c r="Q180" s="832"/>
      <c r="R180" s="832"/>
      <c r="S180" s="832"/>
    </row>
    <row r="181" spans="1:19">
      <c r="A181" s="1055">
        <f>A180+0.01</f>
        <v>11.01</v>
      </c>
      <c r="B181" s="832"/>
      <c r="C181" s="832"/>
      <c r="D181" s="832"/>
      <c r="E181" s="1024">
        <f>-C181</f>
        <v>0</v>
      </c>
      <c r="F181" s="1024">
        <f>-D181</f>
        <v>0</v>
      </c>
      <c r="G181" s="1024">
        <f>ROUND(SUM(C181:F181)/2,0)</f>
        <v>0</v>
      </c>
      <c r="H181" s="1024"/>
      <c r="I181" s="1024"/>
      <c r="J181" s="1024"/>
      <c r="K181" s="1024"/>
      <c r="L181" s="1024"/>
      <c r="M181" s="1024"/>
      <c r="N181" s="1024"/>
      <c r="O181" s="1024"/>
      <c r="P181" s="1024"/>
      <c r="Q181" s="1024"/>
      <c r="R181" s="1024"/>
      <c r="S181" s="1024"/>
    </row>
    <row r="182" spans="1:19">
      <c r="A182" s="1035"/>
      <c r="B182" s="1014"/>
      <c r="C182" s="1024"/>
      <c r="D182" s="1024"/>
      <c r="E182" s="1024"/>
      <c r="F182" s="1024"/>
      <c r="G182" s="1024"/>
      <c r="H182" s="1024"/>
      <c r="I182" s="1024"/>
      <c r="J182" s="1024"/>
      <c r="K182" s="1024"/>
      <c r="L182" s="1024"/>
      <c r="M182" s="1024"/>
      <c r="N182" s="1024"/>
      <c r="O182" s="1024"/>
      <c r="P182" s="1024"/>
      <c r="Q182" s="1024"/>
      <c r="R182" s="1024"/>
      <c r="S182" s="1024"/>
    </row>
    <row r="183" spans="1:19" ht="13.5" thickBot="1">
      <c r="A183" s="1035">
        <f>+A180+1</f>
        <v>12</v>
      </c>
      <c r="B183" s="932" t="s">
        <v>730</v>
      </c>
      <c r="C183" s="1027">
        <f>SUM(C177:C182)</f>
        <v>0</v>
      </c>
      <c r="D183" s="1027">
        <f>SUM(D177:D182)</f>
        <v>0</v>
      </c>
      <c r="E183" s="1027">
        <f>SUM(E177:E182)</f>
        <v>0</v>
      </c>
      <c r="F183" s="1027">
        <f>SUM(F177:F182)</f>
        <v>0</v>
      </c>
      <c r="G183" s="1027">
        <f>SUM(G177:G182)</f>
        <v>0</v>
      </c>
      <c r="H183" s="1024"/>
      <c r="I183" s="1027">
        <f>SUM(I177:I182)</f>
        <v>0</v>
      </c>
      <c r="J183" s="1027">
        <f>SUM(J177:J182)</f>
        <v>0</v>
      </c>
      <c r="K183" s="1027">
        <f>SUM(K177:K182)</f>
        <v>0</v>
      </c>
      <c r="L183" s="1024"/>
      <c r="M183" s="1032">
        <f>SUM(M177:M182)</f>
        <v>0</v>
      </c>
      <c r="N183" s="1032">
        <f>SUM(N177:N182)</f>
        <v>0</v>
      </c>
      <c r="O183" s="1032">
        <f>SUM(O177:O182)</f>
        <v>0</v>
      </c>
      <c r="P183" s="1024"/>
      <c r="Q183" s="1027">
        <f>SUM(Q177:Q182)</f>
        <v>0</v>
      </c>
      <c r="R183" s="1027">
        <f>SUM(R177:R182)</f>
        <v>0</v>
      </c>
      <c r="S183" s="1027">
        <f>SUM(S177:S182)</f>
        <v>0</v>
      </c>
    </row>
    <row r="184" spans="1:19" ht="13.5" thickTop="1">
      <c r="A184" s="1035">
        <f>A183+1</f>
        <v>13</v>
      </c>
      <c r="B184" s="1102" t="s">
        <v>741</v>
      </c>
      <c r="C184" s="1028">
        <f>C106+C139</f>
        <v>0</v>
      </c>
      <c r="D184" s="1028">
        <f>D106+D139</f>
        <v>0</v>
      </c>
      <c r="E184" s="1028">
        <f>E106+E139</f>
        <v>0</v>
      </c>
      <c r="F184" s="1028">
        <f>F106+F139</f>
        <v>0</v>
      </c>
      <c r="G184" s="1028">
        <f>G106+G139</f>
        <v>0</v>
      </c>
      <c r="H184" s="1024"/>
      <c r="I184" s="1028">
        <f>I106+I139</f>
        <v>0</v>
      </c>
      <c r="J184" s="1028">
        <f>J106+J139</f>
        <v>0</v>
      </c>
      <c r="K184" s="1028">
        <f>K106+K139</f>
        <v>0</v>
      </c>
      <c r="L184" s="1024"/>
      <c r="M184" s="1028">
        <f>M106+M139</f>
        <v>0</v>
      </c>
      <c r="N184" s="1028">
        <f>N106+N139</f>
        <v>0</v>
      </c>
      <c r="O184" s="1028">
        <f>O106+O139</f>
        <v>0</v>
      </c>
      <c r="P184" s="1024"/>
      <c r="Q184" s="1028">
        <f>Q106+Q139</f>
        <v>0</v>
      </c>
      <c r="R184" s="1028">
        <f>R106+R139</f>
        <v>0</v>
      </c>
      <c r="S184" s="1028">
        <f>S106+S139</f>
        <v>0</v>
      </c>
    </row>
    <row r="185" spans="1:19">
      <c r="A185" s="1035"/>
      <c r="B185" s="1014"/>
      <c r="C185" s="1030"/>
      <c r="D185" s="1030"/>
      <c r="E185" s="1024"/>
      <c r="F185" s="1024"/>
      <c r="G185" s="1024"/>
      <c r="H185" s="1024"/>
      <c r="I185" s="1024"/>
      <c r="J185" s="1024"/>
      <c r="K185" s="1024"/>
      <c r="L185" s="1024"/>
      <c r="M185" s="1024"/>
      <c r="N185" s="1024"/>
      <c r="O185" s="1024"/>
      <c r="P185" s="1024"/>
      <c r="Q185" s="1024"/>
      <c r="R185" s="1024"/>
      <c r="S185" s="1024"/>
    </row>
    <row r="186" spans="1:19">
      <c r="A186" s="1035">
        <f>+A184+1</f>
        <v>14</v>
      </c>
      <c r="B186" s="1015" t="s">
        <v>731</v>
      </c>
      <c r="C186" s="1024"/>
      <c r="D186" s="1024"/>
      <c r="E186" s="1024"/>
      <c r="F186" s="1024"/>
      <c r="G186" s="1024"/>
      <c r="H186" s="1024"/>
      <c r="I186" s="1024"/>
      <c r="J186" s="1024"/>
      <c r="K186" s="1024"/>
      <c r="L186" s="1024"/>
      <c r="M186" s="1024"/>
      <c r="N186" s="1024"/>
      <c r="O186" s="1024"/>
      <c r="P186" s="1024"/>
      <c r="Q186" s="1024"/>
      <c r="R186" s="1024"/>
      <c r="S186" s="1024"/>
    </row>
    <row r="187" spans="1:19">
      <c r="A187" s="1035"/>
      <c r="B187" s="1014"/>
      <c r="C187" s="1024"/>
      <c r="D187" s="1024"/>
      <c r="E187" s="1024"/>
      <c r="F187" s="1024"/>
      <c r="G187" s="1024"/>
      <c r="H187" s="1024"/>
      <c r="I187" s="1024"/>
      <c r="J187" s="1024"/>
      <c r="K187" s="1024"/>
      <c r="L187" s="1024"/>
      <c r="M187" s="1024"/>
      <c r="N187" s="1024"/>
      <c r="O187" s="1024"/>
      <c r="P187" s="1024"/>
      <c r="Q187" s="1024"/>
      <c r="R187" s="1024"/>
      <c r="S187" s="1024"/>
    </row>
    <row r="188" spans="1:19">
      <c r="A188" s="1035">
        <f>+A186+1</f>
        <v>15</v>
      </c>
      <c r="B188" s="1015" t="s">
        <v>732</v>
      </c>
      <c r="C188" s="1024"/>
      <c r="D188" s="1024"/>
      <c r="E188" s="1024"/>
      <c r="F188" s="1024"/>
      <c r="G188" s="1024"/>
      <c r="H188" s="1024"/>
      <c r="I188" s="1024"/>
      <c r="J188" s="1024"/>
      <c r="K188" s="1024"/>
      <c r="L188" s="1024"/>
      <c r="M188" s="1024"/>
      <c r="N188" s="1024"/>
      <c r="O188" s="1024"/>
      <c r="P188" s="1024"/>
      <c r="Q188" s="1024"/>
      <c r="R188" s="1024"/>
      <c r="S188" s="1024"/>
    </row>
    <row r="189" spans="1:19">
      <c r="A189" s="1035"/>
      <c r="B189" s="1014"/>
      <c r="C189" s="1024"/>
      <c r="D189" s="1033"/>
      <c r="E189" s="1033"/>
      <c r="F189" s="1033"/>
      <c r="G189" s="1033"/>
      <c r="H189" s="1033"/>
      <c r="I189" s="1033"/>
      <c r="J189" s="1033"/>
      <c r="K189" s="1033"/>
      <c r="L189" s="1033"/>
      <c r="M189" s="1024"/>
      <c r="N189" s="1024"/>
      <c r="O189" s="1024"/>
      <c r="P189" s="1024"/>
      <c r="Q189" s="1024"/>
      <c r="R189" s="1024"/>
      <c r="S189" s="1024"/>
    </row>
    <row r="190" spans="1:19">
      <c r="A190" s="1035">
        <f>+A188+1</f>
        <v>16</v>
      </c>
      <c r="B190" s="1015" t="s">
        <v>733</v>
      </c>
      <c r="C190" s="1024"/>
      <c r="D190" s="1033"/>
      <c r="E190" s="1033"/>
      <c r="F190" s="1033"/>
      <c r="G190" s="1033"/>
      <c r="H190" s="1033"/>
      <c r="I190" s="1033"/>
      <c r="J190" s="1033"/>
      <c r="K190" s="1033"/>
      <c r="L190" s="1033"/>
      <c r="M190" s="1024"/>
      <c r="N190" s="1024"/>
      <c r="O190" s="1024"/>
      <c r="P190" s="1024"/>
      <c r="Q190" s="1024"/>
      <c r="R190" s="1024"/>
      <c r="S190" s="1024"/>
    </row>
    <row r="191" spans="1:19">
      <c r="A191" s="1035"/>
      <c r="B191" s="1014"/>
      <c r="C191" s="1024"/>
      <c r="D191" s="1024"/>
      <c r="E191" s="1024"/>
      <c r="F191" s="1024"/>
      <c r="G191" s="1024"/>
      <c r="H191" s="1024"/>
      <c r="I191" s="1024"/>
      <c r="J191" s="1024"/>
      <c r="K191" s="1024"/>
      <c r="L191" s="1024"/>
      <c r="M191" s="1024"/>
      <c r="N191" s="1024"/>
      <c r="O191" s="1024"/>
      <c r="P191" s="1024"/>
      <c r="Q191" s="1024"/>
      <c r="R191" s="1024"/>
      <c r="S191" s="1024"/>
    </row>
    <row r="192" spans="1:19">
      <c r="A192" s="1035">
        <f>+A190+1</f>
        <v>17</v>
      </c>
      <c r="B192" s="239" t="s">
        <v>734</v>
      </c>
      <c r="C192" s="1024"/>
      <c r="D192" s="1024"/>
      <c r="E192" s="1024"/>
      <c r="F192" s="1024"/>
      <c r="G192" s="1024"/>
      <c r="H192" s="1024"/>
      <c r="I192" s="1024"/>
      <c r="J192" s="1024"/>
      <c r="K192" s="1024"/>
      <c r="L192" s="1024"/>
      <c r="M192" s="1024"/>
      <c r="N192" s="1024"/>
      <c r="O192" s="1024"/>
      <c r="P192" s="1024"/>
      <c r="Q192" s="1024"/>
      <c r="R192" s="1024"/>
      <c r="S192" s="1024"/>
    </row>
    <row r="193" spans="1:19">
      <c r="A193" s="1035">
        <f>A192+1</f>
        <v>18</v>
      </c>
      <c r="B193" s="239" t="s">
        <v>735</v>
      </c>
      <c r="C193" s="1024"/>
      <c r="D193" s="1024"/>
      <c r="E193" s="1024"/>
      <c r="F193" s="1024"/>
      <c r="G193" s="1024"/>
      <c r="H193" s="1024"/>
      <c r="I193" s="1024"/>
      <c r="J193" s="1024"/>
      <c r="K193" s="1024"/>
      <c r="L193" s="1024"/>
      <c r="M193" s="1024"/>
      <c r="N193" s="1024"/>
      <c r="O193" s="1024"/>
      <c r="P193" s="1024"/>
      <c r="Q193" s="832"/>
      <c r="R193" s="1024"/>
      <c r="S193" s="1024"/>
    </row>
    <row r="194" spans="1:19">
      <c r="A194" s="1055">
        <f>A193+0.01</f>
        <v>18.010000000000002</v>
      </c>
      <c r="B194" s="832"/>
      <c r="C194" s="1024">
        <f>SUM(M194:O194)</f>
        <v>0</v>
      </c>
      <c r="D194" s="1024">
        <f>SUM(Q194:S194)</f>
        <v>0</v>
      </c>
      <c r="E194" s="1024"/>
      <c r="F194" s="1024"/>
      <c r="G194" s="1024">
        <f>ROUND(SUM(C194:F194)/2,0)</f>
        <v>0</v>
      </c>
      <c r="H194" s="1024"/>
      <c r="I194" s="1024">
        <f t="shared" ref="I194:K195" si="24">(M194+Q194)/2</f>
        <v>0</v>
      </c>
      <c r="J194" s="1024">
        <f t="shared" si="24"/>
        <v>0</v>
      </c>
      <c r="K194" s="1024">
        <f t="shared" si="24"/>
        <v>0</v>
      </c>
      <c r="L194" s="1024"/>
      <c r="M194" s="832"/>
      <c r="N194" s="832"/>
      <c r="O194" s="832"/>
      <c r="P194" s="1024"/>
      <c r="Q194" s="832"/>
      <c r="R194" s="832"/>
      <c r="S194" s="832"/>
    </row>
    <row r="195" spans="1:19">
      <c r="A195" s="1055">
        <f>A194+0.01</f>
        <v>18.020000000000003</v>
      </c>
      <c r="B195" s="832"/>
      <c r="C195" s="1024">
        <f>SUM(M195:O195)</f>
        <v>0</v>
      </c>
      <c r="D195" s="1024">
        <f>SUM(Q195:S195)</f>
        <v>0</v>
      </c>
      <c r="E195" s="1024"/>
      <c r="F195" s="1024"/>
      <c r="G195" s="1024">
        <f>ROUND(SUM(C195:F195)/2,0)</f>
        <v>0</v>
      </c>
      <c r="H195" s="1024"/>
      <c r="I195" s="1024">
        <f t="shared" si="24"/>
        <v>0</v>
      </c>
      <c r="J195" s="1024">
        <f t="shared" si="24"/>
        <v>0</v>
      </c>
      <c r="K195" s="1024">
        <f t="shared" si="24"/>
        <v>0</v>
      </c>
      <c r="L195" s="1024"/>
      <c r="M195" s="832"/>
      <c r="N195" s="832"/>
      <c r="O195" s="832"/>
      <c r="P195" s="1024"/>
      <c r="Q195" s="832"/>
      <c r="R195" s="832"/>
      <c r="S195" s="832"/>
    </row>
    <row r="196" spans="1:19">
      <c r="A196" s="1035">
        <f>INT(A195)+1</f>
        <v>19</v>
      </c>
      <c r="B196" s="1015"/>
      <c r="C196" s="1024"/>
      <c r="D196" s="1024"/>
      <c r="E196" s="1024"/>
      <c r="F196" s="1024"/>
      <c r="G196" s="1024"/>
      <c r="H196" s="1024"/>
      <c r="I196" s="1024"/>
      <c r="J196" s="1024"/>
      <c r="K196" s="1024"/>
      <c r="L196" s="1024"/>
      <c r="M196" s="1024"/>
      <c r="N196" s="1024"/>
      <c r="O196" s="1024"/>
      <c r="P196" s="1024"/>
      <c r="Q196" s="1024"/>
      <c r="R196" s="1024"/>
      <c r="S196" s="1024"/>
    </row>
    <row r="197" spans="1:19">
      <c r="A197" s="1035">
        <f>A196+1</f>
        <v>20</v>
      </c>
      <c r="B197" s="239" t="s">
        <v>736</v>
      </c>
      <c r="C197" s="1027">
        <f>SUM(C194:C196)</f>
        <v>0</v>
      </c>
      <c r="D197" s="1027">
        <f>SUM(D194:D196)</f>
        <v>0</v>
      </c>
      <c r="E197" s="1027">
        <f>SUM(E194:E196)</f>
        <v>0</v>
      </c>
      <c r="F197" s="1027">
        <f>SUM(F194:F196)</f>
        <v>0</v>
      </c>
      <c r="G197" s="1027">
        <f>SUM(G194:G196)</f>
        <v>0</v>
      </c>
      <c r="H197" s="1024"/>
      <c r="I197" s="1027">
        <f>SUM(I194:I196)</f>
        <v>0</v>
      </c>
      <c r="J197" s="1027">
        <f>SUM(J194:J196)</f>
        <v>0</v>
      </c>
      <c r="K197" s="1027">
        <f>SUM(K194:K196)</f>
        <v>0</v>
      </c>
      <c r="L197" s="1024"/>
      <c r="M197" s="1027">
        <f>SUM(M194:M196)</f>
        <v>0</v>
      </c>
      <c r="N197" s="1027">
        <f>SUM(N194:N196)</f>
        <v>0</v>
      </c>
      <c r="O197" s="1027">
        <f>SUM(O194:O196)</f>
        <v>0</v>
      </c>
      <c r="P197" s="1024"/>
      <c r="Q197" s="1027">
        <f>SUM(Q194:Q196)</f>
        <v>0</v>
      </c>
      <c r="R197" s="1027">
        <f>SUM(R194:R196)</f>
        <v>0</v>
      </c>
      <c r="S197" s="1027">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64"/>
  <sheetViews>
    <sheetView view="pageBreakPreview" topLeftCell="C1" zoomScale="60" zoomScaleNormal="10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3"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36"/>
      <c r="B1" s="1101" t="str">
        <f>TCOS!F9</f>
        <v>WHEELING POWER COMPANY</v>
      </c>
      <c r="C1" s="1037"/>
      <c r="D1" s="1037"/>
      <c r="E1" s="1037"/>
      <c r="F1" s="1014"/>
      <c r="G1" s="239"/>
      <c r="H1" s="239"/>
      <c r="I1" s="239"/>
      <c r="J1" s="239"/>
      <c r="K1" s="239"/>
      <c r="L1" s="239"/>
      <c r="M1" s="1014"/>
      <c r="N1" s="1014"/>
      <c r="O1" s="239"/>
      <c r="P1" s="1014"/>
      <c r="Q1" s="1014"/>
      <c r="R1" s="1014"/>
      <c r="S1" s="239"/>
    </row>
    <row r="2" spans="1:19">
      <c r="A2" s="1036"/>
      <c r="B2" s="1013" t="s">
        <v>822</v>
      </c>
      <c r="C2" s="1037"/>
      <c r="D2" s="1037"/>
      <c r="E2" s="1037"/>
      <c r="F2" s="1037"/>
      <c r="G2" s="1038"/>
      <c r="H2" s="1038"/>
      <c r="I2" s="1038"/>
      <c r="J2" s="1038"/>
      <c r="K2" s="1038"/>
      <c r="L2" s="1038"/>
      <c r="M2" s="1014"/>
      <c r="N2" s="1014"/>
      <c r="O2" s="1038"/>
      <c r="P2" s="1014"/>
      <c r="Q2" s="1014"/>
      <c r="R2" s="1014"/>
      <c r="S2" s="1038"/>
    </row>
    <row r="3" spans="1:19">
      <c r="A3" s="1036"/>
      <c r="B3" s="1013" t="str">
        <f>"PERIOD ENDED DECEMBER 31, "&amp;TCOS!L4</f>
        <v>PERIOD ENDED DECEMBER 31, 2023</v>
      </c>
      <c r="C3" s="1037"/>
      <c r="D3" s="1037"/>
      <c r="E3" s="1037"/>
      <c r="F3" s="1037"/>
      <c r="G3" s="1037"/>
      <c r="H3" s="1037"/>
      <c r="I3" s="1037"/>
      <c r="J3" s="1037"/>
      <c r="K3" s="1037"/>
      <c r="L3" s="1037"/>
      <c r="M3" s="1014"/>
      <c r="N3" s="1014"/>
      <c r="O3" s="1014"/>
      <c r="P3" s="1014"/>
      <c r="Q3" s="1014"/>
      <c r="R3" s="1014"/>
      <c r="S3" s="1014"/>
    </row>
    <row r="4" spans="1:19">
      <c r="A4" s="1036"/>
      <c r="B4" s="1023"/>
      <c r="C4" s="1037"/>
      <c r="D4" s="1037"/>
      <c r="E4" s="1037"/>
      <c r="F4" s="1037"/>
      <c r="G4" s="1" t="s">
        <v>737</v>
      </c>
      <c r="H4" s="1037"/>
      <c r="I4" s="1037"/>
      <c r="J4" s="1037"/>
      <c r="K4" s="1037"/>
      <c r="L4" s="1037"/>
      <c r="M4" s="1014"/>
      <c r="N4" s="1014"/>
      <c r="O4" s="1014"/>
      <c r="P4" s="1014"/>
      <c r="Q4" s="1014"/>
      <c r="R4" s="1014"/>
      <c r="S4" s="1014"/>
    </row>
    <row r="5" spans="1:19">
      <c r="A5" s="1036"/>
      <c r="B5" s="1016"/>
      <c r="C5" s="1037"/>
      <c r="D5" s="1037"/>
      <c r="E5" s="1037"/>
      <c r="F5" s="1037"/>
      <c r="G5" s="1037"/>
      <c r="H5" s="1037"/>
      <c r="I5" s="1037"/>
      <c r="J5" s="1037"/>
      <c r="K5" s="1037"/>
      <c r="L5" s="1037"/>
      <c r="M5" s="1014"/>
      <c r="N5" s="1014"/>
      <c r="O5" s="1014"/>
      <c r="P5" s="1014"/>
      <c r="Q5" s="1014"/>
      <c r="R5" s="1014"/>
      <c r="S5" s="1014"/>
    </row>
    <row r="6" spans="1:19">
      <c r="A6" s="1036"/>
      <c r="B6" s="1014"/>
      <c r="C6" s="1037"/>
      <c r="D6" s="1037"/>
      <c r="E6" s="1037"/>
      <c r="F6" s="1037"/>
      <c r="G6" s="1037"/>
      <c r="H6" s="1"/>
      <c r="I6" s="1"/>
      <c r="J6" s="1"/>
      <c r="K6" s="1"/>
      <c r="L6" s="1"/>
      <c r="M6" s="1014"/>
      <c r="N6" s="1014"/>
      <c r="O6" s="1014"/>
      <c r="P6" s="1014"/>
      <c r="Q6" s="1014"/>
      <c r="R6" s="1014"/>
      <c r="S6" s="1014"/>
    </row>
    <row r="7" spans="1:19">
      <c r="A7" s="1036"/>
      <c r="B7" s="1014"/>
      <c r="C7" s="1037"/>
      <c r="D7" s="1037"/>
      <c r="E7" s="1037"/>
      <c r="F7" s="1037"/>
      <c r="G7" s="1037"/>
      <c r="H7" s="1037"/>
      <c r="I7" s="1037"/>
      <c r="J7" s="1037"/>
      <c r="K7" s="1037"/>
      <c r="L7" s="1037"/>
      <c r="M7" s="1014"/>
      <c r="N7" s="1014"/>
      <c r="O7" s="1014"/>
      <c r="P7" s="1014"/>
      <c r="Q7" s="1014"/>
      <c r="R7" s="1014"/>
      <c r="S7" s="1014"/>
    </row>
    <row r="8" spans="1:19">
      <c r="A8" s="1036"/>
      <c r="B8" s="1017" t="s">
        <v>697</v>
      </c>
      <c r="C8" s="1039" t="s">
        <v>698</v>
      </c>
      <c r="D8" s="1039" t="s">
        <v>699</v>
      </c>
      <c r="E8" s="1039" t="s">
        <v>700</v>
      </c>
      <c r="F8" s="1039" t="s">
        <v>701</v>
      </c>
      <c r="G8" s="1039" t="s">
        <v>702</v>
      </c>
      <c r="H8" s="1039"/>
      <c r="I8" s="1039" t="s">
        <v>703</v>
      </c>
      <c r="J8" s="1039" t="s">
        <v>704</v>
      </c>
      <c r="K8" s="1039" t="s">
        <v>705</v>
      </c>
      <c r="L8" s="1039"/>
      <c r="M8" s="1017" t="s">
        <v>706</v>
      </c>
      <c r="N8" s="1017" t="s">
        <v>707</v>
      </c>
      <c r="O8" s="1017" t="s">
        <v>708</v>
      </c>
      <c r="P8" s="1014"/>
      <c r="Q8" s="1017" t="s">
        <v>709</v>
      </c>
      <c r="R8" s="1017" t="s">
        <v>710</v>
      </c>
      <c r="S8" s="1017" t="s">
        <v>711</v>
      </c>
    </row>
    <row r="9" spans="1:19">
      <c r="A9" s="1036"/>
      <c r="B9" s="1014"/>
      <c r="C9" s="1037"/>
      <c r="D9" s="1037"/>
      <c r="E9" s="1037"/>
      <c r="F9" s="1037"/>
      <c r="G9" s="1037"/>
      <c r="H9" s="1037"/>
      <c r="I9" s="1037"/>
      <c r="J9" s="1037"/>
      <c r="K9" s="1037"/>
      <c r="L9" s="1037"/>
      <c r="M9" s="1014"/>
      <c r="N9" s="1014"/>
      <c r="O9" s="1014"/>
      <c r="P9" s="1014"/>
      <c r="Q9" s="1014"/>
      <c r="R9" s="1014"/>
      <c r="S9" s="1014"/>
    </row>
    <row r="10" spans="1:19">
      <c r="A10" s="1036"/>
      <c r="B10" s="1014"/>
      <c r="C10" s="1040" t="s">
        <v>712</v>
      </c>
      <c r="D10" s="1040"/>
      <c r="E10" s="1041" t="s">
        <v>713</v>
      </c>
      <c r="F10" s="1040"/>
      <c r="G10" s="1042" t="s">
        <v>714</v>
      </c>
      <c r="H10" s="1042"/>
      <c r="I10" s="1043" t="s">
        <v>715</v>
      </c>
      <c r="J10" s="1040"/>
      <c r="K10" s="1040"/>
      <c r="L10" s="1042"/>
      <c r="M10" s="1021" t="str">
        <f>"FUNCTIONALIZATION 12/31/"&amp;TCOS!L4-1</f>
        <v>FUNCTIONALIZATION 12/31/2022</v>
      </c>
      <c r="N10" s="1018"/>
      <c r="O10" s="1018"/>
      <c r="P10" s="1014"/>
      <c r="Q10" s="1021" t="str">
        <f>"FUNCTIONALIZATION 12/31/"&amp;TCOS!L4</f>
        <v>FUNCTIONALIZATION 12/31/2023</v>
      </c>
      <c r="R10" s="1018"/>
      <c r="S10" s="1018"/>
    </row>
    <row r="11" spans="1:19">
      <c r="A11" s="1036"/>
      <c r="B11" s="1014"/>
      <c r="C11" s="1044"/>
      <c r="D11" s="1044"/>
      <c r="E11" s="1037"/>
      <c r="F11" s="1037"/>
      <c r="G11" s="1042" t="s">
        <v>716</v>
      </c>
      <c r="H11" s="1042"/>
      <c r="I11" s="1044"/>
      <c r="J11" s="1044"/>
      <c r="K11" s="1044"/>
      <c r="L11" s="1042"/>
      <c r="M11" s="1022"/>
      <c r="N11" s="1022"/>
      <c r="O11" s="1022"/>
      <c r="P11" s="1014"/>
      <c r="Q11" s="1022"/>
      <c r="R11" s="1022"/>
      <c r="S11" s="1022"/>
    </row>
    <row r="12" spans="1:19">
      <c r="A12" s="1036"/>
      <c r="B12" s="1014"/>
      <c r="C12" s="1042" t="s">
        <v>717</v>
      </c>
      <c r="D12" s="1042" t="s">
        <v>717</v>
      </c>
      <c r="E12" s="1042" t="s">
        <v>717</v>
      </c>
      <c r="F12" s="1042" t="s">
        <v>717</v>
      </c>
      <c r="G12" s="1042" t="s">
        <v>718</v>
      </c>
      <c r="H12" s="1042"/>
      <c r="I12" s="1037"/>
      <c r="J12" s="1037"/>
      <c r="K12" s="1037"/>
      <c r="L12" s="1042"/>
      <c r="M12" s="1014"/>
      <c r="N12" s="1014"/>
      <c r="O12" s="1014"/>
      <c r="P12" s="1014"/>
      <c r="Q12" s="1014"/>
      <c r="R12" s="1014"/>
      <c r="S12" s="1014"/>
    </row>
    <row r="13" spans="1:19">
      <c r="A13" s="1036"/>
      <c r="B13" s="1017" t="s">
        <v>719</v>
      </c>
      <c r="C13" s="1039" t="str">
        <f>"OF 12-31-"&amp;TCOS!L4-1</f>
        <v>OF 12-31-2022</v>
      </c>
      <c r="D13" s="1039" t="str">
        <f>"OF 12-31-"&amp;TCOS!L4</f>
        <v>OF 12-31-2023</v>
      </c>
      <c r="E13" s="1039" t="str">
        <f>"OF 12-31-"&amp;TCOS!L4-1</f>
        <v>OF 12-31-2022</v>
      </c>
      <c r="F13" s="1039" t="str">
        <f>"OF 12-31-"&amp;TCOS!L4</f>
        <v>OF 12-31-2023</v>
      </c>
      <c r="G13" s="1039" t="s">
        <v>720</v>
      </c>
      <c r="H13" s="1039"/>
      <c r="I13" s="1039" t="s">
        <v>721</v>
      </c>
      <c r="J13" s="1039" t="s">
        <v>722</v>
      </c>
      <c r="K13" s="1039" t="s">
        <v>723</v>
      </c>
      <c r="L13" s="1039"/>
      <c r="M13" s="1017" t="s">
        <v>721</v>
      </c>
      <c r="N13" s="1017" t="s">
        <v>722</v>
      </c>
      <c r="O13" s="1017" t="s">
        <v>723</v>
      </c>
      <c r="P13" s="1014"/>
      <c r="Q13" s="1017" t="s">
        <v>721</v>
      </c>
      <c r="R13" s="1017" t="s">
        <v>722</v>
      </c>
      <c r="S13" s="1017" t="s">
        <v>723</v>
      </c>
    </row>
    <row r="14" spans="1:19">
      <c r="A14" s="1036"/>
      <c r="B14" s="1014"/>
      <c r="C14" s="1037"/>
      <c r="D14" s="1037"/>
      <c r="E14" s="1037"/>
      <c r="F14" s="1037"/>
      <c r="G14" s="1037"/>
      <c r="H14" s="1037"/>
      <c r="I14" s="1037"/>
      <c r="J14" s="1037"/>
      <c r="K14" s="1037"/>
      <c r="L14" s="1037"/>
      <c r="M14" s="1014"/>
      <c r="N14" s="1014"/>
      <c r="O14" s="1014"/>
      <c r="P14" s="1014"/>
      <c r="Q14" s="1014"/>
      <c r="R14" s="1014"/>
      <c r="S14" s="1014"/>
    </row>
    <row r="15" spans="1:19">
      <c r="A15" s="1045">
        <v>1</v>
      </c>
      <c r="B15" s="1030" t="s">
        <v>738</v>
      </c>
      <c r="C15" s="1024"/>
      <c r="D15" s="1024"/>
      <c r="E15" s="1024"/>
      <c r="F15" s="1025"/>
      <c r="G15" s="1024"/>
      <c r="H15" s="1024"/>
      <c r="I15" s="1024"/>
      <c r="J15" s="1024"/>
      <c r="K15" s="1024"/>
      <c r="L15" s="1024"/>
      <c r="M15" s="1024"/>
      <c r="N15" s="1024"/>
      <c r="O15" s="1024"/>
      <c r="P15" s="1024"/>
      <c r="Q15" s="1024"/>
      <c r="R15" s="1024"/>
      <c r="S15" s="1024"/>
    </row>
    <row r="16" spans="1:19">
      <c r="A16" s="1045"/>
      <c r="B16" s="1024"/>
      <c r="C16" s="1024"/>
      <c r="D16" s="1024"/>
      <c r="E16" s="1024"/>
      <c r="F16" s="1024"/>
      <c r="G16" s="1024"/>
      <c r="H16" s="1024"/>
      <c r="I16" s="1024"/>
      <c r="J16" s="1024"/>
      <c r="K16" s="1024"/>
      <c r="L16" s="1024"/>
      <c r="M16" s="1024"/>
      <c r="N16" s="1024"/>
      <c r="O16" s="1024"/>
      <c r="P16" s="1024"/>
      <c r="Q16" s="1024"/>
      <c r="R16" s="1024"/>
      <c r="S16" s="1024"/>
    </row>
    <row r="17" spans="1:19">
      <c r="A17" s="1055">
        <v>2.0099999999999998</v>
      </c>
      <c r="B17" s="832"/>
      <c r="C17" s="1024">
        <f t="shared" ref="C17:C80" si="0">SUM(M17:O17)</f>
        <v>0</v>
      </c>
      <c r="D17" s="1024">
        <f t="shared" ref="D17:D80" si="1">SUM(Q17:S17)</f>
        <v>0</v>
      </c>
      <c r="E17" s="1024"/>
      <c r="F17" s="1024"/>
      <c r="G17" s="1024">
        <f t="shared" ref="G17:G80" si="2">ROUND(SUM(C17:F17)/2,0)</f>
        <v>0</v>
      </c>
      <c r="H17" s="1024"/>
      <c r="I17" s="1024">
        <f t="shared" ref="I17:K48" si="3">(M17+Q17)/2</f>
        <v>0</v>
      </c>
      <c r="J17" s="1024">
        <f t="shared" si="3"/>
        <v>0</v>
      </c>
      <c r="K17" s="1024">
        <f t="shared" si="3"/>
        <v>0</v>
      </c>
      <c r="L17" s="1024"/>
      <c r="M17" s="832"/>
      <c r="N17" s="832"/>
      <c r="O17" s="832"/>
      <c r="P17" s="1024"/>
      <c r="Q17" s="832"/>
      <c r="R17" s="832"/>
      <c r="S17" s="832"/>
    </row>
    <row r="18" spans="1:19">
      <c r="A18" s="1055">
        <f>A17+0.01</f>
        <v>2.0199999999999996</v>
      </c>
      <c r="B18" s="832"/>
      <c r="C18" s="1024">
        <f t="shared" si="0"/>
        <v>0</v>
      </c>
      <c r="D18" s="1024">
        <f t="shared" si="1"/>
        <v>0</v>
      </c>
      <c r="E18" s="1024"/>
      <c r="F18" s="1024"/>
      <c r="G18" s="1024">
        <f t="shared" si="2"/>
        <v>0</v>
      </c>
      <c r="H18" s="1024"/>
      <c r="I18" s="1024">
        <f t="shared" si="3"/>
        <v>0</v>
      </c>
      <c r="J18" s="1024">
        <f t="shared" si="3"/>
        <v>0</v>
      </c>
      <c r="K18" s="1024">
        <f t="shared" si="3"/>
        <v>0</v>
      </c>
      <c r="L18" s="1024"/>
      <c r="M18" s="832"/>
      <c r="N18" s="832"/>
      <c r="O18" s="832"/>
      <c r="P18" s="1024"/>
      <c r="Q18" s="832"/>
      <c r="R18" s="832"/>
      <c r="S18" s="832"/>
    </row>
    <row r="19" spans="1:19">
      <c r="A19" s="1055">
        <f t="shared" ref="A19:A82" si="4">A18+0.01</f>
        <v>2.0299999999999994</v>
      </c>
      <c r="B19" s="832"/>
      <c r="C19" s="1024">
        <f t="shared" si="0"/>
        <v>0</v>
      </c>
      <c r="D19" s="1024">
        <f t="shared" si="1"/>
        <v>0</v>
      </c>
      <c r="E19" s="1024"/>
      <c r="F19" s="1024"/>
      <c r="G19" s="1024">
        <f t="shared" si="2"/>
        <v>0</v>
      </c>
      <c r="H19" s="1024"/>
      <c r="I19" s="1024">
        <f t="shared" si="3"/>
        <v>0</v>
      </c>
      <c r="J19" s="1024">
        <f t="shared" si="3"/>
        <v>0</v>
      </c>
      <c r="K19" s="1024">
        <f t="shared" si="3"/>
        <v>0</v>
      </c>
      <c r="L19" s="1024"/>
      <c r="M19" s="832"/>
      <c r="N19" s="832"/>
      <c r="O19" s="832"/>
      <c r="P19" s="1024"/>
      <c r="Q19" s="832"/>
      <c r="R19" s="832"/>
      <c r="S19" s="832"/>
    </row>
    <row r="20" spans="1:19">
      <c r="A20" s="1055">
        <f t="shared" si="4"/>
        <v>2.0399999999999991</v>
      </c>
      <c r="B20" s="832"/>
      <c r="C20" s="1024">
        <f t="shared" si="0"/>
        <v>0</v>
      </c>
      <c r="D20" s="1024">
        <f t="shared" si="1"/>
        <v>0</v>
      </c>
      <c r="E20" s="1024"/>
      <c r="F20" s="1024"/>
      <c r="G20" s="1024">
        <f t="shared" si="2"/>
        <v>0</v>
      </c>
      <c r="H20" s="1024"/>
      <c r="I20" s="1024">
        <f t="shared" si="3"/>
        <v>0</v>
      </c>
      <c r="J20" s="1024">
        <f t="shared" si="3"/>
        <v>0</v>
      </c>
      <c r="K20" s="1024">
        <f t="shared" si="3"/>
        <v>0</v>
      </c>
      <c r="L20" s="1024"/>
      <c r="M20" s="832"/>
      <c r="N20" s="832"/>
      <c r="O20" s="832"/>
      <c r="P20" s="1024"/>
      <c r="Q20" s="832"/>
      <c r="R20" s="832"/>
      <c r="S20" s="832"/>
    </row>
    <row r="21" spans="1:19">
      <c r="A21" s="1055">
        <f t="shared" si="4"/>
        <v>2.0499999999999989</v>
      </c>
      <c r="B21" s="832"/>
      <c r="C21" s="1024">
        <f t="shared" si="0"/>
        <v>0</v>
      </c>
      <c r="D21" s="1024">
        <f t="shared" si="1"/>
        <v>0</v>
      </c>
      <c r="E21" s="1024"/>
      <c r="F21" s="1024"/>
      <c r="G21" s="1024">
        <f t="shared" si="2"/>
        <v>0</v>
      </c>
      <c r="H21" s="1024"/>
      <c r="I21" s="1024">
        <f t="shared" si="3"/>
        <v>0</v>
      </c>
      <c r="J21" s="1024">
        <f t="shared" si="3"/>
        <v>0</v>
      </c>
      <c r="K21" s="1024">
        <f t="shared" si="3"/>
        <v>0</v>
      </c>
      <c r="L21" s="1024"/>
      <c r="M21" s="832"/>
      <c r="N21" s="832"/>
      <c r="O21" s="832"/>
      <c r="P21" s="1024"/>
      <c r="Q21" s="832"/>
      <c r="R21" s="832"/>
      <c r="S21" s="832"/>
    </row>
    <row r="22" spans="1:19">
      <c r="A22" s="1055">
        <f t="shared" si="4"/>
        <v>2.0599999999999987</v>
      </c>
      <c r="B22" s="832"/>
      <c r="C22" s="1024">
        <f t="shared" si="0"/>
        <v>0</v>
      </c>
      <c r="D22" s="1024">
        <f t="shared" si="1"/>
        <v>0</v>
      </c>
      <c r="E22" s="1024"/>
      <c r="F22" s="1024"/>
      <c r="G22" s="1024">
        <f t="shared" si="2"/>
        <v>0</v>
      </c>
      <c r="H22" s="1024"/>
      <c r="I22" s="1024">
        <f t="shared" si="3"/>
        <v>0</v>
      </c>
      <c r="J22" s="1024">
        <f t="shared" si="3"/>
        <v>0</v>
      </c>
      <c r="K22" s="1024">
        <f t="shared" si="3"/>
        <v>0</v>
      </c>
      <c r="L22" s="1024"/>
      <c r="M22" s="832"/>
      <c r="N22" s="832"/>
      <c r="O22" s="832"/>
      <c r="P22" s="1024"/>
      <c r="Q22" s="832"/>
      <c r="R22" s="832"/>
      <c r="S22" s="832"/>
    </row>
    <row r="23" spans="1:19">
      <c r="A23" s="1055">
        <f t="shared" si="4"/>
        <v>2.0699999999999985</v>
      </c>
      <c r="B23" s="832"/>
      <c r="C23" s="1024">
        <f t="shared" si="0"/>
        <v>0</v>
      </c>
      <c r="D23" s="1024">
        <f t="shared" si="1"/>
        <v>0</v>
      </c>
      <c r="E23" s="1024"/>
      <c r="F23" s="1024"/>
      <c r="G23" s="1024">
        <f t="shared" si="2"/>
        <v>0</v>
      </c>
      <c r="H23" s="1024"/>
      <c r="I23" s="1024">
        <f t="shared" si="3"/>
        <v>0</v>
      </c>
      <c r="J23" s="1024">
        <f t="shared" si="3"/>
        <v>0</v>
      </c>
      <c r="K23" s="1024">
        <f t="shared" si="3"/>
        <v>0</v>
      </c>
      <c r="L23" s="1024"/>
      <c r="M23" s="832"/>
      <c r="N23" s="832"/>
      <c r="O23" s="832"/>
      <c r="P23" s="1024"/>
      <c r="Q23" s="832"/>
      <c r="R23" s="832"/>
      <c r="S23" s="832"/>
    </row>
    <row r="24" spans="1:19">
      <c r="A24" s="1055">
        <f t="shared" si="4"/>
        <v>2.0799999999999983</v>
      </c>
      <c r="B24" s="832"/>
      <c r="C24" s="1024">
        <f t="shared" si="0"/>
        <v>0</v>
      </c>
      <c r="D24" s="1024">
        <f t="shared" si="1"/>
        <v>0</v>
      </c>
      <c r="E24" s="1024"/>
      <c r="F24" s="1024"/>
      <c r="G24" s="1024">
        <f t="shared" si="2"/>
        <v>0</v>
      </c>
      <c r="H24" s="1024"/>
      <c r="I24" s="1024">
        <f t="shared" si="3"/>
        <v>0</v>
      </c>
      <c r="J24" s="1024">
        <f t="shared" si="3"/>
        <v>0</v>
      </c>
      <c r="K24" s="1024">
        <f t="shared" si="3"/>
        <v>0</v>
      </c>
      <c r="L24" s="1024"/>
      <c r="M24" s="832"/>
      <c r="N24" s="832"/>
      <c r="O24" s="832"/>
      <c r="P24" s="1024"/>
      <c r="Q24" s="832"/>
      <c r="R24" s="832"/>
      <c r="S24" s="832"/>
    </row>
    <row r="25" spans="1:19">
      <c r="A25" s="1055">
        <f t="shared" si="4"/>
        <v>2.0899999999999981</v>
      </c>
      <c r="B25" s="832"/>
      <c r="C25" s="1024">
        <f t="shared" si="0"/>
        <v>0</v>
      </c>
      <c r="D25" s="1024">
        <f t="shared" si="1"/>
        <v>0</v>
      </c>
      <c r="E25" s="1024"/>
      <c r="F25" s="1024"/>
      <c r="G25" s="1024">
        <f t="shared" si="2"/>
        <v>0</v>
      </c>
      <c r="H25" s="1024"/>
      <c r="I25" s="1024">
        <f t="shared" si="3"/>
        <v>0</v>
      </c>
      <c r="J25" s="1024">
        <f t="shared" si="3"/>
        <v>0</v>
      </c>
      <c r="K25" s="1024">
        <f t="shared" si="3"/>
        <v>0</v>
      </c>
      <c r="L25" s="1024"/>
      <c r="M25" s="832"/>
      <c r="N25" s="832"/>
      <c r="O25" s="832"/>
      <c r="P25" s="1024"/>
      <c r="Q25" s="832"/>
      <c r="R25" s="832"/>
      <c r="S25" s="832"/>
    </row>
    <row r="26" spans="1:19">
      <c r="A26" s="1055">
        <f t="shared" si="4"/>
        <v>2.0999999999999979</v>
      </c>
      <c r="B26" s="832"/>
      <c r="C26" s="1024">
        <f t="shared" si="0"/>
        <v>0</v>
      </c>
      <c r="D26" s="1024">
        <f t="shared" si="1"/>
        <v>0</v>
      </c>
      <c r="E26" s="1024"/>
      <c r="F26" s="1024"/>
      <c r="G26" s="1024">
        <f t="shared" si="2"/>
        <v>0</v>
      </c>
      <c r="H26" s="1024"/>
      <c r="I26" s="1024">
        <f t="shared" si="3"/>
        <v>0</v>
      </c>
      <c r="J26" s="1024">
        <f t="shared" si="3"/>
        <v>0</v>
      </c>
      <c r="K26" s="1024">
        <f t="shared" si="3"/>
        <v>0</v>
      </c>
      <c r="L26" s="1024"/>
      <c r="M26" s="832"/>
      <c r="N26" s="832"/>
      <c r="O26" s="832"/>
      <c r="P26" s="1024"/>
      <c r="Q26" s="832"/>
      <c r="R26" s="832"/>
      <c r="S26" s="832"/>
    </row>
    <row r="27" spans="1:19" hidden="1">
      <c r="A27" s="1055">
        <f t="shared" si="4"/>
        <v>2.1099999999999977</v>
      </c>
      <c r="B27" s="832"/>
      <c r="C27" s="1024">
        <f t="shared" si="0"/>
        <v>0</v>
      </c>
      <c r="D27" s="1024">
        <f t="shared" si="1"/>
        <v>0</v>
      </c>
      <c r="E27" s="1024"/>
      <c r="F27" s="1024"/>
      <c r="G27" s="1024">
        <f t="shared" si="2"/>
        <v>0</v>
      </c>
      <c r="H27" s="1024"/>
      <c r="I27" s="1024">
        <f t="shared" si="3"/>
        <v>0</v>
      </c>
      <c r="J27" s="1024">
        <f t="shared" si="3"/>
        <v>0</v>
      </c>
      <c r="K27" s="1024">
        <f t="shared" si="3"/>
        <v>0</v>
      </c>
      <c r="L27" s="1024"/>
      <c r="M27" s="832"/>
      <c r="N27" s="832"/>
      <c r="O27" s="832"/>
      <c r="P27" s="1024"/>
      <c r="Q27" s="832"/>
      <c r="R27" s="832"/>
      <c r="S27" s="832"/>
    </row>
    <row r="28" spans="1:19" hidden="1">
      <c r="A28" s="1055">
        <f t="shared" si="4"/>
        <v>2.1199999999999974</v>
      </c>
      <c r="B28" s="832"/>
      <c r="C28" s="1024">
        <f t="shared" si="0"/>
        <v>0</v>
      </c>
      <c r="D28" s="1024">
        <f t="shared" si="1"/>
        <v>0</v>
      </c>
      <c r="E28" s="1024"/>
      <c r="F28" s="1024"/>
      <c r="G28" s="1024">
        <f t="shared" si="2"/>
        <v>0</v>
      </c>
      <c r="H28" s="1024"/>
      <c r="I28" s="1024">
        <f t="shared" si="3"/>
        <v>0</v>
      </c>
      <c r="J28" s="1024">
        <f t="shared" si="3"/>
        <v>0</v>
      </c>
      <c r="K28" s="1024">
        <f t="shared" si="3"/>
        <v>0</v>
      </c>
      <c r="L28" s="1024"/>
      <c r="M28" s="832"/>
      <c r="N28" s="832"/>
      <c r="O28" s="832"/>
      <c r="P28" s="1024"/>
      <c r="Q28" s="832"/>
      <c r="R28" s="832"/>
      <c r="S28" s="832"/>
    </row>
    <row r="29" spans="1:19" hidden="1">
      <c r="A29" s="1055">
        <f t="shared" si="4"/>
        <v>2.1299999999999972</v>
      </c>
      <c r="B29" s="832"/>
      <c r="C29" s="1024">
        <f t="shared" si="0"/>
        <v>0</v>
      </c>
      <c r="D29" s="1024">
        <f t="shared" si="1"/>
        <v>0</v>
      </c>
      <c r="E29" s="1024"/>
      <c r="F29" s="1024"/>
      <c r="G29" s="1024">
        <f t="shared" si="2"/>
        <v>0</v>
      </c>
      <c r="H29" s="1024"/>
      <c r="I29" s="1024">
        <f t="shared" si="3"/>
        <v>0</v>
      </c>
      <c r="J29" s="1024">
        <f t="shared" si="3"/>
        <v>0</v>
      </c>
      <c r="K29" s="1024">
        <f t="shared" si="3"/>
        <v>0</v>
      </c>
      <c r="L29" s="1024"/>
      <c r="M29" s="832"/>
      <c r="N29" s="832"/>
      <c r="O29" s="832"/>
      <c r="P29" s="1024"/>
      <c r="Q29" s="832"/>
      <c r="R29" s="832"/>
      <c r="S29" s="832"/>
    </row>
    <row r="30" spans="1:19" hidden="1">
      <c r="A30" s="1055">
        <f t="shared" si="4"/>
        <v>2.139999999999997</v>
      </c>
      <c r="B30" s="832"/>
      <c r="C30" s="1024">
        <f t="shared" si="0"/>
        <v>0</v>
      </c>
      <c r="D30" s="1024">
        <f t="shared" si="1"/>
        <v>0</v>
      </c>
      <c r="E30" s="1024"/>
      <c r="F30" s="1024"/>
      <c r="G30" s="1024">
        <f t="shared" si="2"/>
        <v>0</v>
      </c>
      <c r="H30" s="1024"/>
      <c r="I30" s="1024">
        <f t="shared" si="3"/>
        <v>0</v>
      </c>
      <c r="J30" s="1024">
        <f t="shared" si="3"/>
        <v>0</v>
      </c>
      <c r="K30" s="1024">
        <f t="shared" si="3"/>
        <v>0</v>
      </c>
      <c r="L30" s="1024"/>
      <c r="M30" s="832"/>
      <c r="N30" s="832"/>
      <c r="O30" s="832"/>
      <c r="P30" s="1024"/>
      <c r="Q30" s="832"/>
      <c r="R30" s="832"/>
      <c r="S30" s="832"/>
    </row>
    <row r="31" spans="1:19" hidden="1">
      <c r="A31" s="1055">
        <f t="shared" si="4"/>
        <v>2.1499999999999968</v>
      </c>
      <c r="B31" s="832"/>
      <c r="C31" s="1024">
        <f t="shared" si="0"/>
        <v>0</v>
      </c>
      <c r="D31" s="1024">
        <f t="shared" si="1"/>
        <v>0</v>
      </c>
      <c r="E31" s="1024"/>
      <c r="F31" s="1024"/>
      <c r="G31" s="1024">
        <f t="shared" si="2"/>
        <v>0</v>
      </c>
      <c r="H31" s="1024"/>
      <c r="I31" s="1024">
        <f t="shared" si="3"/>
        <v>0</v>
      </c>
      <c r="J31" s="1024">
        <f t="shared" si="3"/>
        <v>0</v>
      </c>
      <c r="K31" s="1024">
        <f t="shared" si="3"/>
        <v>0</v>
      </c>
      <c r="L31" s="1024"/>
      <c r="M31" s="832"/>
      <c r="N31" s="832"/>
      <c r="O31" s="832"/>
      <c r="P31" s="1024"/>
      <c r="Q31" s="832"/>
      <c r="R31" s="832"/>
      <c r="S31" s="832"/>
    </row>
    <row r="32" spans="1:19" hidden="1">
      <c r="A32" s="1055">
        <f t="shared" si="4"/>
        <v>2.1599999999999966</v>
      </c>
      <c r="B32" s="832"/>
      <c r="C32" s="1024">
        <f t="shared" si="0"/>
        <v>0</v>
      </c>
      <c r="D32" s="1024">
        <f t="shared" si="1"/>
        <v>0</v>
      </c>
      <c r="E32" s="1024"/>
      <c r="F32" s="1024"/>
      <c r="G32" s="1024">
        <f t="shared" si="2"/>
        <v>0</v>
      </c>
      <c r="H32" s="1024"/>
      <c r="I32" s="1024">
        <f t="shared" si="3"/>
        <v>0</v>
      </c>
      <c r="J32" s="1024">
        <f t="shared" si="3"/>
        <v>0</v>
      </c>
      <c r="K32" s="1024">
        <f t="shared" si="3"/>
        <v>0</v>
      </c>
      <c r="L32" s="1024"/>
      <c r="M32" s="832"/>
      <c r="N32" s="832"/>
      <c r="O32" s="832"/>
      <c r="P32" s="1024"/>
      <c r="Q32" s="832"/>
      <c r="R32" s="832"/>
      <c r="S32" s="832"/>
    </row>
    <row r="33" spans="1:19" hidden="1">
      <c r="A33" s="1055">
        <f t="shared" si="4"/>
        <v>2.1699999999999964</v>
      </c>
      <c r="B33" s="832"/>
      <c r="C33" s="1024">
        <f t="shared" si="0"/>
        <v>0</v>
      </c>
      <c r="D33" s="1024">
        <f t="shared" si="1"/>
        <v>0</v>
      </c>
      <c r="E33" s="1024"/>
      <c r="F33" s="1024"/>
      <c r="G33" s="1024">
        <f t="shared" si="2"/>
        <v>0</v>
      </c>
      <c r="H33" s="1024"/>
      <c r="I33" s="1024">
        <f t="shared" si="3"/>
        <v>0</v>
      </c>
      <c r="J33" s="1024">
        <f t="shared" si="3"/>
        <v>0</v>
      </c>
      <c r="K33" s="1024">
        <f t="shared" si="3"/>
        <v>0</v>
      </c>
      <c r="L33" s="1024"/>
      <c r="M33" s="832"/>
      <c r="N33" s="832"/>
      <c r="O33" s="832"/>
      <c r="P33" s="1024"/>
      <c r="Q33" s="832"/>
      <c r="R33" s="832"/>
      <c r="S33" s="832"/>
    </row>
    <row r="34" spans="1:19" hidden="1">
      <c r="A34" s="1055">
        <f t="shared" si="4"/>
        <v>2.1799999999999962</v>
      </c>
      <c r="B34" s="832"/>
      <c r="C34" s="1024">
        <f t="shared" si="0"/>
        <v>0</v>
      </c>
      <c r="D34" s="1024">
        <f t="shared" si="1"/>
        <v>0</v>
      </c>
      <c r="E34" s="1024"/>
      <c r="F34" s="1024"/>
      <c r="G34" s="1024">
        <f t="shared" si="2"/>
        <v>0</v>
      </c>
      <c r="H34" s="1024"/>
      <c r="I34" s="1024">
        <f t="shared" si="3"/>
        <v>0</v>
      </c>
      <c r="J34" s="1024">
        <f t="shared" si="3"/>
        <v>0</v>
      </c>
      <c r="K34" s="1024">
        <f t="shared" si="3"/>
        <v>0</v>
      </c>
      <c r="L34" s="1024"/>
      <c r="M34" s="832"/>
      <c r="N34" s="832"/>
      <c r="O34" s="832"/>
      <c r="P34" s="1024"/>
      <c r="Q34" s="832"/>
      <c r="R34" s="832"/>
      <c r="S34" s="832"/>
    </row>
    <row r="35" spans="1:19" hidden="1">
      <c r="A35" s="1055">
        <f t="shared" si="4"/>
        <v>2.1899999999999959</v>
      </c>
      <c r="B35" s="832"/>
      <c r="C35" s="1024">
        <f t="shared" si="0"/>
        <v>0</v>
      </c>
      <c r="D35" s="1024">
        <f t="shared" si="1"/>
        <v>0</v>
      </c>
      <c r="E35" s="1024"/>
      <c r="F35" s="1024"/>
      <c r="G35" s="1024">
        <f t="shared" si="2"/>
        <v>0</v>
      </c>
      <c r="H35" s="1024"/>
      <c r="I35" s="1024">
        <f t="shared" si="3"/>
        <v>0</v>
      </c>
      <c r="J35" s="1024">
        <f t="shared" si="3"/>
        <v>0</v>
      </c>
      <c r="K35" s="1024">
        <f t="shared" si="3"/>
        <v>0</v>
      </c>
      <c r="L35" s="1024"/>
      <c r="M35" s="832"/>
      <c r="N35" s="832"/>
      <c r="O35" s="832"/>
      <c r="P35" s="1024"/>
      <c r="Q35" s="832"/>
      <c r="R35" s="832"/>
      <c r="S35" s="832"/>
    </row>
    <row r="36" spans="1:19" hidden="1">
      <c r="A36" s="1055">
        <f t="shared" si="4"/>
        <v>2.1999999999999957</v>
      </c>
      <c r="B36" s="832"/>
      <c r="C36" s="1024">
        <f t="shared" si="0"/>
        <v>0</v>
      </c>
      <c r="D36" s="1024">
        <f t="shared" si="1"/>
        <v>0</v>
      </c>
      <c r="E36" s="1024"/>
      <c r="F36" s="1024"/>
      <c r="G36" s="1024">
        <f t="shared" si="2"/>
        <v>0</v>
      </c>
      <c r="H36" s="1024"/>
      <c r="I36" s="1024">
        <f t="shared" si="3"/>
        <v>0</v>
      </c>
      <c r="J36" s="1024">
        <f t="shared" si="3"/>
        <v>0</v>
      </c>
      <c r="K36" s="1024">
        <f t="shared" si="3"/>
        <v>0</v>
      </c>
      <c r="L36" s="1024"/>
      <c r="M36" s="832"/>
      <c r="N36" s="832"/>
      <c r="O36" s="832"/>
      <c r="P36" s="1024"/>
      <c r="Q36" s="832"/>
      <c r="R36" s="832"/>
      <c r="S36" s="832"/>
    </row>
    <row r="37" spans="1:19" hidden="1">
      <c r="A37" s="1055">
        <f t="shared" si="4"/>
        <v>2.2099999999999955</v>
      </c>
      <c r="B37" s="832"/>
      <c r="C37" s="1024">
        <f t="shared" si="0"/>
        <v>0</v>
      </c>
      <c r="D37" s="1024">
        <f t="shared" si="1"/>
        <v>0</v>
      </c>
      <c r="E37" s="1024"/>
      <c r="F37" s="1024"/>
      <c r="G37" s="1024">
        <f t="shared" si="2"/>
        <v>0</v>
      </c>
      <c r="H37" s="1024"/>
      <c r="I37" s="1024">
        <f t="shared" si="3"/>
        <v>0</v>
      </c>
      <c r="J37" s="1024">
        <f t="shared" si="3"/>
        <v>0</v>
      </c>
      <c r="K37" s="1024">
        <f t="shared" si="3"/>
        <v>0</v>
      </c>
      <c r="L37" s="1024"/>
      <c r="M37" s="832"/>
      <c r="N37" s="832"/>
      <c r="O37" s="832"/>
      <c r="P37" s="1024"/>
      <c r="Q37" s="832"/>
      <c r="R37" s="832"/>
      <c r="S37" s="832"/>
    </row>
    <row r="38" spans="1:19" hidden="1">
      <c r="A38" s="1055">
        <f t="shared" si="4"/>
        <v>2.2199999999999953</v>
      </c>
      <c r="B38" s="832"/>
      <c r="C38" s="1024">
        <f t="shared" si="0"/>
        <v>0</v>
      </c>
      <c r="D38" s="1024">
        <f t="shared" si="1"/>
        <v>0</v>
      </c>
      <c r="E38" s="1024"/>
      <c r="F38" s="1024"/>
      <c r="G38" s="1024">
        <f t="shared" si="2"/>
        <v>0</v>
      </c>
      <c r="H38" s="1024"/>
      <c r="I38" s="1024">
        <f t="shared" si="3"/>
        <v>0</v>
      </c>
      <c r="J38" s="1024">
        <f t="shared" si="3"/>
        <v>0</v>
      </c>
      <c r="K38" s="1024">
        <f t="shared" si="3"/>
        <v>0</v>
      </c>
      <c r="L38" s="1024"/>
      <c r="M38" s="832"/>
      <c r="N38" s="832"/>
      <c r="O38" s="832"/>
      <c r="P38" s="1024"/>
      <c r="Q38" s="832"/>
      <c r="R38" s="832"/>
      <c r="S38" s="832"/>
    </row>
    <row r="39" spans="1:19" hidden="1">
      <c r="A39" s="1055">
        <f t="shared" si="4"/>
        <v>2.2299999999999951</v>
      </c>
      <c r="B39" s="832"/>
      <c r="C39" s="1024">
        <f t="shared" si="0"/>
        <v>0</v>
      </c>
      <c r="D39" s="1024">
        <f t="shared" si="1"/>
        <v>0</v>
      </c>
      <c r="E39" s="1024"/>
      <c r="F39" s="1024"/>
      <c r="G39" s="1024">
        <f t="shared" si="2"/>
        <v>0</v>
      </c>
      <c r="H39" s="1024"/>
      <c r="I39" s="1024">
        <f t="shared" si="3"/>
        <v>0</v>
      </c>
      <c r="J39" s="1024">
        <f t="shared" si="3"/>
        <v>0</v>
      </c>
      <c r="K39" s="1024">
        <f t="shared" si="3"/>
        <v>0</v>
      </c>
      <c r="L39" s="1024"/>
      <c r="M39" s="832"/>
      <c r="N39" s="832"/>
      <c r="O39" s="832"/>
      <c r="P39" s="1024"/>
      <c r="Q39" s="832"/>
      <c r="R39" s="832"/>
      <c r="S39" s="832"/>
    </row>
    <row r="40" spans="1:19" hidden="1">
      <c r="A40" s="1055">
        <f t="shared" si="4"/>
        <v>2.2399999999999949</v>
      </c>
      <c r="B40" s="832"/>
      <c r="C40" s="1024">
        <f t="shared" si="0"/>
        <v>0</v>
      </c>
      <c r="D40" s="1024">
        <f t="shared" si="1"/>
        <v>0</v>
      </c>
      <c r="E40" s="1024"/>
      <c r="F40" s="1024"/>
      <c r="G40" s="1024">
        <f t="shared" si="2"/>
        <v>0</v>
      </c>
      <c r="H40" s="1024"/>
      <c r="I40" s="1024">
        <f t="shared" si="3"/>
        <v>0</v>
      </c>
      <c r="J40" s="1024">
        <f t="shared" si="3"/>
        <v>0</v>
      </c>
      <c r="K40" s="1024">
        <f t="shared" si="3"/>
        <v>0</v>
      </c>
      <c r="L40" s="1024"/>
      <c r="M40" s="832"/>
      <c r="N40" s="832"/>
      <c r="O40" s="832"/>
      <c r="P40" s="1024"/>
      <c r="Q40" s="832"/>
      <c r="R40" s="832"/>
      <c r="S40" s="832"/>
    </row>
    <row r="41" spans="1:19" hidden="1">
      <c r="A41" s="1055">
        <f t="shared" si="4"/>
        <v>2.2499999999999947</v>
      </c>
      <c r="B41" s="832"/>
      <c r="C41" s="1024">
        <f t="shared" si="0"/>
        <v>0</v>
      </c>
      <c r="D41" s="1024">
        <f t="shared" si="1"/>
        <v>0</v>
      </c>
      <c r="E41" s="1024"/>
      <c r="F41" s="1024"/>
      <c r="G41" s="1024">
        <f t="shared" si="2"/>
        <v>0</v>
      </c>
      <c r="H41" s="1024"/>
      <c r="I41" s="1024">
        <f t="shared" si="3"/>
        <v>0</v>
      </c>
      <c r="J41" s="1024">
        <f t="shared" si="3"/>
        <v>0</v>
      </c>
      <c r="K41" s="1024">
        <f t="shared" si="3"/>
        <v>0</v>
      </c>
      <c r="L41" s="1024"/>
      <c r="M41" s="832"/>
      <c r="N41" s="832"/>
      <c r="O41" s="832"/>
      <c r="P41" s="1024"/>
      <c r="Q41" s="832"/>
      <c r="R41" s="832"/>
      <c r="S41" s="832"/>
    </row>
    <row r="42" spans="1:19" hidden="1">
      <c r="A42" s="1055">
        <f t="shared" si="4"/>
        <v>2.2599999999999945</v>
      </c>
      <c r="B42" s="832"/>
      <c r="C42" s="1024">
        <f t="shared" si="0"/>
        <v>0</v>
      </c>
      <c r="D42" s="1024">
        <f t="shared" si="1"/>
        <v>0</v>
      </c>
      <c r="E42" s="1024"/>
      <c r="F42" s="1024"/>
      <c r="G42" s="1024">
        <f t="shared" si="2"/>
        <v>0</v>
      </c>
      <c r="H42" s="1024"/>
      <c r="I42" s="1024">
        <f t="shared" si="3"/>
        <v>0</v>
      </c>
      <c r="J42" s="1024">
        <f t="shared" si="3"/>
        <v>0</v>
      </c>
      <c r="K42" s="1024">
        <f t="shared" si="3"/>
        <v>0</v>
      </c>
      <c r="L42" s="1024"/>
      <c r="M42" s="832"/>
      <c r="N42" s="832"/>
      <c r="O42" s="832"/>
      <c r="P42" s="1024"/>
      <c r="Q42" s="832"/>
      <c r="R42" s="832"/>
      <c r="S42" s="832"/>
    </row>
    <row r="43" spans="1:19" hidden="1">
      <c r="A43" s="1055">
        <f t="shared" si="4"/>
        <v>2.2699999999999942</v>
      </c>
      <c r="B43" s="832"/>
      <c r="C43" s="1024">
        <f t="shared" si="0"/>
        <v>0</v>
      </c>
      <c r="D43" s="1024">
        <f t="shared" si="1"/>
        <v>0</v>
      </c>
      <c r="E43" s="1024"/>
      <c r="F43" s="1024"/>
      <c r="G43" s="1024">
        <f t="shared" si="2"/>
        <v>0</v>
      </c>
      <c r="H43" s="1024"/>
      <c r="I43" s="1024">
        <f t="shared" si="3"/>
        <v>0</v>
      </c>
      <c r="J43" s="1024">
        <f t="shared" si="3"/>
        <v>0</v>
      </c>
      <c r="K43" s="1024">
        <f t="shared" si="3"/>
        <v>0</v>
      </c>
      <c r="L43" s="1024"/>
      <c r="M43" s="832"/>
      <c r="N43" s="832"/>
      <c r="O43" s="832"/>
      <c r="P43" s="1024"/>
      <c r="Q43" s="832"/>
      <c r="R43" s="832"/>
      <c r="S43" s="832"/>
    </row>
    <row r="44" spans="1:19" hidden="1">
      <c r="A44" s="1055">
        <f t="shared" si="4"/>
        <v>2.279999999999994</v>
      </c>
      <c r="B44" s="832"/>
      <c r="C44" s="1024">
        <f t="shared" si="0"/>
        <v>0</v>
      </c>
      <c r="D44" s="1024">
        <f t="shared" si="1"/>
        <v>0</v>
      </c>
      <c r="E44" s="1024"/>
      <c r="F44" s="1024"/>
      <c r="G44" s="1024">
        <f t="shared" si="2"/>
        <v>0</v>
      </c>
      <c r="H44" s="1024"/>
      <c r="I44" s="1024">
        <f t="shared" si="3"/>
        <v>0</v>
      </c>
      <c r="J44" s="1024">
        <f t="shared" si="3"/>
        <v>0</v>
      </c>
      <c r="K44" s="1024">
        <f t="shared" si="3"/>
        <v>0</v>
      </c>
      <c r="L44" s="1024"/>
      <c r="M44" s="832"/>
      <c r="N44" s="832"/>
      <c r="O44" s="832"/>
      <c r="P44" s="1024"/>
      <c r="Q44" s="832"/>
      <c r="R44" s="832"/>
      <c r="S44" s="832"/>
    </row>
    <row r="45" spans="1:19" hidden="1">
      <c r="A45" s="1055">
        <f t="shared" si="4"/>
        <v>2.2899999999999938</v>
      </c>
      <c r="B45" s="832"/>
      <c r="C45" s="1024">
        <f t="shared" si="0"/>
        <v>0</v>
      </c>
      <c r="D45" s="1024">
        <f t="shared" si="1"/>
        <v>0</v>
      </c>
      <c r="E45" s="1024"/>
      <c r="F45" s="1024"/>
      <c r="G45" s="1024">
        <f t="shared" si="2"/>
        <v>0</v>
      </c>
      <c r="H45" s="1024"/>
      <c r="I45" s="1024">
        <f t="shared" si="3"/>
        <v>0</v>
      </c>
      <c r="J45" s="1024">
        <f t="shared" si="3"/>
        <v>0</v>
      </c>
      <c r="K45" s="1024">
        <f t="shared" si="3"/>
        <v>0</v>
      </c>
      <c r="L45" s="1024"/>
      <c r="M45" s="832"/>
      <c r="N45" s="832"/>
      <c r="O45" s="832"/>
      <c r="P45" s="1024"/>
      <c r="Q45" s="832"/>
      <c r="R45" s="832"/>
      <c r="S45" s="832"/>
    </row>
    <row r="46" spans="1:19" hidden="1">
      <c r="A46" s="1055">
        <f t="shared" si="4"/>
        <v>2.2999999999999936</v>
      </c>
      <c r="B46" s="832"/>
      <c r="C46" s="1024">
        <f t="shared" si="0"/>
        <v>0</v>
      </c>
      <c r="D46" s="1024">
        <f t="shared" si="1"/>
        <v>0</v>
      </c>
      <c r="E46" s="1024"/>
      <c r="F46" s="1024"/>
      <c r="G46" s="1024">
        <f t="shared" si="2"/>
        <v>0</v>
      </c>
      <c r="H46" s="1024"/>
      <c r="I46" s="1024">
        <f t="shared" si="3"/>
        <v>0</v>
      </c>
      <c r="J46" s="1024">
        <f t="shared" si="3"/>
        <v>0</v>
      </c>
      <c r="K46" s="1024">
        <f t="shared" si="3"/>
        <v>0</v>
      </c>
      <c r="L46" s="1024"/>
      <c r="M46" s="832"/>
      <c r="N46" s="832"/>
      <c r="O46" s="832"/>
      <c r="P46" s="1024"/>
      <c r="Q46" s="832"/>
      <c r="R46" s="832"/>
      <c r="S46" s="832"/>
    </row>
    <row r="47" spans="1:19" hidden="1">
      <c r="A47" s="1055">
        <f t="shared" si="4"/>
        <v>2.3099999999999934</v>
      </c>
      <c r="B47" s="832"/>
      <c r="C47" s="1024">
        <f t="shared" si="0"/>
        <v>0</v>
      </c>
      <c r="D47" s="1024">
        <f t="shared" si="1"/>
        <v>0</v>
      </c>
      <c r="E47" s="1024"/>
      <c r="F47" s="1024"/>
      <c r="G47" s="1024">
        <f t="shared" si="2"/>
        <v>0</v>
      </c>
      <c r="H47" s="1024"/>
      <c r="I47" s="1024">
        <f t="shared" si="3"/>
        <v>0</v>
      </c>
      <c r="J47" s="1024">
        <f t="shared" si="3"/>
        <v>0</v>
      </c>
      <c r="K47" s="1024">
        <f t="shared" si="3"/>
        <v>0</v>
      </c>
      <c r="L47" s="1024"/>
      <c r="M47" s="832"/>
      <c r="N47" s="832"/>
      <c r="O47" s="832"/>
      <c r="P47" s="1024"/>
      <c r="Q47" s="832"/>
      <c r="R47" s="832"/>
      <c r="S47" s="832"/>
    </row>
    <row r="48" spans="1:19" hidden="1">
      <c r="A48" s="1055">
        <f t="shared" si="4"/>
        <v>2.3199999999999932</v>
      </c>
      <c r="B48" s="832"/>
      <c r="C48" s="1024">
        <f t="shared" si="0"/>
        <v>0</v>
      </c>
      <c r="D48" s="1024">
        <f t="shared" si="1"/>
        <v>0</v>
      </c>
      <c r="E48" s="1024"/>
      <c r="F48" s="1024"/>
      <c r="G48" s="1024">
        <f t="shared" si="2"/>
        <v>0</v>
      </c>
      <c r="H48" s="1024"/>
      <c r="I48" s="1024">
        <f t="shared" si="3"/>
        <v>0</v>
      </c>
      <c r="J48" s="1024">
        <f t="shared" si="3"/>
        <v>0</v>
      </c>
      <c r="K48" s="1024">
        <f t="shared" si="3"/>
        <v>0</v>
      </c>
      <c r="L48" s="1024"/>
      <c r="M48" s="832"/>
      <c r="N48" s="832"/>
      <c r="O48" s="832"/>
      <c r="P48" s="1024"/>
      <c r="Q48" s="832"/>
      <c r="R48" s="832"/>
      <c r="S48" s="832"/>
    </row>
    <row r="49" spans="1:19" hidden="1">
      <c r="A49" s="1055">
        <f t="shared" si="4"/>
        <v>2.329999999999993</v>
      </c>
      <c r="B49" s="832"/>
      <c r="C49" s="1024">
        <f t="shared" si="0"/>
        <v>0</v>
      </c>
      <c r="D49" s="1024">
        <f t="shared" si="1"/>
        <v>0</v>
      </c>
      <c r="E49" s="1024"/>
      <c r="F49" s="1024"/>
      <c r="G49" s="1024">
        <f t="shared" si="2"/>
        <v>0</v>
      </c>
      <c r="H49" s="1024"/>
      <c r="I49" s="1024">
        <f t="shared" ref="I49:K80" si="5">(M49+Q49)/2</f>
        <v>0</v>
      </c>
      <c r="J49" s="1024">
        <f t="shared" si="5"/>
        <v>0</v>
      </c>
      <c r="K49" s="1024">
        <f t="shared" si="5"/>
        <v>0</v>
      </c>
      <c r="L49" s="1024"/>
      <c r="M49" s="832"/>
      <c r="N49" s="832"/>
      <c r="O49" s="832"/>
      <c r="P49" s="1024"/>
      <c r="Q49" s="832"/>
      <c r="R49" s="832"/>
      <c r="S49" s="832"/>
    </row>
    <row r="50" spans="1:19" hidden="1">
      <c r="A50" s="1055">
        <f t="shared" si="4"/>
        <v>2.3399999999999928</v>
      </c>
      <c r="B50" s="832"/>
      <c r="C50" s="1024">
        <f t="shared" si="0"/>
        <v>0</v>
      </c>
      <c r="D50" s="1024">
        <f t="shared" si="1"/>
        <v>0</v>
      </c>
      <c r="E50" s="1024"/>
      <c r="F50" s="1024"/>
      <c r="G50" s="1024">
        <f t="shared" si="2"/>
        <v>0</v>
      </c>
      <c r="H50" s="1024"/>
      <c r="I50" s="1024">
        <f t="shared" si="5"/>
        <v>0</v>
      </c>
      <c r="J50" s="1024">
        <f t="shared" si="5"/>
        <v>0</v>
      </c>
      <c r="K50" s="1024">
        <f t="shared" si="5"/>
        <v>0</v>
      </c>
      <c r="L50" s="1024"/>
      <c r="M50" s="832"/>
      <c r="N50" s="832"/>
      <c r="O50" s="832"/>
      <c r="P50" s="1024"/>
      <c r="Q50" s="832"/>
      <c r="R50" s="832"/>
      <c r="S50" s="832"/>
    </row>
    <row r="51" spans="1:19" hidden="1">
      <c r="A51" s="1055">
        <f t="shared" si="4"/>
        <v>2.3499999999999925</v>
      </c>
      <c r="B51" s="832"/>
      <c r="C51" s="1024">
        <f t="shared" si="0"/>
        <v>0</v>
      </c>
      <c r="D51" s="1024">
        <f t="shared" si="1"/>
        <v>0</v>
      </c>
      <c r="E51" s="1024"/>
      <c r="F51" s="1024"/>
      <c r="G51" s="1024">
        <f t="shared" si="2"/>
        <v>0</v>
      </c>
      <c r="H51" s="1024"/>
      <c r="I51" s="1024">
        <f t="shared" si="5"/>
        <v>0</v>
      </c>
      <c r="J51" s="1024">
        <f t="shared" si="5"/>
        <v>0</v>
      </c>
      <c r="K51" s="1024">
        <f t="shared" si="5"/>
        <v>0</v>
      </c>
      <c r="L51" s="1024"/>
      <c r="M51" s="832"/>
      <c r="N51" s="832"/>
      <c r="O51" s="832"/>
      <c r="P51" s="1024"/>
      <c r="Q51" s="832"/>
      <c r="R51" s="832"/>
      <c r="S51" s="832"/>
    </row>
    <row r="52" spans="1:19" hidden="1">
      <c r="A52" s="1055">
        <f t="shared" si="4"/>
        <v>2.3599999999999923</v>
      </c>
      <c r="B52" s="832"/>
      <c r="C52" s="1024">
        <f t="shared" si="0"/>
        <v>0</v>
      </c>
      <c r="D52" s="1024">
        <f t="shared" si="1"/>
        <v>0</v>
      </c>
      <c r="E52" s="1024"/>
      <c r="F52" s="1024"/>
      <c r="G52" s="1024">
        <f t="shared" si="2"/>
        <v>0</v>
      </c>
      <c r="H52" s="1024"/>
      <c r="I52" s="1024">
        <f t="shared" si="5"/>
        <v>0</v>
      </c>
      <c r="J52" s="1024">
        <f t="shared" si="5"/>
        <v>0</v>
      </c>
      <c r="K52" s="1024">
        <f t="shared" si="5"/>
        <v>0</v>
      </c>
      <c r="L52" s="1024"/>
      <c r="M52" s="832"/>
      <c r="N52" s="832"/>
      <c r="O52" s="832"/>
      <c r="P52" s="1024"/>
      <c r="Q52" s="832"/>
      <c r="R52" s="832"/>
      <c r="S52" s="832"/>
    </row>
    <row r="53" spans="1:19" hidden="1">
      <c r="A53" s="1055">
        <f t="shared" si="4"/>
        <v>2.3699999999999921</v>
      </c>
      <c r="B53" s="832"/>
      <c r="C53" s="1024">
        <f t="shared" si="0"/>
        <v>0</v>
      </c>
      <c r="D53" s="1024">
        <f t="shared" si="1"/>
        <v>0</v>
      </c>
      <c r="E53" s="1024"/>
      <c r="F53" s="1024"/>
      <c r="G53" s="1024">
        <f t="shared" si="2"/>
        <v>0</v>
      </c>
      <c r="H53" s="1024"/>
      <c r="I53" s="1024">
        <f t="shared" si="5"/>
        <v>0</v>
      </c>
      <c r="J53" s="1024">
        <f t="shared" si="5"/>
        <v>0</v>
      </c>
      <c r="K53" s="1024">
        <f t="shared" si="5"/>
        <v>0</v>
      </c>
      <c r="L53" s="1024"/>
      <c r="M53" s="832"/>
      <c r="N53" s="832"/>
      <c r="O53" s="832"/>
      <c r="P53" s="1024"/>
      <c r="Q53" s="832"/>
      <c r="R53" s="832"/>
      <c r="S53" s="832"/>
    </row>
    <row r="54" spans="1:19" hidden="1">
      <c r="A54" s="1055">
        <f t="shared" si="4"/>
        <v>2.3799999999999919</v>
      </c>
      <c r="B54" s="832"/>
      <c r="C54" s="1024">
        <f t="shared" si="0"/>
        <v>0</v>
      </c>
      <c r="D54" s="1024">
        <f t="shared" si="1"/>
        <v>0</v>
      </c>
      <c r="E54" s="1024"/>
      <c r="F54" s="1024"/>
      <c r="G54" s="1024">
        <f t="shared" si="2"/>
        <v>0</v>
      </c>
      <c r="H54" s="1024"/>
      <c r="I54" s="1024">
        <f t="shared" si="5"/>
        <v>0</v>
      </c>
      <c r="J54" s="1024">
        <f t="shared" si="5"/>
        <v>0</v>
      </c>
      <c r="K54" s="1024">
        <f t="shared" si="5"/>
        <v>0</v>
      </c>
      <c r="L54" s="1024"/>
      <c r="M54" s="832"/>
      <c r="N54" s="832"/>
      <c r="O54" s="832"/>
      <c r="P54" s="1024"/>
      <c r="Q54" s="832"/>
      <c r="R54" s="832"/>
      <c r="S54" s="832"/>
    </row>
    <row r="55" spans="1:19" hidden="1">
      <c r="A55" s="1055">
        <f t="shared" si="4"/>
        <v>2.3899999999999917</v>
      </c>
      <c r="B55" s="832"/>
      <c r="C55" s="1024">
        <f t="shared" si="0"/>
        <v>0</v>
      </c>
      <c r="D55" s="1024">
        <f t="shared" si="1"/>
        <v>0</v>
      </c>
      <c r="E55" s="1024"/>
      <c r="F55" s="1024"/>
      <c r="G55" s="1024">
        <f t="shared" si="2"/>
        <v>0</v>
      </c>
      <c r="H55" s="1024"/>
      <c r="I55" s="1024">
        <f t="shared" si="5"/>
        <v>0</v>
      </c>
      <c r="J55" s="1024">
        <f t="shared" si="5"/>
        <v>0</v>
      </c>
      <c r="K55" s="1024">
        <f t="shared" si="5"/>
        <v>0</v>
      </c>
      <c r="L55" s="1024"/>
      <c r="M55" s="832"/>
      <c r="N55" s="832"/>
      <c r="O55" s="832"/>
      <c r="P55" s="1024"/>
      <c r="Q55" s="832"/>
      <c r="R55" s="832"/>
      <c r="S55" s="832"/>
    </row>
    <row r="56" spans="1:19" hidden="1">
      <c r="A56" s="1055">
        <f t="shared" si="4"/>
        <v>2.3999999999999915</v>
      </c>
      <c r="B56" s="832"/>
      <c r="C56" s="1024">
        <f t="shared" si="0"/>
        <v>0</v>
      </c>
      <c r="D56" s="1024">
        <f t="shared" si="1"/>
        <v>0</v>
      </c>
      <c r="E56" s="1024"/>
      <c r="F56" s="1024"/>
      <c r="G56" s="1024">
        <f t="shared" si="2"/>
        <v>0</v>
      </c>
      <c r="H56" s="1024"/>
      <c r="I56" s="1024">
        <f t="shared" si="5"/>
        <v>0</v>
      </c>
      <c r="J56" s="1024">
        <f t="shared" si="5"/>
        <v>0</v>
      </c>
      <c r="K56" s="1024">
        <f t="shared" si="5"/>
        <v>0</v>
      </c>
      <c r="L56" s="1024"/>
      <c r="M56" s="832"/>
      <c r="N56" s="832"/>
      <c r="O56" s="832"/>
      <c r="P56" s="1024"/>
      <c r="Q56" s="832"/>
      <c r="R56" s="832"/>
      <c r="S56" s="832"/>
    </row>
    <row r="57" spans="1:19" hidden="1">
      <c r="A57" s="1055">
        <f t="shared" si="4"/>
        <v>2.4099999999999913</v>
      </c>
      <c r="B57" s="832"/>
      <c r="C57" s="1024">
        <f t="shared" si="0"/>
        <v>0</v>
      </c>
      <c r="D57" s="1024">
        <f t="shared" si="1"/>
        <v>0</v>
      </c>
      <c r="E57" s="1024"/>
      <c r="F57" s="1024"/>
      <c r="G57" s="1024">
        <f t="shared" si="2"/>
        <v>0</v>
      </c>
      <c r="H57" s="1024"/>
      <c r="I57" s="1024">
        <f t="shared" si="5"/>
        <v>0</v>
      </c>
      <c r="J57" s="1024">
        <f t="shared" si="5"/>
        <v>0</v>
      </c>
      <c r="K57" s="1024">
        <f t="shared" si="5"/>
        <v>0</v>
      </c>
      <c r="L57" s="1024"/>
      <c r="M57" s="832"/>
      <c r="N57" s="832"/>
      <c r="O57" s="832"/>
      <c r="P57" s="1024"/>
      <c r="Q57" s="832"/>
      <c r="R57" s="832"/>
      <c r="S57" s="832"/>
    </row>
    <row r="58" spans="1:19" hidden="1">
      <c r="A58" s="1055">
        <f t="shared" si="4"/>
        <v>2.419999999999991</v>
      </c>
      <c r="B58" s="832"/>
      <c r="C58" s="1024">
        <f t="shared" si="0"/>
        <v>0</v>
      </c>
      <c r="D58" s="1024">
        <f t="shared" si="1"/>
        <v>0</v>
      </c>
      <c r="E58" s="1024"/>
      <c r="F58" s="1024"/>
      <c r="G58" s="1024">
        <f t="shared" si="2"/>
        <v>0</v>
      </c>
      <c r="H58" s="1024"/>
      <c r="I58" s="1024">
        <f t="shared" si="5"/>
        <v>0</v>
      </c>
      <c r="J58" s="1024">
        <f t="shared" si="5"/>
        <v>0</v>
      </c>
      <c r="K58" s="1024">
        <f t="shared" si="5"/>
        <v>0</v>
      </c>
      <c r="L58" s="1024"/>
      <c r="M58" s="832"/>
      <c r="N58" s="832"/>
      <c r="O58" s="832"/>
      <c r="P58" s="1024"/>
      <c r="Q58" s="832"/>
      <c r="R58" s="832"/>
      <c r="S58" s="832"/>
    </row>
    <row r="59" spans="1:19" hidden="1">
      <c r="A59" s="1055">
        <f t="shared" si="4"/>
        <v>2.4299999999999908</v>
      </c>
      <c r="B59" s="832"/>
      <c r="C59" s="1024">
        <f t="shared" si="0"/>
        <v>0</v>
      </c>
      <c r="D59" s="1024">
        <f t="shared" si="1"/>
        <v>0</v>
      </c>
      <c r="E59" s="1024"/>
      <c r="F59" s="1024"/>
      <c r="G59" s="1024">
        <f t="shared" si="2"/>
        <v>0</v>
      </c>
      <c r="H59" s="1024"/>
      <c r="I59" s="1024">
        <f t="shared" si="5"/>
        <v>0</v>
      </c>
      <c r="J59" s="1024">
        <f t="shared" si="5"/>
        <v>0</v>
      </c>
      <c r="K59" s="1024">
        <f t="shared" si="5"/>
        <v>0</v>
      </c>
      <c r="L59" s="1024"/>
      <c r="M59" s="832"/>
      <c r="N59" s="832"/>
      <c r="O59" s="832"/>
      <c r="P59" s="1024"/>
      <c r="Q59" s="832"/>
      <c r="R59" s="832"/>
      <c r="S59" s="832"/>
    </row>
    <row r="60" spans="1:19" hidden="1">
      <c r="A60" s="1055">
        <f t="shared" si="4"/>
        <v>2.4399999999999906</v>
      </c>
      <c r="B60" s="832"/>
      <c r="C60" s="1024">
        <f t="shared" si="0"/>
        <v>0</v>
      </c>
      <c r="D60" s="1024">
        <f t="shared" si="1"/>
        <v>0</v>
      </c>
      <c r="E60" s="1024"/>
      <c r="F60" s="1024"/>
      <c r="G60" s="1024">
        <f t="shared" si="2"/>
        <v>0</v>
      </c>
      <c r="H60" s="1024"/>
      <c r="I60" s="1024">
        <f t="shared" si="5"/>
        <v>0</v>
      </c>
      <c r="J60" s="1024">
        <f t="shared" si="5"/>
        <v>0</v>
      </c>
      <c r="K60" s="1024">
        <f t="shared" si="5"/>
        <v>0</v>
      </c>
      <c r="L60" s="1024"/>
      <c r="M60" s="832"/>
      <c r="N60" s="832"/>
      <c r="O60" s="832"/>
      <c r="P60" s="1024"/>
      <c r="Q60" s="832"/>
      <c r="R60" s="832"/>
      <c r="S60" s="832"/>
    </row>
    <row r="61" spans="1:19" hidden="1">
      <c r="A61" s="1055">
        <f t="shared" si="4"/>
        <v>2.4499999999999904</v>
      </c>
      <c r="B61" s="832"/>
      <c r="C61" s="1024">
        <f t="shared" si="0"/>
        <v>0</v>
      </c>
      <c r="D61" s="1024">
        <f t="shared" si="1"/>
        <v>0</v>
      </c>
      <c r="E61" s="1024"/>
      <c r="F61" s="1024"/>
      <c r="G61" s="1024">
        <f t="shared" si="2"/>
        <v>0</v>
      </c>
      <c r="H61" s="1024"/>
      <c r="I61" s="1024">
        <f t="shared" si="5"/>
        <v>0</v>
      </c>
      <c r="J61" s="1024">
        <f t="shared" si="5"/>
        <v>0</v>
      </c>
      <c r="K61" s="1024">
        <f t="shared" si="5"/>
        <v>0</v>
      </c>
      <c r="L61" s="1024"/>
      <c r="M61" s="832"/>
      <c r="N61" s="832"/>
      <c r="O61" s="832"/>
      <c r="P61" s="1024"/>
      <c r="Q61" s="832"/>
      <c r="R61" s="832"/>
      <c r="S61" s="832"/>
    </row>
    <row r="62" spans="1:19" hidden="1">
      <c r="A62" s="1055">
        <f t="shared" si="4"/>
        <v>2.4599999999999902</v>
      </c>
      <c r="B62" s="832"/>
      <c r="C62" s="1024">
        <f t="shared" si="0"/>
        <v>0</v>
      </c>
      <c r="D62" s="1024">
        <f t="shared" si="1"/>
        <v>0</v>
      </c>
      <c r="E62" s="1024"/>
      <c r="F62" s="1024"/>
      <c r="G62" s="1024">
        <f t="shared" si="2"/>
        <v>0</v>
      </c>
      <c r="H62" s="1024"/>
      <c r="I62" s="1024">
        <f t="shared" si="5"/>
        <v>0</v>
      </c>
      <c r="J62" s="1024">
        <f t="shared" si="5"/>
        <v>0</v>
      </c>
      <c r="K62" s="1024">
        <f t="shared" si="5"/>
        <v>0</v>
      </c>
      <c r="L62" s="1024"/>
      <c r="M62" s="832"/>
      <c r="N62" s="832"/>
      <c r="O62" s="832"/>
      <c r="P62" s="1024"/>
      <c r="Q62" s="832"/>
      <c r="R62" s="832"/>
      <c r="S62" s="832"/>
    </row>
    <row r="63" spans="1:19" hidden="1">
      <c r="A63" s="1055">
        <f t="shared" si="4"/>
        <v>2.46999999999999</v>
      </c>
      <c r="B63" s="832"/>
      <c r="C63" s="1024">
        <f t="shared" si="0"/>
        <v>0</v>
      </c>
      <c r="D63" s="1024">
        <f t="shared" si="1"/>
        <v>0</v>
      </c>
      <c r="E63" s="1024"/>
      <c r="F63" s="1024"/>
      <c r="G63" s="1024">
        <f t="shared" si="2"/>
        <v>0</v>
      </c>
      <c r="H63" s="1024"/>
      <c r="I63" s="1024">
        <f t="shared" si="5"/>
        <v>0</v>
      </c>
      <c r="J63" s="1024">
        <f t="shared" si="5"/>
        <v>0</v>
      </c>
      <c r="K63" s="1024">
        <f t="shared" si="5"/>
        <v>0</v>
      </c>
      <c r="L63" s="1024"/>
      <c r="M63" s="832"/>
      <c r="N63" s="832"/>
      <c r="O63" s="832"/>
      <c r="P63" s="1024"/>
      <c r="Q63" s="832"/>
      <c r="R63" s="832"/>
      <c r="S63" s="832"/>
    </row>
    <row r="64" spans="1:19" hidden="1">
      <c r="A64" s="1055">
        <f t="shared" si="4"/>
        <v>2.4799999999999898</v>
      </c>
      <c r="B64" s="832"/>
      <c r="C64" s="1024">
        <f t="shared" si="0"/>
        <v>0</v>
      </c>
      <c r="D64" s="1024">
        <f t="shared" si="1"/>
        <v>0</v>
      </c>
      <c r="E64" s="1024"/>
      <c r="F64" s="1024"/>
      <c r="G64" s="1024">
        <f t="shared" si="2"/>
        <v>0</v>
      </c>
      <c r="H64" s="1024"/>
      <c r="I64" s="1024">
        <f t="shared" si="5"/>
        <v>0</v>
      </c>
      <c r="J64" s="1024">
        <f t="shared" si="5"/>
        <v>0</v>
      </c>
      <c r="K64" s="1024">
        <f t="shared" si="5"/>
        <v>0</v>
      </c>
      <c r="L64" s="1024"/>
      <c r="M64" s="832"/>
      <c r="N64" s="832"/>
      <c r="O64" s="832"/>
      <c r="P64" s="1024"/>
      <c r="Q64" s="832"/>
      <c r="R64" s="832"/>
      <c r="S64" s="832"/>
    </row>
    <row r="65" spans="1:19" hidden="1">
      <c r="A65" s="1055">
        <f t="shared" si="4"/>
        <v>2.4899999999999896</v>
      </c>
      <c r="B65" s="832"/>
      <c r="C65" s="1024">
        <f t="shared" si="0"/>
        <v>0</v>
      </c>
      <c r="D65" s="1024">
        <f t="shared" si="1"/>
        <v>0</v>
      </c>
      <c r="E65" s="1024"/>
      <c r="F65" s="1024"/>
      <c r="G65" s="1024">
        <f t="shared" si="2"/>
        <v>0</v>
      </c>
      <c r="H65" s="1024"/>
      <c r="I65" s="1024">
        <f t="shared" si="5"/>
        <v>0</v>
      </c>
      <c r="J65" s="1024">
        <f t="shared" si="5"/>
        <v>0</v>
      </c>
      <c r="K65" s="1024">
        <f t="shared" si="5"/>
        <v>0</v>
      </c>
      <c r="L65" s="1024"/>
      <c r="M65" s="832"/>
      <c r="N65" s="832"/>
      <c r="O65" s="832"/>
      <c r="P65" s="1024"/>
      <c r="Q65" s="832"/>
      <c r="R65" s="832"/>
      <c r="S65" s="832"/>
    </row>
    <row r="66" spans="1:19" hidden="1">
      <c r="A66" s="1055">
        <f t="shared" si="4"/>
        <v>2.4999999999999893</v>
      </c>
      <c r="B66" s="832"/>
      <c r="C66" s="1024">
        <f t="shared" si="0"/>
        <v>0</v>
      </c>
      <c r="D66" s="1024">
        <f t="shared" si="1"/>
        <v>0</v>
      </c>
      <c r="E66" s="1024"/>
      <c r="F66" s="1024"/>
      <c r="G66" s="1024">
        <f t="shared" si="2"/>
        <v>0</v>
      </c>
      <c r="H66" s="1024"/>
      <c r="I66" s="1024">
        <f t="shared" si="5"/>
        <v>0</v>
      </c>
      <c r="J66" s="1024">
        <f t="shared" si="5"/>
        <v>0</v>
      </c>
      <c r="K66" s="1024">
        <f t="shared" si="5"/>
        <v>0</v>
      </c>
      <c r="L66" s="1024"/>
      <c r="M66" s="832"/>
      <c r="N66" s="832"/>
      <c r="O66" s="832"/>
      <c r="P66" s="1024"/>
      <c r="Q66" s="832"/>
      <c r="R66" s="832"/>
      <c r="S66" s="832"/>
    </row>
    <row r="67" spans="1:19" hidden="1">
      <c r="A67" s="1055">
        <f t="shared" si="4"/>
        <v>2.5099999999999891</v>
      </c>
      <c r="B67" s="832"/>
      <c r="C67" s="1024">
        <f t="shared" si="0"/>
        <v>0</v>
      </c>
      <c r="D67" s="1024">
        <f t="shared" si="1"/>
        <v>0</v>
      </c>
      <c r="E67" s="1024"/>
      <c r="F67" s="1024"/>
      <c r="G67" s="1024">
        <f t="shared" si="2"/>
        <v>0</v>
      </c>
      <c r="H67" s="1024"/>
      <c r="I67" s="1024">
        <f t="shared" si="5"/>
        <v>0</v>
      </c>
      <c r="J67" s="1024">
        <f t="shared" si="5"/>
        <v>0</v>
      </c>
      <c r="K67" s="1024">
        <f t="shared" si="5"/>
        <v>0</v>
      </c>
      <c r="L67" s="1024"/>
      <c r="M67" s="832"/>
      <c r="N67" s="832"/>
      <c r="O67" s="832"/>
      <c r="P67" s="1024"/>
      <c r="Q67" s="832"/>
      <c r="R67" s="832"/>
      <c r="S67" s="832"/>
    </row>
    <row r="68" spans="1:19" hidden="1">
      <c r="A68" s="1055">
        <f t="shared" si="4"/>
        <v>2.5199999999999889</v>
      </c>
      <c r="B68" s="832"/>
      <c r="C68" s="1024">
        <f t="shared" si="0"/>
        <v>0</v>
      </c>
      <c r="D68" s="1024">
        <f t="shared" si="1"/>
        <v>0</v>
      </c>
      <c r="E68" s="1024"/>
      <c r="F68" s="1024"/>
      <c r="G68" s="1024">
        <f t="shared" si="2"/>
        <v>0</v>
      </c>
      <c r="H68" s="1024"/>
      <c r="I68" s="1024">
        <f t="shared" si="5"/>
        <v>0</v>
      </c>
      <c r="J68" s="1024">
        <f t="shared" si="5"/>
        <v>0</v>
      </c>
      <c r="K68" s="1024">
        <f t="shared" si="5"/>
        <v>0</v>
      </c>
      <c r="L68" s="1024"/>
      <c r="M68" s="832"/>
      <c r="N68" s="832"/>
      <c r="O68" s="832"/>
      <c r="P68" s="1024"/>
      <c r="Q68" s="832"/>
      <c r="R68" s="832"/>
      <c r="S68" s="832"/>
    </row>
    <row r="69" spans="1:19" hidden="1">
      <c r="A69" s="1055">
        <f t="shared" si="4"/>
        <v>2.5299999999999887</v>
      </c>
      <c r="B69" s="832"/>
      <c r="C69" s="1024">
        <f t="shared" si="0"/>
        <v>0</v>
      </c>
      <c r="D69" s="1024">
        <f t="shared" si="1"/>
        <v>0</v>
      </c>
      <c r="E69" s="1024"/>
      <c r="F69" s="1024"/>
      <c r="G69" s="1024">
        <f t="shared" si="2"/>
        <v>0</v>
      </c>
      <c r="H69" s="1024"/>
      <c r="I69" s="1024">
        <f t="shared" si="5"/>
        <v>0</v>
      </c>
      <c r="J69" s="1024">
        <f t="shared" si="5"/>
        <v>0</v>
      </c>
      <c r="K69" s="1024">
        <f t="shared" si="5"/>
        <v>0</v>
      </c>
      <c r="L69" s="1024"/>
      <c r="M69" s="832"/>
      <c r="N69" s="832"/>
      <c r="O69" s="832"/>
      <c r="P69" s="1024"/>
      <c r="Q69" s="832"/>
      <c r="R69" s="832"/>
      <c r="S69" s="832"/>
    </row>
    <row r="70" spans="1:19" hidden="1">
      <c r="A70" s="1055">
        <f t="shared" si="4"/>
        <v>2.5399999999999885</v>
      </c>
      <c r="B70" s="832"/>
      <c r="C70" s="1024">
        <f t="shared" si="0"/>
        <v>0</v>
      </c>
      <c r="D70" s="1024">
        <f t="shared" si="1"/>
        <v>0</v>
      </c>
      <c r="E70" s="1024"/>
      <c r="F70" s="1024"/>
      <c r="G70" s="1024">
        <f t="shared" si="2"/>
        <v>0</v>
      </c>
      <c r="H70" s="1024"/>
      <c r="I70" s="1024">
        <f t="shared" si="5"/>
        <v>0</v>
      </c>
      <c r="J70" s="1024">
        <f t="shared" si="5"/>
        <v>0</v>
      </c>
      <c r="K70" s="1024">
        <f t="shared" si="5"/>
        <v>0</v>
      </c>
      <c r="L70" s="1024"/>
      <c r="M70" s="832"/>
      <c r="N70" s="832"/>
      <c r="O70" s="832"/>
      <c r="P70" s="1024"/>
      <c r="Q70" s="832"/>
      <c r="R70" s="832"/>
      <c r="S70" s="832"/>
    </row>
    <row r="71" spans="1:19" hidden="1">
      <c r="A71" s="1055">
        <f t="shared" si="4"/>
        <v>2.5499999999999883</v>
      </c>
      <c r="B71" s="832"/>
      <c r="C71" s="1024">
        <f t="shared" si="0"/>
        <v>0</v>
      </c>
      <c r="D71" s="1024">
        <f t="shared" si="1"/>
        <v>0</v>
      </c>
      <c r="E71" s="1024"/>
      <c r="F71" s="1024"/>
      <c r="G71" s="1024">
        <f t="shared" si="2"/>
        <v>0</v>
      </c>
      <c r="H71" s="1024"/>
      <c r="I71" s="1024">
        <f t="shared" si="5"/>
        <v>0</v>
      </c>
      <c r="J71" s="1024">
        <f t="shared" si="5"/>
        <v>0</v>
      </c>
      <c r="K71" s="1024">
        <f t="shared" si="5"/>
        <v>0</v>
      </c>
      <c r="L71" s="1024"/>
      <c r="M71" s="832"/>
      <c r="N71" s="832"/>
      <c r="O71" s="832"/>
      <c r="P71" s="1024"/>
      <c r="Q71" s="832"/>
      <c r="R71" s="832"/>
      <c r="S71" s="832"/>
    </row>
    <row r="72" spans="1:19" hidden="1">
      <c r="A72" s="1055">
        <f t="shared" si="4"/>
        <v>2.5599999999999881</v>
      </c>
      <c r="B72" s="832"/>
      <c r="C72" s="1024">
        <f t="shared" si="0"/>
        <v>0</v>
      </c>
      <c r="D72" s="1024">
        <f t="shared" si="1"/>
        <v>0</v>
      </c>
      <c r="E72" s="1024"/>
      <c r="F72" s="1024"/>
      <c r="G72" s="1024">
        <f t="shared" si="2"/>
        <v>0</v>
      </c>
      <c r="H72" s="1024"/>
      <c r="I72" s="1024">
        <f t="shared" si="5"/>
        <v>0</v>
      </c>
      <c r="J72" s="1024">
        <f t="shared" si="5"/>
        <v>0</v>
      </c>
      <c r="K72" s="1024">
        <f t="shared" si="5"/>
        <v>0</v>
      </c>
      <c r="L72" s="1024"/>
      <c r="M72" s="832"/>
      <c r="N72" s="832"/>
      <c r="O72" s="832"/>
      <c r="P72" s="1024"/>
      <c r="Q72" s="832"/>
      <c r="R72" s="832"/>
      <c r="S72" s="832"/>
    </row>
    <row r="73" spans="1:19" hidden="1">
      <c r="A73" s="1055">
        <f t="shared" si="4"/>
        <v>2.5699999999999878</v>
      </c>
      <c r="B73" s="832"/>
      <c r="C73" s="1024">
        <f t="shared" si="0"/>
        <v>0</v>
      </c>
      <c r="D73" s="1024">
        <f t="shared" si="1"/>
        <v>0</v>
      </c>
      <c r="E73" s="1024"/>
      <c r="F73" s="1024"/>
      <c r="G73" s="1024">
        <f t="shared" si="2"/>
        <v>0</v>
      </c>
      <c r="H73" s="1024"/>
      <c r="I73" s="1024">
        <f t="shared" si="5"/>
        <v>0</v>
      </c>
      <c r="J73" s="1024">
        <f t="shared" si="5"/>
        <v>0</v>
      </c>
      <c r="K73" s="1024">
        <f t="shared" si="5"/>
        <v>0</v>
      </c>
      <c r="L73" s="1024"/>
      <c r="M73" s="832"/>
      <c r="N73" s="832"/>
      <c r="O73" s="832"/>
      <c r="P73" s="1024"/>
      <c r="Q73" s="832"/>
      <c r="R73" s="832"/>
      <c r="S73" s="832"/>
    </row>
    <row r="74" spans="1:19" hidden="1">
      <c r="A74" s="1055">
        <f t="shared" si="4"/>
        <v>2.5799999999999876</v>
      </c>
      <c r="B74" s="832"/>
      <c r="C74" s="1024">
        <f t="shared" si="0"/>
        <v>0</v>
      </c>
      <c r="D74" s="1024">
        <f t="shared" si="1"/>
        <v>0</v>
      </c>
      <c r="E74" s="1024"/>
      <c r="F74" s="1024"/>
      <c r="G74" s="1024">
        <f t="shared" si="2"/>
        <v>0</v>
      </c>
      <c r="H74" s="1024"/>
      <c r="I74" s="1024">
        <f t="shared" si="5"/>
        <v>0</v>
      </c>
      <c r="J74" s="1024">
        <f t="shared" si="5"/>
        <v>0</v>
      </c>
      <c r="K74" s="1024">
        <f t="shared" si="5"/>
        <v>0</v>
      </c>
      <c r="L74" s="1024"/>
      <c r="M74" s="832"/>
      <c r="N74" s="832"/>
      <c r="O74" s="832"/>
      <c r="P74" s="1024"/>
      <c r="Q74" s="832"/>
      <c r="R74" s="832"/>
      <c r="S74" s="832"/>
    </row>
    <row r="75" spans="1:19" hidden="1">
      <c r="A75" s="1055">
        <f t="shared" si="4"/>
        <v>2.5899999999999874</v>
      </c>
      <c r="B75" s="832"/>
      <c r="C75" s="1024">
        <f t="shared" si="0"/>
        <v>0</v>
      </c>
      <c r="D75" s="1024">
        <f t="shared" si="1"/>
        <v>0</v>
      </c>
      <c r="E75" s="1024"/>
      <c r="F75" s="1024"/>
      <c r="G75" s="1024">
        <f t="shared" si="2"/>
        <v>0</v>
      </c>
      <c r="H75" s="1024"/>
      <c r="I75" s="1024">
        <f t="shared" si="5"/>
        <v>0</v>
      </c>
      <c r="J75" s="1024">
        <f t="shared" si="5"/>
        <v>0</v>
      </c>
      <c r="K75" s="1024">
        <f t="shared" si="5"/>
        <v>0</v>
      </c>
      <c r="L75" s="1024"/>
      <c r="M75" s="832"/>
      <c r="N75" s="832"/>
      <c r="O75" s="832"/>
      <c r="P75" s="1024"/>
      <c r="Q75" s="832"/>
      <c r="R75" s="832"/>
      <c r="S75" s="832"/>
    </row>
    <row r="76" spans="1:19" hidden="1">
      <c r="A76" s="1055">
        <f t="shared" si="4"/>
        <v>2.5999999999999872</v>
      </c>
      <c r="B76" s="832"/>
      <c r="C76" s="1024">
        <f t="shared" si="0"/>
        <v>0</v>
      </c>
      <c r="D76" s="1024">
        <f t="shared" si="1"/>
        <v>0</v>
      </c>
      <c r="E76" s="1024"/>
      <c r="F76" s="1024"/>
      <c r="G76" s="1024">
        <f t="shared" si="2"/>
        <v>0</v>
      </c>
      <c r="H76" s="1024"/>
      <c r="I76" s="1024">
        <f t="shared" si="5"/>
        <v>0</v>
      </c>
      <c r="J76" s="1024">
        <f t="shared" si="5"/>
        <v>0</v>
      </c>
      <c r="K76" s="1024">
        <f t="shared" si="5"/>
        <v>0</v>
      </c>
      <c r="L76" s="1024"/>
      <c r="M76" s="832"/>
      <c r="N76" s="832"/>
      <c r="O76" s="832"/>
      <c r="P76" s="1024"/>
      <c r="Q76" s="832"/>
      <c r="R76" s="832"/>
      <c r="S76" s="832"/>
    </row>
    <row r="77" spans="1:19" hidden="1">
      <c r="A77" s="1055">
        <f t="shared" si="4"/>
        <v>2.609999999999987</v>
      </c>
      <c r="B77" s="832"/>
      <c r="C77" s="1029">
        <f t="shared" si="0"/>
        <v>0</v>
      </c>
      <c r="D77" s="1029">
        <f t="shared" si="1"/>
        <v>0</v>
      </c>
      <c r="E77" s="1029"/>
      <c r="F77" s="1029"/>
      <c r="G77" s="1029">
        <f t="shared" si="2"/>
        <v>0</v>
      </c>
      <c r="H77" s="1029"/>
      <c r="I77" s="1029">
        <f t="shared" si="5"/>
        <v>0</v>
      </c>
      <c r="J77" s="1029">
        <f t="shared" si="5"/>
        <v>0</v>
      </c>
      <c r="K77" s="1029">
        <f t="shared" si="5"/>
        <v>0</v>
      </c>
      <c r="L77" s="1029"/>
      <c r="M77" s="832"/>
      <c r="N77" s="832"/>
      <c r="O77" s="832"/>
      <c r="P77" s="1029"/>
      <c r="Q77" s="832"/>
      <c r="R77" s="832"/>
      <c r="S77" s="832"/>
    </row>
    <row r="78" spans="1:19" hidden="1">
      <c r="A78" s="1055">
        <f t="shared" si="4"/>
        <v>2.6199999999999868</v>
      </c>
      <c r="B78" s="832"/>
      <c r="C78" s="1029">
        <f t="shared" si="0"/>
        <v>0</v>
      </c>
      <c r="D78" s="1029">
        <f t="shared" si="1"/>
        <v>0</v>
      </c>
      <c r="E78" s="1029"/>
      <c r="F78" s="1029"/>
      <c r="G78" s="1029">
        <f t="shared" si="2"/>
        <v>0</v>
      </c>
      <c r="H78" s="1029"/>
      <c r="I78" s="1029">
        <f t="shared" si="5"/>
        <v>0</v>
      </c>
      <c r="J78" s="1029">
        <f t="shared" si="5"/>
        <v>0</v>
      </c>
      <c r="K78" s="1029">
        <f t="shared" si="5"/>
        <v>0</v>
      </c>
      <c r="L78" s="1029"/>
      <c r="M78" s="832"/>
      <c r="N78" s="832"/>
      <c r="O78" s="832"/>
      <c r="P78" s="1029"/>
      <c r="Q78" s="832"/>
      <c r="R78" s="832"/>
      <c r="S78" s="832"/>
    </row>
    <row r="79" spans="1:19" hidden="1">
      <c r="A79" s="1055">
        <f t="shared" si="4"/>
        <v>2.6299999999999866</v>
      </c>
      <c r="B79" s="832"/>
      <c r="C79" s="1024">
        <f t="shared" si="0"/>
        <v>0</v>
      </c>
      <c r="D79" s="1024">
        <f t="shared" si="1"/>
        <v>0</v>
      </c>
      <c r="E79" s="1024"/>
      <c r="F79" s="1024"/>
      <c r="G79" s="1024">
        <f t="shared" si="2"/>
        <v>0</v>
      </c>
      <c r="H79" s="1024"/>
      <c r="I79" s="1024">
        <f t="shared" si="5"/>
        <v>0</v>
      </c>
      <c r="J79" s="1024">
        <f t="shared" si="5"/>
        <v>0</v>
      </c>
      <c r="K79" s="1024">
        <f t="shared" si="5"/>
        <v>0</v>
      </c>
      <c r="L79" s="1024"/>
      <c r="M79" s="832"/>
      <c r="N79" s="832"/>
      <c r="O79" s="832"/>
      <c r="P79" s="1024"/>
      <c r="Q79" s="832"/>
      <c r="R79" s="832"/>
      <c r="S79" s="832"/>
    </row>
    <row r="80" spans="1:19" hidden="1">
      <c r="A80" s="1055">
        <f t="shared" si="4"/>
        <v>2.6399999999999864</v>
      </c>
      <c r="B80" s="832"/>
      <c r="C80" s="1024">
        <f t="shared" si="0"/>
        <v>0</v>
      </c>
      <c r="D80" s="1024">
        <f t="shared" si="1"/>
        <v>0</v>
      </c>
      <c r="E80" s="1024"/>
      <c r="F80" s="1024"/>
      <c r="G80" s="1024">
        <f t="shared" si="2"/>
        <v>0</v>
      </c>
      <c r="H80" s="1024"/>
      <c r="I80" s="1024">
        <f t="shared" si="5"/>
        <v>0</v>
      </c>
      <c r="J80" s="1024">
        <f t="shared" si="5"/>
        <v>0</v>
      </c>
      <c r="K80" s="1024">
        <f t="shared" si="5"/>
        <v>0</v>
      </c>
      <c r="L80" s="1024"/>
      <c r="M80" s="832"/>
      <c r="N80" s="832"/>
      <c r="O80" s="832"/>
      <c r="P80" s="1024"/>
      <c r="Q80" s="832"/>
      <c r="R80" s="832"/>
      <c r="S80" s="832"/>
    </row>
    <row r="81" spans="1:19" hidden="1">
      <c r="A81" s="1055">
        <f t="shared" si="4"/>
        <v>2.6499999999999861</v>
      </c>
      <c r="B81" s="832"/>
      <c r="C81" s="1024">
        <f t="shared" ref="C81:C95" si="6">SUM(M81:O81)</f>
        <v>0</v>
      </c>
      <c r="D81" s="1024">
        <f t="shared" ref="D81:D95" si="7">SUM(Q81:S81)</f>
        <v>0</v>
      </c>
      <c r="E81" s="1024"/>
      <c r="F81" s="1024"/>
      <c r="G81" s="1024">
        <f t="shared" ref="G81:G107" si="8">ROUND(SUM(C81:F81)/2,0)</f>
        <v>0</v>
      </c>
      <c r="H81" s="1024"/>
      <c r="I81" s="1024">
        <f t="shared" ref="I81:K95" si="9">(M81+Q81)/2</f>
        <v>0</v>
      </c>
      <c r="J81" s="1024">
        <f t="shared" si="9"/>
        <v>0</v>
      </c>
      <c r="K81" s="1024">
        <f t="shared" si="9"/>
        <v>0</v>
      </c>
      <c r="L81" s="1024"/>
      <c r="M81" s="832"/>
      <c r="N81" s="832"/>
      <c r="O81" s="832"/>
      <c r="P81" s="1024"/>
      <c r="Q81" s="832"/>
      <c r="R81" s="832"/>
      <c r="S81" s="832"/>
    </row>
    <row r="82" spans="1:19" hidden="1">
      <c r="A82" s="1055">
        <f t="shared" si="4"/>
        <v>2.6599999999999859</v>
      </c>
      <c r="B82" s="832"/>
      <c r="C82" s="1024">
        <f t="shared" si="6"/>
        <v>0</v>
      </c>
      <c r="D82" s="1024">
        <f t="shared" si="7"/>
        <v>0</v>
      </c>
      <c r="E82" s="1024"/>
      <c r="F82" s="1024"/>
      <c r="G82" s="1024">
        <f t="shared" si="8"/>
        <v>0</v>
      </c>
      <c r="H82" s="1024"/>
      <c r="I82" s="1024">
        <f t="shared" si="9"/>
        <v>0</v>
      </c>
      <c r="J82" s="1024">
        <f t="shared" si="9"/>
        <v>0</v>
      </c>
      <c r="K82" s="1024">
        <f t="shared" si="9"/>
        <v>0</v>
      </c>
      <c r="L82" s="1024"/>
      <c r="M82" s="832"/>
      <c r="N82" s="832"/>
      <c r="O82" s="832"/>
      <c r="P82" s="1024"/>
      <c r="Q82" s="832"/>
      <c r="R82" s="832"/>
      <c r="S82" s="832"/>
    </row>
    <row r="83" spans="1:19" hidden="1">
      <c r="A83" s="1055">
        <f t="shared" ref="A83:A107" si="10">A82+0.01</f>
        <v>2.6699999999999857</v>
      </c>
      <c r="B83" s="832"/>
      <c r="C83" s="1024">
        <f t="shared" si="6"/>
        <v>0</v>
      </c>
      <c r="D83" s="1024">
        <f t="shared" si="7"/>
        <v>0</v>
      </c>
      <c r="E83" s="1024"/>
      <c r="F83" s="1024"/>
      <c r="G83" s="1024">
        <f t="shared" si="8"/>
        <v>0</v>
      </c>
      <c r="H83" s="1024"/>
      <c r="I83" s="1024">
        <f t="shared" si="9"/>
        <v>0</v>
      </c>
      <c r="J83" s="1024">
        <f t="shared" si="9"/>
        <v>0</v>
      </c>
      <c r="K83" s="1024">
        <f t="shared" si="9"/>
        <v>0</v>
      </c>
      <c r="L83" s="1024"/>
      <c r="M83" s="832"/>
      <c r="N83" s="832"/>
      <c r="O83" s="832"/>
      <c r="P83" s="1024"/>
      <c r="Q83" s="832"/>
      <c r="R83" s="832"/>
      <c r="S83" s="832"/>
    </row>
    <row r="84" spans="1:19" hidden="1">
      <c r="A84" s="1055">
        <f t="shared" si="10"/>
        <v>2.6799999999999855</v>
      </c>
      <c r="B84" s="832"/>
      <c r="C84" s="1024">
        <f t="shared" si="6"/>
        <v>0</v>
      </c>
      <c r="D84" s="1024">
        <f t="shared" si="7"/>
        <v>0</v>
      </c>
      <c r="E84" s="1024"/>
      <c r="F84" s="1024"/>
      <c r="G84" s="1024">
        <f t="shared" si="8"/>
        <v>0</v>
      </c>
      <c r="H84" s="1024"/>
      <c r="I84" s="1024">
        <f t="shared" si="9"/>
        <v>0</v>
      </c>
      <c r="J84" s="1024">
        <f t="shared" si="9"/>
        <v>0</v>
      </c>
      <c r="K84" s="1024">
        <f t="shared" si="9"/>
        <v>0</v>
      </c>
      <c r="L84" s="1024"/>
      <c r="M84" s="832"/>
      <c r="N84" s="832"/>
      <c r="O84" s="832"/>
      <c r="P84" s="1024"/>
      <c r="Q84" s="832"/>
      <c r="R84" s="832"/>
      <c r="S84" s="832"/>
    </row>
    <row r="85" spans="1:19" hidden="1">
      <c r="A85" s="1055">
        <f t="shared" si="10"/>
        <v>2.6899999999999853</v>
      </c>
      <c r="B85" s="832"/>
      <c r="C85" s="1024">
        <f t="shared" si="6"/>
        <v>0</v>
      </c>
      <c r="D85" s="1024">
        <f t="shared" si="7"/>
        <v>0</v>
      </c>
      <c r="E85" s="1024"/>
      <c r="F85" s="1024"/>
      <c r="G85" s="1024">
        <f t="shared" si="8"/>
        <v>0</v>
      </c>
      <c r="H85" s="1024"/>
      <c r="I85" s="1024">
        <f t="shared" si="9"/>
        <v>0</v>
      </c>
      <c r="J85" s="1024">
        <f t="shared" si="9"/>
        <v>0</v>
      </c>
      <c r="K85" s="1024">
        <f t="shared" si="9"/>
        <v>0</v>
      </c>
      <c r="L85" s="1024"/>
      <c r="M85" s="832"/>
      <c r="N85" s="832"/>
      <c r="O85" s="832"/>
      <c r="P85" s="1024"/>
      <c r="Q85" s="832"/>
      <c r="R85" s="832"/>
      <c r="S85" s="832"/>
    </row>
    <row r="86" spans="1:19" hidden="1">
      <c r="A86" s="1055">
        <f t="shared" si="10"/>
        <v>2.6999999999999851</v>
      </c>
      <c r="B86" s="832"/>
      <c r="C86" s="1024">
        <f t="shared" si="6"/>
        <v>0</v>
      </c>
      <c r="D86" s="1024">
        <f t="shared" si="7"/>
        <v>0</v>
      </c>
      <c r="E86" s="1024"/>
      <c r="F86" s="1024"/>
      <c r="G86" s="1024">
        <f t="shared" si="8"/>
        <v>0</v>
      </c>
      <c r="H86" s="1024"/>
      <c r="I86" s="1024">
        <f t="shared" si="9"/>
        <v>0</v>
      </c>
      <c r="J86" s="1024">
        <f t="shared" si="9"/>
        <v>0</v>
      </c>
      <c r="K86" s="1024">
        <f t="shared" si="9"/>
        <v>0</v>
      </c>
      <c r="L86" s="1024"/>
      <c r="M86" s="832"/>
      <c r="N86" s="832"/>
      <c r="O86" s="832"/>
      <c r="P86" s="1024"/>
      <c r="Q86" s="832"/>
      <c r="R86" s="832"/>
      <c r="S86" s="832"/>
    </row>
    <row r="87" spans="1:19" hidden="1">
      <c r="A87" s="1055">
        <f t="shared" si="10"/>
        <v>2.7099999999999849</v>
      </c>
      <c r="B87" s="832"/>
      <c r="C87" s="1024">
        <f t="shared" si="6"/>
        <v>0</v>
      </c>
      <c r="D87" s="1024">
        <f t="shared" si="7"/>
        <v>0</v>
      </c>
      <c r="E87" s="1024"/>
      <c r="F87" s="1024"/>
      <c r="G87" s="1024">
        <f t="shared" si="8"/>
        <v>0</v>
      </c>
      <c r="H87" s="1024"/>
      <c r="I87" s="1024">
        <f t="shared" si="9"/>
        <v>0</v>
      </c>
      <c r="J87" s="1024">
        <f t="shared" si="9"/>
        <v>0</v>
      </c>
      <c r="K87" s="1024">
        <f t="shared" si="9"/>
        <v>0</v>
      </c>
      <c r="L87" s="1024"/>
      <c r="M87" s="832"/>
      <c r="N87" s="832"/>
      <c r="O87" s="832"/>
      <c r="P87" s="1024"/>
      <c r="Q87" s="832"/>
      <c r="R87" s="832"/>
      <c r="S87" s="832"/>
    </row>
    <row r="88" spans="1:19" hidden="1">
      <c r="A88" s="1055">
        <f t="shared" si="10"/>
        <v>2.7199999999999847</v>
      </c>
      <c r="B88" s="832"/>
      <c r="C88" s="1024">
        <f t="shared" si="6"/>
        <v>0</v>
      </c>
      <c r="D88" s="1024">
        <f t="shared" si="7"/>
        <v>0</v>
      </c>
      <c r="E88" s="1024"/>
      <c r="F88" s="1024"/>
      <c r="G88" s="1024">
        <f t="shared" si="8"/>
        <v>0</v>
      </c>
      <c r="H88" s="1024"/>
      <c r="I88" s="1024">
        <f t="shared" si="9"/>
        <v>0</v>
      </c>
      <c r="J88" s="1024">
        <f t="shared" si="9"/>
        <v>0</v>
      </c>
      <c r="K88" s="1024">
        <f t="shared" si="9"/>
        <v>0</v>
      </c>
      <c r="L88" s="1024"/>
      <c r="M88" s="832"/>
      <c r="N88" s="832"/>
      <c r="O88" s="832"/>
      <c r="P88" s="1024"/>
      <c r="Q88" s="832"/>
      <c r="R88" s="832"/>
      <c r="S88" s="832"/>
    </row>
    <row r="89" spans="1:19" hidden="1">
      <c r="A89" s="1055">
        <f t="shared" si="10"/>
        <v>2.7299999999999844</v>
      </c>
      <c r="B89" s="832"/>
      <c r="C89" s="1024">
        <f t="shared" si="6"/>
        <v>0</v>
      </c>
      <c r="D89" s="1024">
        <f t="shared" si="7"/>
        <v>0</v>
      </c>
      <c r="E89" s="1024"/>
      <c r="F89" s="1024"/>
      <c r="G89" s="1024">
        <f t="shared" si="8"/>
        <v>0</v>
      </c>
      <c r="H89" s="1024"/>
      <c r="I89" s="1024">
        <f t="shared" si="9"/>
        <v>0</v>
      </c>
      <c r="J89" s="1024">
        <f t="shared" si="9"/>
        <v>0</v>
      </c>
      <c r="K89" s="1024">
        <f t="shared" si="9"/>
        <v>0</v>
      </c>
      <c r="L89" s="1024"/>
      <c r="M89" s="832"/>
      <c r="N89" s="832"/>
      <c r="O89" s="832"/>
      <c r="P89" s="1024"/>
      <c r="Q89" s="832"/>
      <c r="R89" s="832"/>
      <c r="S89" s="832"/>
    </row>
    <row r="90" spans="1:19" hidden="1">
      <c r="A90" s="1055">
        <f t="shared" si="10"/>
        <v>2.7399999999999842</v>
      </c>
      <c r="B90" s="832"/>
      <c r="C90" s="1024">
        <f t="shared" si="6"/>
        <v>0</v>
      </c>
      <c r="D90" s="1024">
        <f t="shared" si="7"/>
        <v>0</v>
      </c>
      <c r="E90" s="1024"/>
      <c r="F90" s="1024"/>
      <c r="G90" s="1024">
        <f t="shared" si="8"/>
        <v>0</v>
      </c>
      <c r="H90" s="1024"/>
      <c r="I90" s="1024">
        <f t="shared" si="9"/>
        <v>0</v>
      </c>
      <c r="J90" s="1024">
        <f t="shared" si="9"/>
        <v>0</v>
      </c>
      <c r="K90" s="1024">
        <f t="shared" si="9"/>
        <v>0</v>
      </c>
      <c r="L90" s="1024"/>
      <c r="M90" s="832"/>
      <c r="N90" s="832"/>
      <c r="O90" s="832"/>
      <c r="P90" s="1024"/>
      <c r="Q90" s="832"/>
      <c r="R90" s="832"/>
      <c r="S90" s="832"/>
    </row>
    <row r="91" spans="1:19" hidden="1">
      <c r="A91" s="1055">
        <f t="shared" si="10"/>
        <v>2.749999999999984</v>
      </c>
      <c r="B91" s="832"/>
      <c r="C91" s="1024">
        <f t="shared" si="6"/>
        <v>0</v>
      </c>
      <c r="D91" s="1024">
        <f t="shared" si="7"/>
        <v>0</v>
      </c>
      <c r="E91" s="1024"/>
      <c r="F91" s="1024"/>
      <c r="G91" s="1024">
        <f t="shared" si="8"/>
        <v>0</v>
      </c>
      <c r="H91" s="1024"/>
      <c r="I91" s="1024">
        <f t="shared" si="9"/>
        <v>0</v>
      </c>
      <c r="J91" s="1024">
        <f t="shared" si="9"/>
        <v>0</v>
      </c>
      <c r="K91" s="1024">
        <f t="shared" si="9"/>
        <v>0</v>
      </c>
      <c r="L91" s="1024"/>
      <c r="M91" s="832"/>
      <c r="N91" s="832"/>
      <c r="O91" s="832"/>
      <c r="P91" s="1024"/>
      <c r="Q91" s="832"/>
      <c r="R91" s="832"/>
      <c r="S91" s="832"/>
    </row>
    <row r="92" spans="1:19" hidden="1">
      <c r="A92" s="1055">
        <f t="shared" si="10"/>
        <v>2.7599999999999838</v>
      </c>
      <c r="B92" s="832"/>
      <c r="C92" s="1024">
        <f t="shared" si="6"/>
        <v>0</v>
      </c>
      <c r="D92" s="1024">
        <f t="shared" si="7"/>
        <v>0</v>
      </c>
      <c r="E92" s="1024"/>
      <c r="F92" s="1024"/>
      <c r="G92" s="1024">
        <f t="shared" si="8"/>
        <v>0</v>
      </c>
      <c r="H92" s="1024"/>
      <c r="I92" s="1024">
        <f t="shared" si="9"/>
        <v>0</v>
      </c>
      <c r="J92" s="1024">
        <f t="shared" si="9"/>
        <v>0</v>
      </c>
      <c r="K92" s="1024">
        <f t="shared" si="9"/>
        <v>0</v>
      </c>
      <c r="L92" s="1024"/>
      <c r="M92" s="832"/>
      <c r="N92" s="832"/>
      <c r="O92" s="832"/>
      <c r="P92" s="1024"/>
      <c r="Q92" s="832"/>
      <c r="R92" s="832"/>
      <c r="S92" s="832"/>
    </row>
    <row r="93" spans="1:19" hidden="1">
      <c r="A93" s="1055">
        <f t="shared" si="10"/>
        <v>2.7699999999999836</v>
      </c>
      <c r="B93" s="832"/>
      <c r="C93" s="1024">
        <f t="shared" si="6"/>
        <v>0</v>
      </c>
      <c r="D93" s="1024">
        <f t="shared" si="7"/>
        <v>0</v>
      </c>
      <c r="E93" s="1024"/>
      <c r="F93" s="1024"/>
      <c r="G93" s="1024">
        <f t="shared" si="8"/>
        <v>0</v>
      </c>
      <c r="H93" s="1024"/>
      <c r="I93" s="1024">
        <f t="shared" si="9"/>
        <v>0</v>
      </c>
      <c r="J93" s="1024">
        <f t="shared" si="9"/>
        <v>0</v>
      </c>
      <c r="K93" s="1024">
        <f t="shared" si="9"/>
        <v>0</v>
      </c>
      <c r="L93" s="1024"/>
      <c r="M93" s="832"/>
      <c r="N93" s="832"/>
      <c r="O93" s="832"/>
      <c r="P93" s="1024"/>
      <c r="Q93" s="832"/>
      <c r="R93" s="832"/>
      <c r="S93" s="832"/>
    </row>
    <row r="94" spans="1:19" hidden="1">
      <c r="A94" s="1055">
        <f t="shared" si="10"/>
        <v>2.7799999999999834</v>
      </c>
      <c r="B94" s="832"/>
      <c r="C94" s="1024">
        <f t="shared" si="6"/>
        <v>0</v>
      </c>
      <c r="D94" s="1024">
        <f t="shared" si="7"/>
        <v>0</v>
      </c>
      <c r="E94" s="1024"/>
      <c r="F94" s="1024"/>
      <c r="G94" s="1024">
        <f t="shared" si="8"/>
        <v>0</v>
      </c>
      <c r="H94" s="1024"/>
      <c r="I94" s="1024">
        <f t="shared" si="9"/>
        <v>0</v>
      </c>
      <c r="J94" s="1024">
        <f t="shared" si="9"/>
        <v>0</v>
      </c>
      <c r="K94" s="1024">
        <f t="shared" si="9"/>
        <v>0</v>
      </c>
      <c r="L94" s="1024"/>
      <c r="M94" s="832"/>
      <c r="N94" s="832"/>
      <c r="O94" s="832"/>
      <c r="P94" s="1024"/>
      <c r="Q94" s="832"/>
      <c r="R94" s="832"/>
      <c r="S94" s="832"/>
    </row>
    <row r="95" spans="1:19">
      <c r="A95" s="1055">
        <f t="shared" si="10"/>
        <v>2.7899999999999832</v>
      </c>
      <c r="B95" s="832"/>
      <c r="C95" s="1024">
        <f t="shared" si="6"/>
        <v>0</v>
      </c>
      <c r="D95" s="1024">
        <f t="shared" si="7"/>
        <v>0</v>
      </c>
      <c r="E95" s="1024"/>
      <c r="F95" s="1024"/>
      <c r="G95" s="1024">
        <f t="shared" si="8"/>
        <v>0</v>
      </c>
      <c r="H95" s="1024"/>
      <c r="I95" s="1024">
        <f t="shared" si="9"/>
        <v>0</v>
      </c>
      <c r="J95" s="1024">
        <f t="shared" si="9"/>
        <v>0</v>
      </c>
      <c r="K95" s="1024">
        <f t="shared" si="9"/>
        <v>0</v>
      </c>
      <c r="L95" s="1024"/>
      <c r="M95" s="832"/>
      <c r="N95" s="832"/>
      <c r="O95" s="832"/>
      <c r="P95" s="1024"/>
      <c r="Q95" s="832"/>
      <c r="R95" s="832"/>
      <c r="S95" s="832"/>
    </row>
    <row r="96" spans="1:19">
      <c r="A96" s="1055">
        <f t="shared" si="10"/>
        <v>2.7999999999999829</v>
      </c>
      <c r="B96" s="832"/>
      <c r="C96" s="832"/>
      <c r="D96" s="832"/>
      <c r="E96" s="1024">
        <f t="shared" ref="E96:F106" si="11">-C96</f>
        <v>0</v>
      </c>
      <c r="F96" s="1024">
        <f t="shared" si="11"/>
        <v>0</v>
      </c>
      <c r="G96" s="1024">
        <f t="shared" si="8"/>
        <v>0</v>
      </c>
      <c r="H96" s="1024"/>
      <c r="I96" s="1024"/>
      <c r="J96" s="1024"/>
      <c r="K96" s="1024"/>
      <c r="L96" s="1024"/>
      <c r="M96" s="1024"/>
      <c r="N96" s="1024"/>
      <c r="O96" s="1024"/>
      <c r="P96" s="1024"/>
      <c r="Q96" s="1024"/>
      <c r="R96" s="1024"/>
      <c r="S96" s="1024"/>
    </row>
    <row r="97" spans="1:256">
      <c r="A97" s="1055">
        <f t="shared" si="10"/>
        <v>2.8099999999999827</v>
      </c>
      <c r="B97" s="832"/>
      <c r="C97" s="832"/>
      <c r="D97" s="832"/>
      <c r="E97" s="1024">
        <f t="shared" si="11"/>
        <v>0</v>
      </c>
      <c r="F97" s="1024">
        <f t="shared" si="11"/>
        <v>0</v>
      </c>
      <c r="G97" s="1024">
        <f t="shared" si="8"/>
        <v>0</v>
      </c>
      <c r="H97" s="1024"/>
      <c r="I97" s="1024"/>
      <c r="J97" s="1024"/>
      <c r="K97" s="1024"/>
      <c r="L97" s="1024"/>
      <c r="M97" s="1024"/>
      <c r="N97" s="1024"/>
      <c r="O97" s="1024"/>
      <c r="P97" s="1024"/>
      <c r="Q97" s="1024"/>
      <c r="R97" s="1024"/>
      <c r="S97" s="1024"/>
    </row>
    <row r="98" spans="1:256">
      <c r="A98" s="1055">
        <f t="shared" si="10"/>
        <v>2.8199999999999825</v>
      </c>
      <c r="B98" s="832"/>
      <c r="C98" s="832"/>
      <c r="D98" s="832"/>
      <c r="E98" s="1024">
        <f t="shared" si="11"/>
        <v>0</v>
      </c>
      <c r="F98" s="1024">
        <f t="shared" si="11"/>
        <v>0</v>
      </c>
      <c r="G98" s="1024">
        <f t="shared" si="8"/>
        <v>0</v>
      </c>
      <c r="H98" s="1024"/>
      <c r="I98" s="1024"/>
      <c r="J98" s="1024"/>
      <c r="K98" s="1024"/>
      <c r="L98" s="1024"/>
      <c r="M98" s="1024"/>
      <c r="N98" s="1024"/>
      <c r="O98" s="1024"/>
      <c r="P98" s="1024"/>
      <c r="Q98" s="1024"/>
      <c r="R98" s="1024"/>
      <c r="S98" s="1024"/>
    </row>
    <row r="99" spans="1:256">
      <c r="A99" s="1055">
        <f t="shared" si="10"/>
        <v>2.8299999999999823</v>
      </c>
      <c r="B99" s="832"/>
      <c r="C99" s="832"/>
      <c r="D99" s="832"/>
      <c r="E99" s="1024">
        <f t="shared" si="11"/>
        <v>0</v>
      </c>
      <c r="F99" s="1024">
        <f t="shared" si="11"/>
        <v>0</v>
      </c>
      <c r="G99" s="1024">
        <f t="shared" si="8"/>
        <v>0</v>
      </c>
      <c r="H99" s="1024"/>
      <c r="I99" s="1024"/>
      <c r="J99" s="1024"/>
      <c r="K99" s="1024"/>
      <c r="L99" s="1024"/>
      <c r="M99" s="1024"/>
      <c r="N99" s="1024"/>
      <c r="O99" s="1024"/>
      <c r="P99" s="1024"/>
      <c r="Q99" s="1024"/>
      <c r="R99" s="1024"/>
      <c r="S99" s="1024"/>
    </row>
    <row r="100" spans="1:256">
      <c r="A100" s="1055">
        <f t="shared" si="10"/>
        <v>2.8399999999999821</v>
      </c>
      <c r="B100" s="832"/>
      <c r="C100" s="832"/>
      <c r="D100" s="832"/>
      <c r="E100" s="1024">
        <f t="shared" si="11"/>
        <v>0</v>
      </c>
      <c r="F100" s="1024">
        <f t="shared" si="11"/>
        <v>0</v>
      </c>
      <c r="G100" s="1024">
        <f t="shared" si="8"/>
        <v>0</v>
      </c>
      <c r="H100" s="1024"/>
      <c r="I100" s="1024"/>
      <c r="J100" s="1024"/>
      <c r="K100" s="1024"/>
      <c r="L100" s="1024"/>
      <c r="M100" s="1024"/>
      <c r="N100" s="1024"/>
      <c r="O100" s="1024"/>
      <c r="P100" s="1024"/>
      <c r="Q100" s="1024"/>
      <c r="R100" s="1024"/>
      <c r="S100" s="1024"/>
    </row>
    <row r="101" spans="1:256">
      <c r="A101" s="1055">
        <f t="shared" si="10"/>
        <v>2.8499999999999819</v>
      </c>
      <c r="B101" s="832"/>
      <c r="C101" s="832"/>
      <c r="D101" s="832"/>
      <c r="E101" s="1024">
        <f t="shared" si="11"/>
        <v>0</v>
      </c>
      <c r="F101" s="1024">
        <f t="shared" si="11"/>
        <v>0</v>
      </c>
      <c r="G101" s="1024">
        <f t="shared" si="8"/>
        <v>0</v>
      </c>
      <c r="H101" s="1024"/>
      <c r="I101" s="1024"/>
      <c r="J101" s="1024"/>
      <c r="K101" s="1024"/>
      <c r="L101" s="1024"/>
      <c r="M101" s="1024"/>
      <c r="N101" s="1024"/>
      <c r="O101" s="1024"/>
      <c r="P101" s="1024"/>
      <c r="Q101" s="1024"/>
      <c r="R101" s="1024"/>
      <c r="S101" s="1024"/>
    </row>
    <row r="102" spans="1:256">
      <c r="A102" s="1055">
        <f t="shared" si="10"/>
        <v>2.8599999999999817</v>
      </c>
      <c r="B102" s="832"/>
      <c r="C102" s="832"/>
      <c r="D102" s="832"/>
      <c r="E102" s="1024">
        <f t="shared" si="11"/>
        <v>0</v>
      </c>
      <c r="F102" s="1024">
        <f t="shared" si="11"/>
        <v>0</v>
      </c>
      <c r="G102" s="1024">
        <f t="shared" si="8"/>
        <v>0</v>
      </c>
      <c r="H102" s="1024"/>
      <c r="I102" s="1024"/>
      <c r="J102" s="1024"/>
      <c r="K102" s="1024"/>
      <c r="L102" s="1024"/>
      <c r="M102" s="1024"/>
      <c r="N102" s="1024"/>
      <c r="O102" s="1024"/>
      <c r="P102" s="1024"/>
      <c r="Q102" s="1024"/>
      <c r="R102" s="1024"/>
      <c r="S102" s="1024"/>
    </row>
    <row r="103" spans="1:256">
      <c r="A103" s="1055">
        <f t="shared" si="10"/>
        <v>2.8699999999999815</v>
      </c>
      <c r="B103" s="832"/>
      <c r="C103" s="832"/>
      <c r="D103" s="832"/>
      <c r="E103" s="1024">
        <f t="shared" si="11"/>
        <v>0</v>
      </c>
      <c r="F103" s="1024">
        <f t="shared" si="11"/>
        <v>0</v>
      </c>
      <c r="G103" s="1024">
        <f t="shared" si="8"/>
        <v>0</v>
      </c>
      <c r="H103" s="1024"/>
      <c r="I103" s="1024"/>
      <c r="J103" s="1024"/>
      <c r="K103" s="1024"/>
      <c r="L103" s="1024"/>
      <c r="M103" s="1024"/>
      <c r="N103" s="1024"/>
      <c r="O103" s="1024"/>
      <c r="P103" s="1024"/>
      <c r="Q103" s="1024"/>
      <c r="R103" s="1024"/>
      <c r="S103" s="1024"/>
    </row>
    <row r="104" spans="1:256">
      <c r="A104" s="1055">
        <f t="shared" si="10"/>
        <v>2.8799999999999812</v>
      </c>
      <c r="B104" s="832"/>
      <c r="C104" s="832"/>
      <c r="D104" s="832"/>
      <c r="E104" s="1024">
        <f t="shared" si="11"/>
        <v>0</v>
      </c>
      <c r="F104" s="1024">
        <f t="shared" si="11"/>
        <v>0</v>
      </c>
      <c r="G104" s="1024">
        <f t="shared" si="8"/>
        <v>0</v>
      </c>
      <c r="H104" s="1024"/>
      <c r="I104" s="1024"/>
      <c r="J104" s="1024"/>
      <c r="K104" s="1024"/>
      <c r="L104" s="1024"/>
      <c r="M104" s="1024"/>
      <c r="N104" s="1024"/>
      <c r="O104" s="1024"/>
      <c r="P104" s="1024"/>
      <c r="Q104" s="1024"/>
      <c r="R104" s="1024"/>
      <c r="S104" s="1024"/>
    </row>
    <row r="105" spans="1:256">
      <c r="A105" s="1055">
        <f t="shared" si="10"/>
        <v>2.889999999999981</v>
      </c>
      <c r="B105" s="832"/>
      <c r="C105" s="832"/>
      <c r="D105" s="832"/>
      <c r="E105" s="1024">
        <f t="shared" si="11"/>
        <v>0</v>
      </c>
      <c r="F105" s="1024">
        <f t="shared" si="11"/>
        <v>0</v>
      </c>
      <c r="G105" s="1024">
        <f t="shared" si="8"/>
        <v>0</v>
      </c>
      <c r="H105" s="1024"/>
      <c r="I105" s="1024"/>
      <c r="J105" s="1024"/>
      <c r="K105" s="1024"/>
      <c r="L105" s="1024"/>
      <c r="M105" s="1024"/>
      <c r="N105" s="1024"/>
      <c r="O105" s="1024"/>
      <c r="P105" s="1024"/>
      <c r="Q105" s="1024"/>
      <c r="R105" s="1024"/>
      <c r="S105" s="1024"/>
    </row>
    <row r="106" spans="1:256">
      <c r="A106" s="1055">
        <f t="shared" si="10"/>
        <v>2.8999999999999808</v>
      </c>
      <c r="B106" s="832"/>
      <c r="C106" s="832"/>
      <c r="D106" s="832"/>
      <c r="E106" s="1024">
        <f t="shared" si="11"/>
        <v>0</v>
      </c>
      <c r="F106" s="1024">
        <f t="shared" si="11"/>
        <v>0</v>
      </c>
      <c r="G106" s="1024">
        <f t="shared" si="8"/>
        <v>0</v>
      </c>
      <c r="H106" s="1024"/>
      <c r="I106" s="1024">
        <f t="shared" ref="I106:K107" si="12">(M106+Q106)/2</f>
        <v>0</v>
      </c>
      <c r="J106" s="1024">
        <f t="shared" si="12"/>
        <v>0</v>
      </c>
      <c r="K106" s="1024">
        <f t="shared" si="12"/>
        <v>0</v>
      </c>
      <c r="L106" s="1024"/>
      <c r="M106" s="1024"/>
      <c r="N106" s="1024"/>
      <c r="O106" s="1024"/>
      <c r="P106" s="1024"/>
      <c r="Q106" s="1024"/>
      <c r="R106" s="1024"/>
      <c r="S106" s="1024"/>
    </row>
    <row r="107" spans="1:256">
      <c r="A107" s="1055">
        <f t="shared" si="10"/>
        <v>2.9099999999999806</v>
      </c>
      <c r="B107" s="832"/>
      <c r="C107" s="1024">
        <f>SUM(M107:O107)</f>
        <v>0</v>
      </c>
      <c r="D107" s="1024">
        <f>SUM(Q107:S107)</f>
        <v>0</v>
      </c>
      <c r="E107" s="1024"/>
      <c r="F107" s="1024"/>
      <c r="G107" s="1024">
        <f t="shared" si="8"/>
        <v>0</v>
      </c>
      <c r="H107" s="1024"/>
      <c r="I107" s="1024">
        <f t="shared" si="12"/>
        <v>0</v>
      </c>
      <c r="J107" s="1024">
        <f t="shared" si="12"/>
        <v>0</v>
      </c>
      <c r="K107" s="1024">
        <f t="shared" si="12"/>
        <v>0</v>
      </c>
      <c r="L107" s="1024"/>
      <c r="M107" s="1026"/>
      <c r="N107" s="1026"/>
      <c r="O107" s="1026"/>
      <c r="P107" s="1024"/>
      <c r="Q107" s="1026"/>
      <c r="R107" s="1026"/>
      <c r="S107" s="1026"/>
    </row>
    <row r="108" spans="1:256">
      <c r="A108" s="1045"/>
      <c r="B108" s="1024"/>
      <c r="C108" s="1024"/>
      <c r="D108" s="1024"/>
      <c r="E108" s="1024"/>
      <c r="F108" s="1024"/>
      <c r="G108" s="1024"/>
      <c r="H108" s="1024"/>
      <c r="I108" s="1024"/>
      <c r="J108" s="1024"/>
      <c r="K108" s="1024"/>
      <c r="L108" s="1024"/>
      <c r="M108" s="1024"/>
      <c r="N108" s="1024"/>
      <c r="O108" s="1024"/>
      <c r="P108" s="1024"/>
      <c r="Q108" s="1024"/>
      <c r="R108" s="1024"/>
      <c r="S108" s="1024"/>
    </row>
    <row r="109" spans="1:256" ht="13.5" thickBot="1">
      <c r="A109" s="21">
        <v>3</v>
      </c>
      <c r="B109" s="1030" t="s">
        <v>739</v>
      </c>
      <c r="C109" s="1046">
        <f>SUM(C17:C108)</f>
        <v>0</v>
      </c>
      <c r="D109" s="1046">
        <f>SUM(D17:D108)</f>
        <v>0</v>
      </c>
      <c r="E109" s="1046">
        <f>SUM(E17:E108)</f>
        <v>0</v>
      </c>
      <c r="F109" s="1046">
        <f>SUM(F17:F108)</f>
        <v>0</v>
      </c>
      <c r="G109" s="1046">
        <f>SUM(G17:G108)</f>
        <v>0</v>
      </c>
      <c r="H109" s="1024"/>
      <c r="I109" s="1046">
        <f>SUM(I17:I108)</f>
        <v>0</v>
      </c>
      <c r="J109" s="1046">
        <f>SUM(J17:J108)</f>
        <v>0</v>
      </c>
      <c r="K109" s="1046">
        <f>SUM(K17:K108)</f>
        <v>0</v>
      </c>
      <c r="L109" s="1024"/>
      <c r="M109" s="1046">
        <f>SUM(M17:M108)</f>
        <v>0</v>
      </c>
      <c r="N109" s="1046">
        <f>SUM(N17:N108)</f>
        <v>0</v>
      </c>
      <c r="O109" s="1046">
        <f>SUM(O17:O108)</f>
        <v>0</v>
      </c>
      <c r="P109" s="1024"/>
      <c r="Q109" s="1046">
        <f>SUM(Q17:Q108)</f>
        <v>0</v>
      </c>
      <c r="R109" s="1046">
        <f>SUM(R17:R108)</f>
        <v>0</v>
      </c>
      <c r="S109" s="1046">
        <f>SUM(S17:S108)</f>
        <v>0</v>
      </c>
    </row>
    <row r="110" spans="1:256" ht="13.5" thickTop="1">
      <c r="A110" s="1">
        <v>4</v>
      </c>
      <c r="B110" s="1102" t="s">
        <v>742</v>
      </c>
      <c r="C110" s="1103">
        <f>C77+C78</f>
        <v>0</v>
      </c>
      <c r="D110" s="1103">
        <f>D77+D78</f>
        <v>0</v>
      </c>
      <c r="E110" s="1103">
        <f>E77+E78</f>
        <v>0</v>
      </c>
      <c r="F110" s="1103">
        <f>F77+F78</f>
        <v>0</v>
      </c>
      <c r="G110" s="1103">
        <f>G77+G78</f>
        <v>0</v>
      </c>
      <c r="H110" s="5"/>
      <c r="I110" s="1103">
        <f>I77+I78</f>
        <v>0</v>
      </c>
      <c r="J110" s="1103">
        <f>J77+J78</f>
        <v>0</v>
      </c>
      <c r="K110" s="1103">
        <f>K77+K78</f>
        <v>0</v>
      </c>
      <c r="L110" s="5"/>
      <c r="M110" s="1103">
        <f>M77+M78</f>
        <v>0</v>
      </c>
      <c r="N110" s="1103">
        <f>N77+N78</f>
        <v>0</v>
      </c>
      <c r="O110" s="1103">
        <f>O77+O78</f>
        <v>0</v>
      </c>
      <c r="P110" s="5"/>
      <c r="Q110" s="1103">
        <f>Q77+Q78</f>
        <v>0</v>
      </c>
      <c r="R110" s="1103">
        <f>R77+R78</f>
        <v>0</v>
      </c>
      <c r="S110" s="1103">
        <f>S77+S78</f>
        <v>0</v>
      </c>
      <c r="T110" s="5"/>
      <c r="IV110" s="1047"/>
    </row>
    <row r="111" spans="1:256">
      <c r="I111" s="1047"/>
    </row>
    <row r="147" spans="7:7">
      <c r="G147">
        <v>0</v>
      </c>
    </row>
    <row r="164" spans="7:12">
      <c r="G164" s="1276"/>
      <c r="L164" s="1276"/>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W115"/>
  <sheetViews>
    <sheetView workbookViewId="0">
      <selection activeCell="A5" sqref="A5"/>
    </sheetView>
  </sheetViews>
  <sheetFormatPr defaultColWidth="10" defaultRowHeight="12"/>
  <cols>
    <col min="1" max="1" width="9.42578125" style="1313" customWidth="1"/>
    <col min="2" max="2" width="20.85546875" style="1314" customWidth="1"/>
    <col min="3" max="3" width="35.5703125" style="1313" customWidth="1"/>
    <col min="4" max="4" width="12.85546875" style="1313" customWidth="1"/>
    <col min="5" max="5" width="10.42578125" style="1313" customWidth="1"/>
    <col min="6" max="6" width="16.42578125" style="1313" customWidth="1"/>
    <col min="7" max="7" width="12" style="1313" customWidth="1"/>
    <col min="8" max="8" width="14.28515625" style="1313" bestFit="1" customWidth="1"/>
    <col min="9" max="9" width="18.85546875" style="1313" customWidth="1"/>
    <col min="10" max="10" width="15.5703125" style="1313" customWidth="1"/>
    <col min="11" max="11" width="16.140625" style="1313" customWidth="1"/>
    <col min="12" max="13" width="15" style="1313" customWidth="1"/>
    <col min="14" max="14" width="13.5703125" style="1313" customWidth="1"/>
    <col min="15" max="15" width="15" style="1313" customWidth="1"/>
    <col min="16" max="17" width="17.5703125" style="1313" customWidth="1"/>
    <col min="18" max="18" width="33" style="1313" customWidth="1"/>
    <col min="19" max="19" width="15" style="1313" customWidth="1"/>
    <col min="20" max="21" width="14.5703125" style="1313" bestFit="1" customWidth="1"/>
    <col min="22" max="22" width="10.5703125" style="1313" bestFit="1" customWidth="1"/>
    <col min="23" max="16384" width="10" style="1313"/>
  </cols>
  <sheetData>
    <row r="1" spans="1:23" ht="12.75">
      <c r="A1" s="1313" t="s">
        <v>922</v>
      </c>
      <c r="R1" s="1315"/>
    </row>
    <row r="2" spans="1:23" ht="15" customHeight="1">
      <c r="A2" s="1313" t="s">
        <v>923</v>
      </c>
      <c r="R2" s="1315"/>
      <c r="V2" s="1316"/>
    </row>
    <row r="3" spans="1:23" ht="12.75">
      <c r="A3" s="1313" t="s">
        <v>924</v>
      </c>
      <c r="R3" s="1315"/>
      <c r="V3" s="1317"/>
    </row>
    <row r="4" spans="1:23">
      <c r="A4" s="1313" t="s">
        <v>1049</v>
      </c>
      <c r="G4" s="1318"/>
    </row>
    <row r="5" spans="1:23">
      <c r="A5" s="1313" t="s">
        <v>925</v>
      </c>
      <c r="I5" s="1319"/>
      <c r="J5" s="1319"/>
      <c r="P5" s="1319"/>
      <c r="Q5" s="1319"/>
    </row>
    <row r="6" spans="1:23">
      <c r="J6" s="1319"/>
      <c r="K6" s="1320"/>
      <c r="L6" s="1314"/>
      <c r="M6" s="1314"/>
      <c r="N6" s="1314"/>
      <c r="O6" s="1314"/>
      <c r="P6" s="1314"/>
      <c r="Q6" s="1314"/>
    </row>
    <row r="7" spans="1:23">
      <c r="B7" s="1321"/>
      <c r="C7" s="1321"/>
      <c r="D7" s="1321"/>
      <c r="E7" s="1321"/>
      <c r="F7" s="1321"/>
      <c r="G7" s="1321"/>
      <c r="H7" s="1321"/>
      <c r="I7" s="1321"/>
      <c r="J7" s="1321"/>
      <c r="K7" s="1321"/>
      <c r="L7" s="1321"/>
      <c r="M7" s="1321"/>
      <c r="N7" s="1321"/>
      <c r="O7" s="1321"/>
      <c r="P7" s="1321"/>
      <c r="Q7" s="1314"/>
    </row>
    <row r="8" spans="1:23">
      <c r="A8" s="1314" t="s">
        <v>148</v>
      </c>
      <c r="B8" s="1314" t="s">
        <v>149</v>
      </c>
      <c r="C8" s="1314" t="s">
        <v>150</v>
      </c>
      <c r="D8" s="1314" t="s">
        <v>151</v>
      </c>
      <c r="E8" s="1314" t="s">
        <v>152</v>
      </c>
      <c r="F8" s="1314" t="s">
        <v>153</v>
      </c>
      <c r="G8" s="1314" t="s">
        <v>154</v>
      </c>
      <c r="H8" s="1314" t="s">
        <v>155</v>
      </c>
      <c r="I8" s="1314" t="s">
        <v>926</v>
      </c>
      <c r="J8" s="1314" t="s">
        <v>927</v>
      </c>
      <c r="K8" s="1314" t="s">
        <v>158</v>
      </c>
      <c r="L8" s="1314" t="s">
        <v>159</v>
      </c>
      <c r="M8" s="1314" t="s">
        <v>160</v>
      </c>
      <c r="N8" s="1314" t="s">
        <v>245</v>
      </c>
      <c r="O8" s="1314" t="s">
        <v>304</v>
      </c>
      <c r="P8" s="1314" t="s">
        <v>350</v>
      </c>
      <c r="Q8" s="1314" t="s">
        <v>351</v>
      </c>
      <c r="R8" s="1314" t="s">
        <v>352</v>
      </c>
    </row>
    <row r="9" spans="1:23" ht="14.45" customHeight="1">
      <c r="A9" s="1322" t="s">
        <v>928</v>
      </c>
      <c r="B9" s="2"/>
      <c r="C9" s="2"/>
      <c r="D9" s="2"/>
      <c r="E9" s="2"/>
      <c r="I9" s="1470" t="s">
        <v>1048</v>
      </c>
      <c r="J9" s="1470"/>
      <c r="K9" s="1471" t="s">
        <v>929</v>
      </c>
      <c r="L9" s="1471"/>
      <c r="M9" s="1471"/>
      <c r="N9" s="1472" t="s">
        <v>930</v>
      </c>
      <c r="O9" s="1472"/>
      <c r="P9" s="1470" t="s">
        <v>1047</v>
      </c>
      <c r="Q9" s="1470"/>
    </row>
    <row r="10" spans="1:23" ht="48">
      <c r="A10" s="1323" t="s">
        <v>931</v>
      </c>
      <c r="B10" s="1324" t="s">
        <v>932</v>
      </c>
      <c r="C10" s="1324" t="s">
        <v>933</v>
      </c>
      <c r="D10" s="1325" t="s">
        <v>934</v>
      </c>
      <c r="E10" s="1325" t="s">
        <v>935</v>
      </c>
      <c r="F10" s="1325" t="s">
        <v>936</v>
      </c>
      <c r="G10" s="1325" t="s">
        <v>937</v>
      </c>
      <c r="H10" s="1325" t="s">
        <v>938</v>
      </c>
      <c r="I10" s="1395" t="s">
        <v>939</v>
      </c>
      <c r="J10" s="1395" t="s">
        <v>940</v>
      </c>
      <c r="K10" s="1326" t="s">
        <v>941</v>
      </c>
      <c r="L10" s="1396">
        <v>182.3</v>
      </c>
      <c r="M10" s="1396">
        <v>254</v>
      </c>
      <c r="N10" s="1326" t="s">
        <v>942</v>
      </c>
      <c r="O10" s="1326" t="s">
        <v>943</v>
      </c>
      <c r="P10" s="1395" t="s">
        <v>939</v>
      </c>
      <c r="Q10" s="1395" t="s">
        <v>940</v>
      </c>
      <c r="R10" s="1327" t="s">
        <v>944</v>
      </c>
      <c r="S10" s="1328"/>
    </row>
    <row r="11" spans="1:23">
      <c r="B11" s="1313"/>
      <c r="D11" s="1387"/>
      <c r="E11" s="1387"/>
      <c r="F11" s="1387"/>
      <c r="G11" s="1387"/>
      <c r="H11" s="1387"/>
      <c r="I11" s="1329"/>
      <c r="J11" s="1329"/>
      <c r="K11" s="1329"/>
      <c r="L11" s="1329"/>
      <c r="M11" s="1329"/>
      <c r="N11" s="1329"/>
      <c r="O11" s="1329"/>
      <c r="P11" s="1473" t="s">
        <v>945</v>
      </c>
      <c r="Q11" s="1473"/>
      <c r="R11" s="1330"/>
      <c r="S11" s="1328"/>
    </row>
    <row r="12" spans="1:23" ht="12.75">
      <c r="B12" s="1331" t="s">
        <v>946</v>
      </c>
      <c r="C12" s="1332"/>
      <c r="D12" s="1332"/>
      <c r="E12" s="1332"/>
      <c r="F12" s="1332"/>
      <c r="G12" s="1332"/>
      <c r="H12" s="1332"/>
      <c r="I12" s="1332"/>
      <c r="J12" s="1332"/>
      <c r="K12" s="1332"/>
      <c r="L12" s="1332"/>
      <c r="M12" s="1332"/>
      <c r="N12" s="1332"/>
      <c r="O12" s="1332"/>
      <c r="P12" s="1332"/>
      <c r="Q12" s="1332"/>
      <c r="R12" s="1317"/>
      <c r="S12"/>
      <c r="T12" s="1317"/>
      <c r="U12" s="1317"/>
      <c r="V12" s="1317"/>
      <c r="W12" s="1317"/>
    </row>
    <row r="13" spans="1:23" ht="12.75">
      <c r="A13" s="1313" t="s">
        <v>947</v>
      </c>
      <c r="B13" s="1333" t="s">
        <v>1026</v>
      </c>
      <c r="C13" s="1313" t="s">
        <v>948</v>
      </c>
      <c r="D13" s="1334" t="s">
        <v>949</v>
      </c>
      <c r="E13" s="1334" t="s">
        <v>950</v>
      </c>
      <c r="F13" s="1335"/>
      <c r="G13" s="1334"/>
      <c r="H13" s="1334"/>
      <c r="I13" s="1397"/>
      <c r="J13" s="1398"/>
      <c r="K13" s="1397"/>
      <c r="L13" s="1397"/>
      <c r="M13" s="1397"/>
      <c r="N13" s="1397"/>
      <c r="O13" s="1397"/>
      <c r="P13" s="1399">
        <f>SUM(I13:O13)</f>
        <v>0</v>
      </c>
      <c r="Q13" s="1336"/>
      <c r="R13" s="1337" t="s">
        <v>1027</v>
      </c>
      <c r="S13"/>
      <c r="T13" s="1317"/>
      <c r="U13" s="1317"/>
      <c r="V13" s="1317"/>
      <c r="W13" s="1317"/>
    </row>
    <row r="14" spans="1:23" s="1334" customFormat="1" ht="12.75">
      <c r="A14" s="1334" t="s">
        <v>951</v>
      </c>
      <c r="B14" s="1333" t="s">
        <v>1028</v>
      </c>
      <c r="C14" s="1338" t="s">
        <v>952</v>
      </c>
      <c r="D14" s="1338" t="s">
        <v>953</v>
      </c>
      <c r="E14" s="1334" t="s">
        <v>950</v>
      </c>
      <c r="F14" s="1339">
        <v>-21108640</v>
      </c>
      <c r="G14" s="1340" t="s">
        <v>954</v>
      </c>
      <c r="H14" s="1340" t="s">
        <v>955</v>
      </c>
      <c r="I14" s="1336"/>
      <c r="J14" s="1337"/>
      <c r="K14" s="1400"/>
      <c r="L14" s="1400"/>
      <c r="M14" s="1400"/>
      <c r="N14" s="1400"/>
      <c r="O14" s="1400"/>
      <c r="P14" s="1336"/>
      <c r="Q14" s="1399">
        <f>SUM(J14:P14)</f>
        <v>0</v>
      </c>
      <c r="R14" s="1337" t="s">
        <v>636</v>
      </c>
      <c r="S14"/>
      <c r="T14" s="1341"/>
      <c r="U14" s="1341"/>
      <c r="V14" s="1341"/>
      <c r="W14" s="1341"/>
    </row>
    <row r="15" spans="1:23" s="1334" customFormat="1" ht="12.75">
      <c r="A15" s="1334" t="s">
        <v>956</v>
      </c>
      <c r="B15" s="1333" t="s">
        <v>1029</v>
      </c>
      <c r="C15" s="1338" t="s">
        <v>957</v>
      </c>
      <c r="D15" s="1338" t="s">
        <v>953</v>
      </c>
      <c r="E15" s="1334" t="s">
        <v>950</v>
      </c>
      <c r="F15" s="1335"/>
      <c r="I15" s="1337"/>
      <c r="J15" s="1336"/>
      <c r="K15" s="1400"/>
      <c r="L15" s="1400"/>
      <c r="M15" s="1400"/>
      <c r="N15" s="1400"/>
      <c r="O15" s="1400"/>
      <c r="P15" s="1399">
        <f>SUM(I15:O15)</f>
        <v>0</v>
      </c>
      <c r="Q15" s="1336"/>
      <c r="R15" s="1337" t="s">
        <v>958</v>
      </c>
      <c r="S15"/>
      <c r="T15" s="1341"/>
      <c r="U15" s="1341"/>
      <c r="V15" s="1341"/>
      <c r="W15" s="1341"/>
    </row>
    <row r="16" spans="1:23" ht="12.75">
      <c r="A16" s="1313" t="s">
        <v>959</v>
      </c>
      <c r="B16" s="1333" t="s">
        <v>1030</v>
      </c>
      <c r="C16" s="1313" t="s">
        <v>960</v>
      </c>
      <c r="D16" s="1334" t="s">
        <v>953</v>
      </c>
      <c r="E16" s="1334" t="s">
        <v>950</v>
      </c>
      <c r="F16" s="1339">
        <v>-42122240</v>
      </c>
      <c r="G16" s="1340" t="s">
        <v>954</v>
      </c>
      <c r="H16" s="1340" t="s">
        <v>955</v>
      </c>
      <c r="I16" s="1336"/>
      <c r="J16" s="1342"/>
      <c r="K16" s="1342"/>
      <c r="L16" s="1342"/>
      <c r="M16" s="1342"/>
      <c r="N16" s="1342"/>
      <c r="O16" s="1342"/>
      <c r="P16" s="1343" t="s">
        <v>114</v>
      </c>
      <c r="Q16" s="1344">
        <f>SUM(J16:O16)</f>
        <v>0</v>
      </c>
      <c r="R16" s="1468" t="s">
        <v>1031</v>
      </c>
      <c r="S16"/>
      <c r="T16" s="1317"/>
      <c r="U16" s="1317"/>
      <c r="V16" s="1317"/>
      <c r="W16" s="1317"/>
    </row>
    <row r="17" spans="1:23" ht="12.75">
      <c r="A17" s="1313" t="s">
        <v>961</v>
      </c>
      <c r="B17" s="1333" t="s">
        <v>1030</v>
      </c>
      <c r="C17" s="1313" t="s">
        <v>960</v>
      </c>
      <c r="D17" s="1334" t="s">
        <v>962</v>
      </c>
      <c r="E17" s="1334" t="s">
        <v>950</v>
      </c>
      <c r="F17" s="1345">
        <v>-21950878</v>
      </c>
      <c r="G17" s="1340" t="s">
        <v>963</v>
      </c>
      <c r="H17" s="1340" t="s">
        <v>964</v>
      </c>
      <c r="I17" s="1336"/>
      <c r="J17" s="1400"/>
      <c r="K17" s="1400"/>
      <c r="L17" s="1400"/>
      <c r="M17" s="1400"/>
      <c r="N17" s="1400"/>
      <c r="O17" s="1400"/>
      <c r="P17" s="1401"/>
      <c r="Q17" s="1402">
        <f>SUM(J17:O17)</f>
        <v>0</v>
      </c>
      <c r="R17" s="1468"/>
      <c r="S17"/>
      <c r="T17" s="1317"/>
      <c r="U17" s="1317"/>
      <c r="V17" s="1317"/>
      <c r="W17" s="1317"/>
    </row>
    <row r="18" spans="1:23" ht="12.75">
      <c r="A18" s="1313" t="s">
        <v>965</v>
      </c>
      <c r="B18" s="1333" t="s">
        <v>1032</v>
      </c>
      <c r="C18" s="1313" t="s">
        <v>966</v>
      </c>
      <c r="D18" s="1334" t="s">
        <v>953</v>
      </c>
      <c r="E18" s="1334" t="s">
        <v>950</v>
      </c>
      <c r="F18" s="1345"/>
      <c r="G18" s="1340"/>
      <c r="H18" s="1340"/>
      <c r="I18" s="1400"/>
      <c r="J18" s="1336"/>
      <c r="K18" s="1400"/>
      <c r="L18" s="1400"/>
      <c r="M18" s="1342"/>
      <c r="N18" s="1400"/>
      <c r="O18" s="1400"/>
      <c r="P18" s="1403">
        <f>SUM(I18:O18)</f>
        <v>0</v>
      </c>
      <c r="Q18" s="1404"/>
      <c r="R18" s="1474" t="s">
        <v>1033</v>
      </c>
      <c r="S18"/>
      <c r="T18" s="1317"/>
      <c r="U18" s="1317"/>
      <c r="V18" s="1317"/>
      <c r="W18" s="1317"/>
    </row>
    <row r="19" spans="1:23" ht="12.75">
      <c r="A19" s="1313" t="s">
        <v>967</v>
      </c>
      <c r="B19" s="1333" t="s">
        <v>1032</v>
      </c>
      <c r="C19" s="1313" t="s">
        <v>966</v>
      </c>
      <c r="D19" s="1334" t="s">
        <v>962</v>
      </c>
      <c r="E19" s="1334" t="s">
        <v>950</v>
      </c>
      <c r="F19" s="1345"/>
      <c r="G19" s="1340"/>
      <c r="H19" s="1340"/>
      <c r="I19" s="1400"/>
      <c r="J19" s="1336"/>
      <c r="K19" s="1400"/>
      <c r="L19" s="1400"/>
      <c r="M19" s="1400"/>
      <c r="N19" s="1400"/>
      <c r="O19" s="1400"/>
      <c r="P19" s="1403">
        <f>SUM(I19:O19)</f>
        <v>0</v>
      </c>
      <c r="Q19" s="1404"/>
      <c r="R19" s="1474"/>
      <c r="S19"/>
      <c r="T19" s="1317"/>
      <c r="U19" s="1317"/>
      <c r="V19" s="1317"/>
      <c r="W19" s="1317"/>
    </row>
    <row r="20" spans="1:23" ht="12.75">
      <c r="A20" s="1313" t="s">
        <v>968</v>
      </c>
      <c r="B20" s="1333" t="s">
        <v>1034</v>
      </c>
      <c r="C20" s="1313" t="s">
        <v>969</v>
      </c>
      <c r="D20" s="1334" t="s">
        <v>962</v>
      </c>
      <c r="E20" s="1334" t="s">
        <v>950</v>
      </c>
      <c r="F20" s="1345">
        <v>-3151603</v>
      </c>
      <c r="G20" s="1340" t="s">
        <v>963</v>
      </c>
      <c r="H20" s="1340" t="s">
        <v>964</v>
      </c>
      <c r="I20" s="1336"/>
      <c r="J20" s="1400"/>
      <c r="K20" s="1400"/>
      <c r="L20" s="1400"/>
      <c r="M20" s="1400"/>
      <c r="N20" s="1400"/>
      <c r="O20" s="1400"/>
      <c r="P20" s="1401" t="s">
        <v>114</v>
      </c>
      <c r="Q20" s="1402">
        <f>SUM(J20:O20)</f>
        <v>0</v>
      </c>
      <c r="R20" s="1346" t="s">
        <v>1035</v>
      </c>
      <c r="S20"/>
      <c r="T20" s="1317"/>
      <c r="U20" s="1317"/>
      <c r="V20" s="1317"/>
      <c r="W20" s="1317"/>
    </row>
    <row r="21" spans="1:23" ht="12.75">
      <c r="A21" s="1313" t="s">
        <v>970</v>
      </c>
      <c r="B21" s="1347" t="s">
        <v>1036</v>
      </c>
      <c r="C21" s="1313" t="s">
        <v>971</v>
      </c>
      <c r="D21" s="1334" t="s">
        <v>962</v>
      </c>
      <c r="E21" s="1334" t="s">
        <v>950</v>
      </c>
      <c r="F21" s="1339"/>
      <c r="G21" s="1340"/>
      <c r="H21" s="1340"/>
      <c r="I21" s="1400"/>
      <c r="J21" s="1404"/>
      <c r="K21" s="1400"/>
      <c r="L21" s="1400"/>
      <c r="M21" s="1400"/>
      <c r="N21" s="1400"/>
      <c r="O21" s="1400"/>
      <c r="P21" s="1403">
        <f>SUM(I21:O21)</f>
        <v>0</v>
      </c>
      <c r="Q21" s="1401"/>
      <c r="R21" s="1348" t="s">
        <v>1037</v>
      </c>
      <c r="S21"/>
      <c r="T21" s="1317"/>
      <c r="U21" s="1317"/>
      <c r="V21" s="1317"/>
      <c r="W21" s="1317"/>
    </row>
    <row r="22" spans="1:23" ht="12.75">
      <c r="A22" s="1313" t="s">
        <v>972</v>
      </c>
      <c r="B22" s="1322" t="s">
        <v>973</v>
      </c>
      <c r="D22" s="1334"/>
      <c r="E22" s="1334"/>
      <c r="F22" s="1339"/>
      <c r="G22" s="1340"/>
      <c r="H22" s="1340"/>
      <c r="I22" s="1400"/>
      <c r="J22" s="1400"/>
      <c r="K22" s="1400"/>
      <c r="L22" s="1400"/>
      <c r="M22" s="1400"/>
      <c r="N22" s="1400"/>
      <c r="O22" s="1400"/>
      <c r="P22" s="1405"/>
      <c r="Q22" s="1403"/>
      <c r="R22" s="1348"/>
      <c r="S22"/>
      <c r="T22" s="1317"/>
      <c r="U22" s="1317"/>
      <c r="V22" s="1317"/>
      <c r="W22" s="1317"/>
    </row>
    <row r="23" spans="1:23" ht="12.75">
      <c r="B23" s="1349"/>
      <c r="C23" s="1349"/>
      <c r="D23" s="1349"/>
      <c r="E23" s="1349"/>
      <c r="F23" s="1349"/>
      <c r="G23" s="1349"/>
      <c r="H23" s="1349"/>
      <c r="I23" s="1349"/>
      <c r="J23" s="1349"/>
      <c r="K23" s="1349"/>
      <c r="L23" s="1349"/>
      <c r="M23" s="1349"/>
      <c r="N23"/>
      <c r="O23"/>
      <c r="P23" s="1350"/>
      <c r="Q23"/>
      <c r="R23"/>
      <c r="S23"/>
      <c r="T23" s="1317"/>
      <c r="U23" s="1317"/>
      <c r="V23" s="1317"/>
      <c r="W23" s="1317"/>
    </row>
    <row r="24" spans="1:23" s="1317" customFormat="1" ht="12.75">
      <c r="A24" s="1313"/>
      <c r="B24" s="1331" t="s">
        <v>974</v>
      </c>
      <c r="Q24" s="1351"/>
      <c r="R24" s="1352"/>
      <c r="S24"/>
    </row>
    <row r="25" spans="1:23" ht="11.45" customHeight="1">
      <c r="A25" s="1313" t="s">
        <v>975</v>
      </c>
      <c r="B25" s="1347">
        <v>182.3</v>
      </c>
      <c r="C25" s="1354" t="s">
        <v>976</v>
      </c>
      <c r="D25" s="1336" t="s">
        <v>114</v>
      </c>
      <c r="E25" s="1334" t="s">
        <v>950</v>
      </c>
      <c r="F25" s="1336"/>
      <c r="G25" s="1336" t="s">
        <v>114</v>
      </c>
      <c r="H25" s="1336"/>
      <c r="I25" s="1406"/>
      <c r="J25" s="1336"/>
      <c r="K25" s="1400"/>
      <c r="L25" s="1400"/>
      <c r="M25" s="1400"/>
      <c r="N25" s="1336"/>
      <c r="O25" s="1336"/>
      <c r="P25" s="1405">
        <f>SUM(I25:O25)</f>
        <v>0</v>
      </c>
      <c r="Q25" s="1355"/>
      <c r="R25" s="1337" t="s">
        <v>977</v>
      </c>
      <c r="S25"/>
      <c r="T25" s="1317"/>
      <c r="U25" s="1317"/>
      <c r="V25" s="1317"/>
      <c r="W25" s="1317"/>
    </row>
    <row r="26" spans="1:23" ht="11.45" customHeight="1">
      <c r="A26" s="1313" t="s">
        <v>978</v>
      </c>
      <c r="B26" s="1347">
        <v>254</v>
      </c>
      <c r="C26" s="1354" t="s">
        <v>979</v>
      </c>
      <c r="D26" s="1336" t="s">
        <v>114</v>
      </c>
      <c r="E26" s="1334" t="s">
        <v>950</v>
      </c>
      <c r="F26" s="1336"/>
      <c r="G26" s="1336" t="s">
        <v>114</v>
      </c>
      <c r="H26" s="1336"/>
      <c r="I26" s="1406"/>
      <c r="J26" s="1336"/>
      <c r="K26" s="1400"/>
      <c r="L26" s="1400"/>
      <c r="M26" s="1400"/>
      <c r="N26" s="1336"/>
      <c r="O26" s="1336"/>
      <c r="P26" s="1405">
        <f>SUM(I26:O26)</f>
        <v>0</v>
      </c>
      <c r="Q26" s="1355"/>
      <c r="R26" s="1337" t="s">
        <v>980</v>
      </c>
      <c r="S26"/>
      <c r="T26" s="1317"/>
      <c r="U26" s="1317"/>
      <c r="V26" s="1317"/>
      <c r="W26" s="1317"/>
    </row>
    <row r="27" spans="1:23" ht="11.45" customHeight="1">
      <c r="A27" s="1313" t="s">
        <v>981</v>
      </c>
      <c r="B27" s="1322" t="s">
        <v>973</v>
      </c>
      <c r="C27" s="1354"/>
      <c r="D27" s="1336"/>
      <c r="E27" s="1334"/>
      <c r="F27" s="1336"/>
      <c r="G27" s="1336"/>
      <c r="H27" s="1336"/>
      <c r="I27" s="1400"/>
      <c r="J27" s="1336"/>
      <c r="K27" s="1400"/>
      <c r="L27" s="1400"/>
      <c r="M27" s="1400"/>
      <c r="N27" s="1336"/>
      <c r="O27" s="1336"/>
      <c r="P27" s="1355"/>
      <c r="Q27" s="1355"/>
      <c r="R27" s="1337"/>
      <c r="S27"/>
      <c r="T27" s="1317"/>
      <c r="U27" s="1317"/>
      <c r="V27" s="1317"/>
      <c r="W27" s="1317"/>
    </row>
    <row r="28" spans="1:23">
      <c r="B28" s="1353"/>
      <c r="C28" s="1354"/>
      <c r="D28" s="1321"/>
      <c r="E28" s="1321"/>
      <c r="F28" s="1321"/>
      <c r="G28" s="1321"/>
      <c r="H28" s="1321"/>
      <c r="I28" s="1321"/>
      <c r="J28" s="1321"/>
      <c r="K28" s="1321"/>
      <c r="L28" s="1321"/>
      <c r="M28" s="1321"/>
      <c r="N28" s="1321"/>
      <c r="O28" s="1321"/>
      <c r="P28" s="1321"/>
      <c r="Q28" s="1321"/>
      <c r="R28" s="1356"/>
      <c r="S28" s="1351"/>
      <c r="T28" s="1317"/>
      <c r="U28" s="1317"/>
      <c r="V28" s="1317"/>
      <c r="W28" s="1317"/>
    </row>
    <row r="29" spans="1:23" ht="12.75" thickBot="1">
      <c r="A29" s="1357">
        <v>3</v>
      </c>
      <c r="B29" s="1469" t="str">
        <f>"Total For Accounting Entires (Sum of Lines "&amp;A13&amp;" through "&amp;A26&amp;")"</f>
        <v>Total For Accounting Entires (Sum of Lines 1a through 2b)</v>
      </c>
      <c r="C29" s="1469"/>
      <c r="D29" s="1336"/>
      <c r="E29" s="1336"/>
      <c r="F29" s="1407">
        <f>SUM(F13:F28)</f>
        <v>-88333361</v>
      </c>
      <c r="G29" s="1336"/>
      <c r="H29" s="1336"/>
      <c r="I29" s="1407">
        <f>SUM(I13:I28)</f>
        <v>0</v>
      </c>
      <c r="J29" s="1407">
        <f>SUM(J13:J28)</f>
        <v>0</v>
      </c>
      <c r="K29" s="1408">
        <f>SUM(K13:K28)</f>
        <v>0</v>
      </c>
      <c r="L29" s="1408">
        <f>SUM(L13:L28)</f>
        <v>0</v>
      </c>
      <c r="M29" s="1407">
        <f>SUM(M13:M28)</f>
        <v>0</v>
      </c>
      <c r="N29" s="1409">
        <f>-SUM(N13:N28)</f>
        <v>0</v>
      </c>
      <c r="O29" s="1407">
        <f>-SUM(O13:O28)</f>
        <v>0</v>
      </c>
      <c r="P29" s="1408">
        <f>SUM(P13:P28)</f>
        <v>0</v>
      </c>
      <c r="Q29" s="1407">
        <f>SUM(Q13:Q28)</f>
        <v>0</v>
      </c>
      <c r="R29" s="1358"/>
      <c r="S29" s="1351"/>
      <c r="T29" s="1317"/>
      <c r="U29" s="1317"/>
      <c r="V29" s="1317"/>
      <c r="W29" s="1317"/>
    </row>
    <row r="30" spans="1:23" ht="12.75" thickTop="1">
      <c r="B30" s="1353"/>
      <c r="C30" s="1354"/>
      <c r="D30" s="1321"/>
      <c r="E30" s="1321"/>
      <c r="F30" s="1359"/>
      <c r="G30" s="1321"/>
      <c r="H30" s="1321"/>
      <c r="I30" s="1360"/>
      <c r="J30" s="1345"/>
      <c r="K30" s="1361"/>
      <c r="L30" s="1361"/>
      <c r="M30" s="1361"/>
      <c r="N30" s="1410" t="s">
        <v>982</v>
      </c>
      <c r="O30" s="1410"/>
      <c r="P30" s="1361"/>
      <c r="Q30" s="1362"/>
      <c r="R30" s="1358"/>
      <c r="S30" s="1351"/>
      <c r="T30" s="1317"/>
      <c r="U30" s="1317"/>
      <c r="V30" s="1317"/>
      <c r="W30" s="1317"/>
    </row>
    <row r="31" spans="1:23">
      <c r="A31" s="1322" t="s">
        <v>983</v>
      </c>
      <c r="B31" s="1353"/>
      <c r="C31" s="1354"/>
      <c r="D31" s="1321"/>
      <c r="E31" s="1321"/>
      <c r="F31" s="1321"/>
      <c r="G31" s="1321"/>
      <c r="H31" s="1321"/>
      <c r="I31" s="1360"/>
      <c r="J31" s="1345"/>
      <c r="K31" s="1361"/>
      <c r="L31" s="1361"/>
      <c r="M31" s="1361"/>
      <c r="N31" s="1345"/>
      <c r="O31" s="1345"/>
      <c r="P31" s="1361"/>
      <c r="Q31" s="1362"/>
      <c r="R31" s="1358"/>
      <c r="S31" s="1351"/>
      <c r="T31" s="1317"/>
      <c r="U31" s="1317"/>
      <c r="V31" s="1317"/>
      <c r="W31" s="1317"/>
    </row>
    <row r="32" spans="1:23">
      <c r="B32" s="1313"/>
      <c r="D32" s="1387"/>
      <c r="E32" s="1387"/>
      <c r="F32" s="1387"/>
      <c r="G32" s="1387"/>
      <c r="H32" s="1387"/>
      <c r="I32" s="1329"/>
      <c r="J32" s="1329"/>
      <c r="K32" s="1329"/>
      <c r="L32" s="1329"/>
      <c r="M32" s="1329"/>
      <c r="N32" s="1329"/>
      <c r="O32" s="1329"/>
      <c r="P32" s="1473" t="s">
        <v>945</v>
      </c>
      <c r="Q32" s="1473"/>
      <c r="R32" s="1327"/>
      <c r="S32" s="1351"/>
      <c r="T32" s="1317"/>
      <c r="U32" s="1317"/>
      <c r="V32" s="1317"/>
      <c r="W32" s="1317"/>
    </row>
    <row r="33" spans="1:23">
      <c r="B33" s="1331" t="s">
        <v>946</v>
      </c>
      <c r="C33" s="1332"/>
      <c r="D33" s="1332"/>
      <c r="E33" s="1332"/>
      <c r="F33" s="1332"/>
      <c r="G33" s="1332"/>
      <c r="H33" s="1332"/>
      <c r="I33" s="1332"/>
      <c r="J33" s="1332"/>
      <c r="K33" s="1332"/>
      <c r="L33" s="1332"/>
      <c r="M33" s="1332"/>
      <c r="N33" s="1332"/>
      <c r="O33" s="1332"/>
      <c r="P33" s="1332"/>
      <c r="Q33" s="1332"/>
      <c r="R33" s="1317"/>
      <c r="S33" s="1351"/>
      <c r="T33" s="1317"/>
      <c r="U33" s="1317"/>
      <c r="V33" s="1317"/>
      <c r="W33" s="1317"/>
    </row>
    <row r="34" spans="1:23">
      <c r="A34" s="1313" t="s">
        <v>984</v>
      </c>
      <c r="B34" s="1333" t="s">
        <v>1026</v>
      </c>
      <c r="C34" s="1313" t="s">
        <v>948</v>
      </c>
      <c r="D34" s="1334" t="s">
        <v>949</v>
      </c>
      <c r="E34" s="1334" t="s">
        <v>950</v>
      </c>
      <c r="F34" s="1335"/>
      <c r="G34" s="1334"/>
      <c r="H34" s="1334"/>
      <c r="I34" s="1400"/>
      <c r="J34" s="1404"/>
      <c r="K34" s="1400"/>
      <c r="L34" s="1400"/>
      <c r="M34" s="1400"/>
      <c r="N34" s="1400"/>
      <c r="O34" s="1400"/>
      <c r="P34" s="1403">
        <f>SUM(I34:O34)</f>
        <v>0</v>
      </c>
      <c r="Q34" s="1336"/>
      <c r="R34" s="1337" t="s">
        <v>636</v>
      </c>
      <c r="S34" s="1351"/>
      <c r="T34" s="1317"/>
      <c r="U34" s="1317"/>
      <c r="V34" s="1317"/>
      <c r="W34" s="1317"/>
    </row>
    <row r="35" spans="1:23">
      <c r="A35" s="1313" t="s">
        <v>985</v>
      </c>
      <c r="B35" s="1333" t="s">
        <v>1030</v>
      </c>
      <c r="C35" s="1313" t="s">
        <v>960</v>
      </c>
      <c r="D35" s="1334" t="s">
        <v>953</v>
      </c>
      <c r="E35" s="1334" t="s">
        <v>950</v>
      </c>
      <c r="F35" s="1339">
        <v>-9984247</v>
      </c>
      <c r="G35" s="1340" t="s">
        <v>954</v>
      </c>
      <c r="H35" s="1340" t="s">
        <v>955</v>
      </c>
      <c r="I35" s="1336"/>
      <c r="J35" s="1400"/>
      <c r="K35" s="1400"/>
      <c r="L35" s="1400"/>
      <c r="M35" s="1400"/>
      <c r="N35" s="1400"/>
      <c r="O35" s="1400"/>
      <c r="P35" s="1401" t="s">
        <v>114</v>
      </c>
      <c r="Q35" s="1402">
        <f>SUM(J35:O35)</f>
        <v>0</v>
      </c>
      <c r="R35" s="1468" t="s">
        <v>1038</v>
      </c>
      <c r="S35" s="1351"/>
      <c r="T35" s="1317"/>
      <c r="U35" s="1317"/>
      <c r="V35" s="1317"/>
      <c r="W35" s="1317"/>
    </row>
    <row r="36" spans="1:23">
      <c r="A36" s="1313" t="s">
        <v>986</v>
      </c>
      <c r="B36" s="1333" t="s">
        <v>1030</v>
      </c>
      <c r="C36" s="1313" t="s">
        <v>960</v>
      </c>
      <c r="D36" s="1334" t="s">
        <v>962</v>
      </c>
      <c r="E36" s="1334" t="s">
        <v>950</v>
      </c>
      <c r="F36" s="1345">
        <v>-518040</v>
      </c>
      <c r="G36" s="1340" t="s">
        <v>963</v>
      </c>
      <c r="H36" s="1340" t="s">
        <v>964</v>
      </c>
      <c r="I36" s="1336"/>
      <c r="J36" s="1400"/>
      <c r="K36" s="1400"/>
      <c r="L36" s="1400"/>
      <c r="M36" s="1400"/>
      <c r="N36" s="1400"/>
      <c r="O36" s="1400"/>
      <c r="P36" s="1401"/>
      <c r="Q36" s="1402">
        <f>SUM(J36:O36)</f>
        <v>0</v>
      </c>
      <c r="R36" s="1468"/>
      <c r="S36" s="1351"/>
      <c r="T36" s="1317"/>
      <c r="U36" s="1317"/>
      <c r="V36" s="1317"/>
      <c r="W36" s="1317"/>
    </row>
    <row r="37" spans="1:23">
      <c r="A37" s="1313" t="s">
        <v>987</v>
      </c>
      <c r="B37" s="1333" t="s">
        <v>1032</v>
      </c>
      <c r="C37" s="1313" t="s">
        <v>966</v>
      </c>
      <c r="D37" s="1334" t="s">
        <v>953</v>
      </c>
      <c r="E37" s="1334" t="s">
        <v>950</v>
      </c>
      <c r="F37" s="1345"/>
      <c r="G37" s="1340"/>
      <c r="H37" s="1340"/>
      <c r="I37" s="1400"/>
      <c r="J37" s="1336"/>
      <c r="K37" s="1400"/>
      <c r="L37" s="1400"/>
      <c r="M37" s="1400"/>
      <c r="N37" s="1400"/>
      <c r="O37" s="1400"/>
      <c r="P37" s="1403">
        <f>SUM(I37:O37)</f>
        <v>0</v>
      </c>
      <c r="Q37" s="1404"/>
      <c r="R37" s="1474" t="s">
        <v>636</v>
      </c>
      <c r="S37" s="1351"/>
      <c r="T37" s="1317"/>
      <c r="U37" s="1317"/>
      <c r="V37" s="1317"/>
      <c r="W37" s="1317"/>
    </row>
    <row r="38" spans="1:23">
      <c r="A38" s="1313" t="s">
        <v>988</v>
      </c>
      <c r="B38" s="1333" t="s">
        <v>1032</v>
      </c>
      <c r="C38" s="1313" t="s">
        <v>966</v>
      </c>
      <c r="D38" s="1334" t="s">
        <v>962</v>
      </c>
      <c r="E38" s="1334" t="s">
        <v>950</v>
      </c>
      <c r="F38" s="1345"/>
      <c r="G38" s="1340"/>
      <c r="H38" s="1340"/>
      <c r="I38" s="1400"/>
      <c r="J38" s="1336"/>
      <c r="K38" s="1400"/>
      <c r="L38" s="1400"/>
      <c r="M38" s="1400"/>
      <c r="N38" s="1400"/>
      <c r="O38" s="1400"/>
      <c r="P38" s="1403">
        <f>SUM(I38:O38)</f>
        <v>0</v>
      </c>
      <c r="Q38" s="1404"/>
      <c r="R38" s="1474"/>
      <c r="S38" s="1351"/>
      <c r="T38" s="1317"/>
      <c r="U38" s="1317"/>
      <c r="V38" s="1317"/>
      <c r="W38" s="1317"/>
    </row>
    <row r="39" spans="1:23">
      <c r="A39" s="1313" t="s">
        <v>989</v>
      </c>
      <c r="B39" s="1333" t="s">
        <v>1034</v>
      </c>
      <c r="C39" s="1313" t="s">
        <v>969</v>
      </c>
      <c r="D39" s="1334" t="s">
        <v>962</v>
      </c>
      <c r="E39" s="1334" t="s">
        <v>950</v>
      </c>
      <c r="F39" s="1345">
        <v>351772</v>
      </c>
      <c r="G39" s="1340" t="s">
        <v>963</v>
      </c>
      <c r="H39" s="1340" t="s">
        <v>964</v>
      </c>
      <c r="I39" s="1336"/>
      <c r="J39" s="1400"/>
      <c r="K39" s="1400"/>
      <c r="L39" s="1400"/>
      <c r="M39" s="1400"/>
      <c r="N39" s="1400"/>
      <c r="O39" s="1400"/>
      <c r="P39" s="1401" t="s">
        <v>114</v>
      </c>
      <c r="Q39" s="1402">
        <f>SUM(J39:O39)</f>
        <v>0</v>
      </c>
      <c r="R39" s="1386" t="s">
        <v>1039</v>
      </c>
      <c r="S39" s="1351"/>
      <c r="T39" s="1317"/>
      <c r="U39" s="1317"/>
      <c r="V39" s="1317"/>
      <c r="W39" s="1317"/>
    </row>
    <row r="40" spans="1:23">
      <c r="A40" s="1313" t="s">
        <v>990</v>
      </c>
      <c r="B40" s="1347" t="s">
        <v>1036</v>
      </c>
      <c r="C40" s="1313" t="s">
        <v>971</v>
      </c>
      <c r="D40" s="1334" t="s">
        <v>962</v>
      </c>
      <c r="E40" s="1334" t="s">
        <v>950</v>
      </c>
      <c r="F40" s="1339"/>
      <c r="G40" s="1340"/>
      <c r="H40" s="1340"/>
      <c r="I40" s="1400"/>
      <c r="J40" s="1404"/>
      <c r="K40" s="1400"/>
      <c r="L40" s="1400"/>
      <c r="M40" s="1400"/>
      <c r="N40" s="1400"/>
      <c r="O40" s="1400"/>
      <c r="P40" s="1403">
        <f>SUM(I40:O40)</f>
        <v>0</v>
      </c>
      <c r="Q40" s="1401"/>
      <c r="R40" s="1337" t="s">
        <v>636</v>
      </c>
      <c r="S40" s="1351"/>
      <c r="T40" s="1317"/>
      <c r="U40" s="1317"/>
      <c r="V40" s="1317"/>
      <c r="W40" s="1317"/>
    </row>
    <row r="41" spans="1:23">
      <c r="A41" s="1313" t="s">
        <v>991</v>
      </c>
      <c r="B41" s="1322" t="s">
        <v>973</v>
      </c>
      <c r="D41" s="1334"/>
      <c r="E41" s="1334"/>
      <c r="F41" s="1339"/>
      <c r="G41" s="1340"/>
      <c r="H41" s="1340"/>
      <c r="I41" s="1400"/>
      <c r="J41" s="1400"/>
      <c r="K41" s="1400"/>
      <c r="L41" s="1400"/>
      <c r="M41" s="1400"/>
      <c r="N41" s="1400"/>
      <c r="O41" s="1400"/>
      <c r="P41" s="1405"/>
      <c r="Q41" s="1403"/>
      <c r="R41" s="1348"/>
      <c r="S41" s="1317"/>
      <c r="T41" s="1317"/>
      <c r="U41" s="1317"/>
      <c r="V41" s="1317"/>
      <c r="W41" s="1317"/>
    </row>
    <row r="42" spans="1:23" ht="12.75">
      <c r="B42" s="1349"/>
      <c r="C42" s="1349"/>
      <c r="D42" s="1349"/>
      <c r="E42" s="1349"/>
      <c r="F42" s="1349"/>
      <c r="G42" s="1349"/>
      <c r="H42" s="1349"/>
      <c r="I42" s="1349"/>
      <c r="J42" s="1349"/>
      <c r="K42" s="1349"/>
      <c r="L42" s="1349"/>
      <c r="M42" s="1349"/>
      <c r="N42"/>
      <c r="O42"/>
      <c r="P42"/>
      <c r="Q42"/>
      <c r="R42"/>
      <c r="S42" s="1317"/>
      <c r="T42" s="1317"/>
      <c r="U42" s="1317"/>
      <c r="V42" s="1317"/>
      <c r="W42" s="1317"/>
    </row>
    <row r="43" spans="1:23">
      <c r="B43" s="1331" t="s">
        <v>974</v>
      </c>
      <c r="C43" s="1317"/>
      <c r="D43" s="1317"/>
      <c r="E43" s="1317"/>
      <c r="F43" s="1317"/>
      <c r="G43" s="1317"/>
      <c r="H43" s="1317"/>
      <c r="I43" s="1317"/>
      <c r="J43" s="1317"/>
      <c r="K43" s="1317"/>
      <c r="L43" s="1317"/>
      <c r="M43" s="1317"/>
      <c r="N43" s="1317"/>
      <c r="O43" s="1317"/>
      <c r="P43" s="1317"/>
      <c r="Q43" s="1351"/>
      <c r="R43" s="1363"/>
      <c r="S43" s="1317"/>
      <c r="T43" s="1317"/>
      <c r="U43" s="1317"/>
      <c r="V43" s="1317"/>
      <c r="W43" s="1317"/>
    </row>
    <row r="44" spans="1:23">
      <c r="A44" s="1313" t="s">
        <v>619</v>
      </c>
      <c r="B44" s="1353">
        <v>182.3</v>
      </c>
      <c r="C44" s="1354" t="s">
        <v>976</v>
      </c>
      <c r="D44" s="1336" t="s">
        <v>114</v>
      </c>
      <c r="E44" s="1334" t="s">
        <v>950</v>
      </c>
      <c r="F44" s="1336"/>
      <c r="G44" s="1336" t="s">
        <v>114</v>
      </c>
      <c r="H44" s="1336"/>
      <c r="I44" s="1406"/>
      <c r="J44" s="1336"/>
      <c r="K44" s="1400"/>
      <c r="L44" s="1400"/>
      <c r="M44" s="1400"/>
      <c r="N44" s="1336"/>
      <c r="O44" s="1336"/>
      <c r="P44" s="1405">
        <f>SUM(I44:O44)</f>
        <v>0</v>
      </c>
      <c r="Q44" s="1355"/>
      <c r="R44" s="1337" t="s">
        <v>977</v>
      </c>
      <c r="S44" s="1317"/>
      <c r="T44" s="1317"/>
      <c r="U44" s="1317"/>
      <c r="V44" s="1317"/>
      <c r="W44" s="1317"/>
    </row>
    <row r="45" spans="1:23">
      <c r="A45" s="1313" t="s">
        <v>620</v>
      </c>
      <c r="B45" s="1353">
        <v>254</v>
      </c>
      <c r="C45" s="1354" t="s">
        <v>979</v>
      </c>
      <c r="D45" s="1336" t="s">
        <v>114</v>
      </c>
      <c r="E45" s="1334" t="s">
        <v>950</v>
      </c>
      <c r="F45" s="1336"/>
      <c r="G45" s="1336" t="s">
        <v>114</v>
      </c>
      <c r="H45" s="1336"/>
      <c r="I45" s="1406"/>
      <c r="J45" s="1336"/>
      <c r="K45" s="1400"/>
      <c r="L45" s="1400"/>
      <c r="M45" s="1400"/>
      <c r="N45" s="1336"/>
      <c r="O45" s="1336"/>
      <c r="P45" s="1405">
        <f>SUM(I45:O45)</f>
        <v>0</v>
      </c>
      <c r="Q45" s="1355"/>
      <c r="R45" s="1337" t="s">
        <v>977</v>
      </c>
      <c r="S45" s="1317"/>
      <c r="T45" s="1317"/>
      <c r="U45" s="1317"/>
      <c r="V45" s="1317"/>
      <c r="W45" s="1317"/>
    </row>
    <row r="46" spans="1:23">
      <c r="A46" s="1313" t="s">
        <v>992</v>
      </c>
      <c r="B46" s="1322" t="s">
        <v>973</v>
      </c>
      <c r="C46" s="1354"/>
      <c r="D46" s="1336"/>
      <c r="E46" s="1334"/>
      <c r="F46" s="1336"/>
      <c r="G46" s="1336"/>
      <c r="H46" s="1336"/>
      <c r="I46" s="1400"/>
      <c r="J46" s="1336"/>
      <c r="K46" s="1400"/>
      <c r="L46" s="1400"/>
      <c r="M46" s="1400"/>
      <c r="N46" s="1336"/>
      <c r="O46" s="1336"/>
      <c r="P46" s="1355"/>
      <c r="Q46" s="1355"/>
      <c r="R46" s="1337"/>
      <c r="S46" s="1317"/>
      <c r="T46" s="1317"/>
      <c r="U46" s="1317"/>
      <c r="V46" s="1317"/>
      <c r="W46" s="1317"/>
    </row>
    <row r="47" spans="1:23">
      <c r="B47" s="1353"/>
      <c r="C47" s="1354"/>
      <c r="D47" s="1321"/>
      <c r="E47" s="1321"/>
      <c r="F47" s="1321"/>
      <c r="G47" s="1321"/>
      <c r="H47" s="1321"/>
      <c r="I47" s="1321"/>
      <c r="J47" s="1321"/>
      <c r="K47" s="1321"/>
      <c r="L47" s="1321"/>
      <c r="M47" s="1321"/>
      <c r="N47" s="1321"/>
      <c r="O47" s="1321"/>
      <c r="P47" s="1321"/>
      <c r="Q47" s="1321"/>
      <c r="R47" s="1356"/>
      <c r="S47" s="1317"/>
      <c r="T47" s="1317"/>
      <c r="U47" s="1317"/>
      <c r="V47" s="1317"/>
      <c r="W47" s="1317"/>
    </row>
    <row r="48" spans="1:23" ht="12.75" thickBot="1">
      <c r="A48" s="1357">
        <v>6</v>
      </c>
      <c r="B48" s="1469" t="str">
        <f>"Total For Accounting Entires (Sum of Lines "&amp;A34&amp;" through "&amp;A45&amp;")"</f>
        <v>Total For Accounting Entires (Sum of Lines 4a through 5b)</v>
      </c>
      <c r="C48" s="1469"/>
      <c r="D48" s="1336"/>
      <c r="E48" s="1336"/>
      <c r="F48" s="1407">
        <f>SUM(F34:F47)</f>
        <v>-10150515</v>
      </c>
      <c r="G48" s="1336"/>
      <c r="H48" s="1336"/>
      <c r="I48" s="1407">
        <v>0</v>
      </c>
      <c r="J48" s="1407">
        <v>-9964518</v>
      </c>
      <c r="K48" s="1408">
        <f>SUM(K34:K47)</f>
        <v>0</v>
      </c>
      <c r="L48" s="1408">
        <f>SUM(L34:L47)</f>
        <v>0</v>
      </c>
      <c r="M48" s="1407">
        <f>SUM(M34:M47)</f>
        <v>0</v>
      </c>
      <c r="N48" s="1409">
        <f>-SUM(N34:N47)</f>
        <v>0</v>
      </c>
      <c r="O48" s="1407">
        <f>-SUM(O34:O47)</f>
        <v>0</v>
      </c>
      <c r="P48" s="1408">
        <f>SUM(P34:P47)</f>
        <v>0</v>
      </c>
      <c r="Q48" s="1407">
        <f>SUM(Q34:Q47)</f>
        <v>0</v>
      </c>
      <c r="R48" s="1358"/>
      <c r="S48" s="1317"/>
      <c r="T48" s="1317"/>
      <c r="U48" s="1317"/>
      <c r="V48" s="1317"/>
      <c r="W48" s="1317"/>
    </row>
    <row r="49" spans="1:23" ht="12.75" thickTop="1">
      <c r="B49" s="1353"/>
      <c r="C49" s="1354"/>
      <c r="D49" s="1321"/>
      <c r="E49" s="1321"/>
      <c r="F49" s="1321"/>
      <c r="G49" s="1321"/>
      <c r="H49" s="1321"/>
      <c r="I49" s="1360"/>
      <c r="J49" s="1345"/>
      <c r="K49" s="1361"/>
      <c r="L49" s="1361"/>
      <c r="M49" s="1361"/>
      <c r="N49" s="1410" t="s">
        <v>982</v>
      </c>
      <c r="O49" s="1345"/>
      <c r="P49" s="1361"/>
      <c r="Q49" s="1362"/>
      <c r="R49" s="1358"/>
      <c r="S49" s="1317"/>
      <c r="T49" s="1317"/>
      <c r="U49" s="1317"/>
      <c r="V49" s="1317"/>
      <c r="W49" s="1317"/>
    </row>
    <row r="50" spans="1:23">
      <c r="B50" s="1353"/>
      <c r="C50" s="1354"/>
      <c r="D50" s="1321"/>
      <c r="E50" s="1321"/>
      <c r="F50" s="1321"/>
      <c r="G50" s="1321"/>
      <c r="H50" s="1321"/>
      <c r="I50" s="1360"/>
      <c r="J50" s="1345"/>
      <c r="K50" s="1361"/>
      <c r="L50" s="1361"/>
      <c r="M50" s="1361"/>
      <c r="N50" s="1345"/>
      <c r="O50" s="1345"/>
      <c r="P50" s="1361"/>
      <c r="Q50" s="1362"/>
      <c r="R50" s="1358"/>
      <c r="S50" s="1317"/>
      <c r="T50" s="1317"/>
      <c r="U50" s="1317"/>
      <c r="V50" s="1317"/>
      <c r="W50" s="1317"/>
    </row>
    <row r="51" spans="1:23" ht="18.600000000000001" customHeight="1">
      <c r="A51" s="1475" t="s">
        <v>993</v>
      </c>
      <c r="B51" s="1475"/>
      <c r="C51" s="1475"/>
      <c r="D51" s="1475"/>
      <c r="E51" s="1475"/>
      <c r="F51" s="1475"/>
      <c r="G51" s="1475"/>
      <c r="H51" s="1475"/>
      <c r="I51" s="1475"/>
      <c r="J51" s="1475"/>
      <c r="K51" s="1361"/>
      <c r="L51" s="1361"/>
      <c r="M51" s="1361"/>
      <c r="N51" s="1345"/>
      <c r="O51" s="1345"/>
      <c r="P51" s="1361"/>
      <c r="Q51" s="1362"/>
      <c r="R51" s="1358"/>
      <c r="S51" s="1317"/>
      <c r="T51" s="1317"/>
      <c r="U51" s="1317"/>
      <c r="V51" s="1317"/>
      <c r="W51" s="1317"/>
    </row>
    <row r="52" spans="1:23" ht="23.1" customHeight="1">
      <c r="A52" s="1475"/>
      <c r="B52" s="1475"/>
      <c r="C52" s="1475"/>
      <c r="D52" s="1475"/>
      <c r="E52" s="1475"/>
      <c r="F52" s="1475"/>
      <c r="G52" s="1475"/>
      <c r="H52" s="1475"/>
      <c r="I52" s="1475"/>
      <c r="J52" s="1475"/>
      <c r="K52" s="1361"/>
      <c r="L52" s="1361"/>
      <c r="M52" s="1361"/>
      <c r="N52" s="1345"/>
      <c r="O52" s="1345"/>
      <c r="P52" s="1361"/>
      <c r="Q52" s="1362"/>
      <c r="R52" s="1358"/>
      <c r="S52" s="1317"/>
      <c r="T52" s="1317"/>
      <c r="U52" s="1317"/>
      <c r="V52" s="1317"/>
      <c r="W52" s="1317"/>
    </row>
    <row r="53" spans="1:23" ht="15" customHeight="1">
      <c r="B53" s="1353"/>
      <c r="C53" s="1354"/>
      <c r="D53" s="1321"/>
      <c r="E53" s="1321"/>
      <c r="F53" s="1321"/>
      <c r="G53" s="1321"/>
      <c r="H53" s="1321"/>
      <c r="I53" s="1360"/>
      <c r="J53" s="1345"/>
      <c r="K53" s="1361"/>
      <c r="L53" s="1361"/>
      <c r="M53" s="1361"/>
      <c r="N53" s="1345"/>
      <c r="O53" s="1345"/>
      <c r="P53" s="1361"/>
      <c r="Q53" s="1362"/>
      <c r="R53" s="1358"/>
      <c r="S53" s="1317"/>
      <c r="T53" s="1317"/>
      <c r="U53" s="1317"/>
      <c r="V53" s="1317"/>
      <c r="W53" s="1317"/>
    </row>
    <row r="54" spans="1:23">
      <c r="B54" s="1313"/>
      <c r="C54" s="1354"/>
      <c r="D54" s="1321"/>
      <c r="E54" s="1321"/>
      <c r="F54" s="1321"/>
      <c r="G54" s="1321"/>
      <c r="H54" s="1321"/>
      <c r="I54" s="1360"/>
      <c r="J54" s="1362"/>
      <c r="K54" s="1361"/>
      <c r="L54" s="1361"/>
      <c r="M54" s="1361"/>
      <c r="N54" s="1362"/>
      <c r="O54" s="1362"/>
      <c r="P54" s="1361"/>
      <c r="Q54" s="1362"/>
      <c r="R54" s="1358"/>
      <c r="S54" s="1317"/>
      <c r="T54" s="1317"/>
      <c r="U54" s="1317"/>
      <c r="V54" s="1317"/>
      <c r="W54" s="1317"/>
    </row>
    <row r="55" spans="1:23" ht="15" customHeight="1">
      <c r="A55" s="1364" t="s">
        <v>994</v>
      </c>
      <c r="B55" s="1476" t="s">
        <v>995</v>
      </c>
      <c r="C55" s="1476"/>
      <c r="D55" s="1476"/>
      <c r="E55" s="1476"/>
      <c r="F55" s="1476"/>
      <c r="G55" s="1476"/>
      <c r="H55" s="1476"/>
      <c r="I55" s="1476"/>
      <c r="J55" s="1476"/>
      <c r="K55" s="1365"/>
      <c r="L55" s="1366"/>
      <c r="O55" s="1367"/>
      <c r="P55" s="1367"/>
      <c r="Q55" s="1367"/>
      <c r="R55" s="1317"/>
    </row>
    <row r="56" spans="1:23">
      <c r="B56" s="1476"/>
      <c r="C56" s="1476"/>
      <c r="D56" s="1476"/>
      <c r="E56" s="1476"/>
      <c r="F56" s="1476"/>
      <c r="G56" s="1476"/>
      <c r="H56" s="1476"/>
      <c r="I56" s="1476"/>
      <c r="J56" s="1476"/>
      <c r="K56" s="1365"/>
      <c r="L56" s="1366"/>
      <c r="O56" s="1367"/>
      <c r="R56" s="1317"/>
    </row>
    <row r="57" spans="1:23">
      <c r="B57" s="1476"/>
      <c r="C57" s="1476"/>
      <c r="D57" s="1476"/>
      <c r="E57" s="1476"/>
      <c r="F57" s="1476"/>
      <c r="G57" s="1476"/>
      <c r="H57" s="1476"/>
      <c r="I57" s="1476"/>
      <c r="J57" s="1476"/>
      <c r="K57" s="1365"/>
      <c r="L57" s="1366"/>
      <c r="R57" s="1317"/>
    </row>
    <row r="58" spans="1:23">
      <c r="B58" s="1476"/>
      <c r="C58" s="1476"/>
      <c r="D58" s="1476"/>
      <c r="E58" s="1476"/>
      <c r="F58" s="1476"/>
      <c r="G58" s="1476"/>
      <c r="H58" s="1476"/>
      <c r="I58" s="1476"/>
      <c r="J58" s="1476"/>
      <c r="K58" s="1365"/>
      <c r="L58" s="1366"/>
      <c r="P58" s="1367"/>
      <c r="Q58" s="1367"/>
      <c r="R58" s="1317"/>
    </row>
    <row r="59" spans="1:23">
      <c r="B59" s="1476"/>
      <c r="C59" s="1476"/>
      <c r="D59" s="1476"/>
      <c r="E59" s="1476"/>
      <c r="F59" s="1476"/>
      <c r="G59" s="1476"/>
      <c r="H59" s="1476"/>
      <c r="I59" s="1476"/>
      <c r="J59" s="1476"/>
      <c r="K59" s="1365"/>
      <c r="R59" s="1317"/>
    </row>
    <row r="60" spans="1:23">
      <c r="B60" s="1476"/>
      <c r="C60" s="1476"/>
      <c r="D60" s="1476"/>
      <c r="E60" s="1476"/>
      <c r="F60" s="1476"/>
      <c r="G60" s="1476"/>
      <c r="H60" s="1476"/>
      <c r="I60" s="1476"/>
      <c r="J60" s="1476"/>
      <c r="K60" s="1365"/>
      <c r="R60" s="1317"/>
    </row>
    <row r="61" spans="1:23" ht="5.0999999999999996" customHeight="1">
      <c r="B61" s="1365"/>
      <c r="C61" s="1365"/>
      <c r="D61" s="1365"/>
      <c r="E61" s="1365"/>
      <c r="F61" s="1365"/>
      <c r="G61" s="1365"/>
      <c r="H61" s="1365"/>
      <c r="I61" s="1365"/>
      <c r="J61" s="1365"/>
      <c r="K61" s="1365"/>
      <c r="R61" s="1317"/>
    </row>
    <row r="62" spans="1:23" ht="12.6" customHeight="1">
      <c r="A62" s="1313" t="s">
        <v>996</v>
      </c>
      <c r="B62" s="1368" t="s">
        <v>997</v>
      </c>
      <c r="C62" s="1368"/>
      <c r="D62" s="1368"/>
      <c r="E62" s="1368"/>
      <c r="F62" s="1368"/>
      <c r="G62" s="1368"/>
      <c r="H62" s="1368"/>
      <c r="I62" s="1368"/>
      <c r="J62" s="1368"/>
      <c r="K62" s="1365"/>
      <c r="R62" s="1317"/>
    </row>
    <row r="63" spans="1:23" ht="12.6" customHeight="1">
      <c r="B63" s="1368"/>
      <c r="C63" s="1368"/>
      <c r="D63" s="1368"/>
      <c r="E63" s="1368"/>
      <c r="F63" s="1368"/>
      <c r="G63" s="1368"/>
      <c r="H63" s="1368"/>
      <c r="I63" s="1368"/>
      <c r="J63" s="1368"/>
      <c r="K63" s="1365"/>
      <c r="R63" s="1317"/>
    </row>
    <row r="64" spans="1:23" ht="12.6" customHeight="1">
      <c r="A64" s="1313" t="s">
        <v>998</v>
      </c>
      <c r="B64" s="1368" t="s">
        <v>999</v>
      </c>
      <c r="C64" s="1368"/>
      <c r="D64" s="1368"/>
      <c r="E64" s="1368"/>
      <c r="F64" s="1368"/>
      <c r="G64" s="1368"/>
      <c r="H64" s="1368"/>
      <c r="I64" s="1368"/>
      <c r="J64" s="1368"/>
      <c r="K64" s="1365"/>
      <c r="R64" s="1317"/>
    </row>
    <row r="65" spans="1:18" ht="5.0999999999999996" customHeight="1">
      <c r="B65" s="1365"/>
      <c r="C65" s="1365"/>
      <c r="D65" s="1365"/>
      <c r="E65" s="1365"/>
      <c r="F65" s="1365"/>
      <c r="G65" s="1365"/>
      <c r="H65" s="1365"/>
      <c r="I65" s="1365"/>
      <c r="J65" s="1365"/>
      <c r="K65" s="1365"/>
      <c r="R65" s="1317"/>
    </row>
    <row r="66" spans="1:18" s="1328" customFormat="1" ht="12.6" customHeight="1">
      <c r="A66" s="1313" t="s">
        <v>1000</v>
      </c>
      <c r="B66" s="1477" t="s">
        <v>1001</v>
      </c>
      <c r="C66" s="1477"/>
      <c r="D66" s="1477"/>
      <c r="E66" s="1477"/>
      <c r="F66" s="1477"/>
      <c r="G66" s="1477"/>
      <c r="H66" s="1477"/>
      <c r="I66" s="1477"/>
      <c r="J66" s="1477"/>
      <c r="K66" s="1369"/>
      <c r="R66" s="1351"/>
    </row>
    <row r="67" spans="1:18" s="1328" customFormat="1" ht="12.6" customHeight="1">
      <c r="A67" s="1313"/>
      <c r="B67" s="1477"/>
      <c r="C67" s="1477"/>
      <c r="D67" s="1477"/>
      <c r="E67" s="1477"/>
      <c r="F67" s="1477"/>
      <c r="G67" s="1477"/>
      <c r="H67" s="1477"/>
      <c r="I67" s="1477"/>
      <c r="J67" s="1477"/>
      <c r="K67" s="1369"/>
      <c r="R67" s="1351"/>
    </row>
    <row r="68" spans="1:18" ht="5.0999999999999996" customHeight="1">
      <c r="B68" s="1365"/>
      <c r="C68" s="1365"/>
      <c r="D68" s="1365"/>
      <c r="E68" s="1365"/>
      <c r="F68" s="1365"/>
      <c r="G68" s="1365"/>
      <c r="H68" s="1365"/>
      <c r="I68" s="1365"/>
      <c r="J68" s="1365"/>
      <c r="K68" s="1365"/>
      <c r="R68" s="1317"/>
    </row>
    <row r="69" spans="1:18" ht="11.45" customHeight="1">
      <c r="A69" s="1313" t="s">
        <v>1002</v>
      </c>
      <c r="B69" s="1478" t="s">
        <v>1003</v>
      </c>
      <c r="C69" s="1478"/>
      <c r="D69" s="1478"/>
      <c r="E69" s="1478"/>
      <c r="F69" s="1478"/>
      <c r="G69" s="1478"/>
      <c r="H69" s="1478"/>
      <c r="I69" s="1478"/>
      <c r="J69" s="1478"/>
      <c r="K69" s="1365"/>
      <c r="R69" s="1317"/>
    </row>
    <row r="70" spans="1:18">
      <c r="B70" s="1478"/>
      <c r="C70" s="1478"/>
      <c r="D70" s="1478"/>
      <c r="E70" s="1478"/>
      <c r="F70" s="1478"/>
      <c r="G70" s="1478"/>
      <c r="H70" s="1478"/>
      <c r="I70" s="1478"/>
      <c r="J70" s="1478"/>
      <c r="K70" s="1365"/>
      <c r="R70" s="1317"/>
    </row>
    <row r="71" spans="1:18" ht="4.5" customHeight="1">
      <c r="B71" s="1370"/>
      <c r="C71" s="1365"/>
      <c r="D71" s="1365"/>
      <c r="E71" s="1365"/>
      <c r="F71" s="1365"/>
      <c r="G71" s="1365"/>
      <c r="H71" s="1365"/>
      <c r="I71" s="1365"/>
      <c r="J71" s="1365"/>
      <c r="K71" s="1365"/>
      <c r="R71" s="1317"/>
    </row>
    <row r="72" spans="1:18" ht="11.45" customHeight="1">
      <c r="A72" s="1357" t="s">
        <v>1004</v>
      </c>
      <c r="B72" s="1476"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476"/>
      <c r="D72" s="1476"/>
      <c r="E72" s="1476"/>
      <c r="F72" s="1476"/>
      <c r="G72" s="1476"/>
      <c r="H72" s="1476"/>
      <c r="I72" s="1476"/>
      <c r="J72" s="1365"/>
      <c r="K72" s="1366"/>
      <c r="R72" s="1317"/>
    </row>
    <row r="73" spans="1:18" ht="11.45" customHeight="1">
      <c r="B73" s="1476"/>
      <c r="C73" s="1476"/>
      <c r="D73" s="1476"/>
      <c r="E73" s="1476"/>
      <c r="F73" s="1476"/>
      <c r="G73" s="1476"/>
      <c r="H73" s="1476"/>
      <c r="I73" s="1476"/>
      <c r="J73" s="1365"/>
      <c r="R73" s="1317"/>
    </row>
    <row r="74" spans="1:18">
      <c r="B74" s="1476"/>
      <c r="C74" s="1476"/>
      <c r="D74" s="1476"/>
      <c r="E74" s="1476"/>
      <c r="F74" s="1476"/>
      <c r="G74" s="1476"/>
      <c r="H74" s="1476"/>
      <c r="I74" s="1476"/>
      <c r="R74" s="1317"/>
    </row>
    <row r="75" spans="1:18">
      <c r="R75" s="1317"/>
    </row>
    <row r="76" spans="1:18">
      <c r="R76" s="1317"/>
    </row>
    <row r="81" spans="1:11">
      <c r="A81" s="1364"/>
      <c r="B81" s="1364"/>
      <c r="C81" s="1364"/>
      <c r="D81" s="1364"/>
      <c r="E81" s="1364"/>
      <c r="F81" s="1364"/>
      <c r="G81" s="1364"/>
      <c r="H81" s="1364"/>
      <c r="I81" s="1364"/>
      <c r="J81" s="1364"/>
      <c r="K81" s="1364"/>
    </row>
    <row r="82" spans="1:11">
      <c r="A82" s="1364"/>
      <c r="B82" s="1364"/>
      <c r="C82" s="1364"/>
      <c r="D82" s="1364"/>
      <c r="E82" s="1364"/>
      <c r="F82" s="1364"/>
      <c r="G82" s="1364"/>
      <c r="H82" s="1364"/>
      <c r="I82" s="1364"/>
      <c r="J82" s="1364"/>
      <c r="K82" s="1364"/>
    </row>
    <row r="83" spans="1:11">
      <c r="D83" s="1364"/>
      <c r="E83" s="1364"/>
      <c r="F83" s="1364"/>
      <c r="G83" s="1364"/>
      <c r="H83" s="1364"/>
      <c r="I83" s="1364"/>
      <c r="J83" s="1364"/>
      <c r="K83" s="1364"/>
    </row>
    <row r="84" spans="1:11">
      <c r="A84" s="1364"/>
      <c r="B84" s="1364"/>
      <c r="C84" s="1364"/>
      <c r="D84" s="1364"/>
      <c r="E84" s="1364"/>
      <c r="F84" s="1364"/>
      <c r="G84" s="1364"/>
      <c r="H84" s="1364"/>
      <c r="I84" s="1364"/>
      <c r="J84" s="1364"/>
      <c r="K84" s="1364"/>
    </row>
    <row r="85" spans="1:11">
      <c r="A85" s="1364"/>
      <c r="B85" s="1364"/>
      <c r="C85" s="1364"/>
      <c r="D85" s="1364"/>
      <c r="E85" s="1364"/>
      <c r="F85" s="1364"/>
      <c r="G85" s="1364"/>
      <c r="H85" s="1364"/>
      <c r="I85" s="1364"/>
      <c r="J85" s="1364"/>
      <c r="K85" s="1364"/>
    </row>
    <row r="86" spans="1:11">
      <c r="A86" s="1364"/>
      <c r="B86" s="1364"/>
      <c r="C86" s="1364"/>
      <c r="D86" s="1364"/>
      <c r="E86" s="1364"/>
      <c r="F86" s="1364"/>
      <c r="G86" s="1364"/>
      <c r="H86" s="1364"/>
      <c r="I86" s="1364"/>
      <c r="J86" s="1364"/>
      <c r="K86" s="1364"/>
    </row>
    <row r="87" spans="1:11">
      <c r="A87" s="1364"/>
      <c r="B87" s="1364"/>
      <c r="C87" s="1364"/>
      <c r="D87" s="1364"/>
      <c r="E87" s="1364"/>
      <c r="F87" s="1364"/>
      <c r="G87" s="1364"/>
      <c r="H87" s="1364"/>
      <c r="I87" s="1364"/>
      <c r="J87" s="1364"/>
      <c r="K87" s="1364"/>
    </row>
    <row r="88" spans="1:11">
      <c r="A88" s="1364"/>
      <c r="B88" s="1364"/>
      <c r="C88" s="1364"/>
      <c r="D88" s="1364"/>
      <c r="E88" s="1364"/>
      <c r="F88" s="1364"/>
      <c r="G88" s="1364"/>
      <c r="H88" s="1364"/>
      <c r="I88" s="1364"/>
      <c r="J88" s="1364"/>
      <c r="K88" s="1364"/>
    </row>
    <row r="89" spans="1:11">
      <c r="A89" s="1364"/>
      <c r="B89" s="1364"/>
      <c r="C89" s="1364"/>
      <c r="D89" s="1364"/>
      <c r="E89" s="1364"/>
      <c r="F89" s="1364"/>
      <c r="G89" s="1364"/>
      <c r="H89" s="1364"/>
      <c r="I89" s="1364"/>
      <c r="J89" s="1364"/>
      <c r="K89" s="1364"/>
    </row>
    <row r="90" spans="1:11">
      <c r="A90" s="1364"/>
      <c r="B90" s="1364"/>
      <c r="C90" s="1364"/>
      <c r="D90" s="1364"/>
      <c r="E90" s="1364"/>
      <c r="F90" s="1364"/>
      <c r="G90" s="1364"/>
      <c r="H90" s="1364"/>
      <c r="I90" s="1364"/>
      <c r="J90" s="1364"/>
      <c r="K90" s="1364"/>
    </row>
    <row r="91" spans="1:11">
      <c r="A91" s="1364"/>
      <c r="B91" s="1364"/>
      <c r="C91" s="1364"/>
      <c r="D91" s="1364"/>
      <c r="E91" s="1364"/>
      <c r="F91" s="1364"/>
      <c r="G91" s="1364"/>
      <c r="H91" s="1364"/>
      <c r="I91" s="1364"/>
      <c r="J91" s="1364"/>
      <c r="K91" s="1364"/>
    </row>
    <row r="98" spans="1:11">
      <c r="B98" s="1357"/>
    </row>
    <row r="99" spans="1:11">
      <c r="B99" s="1366"/>
    </row>
    <row r="100" spans="1:11">
      <c r="B100" s="1366"/>
    </row>
    <row r="101" spans="1:11">
      <c r="B101" s="1366"/>
    </row>
    <row r="102" spans="1:11">
      <c r="B102" s="1366"/>
      <c r="D102" s="1328"/>
      <c r="E102" s="1328"/>
      <c r="F102" s="1328"/>
    </row>
    <row r="103" spans="1:11">
      <c r="A103" s="1371"/>
      <c r="B103" s="1364"/>
      <c r="C103" s="1364"/>
      <c r="D103" s="1364"/>
      <c r="E103" s="1364"/>
      <c r="F103" s="1364"/>
      <c r="G103" s="1364"/>
      <c r="H103" s="1364"/>
      <c r="I103" s="1364"/>
      <c r="J103" s="1364"/>
      <c r="K103" s="1364"/>
    </row>
    <row r="104" spans="1:11">
      <c r="A104" s="1364"/>
      <c r="B104" s="1364"/>
      <c r="C104" s="1364"/>
      <c r="D104" s="1364"/>
      <c r="E104" s="1364"/>
      <c r="F104" s="1364"/>
      <c r="G104" s="1364"/>
      <c r="H104" s="1364"/>
      <c r="I104" s="1364"/>
      <c r="J104" s="1364"/>
      <c r="K104" s="1364"/>
    </row>
    <row r="105" spans="1:11">
      <c r="A105" s="1364"/>
      <c r="B105" s="1364"/>
      <c r="C105" s="1364"/>
      <c r="D105" s="1364"/>
      <c r="E105" s="1364"/>
      <c r="F105" s="1364"/>
      <c r="G105" s="1364"/>
      <c r="H105" s="1364"/>
      <c r="I105" s="1364"/>
      <c r="J105" s="1364"/>
      <c r="K105" s="1364"/>
    </row>
    <row r="106" spans="1:11">
      <c r="A106" s="1364"/>
      <c r="B106" s="1364"/>
      <c r="C106" s="1364"/>
      <c r="D106" s="1364"/>
      <c r="E106" s="1364"/>
      <c r="F106" s="1364"/>
      <c r="G106" s="1364"/>
      <c r="H106" s="1364"/>
      <c r="I106" s="1364"/>
      <c r="J106" s="1364"/>
      <c r="K106" s="1364"/>
    </row>
    <row r="107" spans="1:11">
      <c r="A107" s="1364"/>
      <c r="B107" s="1364"/>
      <c r="C107" s="1364"/>
      <c r="D107" s="1372"/>
      <c r="E107" s="1372"/>
      <c r="F107" s="1372"/>
      <c r="G107" s="1364"/>
      <c r="H107" s="1364"/>
      <c r="I107" s="1364"/>
      <c r="J107" s="1364"/>
      <c r="K107" s="1364"/>
    </row>
    <row r="108" spans="1:11">
      <c r="A108" s="1364"/>
      <c r="B108" s="1364"/>
      <c r="C108" s="1364"/>
      <c r="D108" s="1367"/>
      <c r="E108" s="1367"/>
      <c r="F108" s="1367"/>
      <c r="G108" s="1364"/>
      <c r="H108" s="1364"/>
      <c r="I108" s="1364"/>
      <c r="J108" s="1364"/>
      <c r="K108" s="1364"/>
    </row>
    <row r="109" spans="1:11">
      <c r="A109" s="1364"/>
      <c r="B109" s="1364"/>
      <c r="C109" s="1364"/>
      <c r="D109" s="1372"/>
      <c r="E109" s="1372"/>
      <c r="F109" s="1372"/>
      <c r="G109" s="1364"/>
      <c r="H109" s="1364"/>
      <c r="I109" s="1364"/>
      <c r="J109" s="1364"/>
      <c r="K109" s="1364"/>
    </row>
    <row r="110" spans="1:11">
      <c r="A110" s="1364"/>
      <c r="B110" s="1364"/>
      <c r="C110" s="1364"/>
      <c r="D110" s="1364"/>
      <c r="E110" s="1364"/>
      <c r="F110" s="1364"/>
      <c r="G110" s="1364"/>
      <c r="H110" s="1364"/>
      <c r="I110" s="1364"/>
      <c r="J110" s="1364"/>
      <c r="K110" s="1364"/>
    </row>
    <row r="111" spans="1:11">
      <c r="A111" s="1364"/>
      <c r="B111" s="1364"/>
      <c r="C111" s="1364"/>
      <c r="D111" s="1364"/>
      <c r="E111" s="1364"/>
      <c r="F111" s="1364"/>
      <c r="G111" s="1364"/>
      <c r="H111" s="1364"/>
      <c r="I111" s="1364"/>
      <c r="J111" s="1364"/>
      <c r="K111" s="1364"/>
    </row>
    <row r="112" spans="1:11">
      <c r="A112" s="1364"/>
      <c r="B112" s="1364"/>
      <c r="C112" s="1364"/>
      <c r="D112" s="1364"/>
      <c r="E112" s="1364"/>
      <c r="F112" s="1364"/>
      <c r="G112" s="1364"/>
      <c r="H112" s="1364"/>
      <c r="I112" s="1364"/>
      <c r="J112" s="1364"/>
      <c r="K112" s="1364"/>
    </row>
    <row r="113" spans="1:11">
      <c r="A113" s="1364"/>
      <c r="C113" s="1364"/>
      <c r="D113" s="1364"/>
      <c r="E113" s="1364"/>
      <c r="F113" s="1364"/>
      <c r="G113" s="1364"/>
      <c r="H113" s="1364"/>
      <c r="I113" s="1364"/>
      <c r="J113" s="1364"/>
      <c r="K113" s="1364"/>
    </row>
    <row r="114" spans="1:11">
      <c r="A114" s="1364"/>
      <c r="B114" s="1364"/>
      <c r="C114" s="1364"/>
      <c r="D114" s="1364"/>
      <c r="E114" s="1364"/>
      <c r="F114" s="1364"/>
      <c r="G114" s="1364"/>
      <c r="H114" s="1364"/>
      <c r="I114" s="1364"/>
      <c r="J114" s="1364"/>
      <c r="K114" s="1364"/>
    </row>
    <row r="115" spans="1:11">
      <c r="A115" s="1364"/>
      <c r="B115" s="1364"/>
      <c r="C115" s="1364"/>
      <c r="D115" s="1364"/>
      <c r="E115" s="1364"/>
      <c r="F115" s="1364"/>
      <c r="G115" s="1364"/>
      <c r="H115" s="1364"/>
      <c r="I115" s="1364"/>
      <c r="J115" s="1364"/>
      <c r="K115" s="1364"/>
    </row>
  </sheetData>
  <mergeCells count="17">
    <mergeCell ref="A51:J52"/>
    <mergeCell ref="B55:J60"/>
    <mergeCell ref="B66:J67"/>
    <mergeCell ref="B69:J70"/>
    <mergeCell ref="B72:I74"/>
    <mergeCell ref="R16:R17"/>
    <mergeCell ref="B48:C48"/>
    <mergeCell ref="I9:J9"/>
    <mergeCell ref="K9:M9"/>
    <mergeCell ref="N9:O9"/>
    <mergeCell ref="P9:Q9"/>
    <mergeCell ref="P11:Q11"/>
    <mergeCell ref="R18:R19"/>
    <mergeCell ref="B29:C29"/>
    <mergeCell ref="P32:Q32"/>
    <mergeCell ref="R35:R36"/>
    <mergeCell ref="R37:R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75"/>
  <sheetViews>
    <sheetView view="pageBreakPreview" zoomScaleNormal="85" zoomScaleSheetLayoutView="100" workbookViewId="0"/>
  </sheetViews>
  <sheetFormatPr defaultColWidth="11.42578125" defaultRowHeight="12.75"/>
  <cols>
    <col min="1" max="1" width="8.140625" style="65" customWidth="1"/>
    <col min="2" max="2" width="16.5703125" style="66" bestFit="1" customWidth="1"/>
    <col min="3" max="3" width="44.140625" style="66" customWidth="1"/>
    <col min="4" max="4" width="29.7109375" style="66" customWidth="1"/>
    <col min="5" max="5" width="24.28515625" style="75" customWidth="1"/>
    <col min="6" max="6" width="1" style="75" customWidth="1"/>
    <col min="7" max="7" width="20.85546875" style="66" customWidth="1"/>
    <col min="8" max="8" width="1" style="66" customWidth="1"/>
    <col min="9" max="9" width="19.140625" style="66" customWidth="1"/>
    <col min="10" max="10" width="16.7109375" style="66" customWidth="1"/>
    <col min="11" max="11" width="15.28515625" style="66" customWidth="1"/>
    <col min="12" max="12" width="33.5703125" style="66" customWidth="1"/>
    <col min="13" max="14" width="13.42578125" style="66" customWidth="1"/>
    <col min="15" max="15" width="13.7109375" style="66" customWidth="1"/>
    <col min="16" max="16384" width="11.42578125" style="66"/>
  </cols>
  <sheetData>
    <row r="1" spans="1:15" ht="15.75">
      <c r="A1" s="874" t="s">
        <v>114</v>
      </c>
    </row>
    <row r="2" spans="1:15" ht="15.75">
      <c r="A2" s="874" t="s">
        <v>114</v>
      </c>
    </row>
    <row r="3" spans="1:15" ht="15">
      <c r="A3" s="1454" t="str">
        <f>+'WS B ADIT &amp; ITC'!A3:I3</f>
        <v>AEP East Companies</v>
      </c>
      <c r="B3" s="1454"/>
      <c r="C3" s="1454"/>
      <c r="D3" s="1454"/>
      <c r="E3" s="1454"/>
      <c r="F3" s="1454"/>
      <c r="G3" s="1454"/>
      <c r="H3" s="1454"/>
      <c r="I3" s="1454"/>
      <c r="J3" s="1454"/>
      <c r="K3" s="1454"/>
      <c r="L3" s="1454"/>
      <c r="M3" s="37"/>
      <c r="N3" s="37"/>
      <c r="O3" s="37"/>
    </row>
    <row r="4" spans="1:15" ht="15">
      <c r="A4" s="1455" t="str">
        <f>"Cost of Service Formula Rate Using Actual/Projected FF1 Balances"</f>
        <v>Cost of Service Formula Rate Using Actual/Projected FF1 Balances</v>
      </c>
      <c r="B4" s="1455"/>
      <c r="C4" s="1455"/>
      <c r="D4" s="1455"/>
      <c r="E4" s="1455"/>
      <c r="F4" s="1455"/>
      <c r="G4" s="1455"/>
      <c r="H4" s="1455"/>
      <c r="I4" s="1455"/>
      <c r="J4" s="1455"/>
      <c r="K4" s="1455"/>
      <c r="L4" s="1455"/>
      <c r="M4" s="93"/>
      <c r="N4" s="93"/>
      <c r="O4" s="93"/>
    </row>
    <row r="5" spans="1:15" ht="15">
      <c r="A5" s="1455" t="s">
        <v>495</v>
      </c>
      <c r="B5" s="1455"/>
      <c r="C5" s="1455"/>
      <c r="D5" s="1455"/>
      <c r="E5" s="1455"/>
      <c r="F5" s="1455"/>
      <c r="G5" s="1455"/>
      <c r="H5" s="1455"/>
      <c r="I5" s="1455"/>
      <c r="J5" s="1455"/>
      <c r="K5" s="1455"/>
      <c r="L5" s="1455"/>
      <c r="M5" s="92"/>
      <c r="N5" s="92"/>
      <c r="O5" s="92"/>
    </row>
    <row r="6" spans="1:15" ht="15">
      <c r="A6" s="1466" t="str">
        <f>TCOS!F9</f>
        <v>WHEELING POWER COMPANY</v>
      </c>
      <c r="B6" s="1466"/>
      <c r="C6" s="1466"/>
      <c r="D6" s="1466"/>
      <c r="E6" s="1466"/>
      <c r="F6" s="1466"/>
      <c r="G6" s="1466"/>
      <c r="H6" s="1466"/>
      <c r="I6" s="1466"/>
      <c r="J6" s="1466"/>
      <c r="K6" s="1466"/>
      <c r="L6" s="1466"/>
      <c r="M6" s="3"/>
      <c r="N6" s="3"/>
      <c r="O6" s="3"/>
    </row>
    <row r="7" spans="1:15" ht="15">
      <c r="A7" s="3"/>
      <c r="B7" s="3"/>
      <c r="C7" s="3"/>
      <c r="D7" s="3"/>
      <c r="E7" s="3"/>
      <c r="F7" s="3"/>
      <c r="G7" s="3"/>
      <c r="H7" s="2"/>
      <c r="I7" s="64"/>
      <c r="J7" s="64"/>
      <c r="K7" s="64"/>
      <c r="L7" s="64"/>
      <c r="M7" s="64"/>
      <c r="N7" s="64"/>
      <c r="O7" s="64"/>
    </row>
    <row r="8" spans="1:15" ht="12.75" customHeight="1">
      <c r="A8" s="90"/>
      <c r="B8" s="90" t="s">
        <v>162</v>
      </c>
      <c r="C8" s="90" t="s">
        <v>163</v>
      </c>
      <c r="D8" s="88" t="s">
        <v>4</v>
      </c>
      <c r="E8" s="88" t="s">
        <v>165</v>
      </c>
      <c r="F8" s="90"/>
      <c r="G8" s="90" t="s">
        <v>84</v>
      </c>
      <c r="H8" s="90"/>
      <c r="I8" s="90" t="s">
        <v>85</v>
      </c>
      <c r="J8" s="90" t="s">
        <v>86</v>
      </c>
      <c r="K8" s="90" t="s">
        <v>91</v>
      </c>
      <c r="L8" s="90" t="s">
        <v>500</v>
      </c>
      <c r="M8" s="90"/>
      <c r="N8" s="90"/>
      <c r="O8" s="90"/>
    </row>
    <row r="9" spans="1:15">
      <c r="A9" s="63"/>
    </row>
    <row r="10" spans="1:15" ht="18">
      <c r="A10" s="87"/>
      <c r="B10" s="1480" t="s">
        <v>207</v>
      </c>
      <c r="C10" s="1480"/>
      <c r="D10" s="1480"/>
      <c r="E10" s="1480"/>
      <c r="F10" s="1480"/>
      <c r="G10" s="1480"/>
      <c r="H10" s="1480"/>
      <c r="I10" s="1480"/>
      <c r="J10" s="1480"/>
      <c r="K10" s="1480"/>
      <c r="O10" s="75"/>
    </row>
    <row r="11" spans="1:15">
      <c r="A11" s="87"/>
      <c r="I11" s="15"/>
      <c r="J11" s="15"/>
      <c r="O11" s="75"/>
    </row>
    <row r="12" spans="1:15" ht="12.75" customHeight="1">
      <c r="A12" s="11" t="s">
        <v>169</v>
      </c>
      <c r="B12" s="68"/>
      <c r="C12" s="76"/>
      <c r="D12" s="187"/>
      <c r="E12" s="1482" t="str">
        <f>"Balance @ December 31, "&amp;TCOS!L4&amp;""</f>
        <v>Balance @ December 31, 2023</v>
      </c>
      <c r="F12" s="187"/>
      <c r="G12" s="1482" t="str">
        <f>"Balance @ December 31, "&amp;TCOS!L4-1&amp;""</f>
        <v>Balance @ December 31, 2022</v>
      </c>
      <c r="H12" s="235"/>
      <c r="I12" s="1467" t="str">
        <f>"Average Balance for "&amp;TCOS!L4&amp;""</f>
        <v>Average Balance for 2023</v>
      </c>
      <c r="J12" s="98"/>
      <c r="K12" s="71"/>
      <c r="L12" s="77"/>
      <c r="M12" s="71"/>
      <c r="N12" s="71"/>
      <c r="O12" s="75"/>
    </row>
    <row r="13" spans="1:15">
      <c r="A13" s="11" t="s">
        <v>106</v>
      </c>
      <c r="B13" s="72"/>
      <c r="C13" s="68"/>
      <c r="D13" s="188" t="s">
        <v>206</v>
      </c>
      <c r="E13" s="1483"/>
      <c r="F13" s="189"/>
      <c r="G13" s="1483"/>
      <c r="H13" s="190"/>
      <c r="I13" s="1465"/>
      <c r="J13" s="98"/>
      <c r="K13" s="78"/>
      <c r="L13" s="79"/>
      <c r="M13" s="69"/>
      <c r="N13" s="69"/>
    </row>
    <row r="14" spans="1:15">
      <c r="A14" s="72"/>
      <c r="B14" s="72"/>
      <c r="C14" s="68"/>
      <c r="D14" s="74"/>
      <c r="E14" s="67"/>
      <c r="F14" s="67"/>
      <c r="G14" s="208"/>
      <c r="H14" s="73"/>
      <c r="J14" s="15"/>
      <c r="K14" s="78"/>
      <c r="L14" s="79"/>
      <c r="M14" s="69"/>
      <c r="N14" s="69"/>
    </row>
    <row r="15" spans="1:15">
      <c r="A15" s="72">
        <v>1</v>
      </c>
      <c r="B15" s="72"/>
      <c r="D15" s="57"/>
      <c r="E15" s="29"/>
      <c r="F15" s="29"/>
      <c r="G15" s="29"/>
      <c r="H15" s="29"/>
      <c r="I15" s="29"/>
      <c r="K15" s="29"/>
      <c r="L15" s="29"/>
      <c r="M15" s="69"/>
      <c r="N15" s="69"/>
    </row>
    <row r="16" spans="1:15">
      <c r="A16" s="72"/>
      <c r="B16" s="72"/>
      <c r="C16" s="57"/>
      <c r="D16" s="57"/>
      <c r="E16" s="29"/>
      <c r="F16" s="29"/>
      <c r="G16" s="29"/>
      <c r="H16" s="29"/>
      <c r="I16" s="29"/>
      <c r="K16" s="29"/>
      <c r="L16" s="29"/>
      <c r="M16" s="69"/>
      <c r="N16" s="69"/>
    </row>
    <row r="17" spans="1:14">
      <c r="A17" s="72">
        <f>+A15+1</f>
        <v>2</v>
      </c>
      <c r="B17" s="72"/>
      <c r="C17" s="57" t="s">
        <v>526</v>
      </c>
      <c r="D17" s="70" t="s">
        <v>435</v>
      </c>
      <c r="E17" s="833">
        <v>2000</v>
      </c>
      <c r="F17" s="29"/>
      <c r="G17" s="833">
        <v>2000</v>
      </c>
      <c r="H17" s="29"/>
      <c r="I17" s="134">
        <f>IF(G17="",0,(E17+G17)/2)</f>
        <v>2000</v>
      </c>
      <c r="J17"/>
      <c r="K17" s="134"/>
      <c r="L17" s="29"/>
      <c r="M17" s="69"/>
      <c r="N17" s="69"/>
    </row>
    <row r="18" spans="1:14">
      <c r="A18" s="72"/>
      <c r="B18" s="72"/>
      <c r="C18" s="57"/>
      <c r="D18"/>
      <c r="E18"/>
      <c r="F18"/>
      <c r="G18"/>
      <c r="H18"/>
      <c r="I18" s="4"/>
      <c r="J18"/>
      <c r="K18"/>
      <c r="L18" s="29"/>
      <c r="M18" s="69"/>
      <c r="N18" s="69"/>
    </row>
    <row r="19" spans="1:14">
      <c r="A19" s="72">
        <f>+A17+1</f>
        <v>3</v>
      </c>
      <c r="B19" s="72"/>
      <c r="C19" s="57" t="s">
        <v>528</v>
      </c>
      <c r="D19" s="70" t="s">
        <v>436</v>
      </c>
      <c r="E19" s="833">
        <v>2000</v>
      </c>
      <c r="F19" s="29"/>
      <c r="G19" s="833">
        <v>2000</v>
      </c>
      <c r="H19" s="73"/>
      <c r="I19" s="134">
        <f>IF(G19="",0,(E19+G19)/2)</f>
        <v>2000</v>
      </c>
      <c r="J19" s="15"/>
      <c r="K19" s="78"/>
      <c r="L19" s="79"/>
      <c r="M19" s="69"/>
      <c r="N19" s="69"/>
    </row>
    <row r="20" spans="1:14">
      <c r="A20" s="72"/>
      <c r="B20" s="72"/>
      <c r="C20" s="57"/>
      <c r="D20" s="70"/>
      <c r="E20"/>
      <c r="F20"/>
      <c r="G20"/>
      <c r="H20"/>
      <c r="I20"/>
      <c r="J20"/>
      <c r="K20" s="78"/>
      <c r="L20" s="79"/>
      <c r="M20" s="69"/>
      <c r="N20" s="69"/>
    </row>
    <row r="21" spans="1:14">
      <c r="A21" s="72">
        <f>+A19+1</f>
        <v>4</v>
      </c>
      <c r="B21" s="72"/>
      <c r="C21" s="57" t="s">
        <v>759</v>
      </c>
      <c r="D21" s="70" t="s">
        <v>437</v>
      </c>
      <c r="E21" s="833"/>
      <c r="F21" s="29"/>
      <c r="G21" s="833"/>
      <c r="H21" s="73"/>
      <c r="I21" s="134">
        <f>IF(G21="",0,(E21+G21)/2)</f>
        <v>0</v>
      </c>
      <c r="J21" s="15"/>
      <c r="K21" s="78"/>
      <c r="L21" s="79"/>
      <c r="M21" s="69"/>
      <c r="N21" s="69"/>
    </row>
    <row r="22" spans="1:14">
      <c r="A22" s="72"/>
      <c r="B22" s="72"/>
      <c r="C22" s="68"/>
      <c r="D22" s="74"/>
      <c r="E22" s="67"/>
      <c r="F22" s="67"/>
      <c r="G22" s="75"/>
      <c r="H22" s="73"/>
      <c r="I22" s="75"/>
      <c r="J22" s="15"/>
      <c r="K22" s="78"/>
      <c r="L22" s="79"/>
      <c r="M22" s="69"/>
      <c r="N22" s="69"/>
    </row>
    <row r="23" spans="1:14">
      <c r="A23" s="177"/>
      <c r="B23" s="177"/>
      <c r="C23" s="178"/>
      <c r="D23" s="179"/>
      <c r="E23" s="180"/>
      <c r="F23" s="180"/>
      <c r="G23" s="181"/>
      <c r="H23" s="182"/>
      <c r="I23" s="181"/>
      <c r="J23" s="183"/>
      <c r="K23" s="184"/>
      <c r="L23" s="185"/>
      <c r="M23" s="69"/>
      <c r="N23" s="69"/>
    </row>
    <row r="24" spans="1:14" ht="18">
      <c r="A24" s="72"/>
      <c r="B24" s="1480" t="s">
        <v>758</v>
      </c>
      <c r="C24" s="1480"/>
      <c r="D24" s="1480"/>
      <c r="E24" s="1480"/>
      <c r="F24" s="1480"/>
      <c r="G24" s="1480"/>
      <c r="H24" s="1480"/>
      <c r="I24" s="1480"/>
      <c r="J24" s="1480"/>
      <c r="K24" s="1480"/>
      <c r="L24" s="79"/>
      <c r="M24" s="69"/>
      <c r="N24" s="69"/>
    </row>
    <row r="25" spans="1:14" ht="12.75" customHeight="1">
      <c r="A25" s="72"/>
      <c r="B25" s="147"/>
      <c r="C25" s="68"/>
      <c r="D25" s="23"/>
      <c r="E25" s="9"/>
      <c r="F25" s="66"/>
      <c r="G25" s="9" t="s">
        <v>87</v>
      </c>
      <c r="I25" s="7" t="s">
        <v>115</v>
      </c>
      <c r="J25" s="7" t="s">
        <v>115</v>
      </c>
      <c r="K25" s="7" t="s">
        <v>179</v>
      </c>
      <c r="L25" s="79"/>
      <c r="M25" s="69"/>
      <c r="N25" s="69"/>
    </row>
    <row r="26" spans="1:14" ht="12.75" customHeight="1">
      <c r="A26" s="72"/>
      <c r="B26" s="147"/>
      <c r="C26" s="68"/>
      <c r="D26" s="144" t="s">
        <v>501</v>
      </c>
      <c r="E26" s="7" t="s">
        <v>530</v>
      </c>
      <c r="F26" s="66"/>
      <c r="G26" s="7" t="s">
        <v>115</v>
      </c>
      <c r="I26" s="7" t="s">
        <v>523</v>
      </c>
      <c r="J26" s="7" t="s">
        <v>161</v>
      </c>
      <c r="K26" s="7" t="s">
        <v>180</v>
      </c>
      <c r="L26" s="79"/>
      <c r="M26" s="69"/>
      <c r="N26" s="69"/>
    </row>
    <row r="27" spans="1:14" ht="12.75" customHeight="1">
      <c r="A27" s="72">
        <f>+A21+1</f>
        <v>5</v>
      </c>
      <c r="B27" s="147"/>
      <c r="C27" s="68"/>
      <c r="D27" s="12" t="s">
        <v>88</v>
      </c>
      <c r="E27" s="12" t="s">
        <v>502</v>
      </c>
      <c r="F27" s="66"/>
      <c r="G27" s="12" t="s">
        <v>524</v>
      </c>
      <c r="I27" s="12" t="s">
        <v>524</v>
      </c>
      <c r="J27" s="12" t="s">
        <v>524</v>
      </c>
      <c r="K27" s="12" t="s">
        <v>525</v>
      </c>
      <c r="L27" s="79"/>
      <c r="M27" s="69"/>
      <c r="N27" s="69"/>
    </row>
    <row r="28" spans="1:14">
      <c r="A28" s="72"/>
      <c r="B28" s="72"/>
      <c r="C28" s="68"/>
      <c r="D28" s="74"/>
      <c r="E28" s="67"/>
      <c r="F28" s="67"/>
      <c r="G28" s="75"/>
      <c r="H28" s="73"/>
      <c r="I28" s="75"/>
      <c r="J28" s="15"/>
      <c r="K28" s="209"/>
      <c r="L28" s="79"/>
      <c r="M28" s="69"/>
      <c r="N28" s="69"/>
    </row>
    <row r="29" spans="1:14">
      <c r="A29" s="72">
        <f>+A27+1</f>
        <v>6</v>
      </c>
      <c r="B29" s="72"/>
      <c r="C29" s="66" t="str">
        <f>"Totals as of December 31, "&amp;TCOS!L4&amp;""</f>
        <v>Totals as of December 31, 2023</v>
      </c>
      <c r="D29" s="148">
        <f>ROUND(D51,0)</f>
        <v>1736000</v>
      </c>
      <c r="E29" s="216">
        <f>ROUND(E51,0)</f>
        <v>-2507000</v>
      </c>
      <c r="F29" s="149"/>
      <c r="G29" s="148">
        <f>ROUND(G51,0)</f>
        <v>0</v>
      </c>
      <c r="H29" s="73"/>
      <c r="I29" s="148">
        <f>ROUND(I51,0)</f>
        <v>856000</v>
      </c>
      <c r="J29" s="150">
        <f>+J51</f>
        <v>3387000</v>
      </c>
      <c r="K29" s="148">
        <f>ROUND(K51,0)</f>
        <v>4243000</v>
      </c>
      <c r="L29" s="79"/>
      <c r="M29" s="69"/>
      <c r="N29" s="69"/>
    </row>
    <row r="30" spans="1:14">
      <c r="A30" s="72">
        <f>+A29+1</f>
        <v>7</v>
      </c>
      <c r="B30" s="72"/>
      <c r="C30" s="66" t="str">
        <f>"Totals as of December 31, "&amp;TCOS!L4-1&amp;""</f>
        <v>Totals as of December 31, 2022</v>
      </c>
      <c r="D30" s="153">
        <f>IF(D72="","",D72)</f>
        <v>1736000</v>
      </c>
      <c r="E30" s="217">
        <f>IF(E72="","",E72)</f>
        <v>-2507000</v>
      </c>
      <c r="F30" s="67"/>
      <c r="G30" s="153" t="str">
        <f>IF(G72="","",G72)</f>
        <v/>
      </c>
      <c r="H30" s="73"/>
      <c r="I30" s="153">
        <f>IF(I72="","",I72)</f>
        <v>856000</v>
      </c>
      <c r="J30" s="153">
        <f>IF(J72="","",J72)</f>
        <v>3387000</v>
      </c>
      <c r="K30" s="153">
        <f>IF(K72="","",K72)</f>
        <v>4243000</v>
      </c>
      <c r="L30" s="79"/>
      <c r="M30" s="69"/>
      <c r="N30" s="69"/>
    </row>
    <row r="31" spans="1:14" ht="13.5" thickBot="1">
      <c r="A31" s="72">
        <f>+A30+1</f>
        <v>8</v>
      </c>
      <c r="B31" s="72"/>
      <c r="C31" s="94" t="s">
        <v>213</v>
      </c>
      <c r="D31" s="154">
        <f>IF(D30="",0,(D29+D30)/2)</f>
        <v>1736000</v>
      </c>
      <c r="E31" s="154">
        <f>IF(E30="",0,(E29+E30)/2)</f>
        <v>-2507000</v>
      </c>
      <c r="F31" s="155"/>
      <c r="G31" s="154">
        <f>IF(G30="",0,(G29+G30)/2)</f>
        <v>0</v>
      </c>
      <c r="H31" s="89"/>
      <c r="I31" s="154">
        <f>IF(I30="",0,(I29+I30)/2)</f>
        <v>856000</v>
      </c>
      <c r="J31" s="154">
        <f>IF(J30="",0,(J29+J30)/2)</f>
        <v>3387000</v>
      </c>
      <c r="K31" s="154">
        <f>IF(K30="",0,(K29+K30)/2)</f>
        <v>4243000</v>
      </c>
      <c r="L31" s="79"/>
      <c r="M31" s="69"/>
      <c r="N31" s="69"/>
    </row>
    <row r="32" spans="1:14" ht="13.5" thickTop="1">
      <c r="A32" s="72"/>
      <c r="B32" s="72"/>
      <c r="D32" s="74"/>
      <c r="E32" s="67"/>
      <c r="F32" s="67"/>
      <c r="G32" s="75"/>
      <c r="H32" s="73"/>
      <c r="I32" s="75"/>
      <c r="J32" s="15"/>
      <c r="K32" s="78"/>
      <c r="L32" s="79"/>
      <c r="M32" s="69"/>
      <c r="N32" s="69"/>
    </row>
    <row r="33" spans="1:14">
      <c r="A33" s="66"/>
      <c r="E33" s="66"/>
      <c r="F33" s="66"/>
      <c r="J33" s="15"/>
      <c r="K33" s="78"/>
      <c r="L33" s="79"/>
      <c r="M33" s="69"/>
      <c r="N33" s="69"/>
    </row>
    <row r="34" spans="1:14" ht="18">
      <c r="A34" s="72"/>
      <c r="B34" s="1481" t="str">
        <f>"Prepayments Account 165 - Balance @ 12/31/"&amp;D36&amp;""</f>
        <v>Prepayments Account 165 - Balance @ 12/31/2023</v>
      </c>
      <c r="C34" s="1484"/>
      <c r="D34" s="1484"/>
      <c r="E34" s="1484"/>
      <c r="F34" s="1484"/>
      <c r="G34" s="1484"/>
      <c r="H34" s="1484"/>
      <c r="I34" s="1484"/>
      <c r="J34" s="1484"/>
      <c r="K34" s="78"/>
      <c r="L34" s="79"/>
      <c r="M34" s="69"/>
      <c r="N34" s="69"/>
    </row>
    <row r="35" spans="1:14">
      <c r="A35" s="72"/>
      <c r="B35" s="140"/>
      <c r="C35" s="142"/>
      <c r="D35" s="23"/>
      <c r="E35" s="9"/>
      <c r="F35" s="66"/>
      <c r="G35" s="9" t="s">
        <v>87</v>
      </c>
      <c r="I35" s="7" t="s">
        <v>115</v>
      </c>
      <c r="J35" s="7" t="s">
        <v>115</v>
      </c>
      <c r="K35" s="7" t="s">
        <v>179</v>
      </c>
      <c r="L35"/>
      <c r="M35" s="69"/>
      <c r="N35" s="69"/>
    </row>
    <row r="36" spans="1:14">
      <c r="A36" s="72"/>
      <c r="B36" s="140"/>
      <c r="C36" s="143"/>
      <c r="D36" s="144" t="str">
        <f>""&amp;TCOS!L4</f>
        <v>2023</v>
      </c>
      <c r="E36" s="7" t="s">
        <v>530</v>
      </c>
      <c r="F36" s="66"/>
      <c r="G36" s="7" t="s">
        <v>115</v>
      </c>
      <c r="I36" s="7" t="s">
        <v>523</v>
      </c>
      <c r="J36" s="7" t="s">
        <v>161</v>
      </c>
      <c r="K36" s="7" t="s">
        <v>180</v>
      </c>
      <c r="L36"/>
      <c r="M36" s="69"/>
      <c r="N36" s="69"/>
    </row>
    <row r="37" spans="1:14">
      <c r="A37" s="72">
        <f>+A31+1</f>
        <v>9</v>
      </c>
      <c r="B37" s="12" t="s">
        <v>90</v>
      </c>
      <c r="C37" s="12" t="s">
        <v>167</v>
      </c>
      <c r="D37" s="12" t="s">
        <v>88</v>
      </c>
      <c r="E37" s="12" t="s">
        <v>502</v>
      </c>
      <c r="F37" s="66"/>
      <c r="G37" s="12" t="s">
        <v>524</v>
      </c>
      <c r="I37" s="12" t="s">
        <v>524</v>
      </c>
      <c r="J37" s="12" t="s">
        <v>524</v>
      </c>
      <c r="K37" s="12" t="s">
        <v>525</v>
      </c>
      <c r="L37" s="12" t="s">
        <v>39</v>
      </c>
      <c r="M37" s="69"/>
      <c r="N37" s="69"/>
    </row>
    <row r="38" spans="1:14">
      <c r="A38" s="72"/>
      <c r="B38" s="140"/>
      <c r="C38" s="142"/>
      <c r="D38" s="142"/>
      <c r="E38" s="142"/>
      <c r="F38" s="66"/>
      <c r="G38" s="142"/>
      <c r="I38" s="142"/>
      <c r="J38" s="142"/>
      <c r="K38" s="209"/>
      <c r="L38"/>
      <c r="M38" s="69"/>
      <c r="N38" s="69"/>
    </row>
    <row r="39" spans="1:14" ht="14.25">
      <c r="A39" s="72">
        <f>+A37+1</f>
        <v>10</v>
      </c>
      <c r="B39" s="834" t="s">
        <v>868</v>
      </c>
      <c r="C39" s="835" t="s">
        <v>869</v>
      </c>
      <c r="D39" s="836">
        <v>364000</v>
      </c>
      <c r="E39" s="1373">
        <f>+D39-K39</f>
        <v>0</v>
      </c>
      <c r="F39" s="1419"/>
      <c r="G39" s="1374"/>
      <c r="H39" s="1419"/>
      <c r="I39" s="1374">
        <f>D39</f>
        <v>364000</v>
      </c>
      <c r="J39" s="1374"/>
      <c r="K39" s="1374">
        <f t="shared" ref="K39:K46" si="0">+G39+I39+J39</f>
        <v>364000</v>
      </c>
      <c r="L39" t="s">
        <v>531</v>
      </c>
      <c r="M39" s="69"/>
      <c r="N39" s="69"/>
    </row>
    <row r="40" spans="1:14" ht="14.25">
      <c r="A40" s="72">
        <f t="shared" ref="A40:A49" si="1">+A39+1</f>
        <v>11</v>
      </c>
      <c r="B40" s="837" t="s">
        <v>1052</v>
      </c>
      <c r="C40" s="835" t="s">
        <v>900</v>
      </c>
      <c r="D40" s="836">
        <v>0</v>
      </c>
      <c r="E40" s="1373">
        <f>D40</f>
        <v>0</v>
      </c>
      <c r="F40" s="1419"/>
      <c r="G40" s="1374"/>
      <c r="H40" s="1419"/>
      <c r="I40" s="1374"/>
      <c r="J40" s="1374"/>
      <c r="K40" s="1374">
        <f t="shared" si="0"/>
        <v>0</v>
      </c>
      <c r="L40" t="s">
        <v>902</v>
      </c>
      <c r="M40" s="69"/>
      <c r="N40" s="69"/>
    </row>
    <row r="41" spans="1:14" ht="14.25">
      <c r="A41" s="72">
        <f t="shared" si="1"/>
        <v>12</v>
      </c>
      <c r="B41" s="837" t="s">
        <v>1053</v>
      </c>
      <c r="C41" s="835" t="s">
        <v>900</v>
      </c>
      <c r="D41" s="836">
        <v>0</v>
      </c>
      <c r="E41" s="1373"/>
      <c r="F41" s="1419"/>
      <c r="G41" s="1374"/>
      <c r="H41" s="1419"/>
      <c r="I41" s="1374"/>
      <c r="J41" s="1374"/>
      <c r="K41" s="1374">
        <f t="shared" si="0"/>
        <v>0</v>
      </c>
      <c r="L41" t="s">
        <v>900</v>
      </c>
      <c r="M41" s="69"/>
      <c r="N41" s="69"/>
    </row>
    <row r="42" spans="1:14" ht="14.25">
      <c r="A42" s="72">
        <f t="shared" si="1"/>
        <v>13</v>
      </c>
      <c r="B42" s="1418" t="s">
        <v>1054</v>
      </c>
      <c r="C42" s="835" t="s">
        <v>900</v>
      </c>
      <c r="D42" s="836">
        <v>880000</v>
      </c>
      <c r="E42" s="1373">
        <f t="shared" ref="E42:E48" si="2">+D42-K42</f>
        <v>880000</v>
      </c>
      <c r="F42" s="1419"/>
      <c r="G42" s="1374"/>
      <c r="H42" s="1419"/>
      <c r="I42" s="1374"/>
      <c r="J42" s="1374"/>
      <c r="K42" s="1374">
        <f t="shared" si="0"/>
        <v>0</v>
      </c>
      <c r="L42" t="s">
        <v>1040</v>
      </c>
      <c r="M42" s="69"/>
      <c r="N42" s="69"/>
    </row>
    <row r="43" spans="1:14" ht="14.25">
      <c r="A43" s="72">
        <f t="shared" si="1"/>
        <v>14</v>
      </c>
      <c r="B43" s="834" t="s">
        <v>1055</v>
      </c>
      <c r="C43" s="835" t="s">
        <v>1040</v>
      </c>
      <c r="D43" s="836">
        <v>0</v>
      </c>
      <c r="E43" s="1373">
        <f t="shared" si="2"/>
        <v>0</v>
      </c>
      <c r="F43" s="1419"/>
      <c r="G43" s="1375"/>
      <c r="H43" s="1419"/>
      <c r="I43" s="1375"/>
      <c r="J43" s="1375">
        <f>D43</f>
        <v>0</v>
      </c>
      <c r="K43" s="1375">
        <f t="shared" si="0"/>
        <v>0</v>
      </c>
      <c r="L43" t="s">
        <v>903</v>
      </c>
      <c r="M43" s="69"/>
      <c r="N43" s="69"/>
    </row>
    <row r="44" spans="1:14" ht="14.25">
      <c r="A44" s="72">
        <f t="shared" si="1"/>
        <v>15</v>
      </c>
      <c r="B44" s="834" t="s">
        <v>870</v>
      </c>
      <c r="C44" s="835" t="s">
        <v>871</v>
      </c>
      <c r="D44" s="836">
        <v>12569000</v>
      </c>
      <c r="E44" s="1373">
        <f t="shared" si="2"/>
        <v>12569000</v>
      </c>
      <c r="F44" s="1419"/>
      <c r="G44" s="1374"/>
      <c r="H44" s="1419"/>
      <c r="I44" s="1374"/>
      <c r="J44" s="1374"/>
      <c r="K44" s="1375">
        <f t="shared" si="0"/>
        <v>0</v>
      </c>
      <c r="L44" s="5" t="s">
        <v>908</v>
      </c>
      <c r="M44" s="69"/>
      <c r="N44" s="69"/>
    </row>
    <row r="45" spans="1:14" ht="14.25">
      <c r="A45" s="72">
        <f t="shared" si="1"/>
        <v>16</v>
      </c>
      <c r="B45" s="834" t="s">
        <v>872</v>
      </c>
      <c r="C45" s="835" t="s">
        <v>873</v>
      </c>
      <c r="D45" s="836">
        <v>-12569000</v>
      </c>
      <c r="E45" s="1373">
        <f t="shared" si="2"/>
        <v>-12569000</v>
      </c>
      <c r="F45" s="1419"/>
      <c r="G45" s="1374"/>
      <c r="H45" s="1419"/>
      <c r="I45" s="1374"/>
      <c r="J45" s="1374"/>
      <c r="K45" s="1375">
        <f t="shared" si="0"/>
        <v>0</v>
      </c>
      <c r="L45" t="s">
        <v>114</v>
      </c>
      <c r="M45" s="69"/>
      <c r="N45" s="69"/>
    </row>
    <row r="46" spans="1:14" ht="14.25">
      <c r="A46" s="72">
        <f t="shared" si="1"/>
        <v>17</v>
      </c>
      <c r="B46" s="1283" t="s">
        <v>901</v>
      </c>
      <c r="C46" s="835" t="s">
        <v>874</v>
      </c>
      <c r="D46" s="836">
        <v>492000</v>
      </c>
      <c r="E46" s="1373">
        <f t="shared" si="2"/>
        <v>0</v>
      </c>
      <c r="F46" s="1419"/>
      <c r="G46" s="1374"/>
      <c r="H46" s="1419"/>
      <c r="I46" s="1374">
        <f>D46</f>
        <v>492000</v>
      </c>
      <c r="J46" s="1374"/>
      <c r="K46" s="1375">
        <f t="shared" si="0"/>
        <v>492000</v>
      </c>
      <c r="L46" t="s">
        <v>905</v>
      </c>
      <c r="M46" s="69"/>
      <c r="N46" s="69"/>
    </row>
    <row r="47" spans="1:14" ht="14.25">
      <c r="A47" s="72">
        <f t="shared" si="1"/>
        <v>18</v>
      </c>
      <c r="B47" s="1284" t="s">
        <v>1056</v>
      </c>
      <c r="C47" s="835" t="s">
        <v>1057</v>
      </c>
      <c r="D47" s="836">
        <v>3387000</v>
      </c>
      <c r="E47" s="1373">
        <f t="shared" si="2"/>
        <v>0</v>
      </c>
      <c r="F47" s="1419"/>
      <c r="G47" s="1375"/>
      <c r="H47" s="1419"/>
      <c r="I47" s="1375"/>
      <c r="J47" s="1375">
        <f>D47</f>
        <v>3387000</v>
      </c>
      <c r="K47" s="1375">
        <f>+G47+I47+J47</f>
        <v>3387000</v>
      </c>
      <c r="L47" t="s">
        <v>906</v>
      </c>
      <c r="M47" s="69"/>
      <c r="N47" s="69"/>
    </row>
    <row r="48" spans="1:14" ht="14.25">
      <c r="A48" s="72">
        <f t="shared" si="1"/>
        <v>19</v>
      </c>
      <c r="B48" s="1284" t="s">
        <v>1058</v>
      </c>
      <c r="C48" s="835" t="s">
        <v>1059</v>
      </c>
      <c r="D48" s="836">
        <v>-3387000</v>
      </c>
      <c r="E48" s="1373">
        <f t="shared" si="2"/>
        <v>-3387000</v>
      </c>
      <c r="F48" s="1419"/>
      <c r="G48" s="1375"/>
      <c r="H48" s="1419"/>
      <c r="I48" s="1375"/>
      <c r="J48" s="1375"/>
      <c r="K48" s="1375">
        <f>+G48+I48+J48</f>
        <v>0</v>
      </c>
      <c r="L48" t="s">
        <v>908</v>
      </c>
      <c r="M48" s="69"/>
      <c r="N48" s="69"/>
    </row>
    <row r="49" spans="1:15" ht="14.25">
      <c r="A49" s="72">
        <f t="shared" si="1"/>
        <v>20</v>
      </c>
      <c r="B49" s="1284"/>
      <c r="C49" s="835"/>
      <c r="D49" s="836"/>
      <c r="E49" s="1373"/>
      <c r="F49" s="66"/>
      <c r="G49" s="1375"/>
      <c r="I49" s="1375"/>
      <c r="J49" s="1375"/>
      <c r="K49" s="1375"/>
      <c r="L49" s="20"/>
      <c r="M49" s="69"/>
      <c r="N49" s="69"/>
    </row>
    <row r="50" spans="1:15" ht="15" thickBot="1">
      <c r="A50" s="72"/>
      <c r="B50" s="837"/>
      <c r="C50" s="835"/>
      <c r="D50" s="836"/>
      <c r="E50" s="1375"/>
      <c r="F50" s="66"/>
      <c r="G50" s="1374"/>
      <c r="I50" s="1374"/>
      <c r="J50" s="1374"/>
      <c r="K50" s="1375"/>
      <c r="L50" s="20" t="s">
        <v>114</v>
      </c>
      <c r="M50" s="69"/>
      <c r="N50" s="69"/>
    </row>
    <row r="51" spans="1:15" ht="14.25">
      <c r="A51" s="72"/>
      <c r="B51" s="140"/>
      <c r="C51" s="32" t="s">
        <v>503</v>
      </c>
      <c r="D51" s="838">
        <f>SUM(D39:D50)</f>
        <v>1736000</v>
      </c>
      <c r="E51" s="215">
        <f>SUM(E39:E50)</f>
        <v>-2507000</v>
      </c>
      <c r="F51" s="66"/>
      <c r="G51" s="145">
        <f>SUM(G39:G50)</f>
        <v>0</v>
      </c>
      <c r="I51" s="145">
        <f>SUM(I39:I50)</f>
        <v>856000</v>
      </c>
      <c r="J51" s="145">
        <f>SUM(J39:J50)</f>
        <v>3387000</v>
      </c>
      <c r="K51" s="145">
        <f>SUM(K39:K50)</f>
        <v>4243000</v>
      </c>
      <c r="L51"/>
      <c r="M51" s="69"/>
      <c r="N51" s="69"/>
    </row>
    <row r="52" spans="1:15">
      <c r="A52" s="72"/>
      <c r="K52" s="146"/>
      <c r="L52"/>
      <c r="M52" s="69"/>
      <c r="N52" s="69"/>
    </row>
    <row r="53" spans="1:15">
      <c r="A53" s="72"/>
      <c r="B53"/>
      <c r="C53"/>
      <c r="D53"/>
      <c r="E53"/>
      <c r="F53"/>
      <c r="G53"/>
      <c r="H53"/>
      <c r="I53"/>
      <c r="J53"/>
      <c r="K53"/>
      <c r="L53"/>
      <c r="M53" s="20"/>
      <c r="N53" s="20"/>
      <c r="O53"/>
    </row>
    <row r="54" spans="1:15" ht="18">
      <c r="A54" s="72"/>
      <c r="B54" s="1481" t="str">
        <f>"Prepayments Account 165 - Balance @ 12/31/ "&amp;D56&amp;""</f>
        <v>Prepayments Account 165 - Balance @ 12/31/ 2022</v>
      </c>
      <c r="C54" s="1481"/>
      <c r="D54" s="1481"/>
      <c r="E54" s="1481"/>
      <c r="F54" s="1481"/>
      <c r="G54" s="1481"/>
      <c r="H54" s="1481"/>
      <c r="I54" s="1481"/>
      <c r="J54" s="1481"/>
      <c r="K54" s="78"/>
      <c r="L54" s="79"/>
      <c r="M54" s="69"/>
      <c r="N54" s="20"/>
      <c r="O54"/>
    </row>
    <row r="55" spans="1:15">
      <c r="A55" s="72"/>
      <c r="B55" s="228"/>
      <c r="C55" s="229"/>
      <c r="D55" s="230"/>
      <c r="E55" s="9"/>
      <c r="F55" s="66"/>
      <c r="G55" s="9" t="s">
        <v>87</v>
      </c>
      <c r="I55" s="7" t="s">
        <v>115</v>
      </c>
      <c r="J55" s="7" t="s">
        <v>115</v>
      </c>
      <c r="K55" s="7" t="s">
        <v>179</v>
      </c>
      <c r="L55"/>
      <c r="M55" s="69"/>
      <c r="N55" s="20"/>
      <c r="O55"/>
    </row>
    <row r="56" spans="1:15">
      <c r="A56" s="72"/>
      <c r="B56" s="228"/>
      <c r="C56" s="231"/>
      <c r="D56" s="7" t="str">
        <f>""&amp;TCOS!L4-1</f>
        <v>2022</v>
      </c>
      <c r="E56" s="7" t="s">
        <v>530</v>
      </c>
      <c r="F56" s="66"/>
      <c r="G56" s="7" t="s">
        <v>115</v>
      </c>
      <c r="I56" s="7" t="s">
        <v>523</v>
      </c>
      <c r="J56" s="7" t="s">
        <v>161</v>
      </c>
      <c r="K56" s="7" t="s">
        <v>180</v>
      </c>
      <c r="L56"/>
      <c r="M56" s="69"/>
      <c r="N56" s="20"/>
      <c r="O56"/>
    </row>
    <row r="57" spans="1:15">
      <c r="A57" s="72">
        <f>A49+1</f>
        <v>21</v>
      </c>
      <c r="B57" s="12" t="s">
        <v>90</v>
      </c>
      <c r="C57" s="12" t="s">
        <v>167</v>
      </c>
      <c r="D57" s="12" t="s">
        <v>88</v>
      </c>
      <c r="E57" s="12" t="s">
        <v>502</v>
      </c>
      <c r="F57" s="66"/>
      <c r="G57" s="12" t="s">
        <v>524</v>
      </c>
      <c r="I57" s="12" t="s">
        <v>524</v>
      </c>
      <c r="J57" s="12" t="s">
        <v>524</v>
      </c>
      <c r="K57" s="12" t="s">
        <v>525</v>
      </c>
      <c r="L57" s="12" t="s">
        <v>39</v>
      </c>
      <c r="M57" s="69"/>
      <c r="N57" s="20"/>
      <c r="O57"/>
    </row>
    <row r="58" spans="1:15">
      <c r="A58" s="72"/>
      <c r="B58" s="140"/>
      <c r="C58" s="142"/>
      <c r="D58" s="142"/>
      <c r="E58" s="142"/>
      <c r="F58" s="66"/>
      <c r="G58" s="142"/>
      <c r="I58" s="142"/>
      <c r="J58" s="142"/>
      <c r="K58" s="142"/>
      <c r="L58"/>
      <c r="M58" s="69"/>
      <c r="N58" s="20"/>
      <c r="O58"/>
    </row>
    <row r="59" spans="1:15" ht="14.25">
      <c r="A59" s="72">
        <f>+A57+1</f>
        <v>22</v>
      </c>
      <c r="B59" s="834" t="s">
        <v>868</v>
      </c>
      <c r="C59" s="835" t="s">
        <v>869</v>
      </c>
      <c r="D59" s="836">
        <v>364000</v>
      </c>
      <c r="E59" s="1373">
        <f>+D59-K59</f>
        <v>0</v>
      </c>
      <c r="F59" s="1419"/>
      <c r="G59" s="1374"/>
      <c r="H59" s="1419"/>
      <c r="I59" s="1374">
        <f>D59</f>
        <v>364000</v>
      </c>
      <c r="J59" s="1374"/>
      <c r="K59" s="1374">
        <f t="shared" ref="K59:K66" si="3">+G59+I59+J59</f>
        <v>364000</v>
      </c>
      <c r="L59" t="s">
        <v>531</v>
      </c>
      <c r="M59" s="69"/>
      <c r="N59" s="20"/>
      <c r="O59"/>
    </row>
    <row r="60" spans="1:15" ht="14.25">
      <c r="A60" s="72">
        <f t="shared" ref="A60:A69" si="4">+A59+1</f>
        <v>23</v>
      </c>
      <c r="B60" s="837" t="s">
        <v>1052</v>
      </c>
      <c r="C60" s="835" t="s">
        <v>900</v>
      </c>
      <c r="D60" s="836">
        <v>0</v>
      </c>
      <c r="E60" s="1373">
        <f>D60</f>
        <v>0</v>
      </c>
      <c r="F60" s="1419"/>
      <c r="G60" s="1374"/>
      <c r="H60" s="1419"/>
      <c r="I60" s="1374"/>
      <c r="J60" s="1374"/>
      <c r="K60" s="1374">
        <f t="shared" si="3"/>
        <v>0</v>
      </c>
      <c r="L60" t="s">
        <v>902</v>
      </c>
      <c r="M60" s="69"/>
      <c r="N60" s="20"/>
      <c r="O60"/>
    </row>
    <row r="61" spans="1:15" ht="14.25">
      <c r="A61" s="72">
        <f t="shared" si="4"/>
        <v>24</v>
      </c>
      <c r="B61" s="837" t="s">
        <v>1053</v>
      </c>
      <c r="C61" s="835" t="s">
        <v>900</v>
      </c>
      <c r="D61" s="836">
        <v>0</v>
      </c>
      <c r="E61" s="1373"/>
      <c r="F61" s="1419"/>
      <c r="G61" s="1374"/>
      <c r="H61" s="1419"/>
      <c r="I61" s="1374"/>
      <c r="J61" s="1374"/>
      <c r="K61" s="1374">
        <f t="shared" si="3"/>
        <v>0</v>
      </c>
      <c r="L61" t="s">
        <v>900</v>
      </c>
      <c r="M61" s="69"/>
      <c r="N61" s="20"/>
      <c r="O61"/>
    </row>
    <row r="62" spans="1:15" ht="14.25">
      <c r="A62" s="72">
        <f t="shared" si="4"/>
        <v>25</v>
      </c>
      <c r="B62" s="1418" t="s">
        <v>1054</v>
      </c>
      <c r="C62" s="835" t="s">
        <v>900</v>
      </c>
      <c r="D62" s="836">
        <v>880000</v>
      </c>
      <c r="E62" s="1373">
        <f t="shared" ref="E62:E68" si="5">+D62-K62</f>
        <v>880000</v>
      </c>
      <c r="F62" s="1419"/>
      <c r="G62" s="1374"/>
      <c r="H62" s="1419"/>
      <c r="I62" s="1374"/>
      <c r="J62" s="1374"/>
      <c r="K62" s="1374">
        <f t="shared" si="3"/>
        <v>0</v>
      </c>
      <c r="L62" t="s">
        <v>1040</v>
      </c>
      <c r="M62" s="69"/>
      <c r="N62" s="20"/>
      <c r="O62"/>
    </row>
    <row r="63" spans="1:15" ht="14.25">
      <c r="A63" s="72">
        <f t="shared" si="4"/>
        <v>26</v>
      </c>
      <c r="B63" s="834" t="s">
        <v>1055</v>
      </c>
      <c r="C63" s="835" t="s">
        <v>1040</v>
      </c>
      <c r="D63" s="836">
        <v>0</v>
      </c>
      <c r="E63" s="1373">
        <f t="shared" si="5"/>
        <v>0</v>
      </c>
      <c r="F63" s="1419"/>
      <c r="G63" s="1375"/>
      <c r="H63" s="1419"/>
      <c r="I63" s="1375"/>
      <c r="J63" s="1375">
        <f>D63</f>
        <v>0</v>
      </c>
      <c r="K63" s="1375">
        <f t="shared" si="3"/>
        <v>0</v>
      </c>
      <c r="L63" t="s">
        <v>903</v>
      </c>
      <c r="M63" s="69"/>
      <c r="N63" s="20"/>
      <c r="O63"/>
    </row>
    <row r="64" spans="1:15" ht="14.25">
      <c r="A64" s="72">
        <f t="shared" si="4"/>
        <v>27</v>
      </c>
      <c r="B64" s="834" t="s">
        <v>870</v>
      </c>
      <c r="C64" s="835" t="s">
        <v>871</v>
      </c>
      <c r="D64" s="836">
        <v>8442000</v>
      </c>
      <c r="E64" s="1373">
        <f t="shared" si="5"/>
        <v>8442000</v>
      </c>
      <c r="F64" s="1419"/>
      <c r="G64" s="1374"/>
      <c r="H64" s="1419"/>
      <c r="I64" s="1374"/>
      <c r="J64" s="1374"/>
      <c r="K64" s="1375">
        <f t="shared" si="3"/>
        <v>0</v>
      </c>
      <c r="L64" s="5" t="s">
        <v>908</v>
      </c>
      <c r="M64" s="69"/>
      <c r="N64" s="20"/>
      <c r="O64"/>
    </row>
    <row r="65" spans="1:15" ht="14.25">
      <c r="A65" s="72">
        <f t="shared" si="4"/>
        <v>28</v>
      </c>
      <c r="B65" s="834" t="s">
        <v>872</v>
      </c>
      <c r="C65" s="835" t="s">
        <v>873</v>
      </c>
      <c r="D65" s="836">
        <v>-8442000</v>
      </c>
      <c r="E65" s="1373">
        <f t="shared" si="5"/>
        <v>-8442000</v>
      </c>
      <c r="F65" s="1419"/>
      <c r="G65" s="1374"/>
      <c r="H65" s="1419"/>
      <c r="I65" s="1374"/>
      <c r="J65" s="1374"/>
      <c r="K65" s="1375">
        <f t="shared" si="3"/>
        <v>0</v>
      </c>
      <c r="L65" t="s">
        <v>114</v>
      </c>
      <c r="M65" s="69"/>
      <c r="N65" s="20"/>
      <c r="O65"/>
    </row>
    <row r="66" spans="1:15" ht="14.25">
      <c r="A66" s="72">
        <f t="shared" si="4"/>
        <v>29</v>
      </c>
      <c r="B66" s="1283" t="s">
        <v>901</v>
      </c>
      <c r="C66" s="835" t="s">
        <v>874</v>
      </c>
      <c r="D66" s="836">
        <v>492000</v>
      </c>
      <c r="E66" s="1373">
        <f t="shared" si="5"/>
        <v>0</v>
      </c>
      <c r="F66" s="1419"/>
      <c r="G66" s="1374"/>
      <c r="H66" s="1419"/>
      <c r="I66" s="1374">
        <f>D66</f>
        <v>492000</v>
      </c>
      <c r="J66" s="1374"/>
      <c r="K66" s="1375">
        <f t="shared" si="3"/>
        <v>492000</v>
      </c>
      <c r="L66" t="s">
        <v>905</v>
      </c>
      <c r="M66" s="69"/>
      <c r="N66" s="20"/>
      <c r="O66"/>
    </row>
    <row r="67" spans="1:15" ht="14.25">
      <c r="A67" s="72">
        <f t="shared" si="4"/>
        <v>30</v>
      </c>
      <c r="B67" s="1284" t="s">
        <v>1056</v>
      </c>
      <c r="C67" s="835" t="s">
        <v>1057</v>
      </c>
      <c r="D67" s="836">
        <v>3387000</v>
      </c>
      <c r="E67" s="1373">
        <f t="shared" si="5"/>
        <v>0</v>
      </c>
      <c r="F67" s="1419"/>
      <c r="G67" s="1375"/>
      <c r="H67" s="1419"/>
      <c r="I67" s="1375"/>
      <c r="J67" s="1375">
        <f>D67</f>
        <v>3387000</v>
      </c>
      <c r="K67" s="1375">
        <f>+G67+I67+J67</f>
        <v>3387000</v>
      </c>
      <c r="L67" t="s">
        <v>906</v>
      </c>
      <c r="M67" s="69"/>
      <c r="N67" s="20"/>
      <c r="O67"/>
    </row>
    <row r="68" spans="1:15" ht="14.25">
      <c r="A68" s="72">
        <f t="shared" si="4"/>
        <v>31</v>
      </c>
      <c r="B68" s="1284" t="s">
        <v>1058</v>
      </c>
      <c r="C68" s="835" t="s">
        <v>1059</v>
      </c>
      <c r="D68" s="836">
        <v>-3387000</v>
      </c>
      <c r="E68" s="1373">
        <f t="shared" si="5"/>
        <v>-3387000</v>
      </c>
      <c r="F68" s="1419"/>
      <c r="G68" s="1375"/>
      <c r="H68" s="1419"/>
      <c r="I68" s="1375"/>
      <c r="J68" s="1375"/>
      <c r="K68" s="1375">
        <f>+G68+I68+J68</f>
        <v>0</v>
      </c>
      <c r="L68" t="s">
        <v>908</v>
      </c>
      <c r="M68" s="69"/>
      <c r="N68" s="20"/>
      <c r="O68"/>
    </row>
    <row r="69" spans="1:15" ht="14.25">
      <c r="A69" s="72">
        <f t="shared" si="4"/>
        <v>32</v>
      </c>
      <c r="B69" s="1284"/>
      <c r="C69" s="835"/>
      <c r="D69" s="836"/>
      <c r="E69" s="1373"/>
      <c r="F69" s="66"/>
      <c r="G69" s="1375"/>
      <c r="I69" s="1375"/>
      <c r="J69" s="1375"/>
      <c r="K69" s="1375"/>
      <c r="L69" s="20"/>
      <c r="M69" s="69"/>
      <c r="N69" s="20"/>
      <c r="O69"/>
    </row>
    <row r="70" spans="1:15" ht="14.25">
      <c r="A70" s="72"/>
      <c r="B70" s="837"/>
      <c r="C70" s="835"/>
      <c r="D70" s="836"/>
      <c r="E70" s="1375"/>
      <c r="F70" s="66"/>
      <c r="G70" s="1374">
        <v>0</v>
      </c>
      <c r="I70" s="1374"/>
      <c r="J70" s="1374"/>
      <c r="K70" s="1375"/>
      <c r="L70" s="20" t="s">
        <v>114</v>
      </c>
      <c r="M70" s="69"/>
      <c r="N70" s="20"/>
      <c r="O70"/>
    </row>
    <row r="71" spans="1:15" ht="13.5" thickBot="1">
      <c r="A71" s="72"/>
      <c r="B71" s="26"/>
      <c r="C71" s="26"/>
      <c r="D71" s="137"/>
      <c r="E71" s="96"/>
      <c r="F71" s="66"/>
      <c r="G71" s="102"/>
      <c r="I71" s="102"/>
      <c r="J71" s="102"/>
      <c r="K71" s="102"/>
      <c r="L71" s="20" t="s">
        <v>114</v>
      </c>
      <c r="M71" s="69"/>
      <c r="N71" s="20"/>
      <c r="O71"/>
    </row>
    <row r="72" spans="1:15" ht="14.25">
      <c r="A72" s="72"/>
      <c r="B72" s="140"/>
      <c r="C72" s="32" t="s">
        <v>383</v>
      </c>
      <c r="D72" s="838">
        <f>IF(SUM(D59:D71)=0,"",SUM(D59:D71))</f>
        <v>1736000</v>
      </c>
      <c r="E72" s="215">
        <f>IF(SUM(E59:E71)=0,"",SUM(E59:E71))</f>
        <v>-2507000</v>
      </c>
      <c r="F72" s="66"/>
      <c r="G72" s="145" t="str">
        <f>IF(SUM(G59:G71)=0,"",SUM(G59:G71))</f>
        <v/>
      </c>
      <c r="I72" s="145">
        <f>IF(SUM(I59:I71)=0,"",SUM(I59:I71))</f>
        <v>856000</v>
      </c>
      <c r="J72" s="145">
        <f>IF(SUM(J59:J71)=0,"",SUM(J59:J71))</f>
        <v>3387000</v>
      </c>
      <c r="K72" s="145">
        <f>IF(SUM(K59:K71)=0,"",SUM(K59:K71))</f>
        <v>4243000</v>
      </c>
      <c r="L72"/>
      <c r="M72" s="69"/>
      <c r="N72" s="20"/>
      <c r="O72"/>
    </row>
    <row r="73" spans="1:15">
      <c r="A73" s="72"/>
      <c r="B73" s="72"/>
      <c r="C73"/>
      <c r="D73"/>
      <c r="E73"/>
      <c r="F73"/>
      <c r="G73"/>
      <c r="H73"/>
      <c r="I73"/>
      <c r="J73"/>
      <c r="K73"/>
      <c r="L73"/>
      <c r="M73" s="20"/>
      <c r="N73" s="20"/>
      <c r="O73"/>
    </row>
    <row r="74" spans="1:15" ht="18.75" customHeight="1">
      <c r="A74" s="72" t="s">
        <v>630</v>
      </c>
      <c r="B74" s="1479" t="s">
        <v>824</v>
      </c>
      <c r="C74" s="1479"/>
      <c r="D74" s="1479"/>
      <c r="E74" s="1479"/>
      <c r="F74" s="1479"/>
      <c r="G74" s="1479"/>
      <c r="H74" s="1479"/>
      <c r="I74" s="1479"/>
      <c r="J74" s="1479"/>
      <c r="K74" s="1479"/>
      <c r="L74" s="1479"/>
      <c r="M74" s="20"/>
      <c r="N74" s="20"/>
      <c r="O74"/>
    </row>
    <row r="75" spans="1:15" ht="18.75" customHeight="1">
      <c r="A75" s="4"/>
      <c r="B75" s="1479"/>
      <c r="C75" s="1479"/>
      <c r="D75" s="1479"/>
      <c r="E75" s="1479"/>
      <c r="F75" s="1479"/>
      <c r="G75" s="1479"/>
      <c r="H75" s="1479"/>
      <c r="I75" s="1479"/>
      <c r="J75" s="1479"/>
      <c r="K75" s="1479"/>
      <c r="L75" s="1479"/>
      <c r="M75" s="20"/>
      <c r="N75" s="20"/>
      <c r="O75"/>
    </row>
  </sheetData>
  <mergeCells count="12">
    <mergeCell ref="B74:L75"/>
    <mergeCell ref="B10:K10"/>
    <mergeCell ref="A3:L3"/>
    <mergeCell ref="A4:L4"/>
    <mergeCell ref="A5:L5"/>
    <mergeCell ref="A6:L6"/>
    <mergeCell ref="B54:J54"/>
    <mergeCell ref="B24:K24"/>
    <mergeCell ref="E12:E13"/>
    <mergeCell ref="I12:I13"/>
    <mergeCell ref="B34:J34"/>
    <mergeCell ref="G12:G13"/>
  </mergeCells>
  <phoneticPr fontId="2" type="noConversion"/>
  <pageMargins left="1.08" right="0.75" top="1" bottom="0.41" header="0.86" footer="0.27"/>
  <pageSetup scale="49"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29"/>
  <sheetViews>
    <sheetView view="pageBreakPreview" zoomScaleNormal="100" zoomScaleSheetLayoutView="100" workbookViewId="0">
      <selection activeCell="C18" sqref="C18"/>
    </sheetView>
  </sheetViews>
  <sheetFormatPr defaultColWidth="8.85546875" defaultRowHeight="12.75"/>
  <cols>
    <col min="1" max="1" width="9.28515625" style="416" bestFit="1" customWidth="1"/>
    <col min="2" max="2" width="65.140625" style="322" bestFit="1" customWidth="1"/>
    <col min="3" max="3" width="12.7109375" style="322" bestFit="1" customWidth="1"/>
    <col min="4" max="4" width="1.5703125" style="322" customWidth="1"/>
    <col min="5" max="5" width="15" style="322" bestFit="1" customWidth="1"/>
    <col min="6" max="16384" width="8.85546875" style="322"/>
  </cols>
  <sheetData>
    <row r="1" spans="1:15" ht="15.75">
      <c r="A1" s="874" t="s">
        <v>114</v>
      </c>
    </row>
    <row r="2" spans="1:15" ht="15.75">
      <c r="A2" s="874" t="s">
        <v>114</v>
      </c>
    </row>
    <row r="3" spans="1:15" ht="15">
      <c r="A3" s="1485" t="str">
        <f>+'WS C  - Working Capital'!A3:L3</f>
        <v>AEP East Companies</v>
      </c>
      <c r="B3" s="1485"/>
      <c r="C3" s="1485"/>
      <c r="D3" s="1485"/>
      <c r="E3" s="1485"/>
      <c r="F3" s="523"/>
      <c r="G3" s="523"/>
      <c r="H3" s="523"/>
      <c r="I3" s="523"/>
      <c r="J3" s="523"/>
      <c r="K3" s="523"/>
      <c r="L3" s="523"/>
      <c r="M3" s="523"/>
      <c r="N3" s="523"/>
      <c r="O3" s="523"/>
    </row>
    <row r="4" spans="1:15" ht="15">
      <c r="A4" s="1486" t="str">
        <f>"Cost of Service Formula Rate Using Actual/Projected FF1 Balances"</f>
        <v>Cost of Service Formula Rate Using Actual/Projected FF1 Balances</v>
      </c>
      <c r="B4" s="1486"/>
      <c r="C4" s="1486"/>
      <c r="D4" s="1486"/>
      <c r="E4" s="1486"/>
      <c r="F4" s="524"/>
      <c r="G4" s="524"/>
      <c r="H4" s="524"/>
      <c r="I4" s="524"/>
      <c r="J4" s="524"/>
      <c r="K4" s="524"/>
      <c r="L4" s="524"/>
      <c r="M4" s="525"/>
      <c r="N4" s="525"/>
      <c r="O4" s="525"/>
    </row>
    <row r="5" spans="1:15" ht="15">
      <c r="A5" s="1486" t="s">
        <v>227</v>
      </c>
      <c r="B5" s="1486"/>
      <c r="C5" s="1486"/>
      <c r="D5" s="1486"/>
      <c r="E5" s="1486"/>
      <c r="F5" s="524"/>
      <c r="G5" s="524"/>
      <c r="H5" s="524"/>
      <c r="I5" s="524"/>
      <c r="J5" s="524"/>
      <c r="K5" s="524"/>
      <c r="L5" s="524"/>
      <c r="M5" s="524"/>
      <c r="N5" s="524"/>
      <c r="O5" s="524"/>
    </row>
    <row r="6" spans="1:15" ht="15">
      <c r="A6" s="1487" t="str">
        <f>TCOS!F9</f>
        <v>WHEELING POWER COMPANY</v>
      </c>
      <c r="B6" s="1487"/>
      <c r="C6" s="1487"/>
      <c r="D6" s="1487"/>
      <c r="E6" s="1487"/>
      <c r="F6" s="318"/>
      <c r="G6" s="318"/>
      <c r="H6" s="318"/>
      <c r="I6" s="318"/>
      <c r="J6" s="318"/>
      <c r="K6" s="318"/>
      <c r="L6" s="318"/>
      <c r="M6" s="318"/>
      <c r="N6" s="318"/>
      <c r="O6" s="318"/>
    </row>
    <row r="8" spans="1:15">
      <c r="A8" s="526" t="s">
        <v>169</v>
      </c>
      <c r="B8" s="527" t="s">
        <v>162</v>
      </c>
      <c r="C8" s="527" t="s">
        <v>163</v>
      </c>
    </row>
    <row r="9" spans="1:15">
      <c r="A9" s="526" t="s">
        <v>106</v>
      </c>
      <c r="B9" s="526" t="s">
        <v>167</v>
      </c>
      <c r="C9" s="526">
        <f>+TCOS!L4</f>
        <v>2023</v>
      </c>
    </row>
    <row r="10" spans="1:15">
      <c r="A10" s="528"/>
      <c r="B10" s="529"/>
      <c r="C10" s="527"/>
      <c r="F10" s="404"/>
    </row>
    <row r="11" spans="1:15">
      <c r="A11" s="416">
        <v>1</v>
      </c>
      <c r="B11" s="1104" t="str">
        <f>"Net Funds from IPP Customers 12/31/"&amp;TCOS!L4-1&amp;" ("&amp;TCOS!L4&amp;" FORM 1, P269)"</f>
        <v>Net Funds from IPP Customers 12/31/2022 (2023 FORM 1, P269)</v>
      </c>
      <c r="C11" s="833">
        <v>0</v>
      </c>
      <c r="D11" s="404"/>
      <c r="F11" s="404"/>
    </row>
    <row r="12" spans="1:15">
      <c r="B12" s="569"/>
      <c r="C12" s="839"/>
      <c r="D12" s="404"/>
      <c r="F12" s="404"/>
    </row>
    <row r="13" spans="1:15">
      <c r="A13" s="416">
        <v>2</v>
      </c>
      <c r="B13" s="1104" t="s">
        <v>71</v>
      </c>
      <c r="C13" s="833">
        <v>0</v>
      </c>
      <c r="D13" s="404"/>
      <c r="F13" s="404"/>
    </row>
    <row r="14" spans="1:15">
      <c r="B14" s="1104"/>
      <c r="C14" s="839"/>
      <c r="D14" s="404"/>
      <c r="F14" s="404"/>
    </row>
    <row r="15" spans="1:15">
      <c r="A15" s="416">
        <f>+A13+1</f>
        <v>3</v>
      </c>
      <c r="B15" s="1104" t="s">
        <v>72</v>
      </c>
      <c r="C15" s="833">
        <v>0</v>
      </c>
      <c r="D15" s="404"/>
      <c r="F15" s="404"/>
    </row>
    <row r="16" spans="1:15">
      <c r="B16" s="1104"/>
      <c r="C16" s="839"/>
      <c r="D16" s="404"/>
      <c r="F16" s="404"/>
    </row>
    <row r="17" spans="1:6">
      <c r="A17" s="416">
        <f>+A15+1</f>
        <v>4</v>
      </c>
      <c r="B17" s="1105" t="s">
        <v>228</v>
      </c>
      <c r="C17" s="839"/>
      <c r="D17" s="404"/>
      <c r="F17" s="404"/>
    </row>
    <row r="18" spans="1:6">
      <c r="A18" s="416">
        <f>+A17+1</f>
        <v>5</v>
      </c>
      <c r="B18" s="1104" t="s">
        <v>73</v>
      </c>
      <c r="C18" s="833">
        <v>0</v>
      </c>
      <c r="D18" s="404"/>
      <c r="F18" s="404"/>
    </row>
    <row r="19" spans="1:6">
      <c r="A19" s="416">
        <f>+A18+1</f>
        <v>6</v>
      </c>
      <c r="B19" s="1097" t="s">
        <v>114</v>
      </c>
      <c r="C19" s="840">
        <v>0</v>
      </c>
      <c r="D19" s="404"/>
      <c r="F19" s="404"/>
    </row>
    <row r="20" spans="1:6">
      <c r="B20" s="569"/>
      <c r="C20" s="841"/>
      <c r="D20" s="404"/>
      <c r="F20" s="404"/>
    </row>
    <row r="21" spans="1:6">
      <c r="A21" s="416">
        <f>+A19+1</f>
        <v>7</v>
      </c>
      <c r="B21" s="1104" t="str">
        <f>"Net Funds from IPP Customers 12/31/"&amp;TCOS!L4&amp;" ("&amp;TCOS!L4&amp;" FORM 1, P269)"</f>
        <v>Net Funds from IPP Customers 12/31/2023 (2023 FORM 1, P269)</v>
      </c>
      <c r="C21" s="531">
        <f>+C11+C13+C15+C18+C19</f>
        <v>0</v>
      </c>
      <c r="D21" s="532"/>
      <c r="F21" s="404"/>
    </row>
    <row r="22" spans="1:6">
      <c r="B22" s="569"/>
      <c r="C22" s="531"/>
      <c r="D22" s="404"/>
      <c r="F22" s="404"/>
    </row>
    <row r="23" spans="1:6">
      <c r="A23" s="416">
        <f>+A21+1</f>
        <v>8</v>
      </c>
      <c r="B23" s="1104" t="str">
        <f>"Average Balance for Year as Indicated in Column B ((ln "&amp;A11&amp;" + ln "&amp;A21&amp;")/2)"</f>
        <v>Average Balance for Year as Indicated in Column B ((ln 1 + ln 7)/2)</v>
      </c>
      <c r="C23" s="533">
        <f>AVERAGE(C21,C11)</f>
        <v>0</v>
      </c>
      <c r="D23" s="404"/>
      <c r="F23" s="404"/>
    </row>
    <row r="24" spans="1:6">
      <c r="B24" s="569"/>
      <c r="D24" s="404"/>
    </row>
    <row r="25" spans="1:6">
      <c r="B25" s="360"/>
      <c r="C25" s="534"/>
      <c r="D25" s="404"/>
    </row>
    <row r="26" spans="1:6" ht="15">
      <c r="A26" s="310" t="s">
        <v>499</v>
      </c>
      <c r="B26" s="1451" t="str">
        <f>"On this worksheet Company Records refers to  "&amp;A6&amp;"'s general ledger."</f>
        <v>On this worksheet Company Records refers to  WHEELING POWER COMPANY's general ledger.</v>
      </c>
      <c r="D26" s="404"/>
    </row>
    <row r="27" spans="1:6">
      <c r="B27" s="1443"/>
      <c r="D27" s="404"/>
    </row>
    <row r="28" spans="1:6">
      <c r="B28" s="535"/>
      <c r="D28" s="404"/>
    </row>
    <row r="29" spans="1:6">
      <c r="D29" s="40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164"/>
  <sheetViews>
    <sheetView view="pageBreakPreview" topLeftCell="A7" zoomScaleNormal="100" zoomScaleSheetLayoutView="100" workbookViewId="0">
      <selection activeCell="I21" sqref="I21"/>
    </sheetView>
  </sheetViews>
  <sheetFormatPr defaultRowHeight="15"/>
  <cols>
    <col min="1" max="1" width="9.42578125" style="536" customWidth="1"/>
    <col min="2" max="2" width="6.7109375" style="536" customWidth="1"/>
    <col min="3" max="8" width="14.5703125" style="536" customWidth="1"/>
    <col min="9" max="9" width="14.85546875" style="536" bestFit="1" customWidth="1"/>
    <col min="10" max="11" width="16.5703125" style="536" bestFit="1" customWidth="1"/>
    <col min="12" max="13" width="22.140625" style="536" bestFit="1" customWidth="1"/>
    <col min="14" max="14" width="8.42578125" style="536" customWidth="1"/>
    <col min="15" max="38" width="12.7109375" style="536" customWidth="1"/>
    <col min="39" max="16384" width="9.140625" style="536"/>
  </cols>
  <sheetData>
    <row r="1" spans="1:22" ht="15.75">
      <c r="A1" s="874" t="s">
        <v>114</v>
      </c>
    </row>
    <row r="2" spans="1:22" ht="15.75">
      <c r="A2" s="874" t="s">
        <v>114</v>
      </c>
    </row>
    <row r="3" spans="1:22">
      <c r="A3" s="1485" t="str">
        <f>+'WS C  - Working Capital'!A3:L3</f>
        <v>AEP East Companies</v>
      </c>
      <c r="B3" s="1485"/>
      <c r="C3" s="1485"/>
      <c r="D3" s="1485"/>
      <c r="E3" s="1485"/>
      <c r="F3" s="1485"/>
      <c r="G3" s="1485"/>
      <c r="H3" s="1485"/>
      <c r="I3" s="1485"/>
      <c r="J3" s="1485"/>
      <c r="K3" s="1485"/>
      <c r="L3" s="523"/>
      <c r="M3" s="523"/>
      <c r="N3" s="523"/>
      <c r="O3" s="523"/>
    </row>
    <row r="4" spans="1:22">
      <c r="A4" s="1486" t="str">
        <f>"Cost of Service Formula Rate Using Actual/Projected FF1 Balances"</f>
        <v>Cost of Service Formula Rate Using Actual/Projected FF1 Balances</v>
      </c>
      <c r="B4" s="1486"/>
      <c r="C4" s="1486"/>
      <c r="D4" s="1486"/>
      <c r="E4" s="1486"/>
      <c r="F4" s="1486"/>
      <c r="G4" s="1486"/>
      <c r="H4" s="1486"/>
      <c r="I4" s="1486"/>
      <c r="J4" s="1486"/>
      <c r="K4" s="1486"/>
      <c r="L4" s="525"/>
      <c r="M4" s="525"/>
      <c r="N4" s="525"/>
      <c r="O4" s="525"/>
    </row>
    <row r="5" spans="1:22">
      <c r="A5" s="1486" t="s">
        <v>237</v>
      </c>
      <c r="B5" s="1486"/>
      <c r="C5" s="1486"/>
      <c r="D5" s="1486"/>
      <c r="E5" s="1486"/>
      <c r="F5" s="1486"/>
      <c r="G5" s="1486"/>
      <c r="H5" s="1486"/>
      <c r="I5" s="1486"/>
      <c r="J5" s="1486"/>
      <c r="K5" s="1486"/>
      <c r="L5" s="524"/>
      <c r="M5" s="524"/>
      <c r="N5" s="524"/>
      <c r="O5" s="524"/>
    </row>
    <row r="6" spans="1:22">
      <c r="A6" s="1487" t="str">
        <f>TCOS!F9</f>
        <v>WHEELING POWER COMPANY</v>
      </c>
      <c r="B6" s="1487"/>
      <c r="C6" s="1487"/>
      <c r="D6" s="1487"/>
      <c r="E6" s="1487"/>
      <c r="F6" s="1487"/>
      <c r="G6" s="1487"/>
      <c r="H6" s="1487"/>
      <c r="I6" s="1487"/>
      <c r="J6" s="1487"/>
      <c r="K6" s="1487"/>
      <c r="L6" s="318"/>
      <c r="M6" s="318"/>
      <c r="N6" s="318"/>
      <c r="O6" s="318"/>
    </row>
    <row r="7" spans="1:22">
      <c r="A7" s="537"/>
      <c r="B7" s="537"/>
      <c r="C7" s="537"/>
      <c r="D7" s="537"/>
      <c r="E7" s="537"/>
      <c r="F7" s="537"/>
      <c r="G7" s="537"/>
      <c r="H7" s="537"/>
      <c r="I7" s="537"/>
      <c r="J7" s="537"/>
      <c r="K7" s="537"/>
      <c r="L7" s="537"/>
      <c r="M7" s="537"/>
      <c r="N7" s="537"/>
      <c r="O7" s="537"/>
    </row>
    <row r="8" spans="1:22" ht="18">
      <c r="A8" s="1490"/>
      <c r="B8" s="1490"/>
      <c r="C8" s="1490"/>
      <c r="D8" s="1490"/>
      <c r="E8" s="1490"/>
      <c r="F8" s="1490"/>
      <c r="G8" s="1490"/>
      <c r="H8" s="1490"/>
      <c r="I8" s="1490"/>
      <c r="J8" s="1490"/>
      <c r="K8" s="1490"/>
      <c r="L8" s="539"/>
      <c r="M8" s="540"/>
    </row>
    <row r="9" spans="1:22" ht="18">
      <c r="A9" s="538"/>
      <c r="B9" s="538"/>
      <c r="C9" s="538"/>
      <c r="D9" s="538"/>
      <c r="E9" s="538"/>
      <c r="F9" s="538"/>
      <c r="G9" s="538"/>
      <c r="H9" s="538"/>
      <c r="I9" s="538"/>
      <c r="J9" s="538"/>
      <c r="K9" s="538"/>
      <c r="L9" s="539"/>
      <c r="M9" s="540"/>
    </row>
    <row r="10" spans="1:22" ht="15.75">
      <c r="A10" s="541" t="s">
        <v>169</v>
      </c>
      <c r="B10" s="539"/>
      <c r="C10" s="542"/>
      <c r="D10" s="542"/>
      <c r="E10" s="542"/>
      <c r="F10" s="542"/>
      <c r="G10" s="543"/>
      <c r="H10" s="543"/>
      <c r="I10" s="541" t="s">
        <v>182</v>
      </c>
      <c r="J10" s="541" t="s">
        <v>28</v>
      </c>
      <c r="K10" s="544"/>
      <c r="N10" s="545"/>
      <c r="P10" s="545"/>
      <c r="R10" s="545"/>
      <c r="S10" s="545"/>
      <c r="T10" s="545"/>
      <c r="U10" s="511"/>
      <c r="V10" s="511"/>
    </row>
    <row r="11" spans="1:22" ht="15.75">
      <c r="A11" s="541" t="s">
        <v>106</v>
      </c>
      <c r="B11" s="1491" t="s">
        <v>167</v>
      </c>
      <c r="C11" s="1491"/>
      <c r="D11" s="1491"/>
      <c r="E11" s="1491"/>
      <c r="F11" s="1491"/>
      <c r="G11" s="1491"/>
      <c r="H11" s="1491"/>
      <c r="I11" s="546" t="s">
        <v>183</v>
      </c>
      <c r="J11" s="546" t="s">
        <v>115</v>
      </c>
      <c r="K11" s="546" t="s">
        <v>115</v>
      </c>
      <c r="L11" s="547"/>
      <c r="M11" s="547"/>
      <c r="N11" s="545"/>
      <c r="O11" s="545"/>
      <c r="P11" s="545"/>
      <c r="Q11" s="545"/>
      <c r="R11" s="545"/>
      <c r="S11" s="545"/>
      <c r="T11" s="548"/>
      <c r="U11" s="511"/>
      <c r="V11" s="511"/>
    </row>
    <row r="12" spans="1:22" ht="15.75">
      <c r="A12" s="543"/>
      <c r="B12" s="549"/>
      <c r="C12" s="539"/>
      <c r="D12" s="543"/>
      <c r="E12" s="543"/>
      <c r="F12" s="543"/>
      <c r="G12" s="543"/>
      <c r="H12" s="543"/>
      <c r="I12" s="543"/>
      <c r="J12" s="543"/>
      <c r="K12" s="550"/>
      <c r="L12" s="547"/>
      <c r="M12" s="547"/>
      <c r="N12" s="545"/>
      <c r="O12" s="545"/>
      <c r="P12" s="545"/>
      <c r="Q12" s="545"/>
      <c r="R12" s="545"/>
      <c r="S12" s="545"/>
      <c r="T12" s="548"/>
      <c r="U12" s="511"/>
      <c r="V12" s="511"/>
    </row>
    <row r="13" spans="1:22" s="557" customFormat="1" ht="12.75">
      <c r="A13" s="551">
        <v>1</v>
      </c>
      <c r="B13" s="552" t="s">
        <v>482</v>
      </c>
      <c r="C13" s="535"/>
      <c r="D13" s="553"/>
      <c r="E13" s="553"/>
      <c r="F13" s="553"/>
      <c r="G13" s="553"/>
      <c r="H13" s="553"/>
      <c r="I13" s="842">
        <v>157000</v>
      </c>
      <c r="J13" s="554">
        <f>+I13-K12</f>
        <v>157000</v>
      </c>
      <c r="K13" s="842">
        <v>0</v>
      </c>
      <c r="L13" s="555"/>
      <c r="M13" s="555"/>
      <c r="N13" s="535"/>
      <c r="O13" s="535"/>
      <c r="P13" s="535"/>
      <c r="Q13" s="535"/>
      <c r="R13" s="535"/>
      <c r="S13" s="535"/>
      <c r="T13" s="556"/>
      <c r="U13" s="535"/>
      <c r="V13" s="535"/>
    </row>
    <row r="14" spans="1:22" s="557" customFormat="1" ht="12.75">
      <c r="A14" s="558"/>
      <c r="B14" s="559"/>
      <c r="C14" s="560"/>
      <c r="D14" s="561"/>
      <c r="E14" s="561"/>
      <c r="F14" s="561"/>
      <c r="G14" s="561"/>
      <c r="H14" s="553"/>
      <c r="I14" s="562"/>
      <c r="J14" s="563"/>
      <c r="K14" s="562"/>
      <c r="L14" s="555"/>
      <c r="M14" s="555"/>
      <c r="N14" s="535"/>
      <c r="O14" s="535"/>
      <c r="P14" s="535"/>
      <c r="Q14" s="535"/>
      <c r="R14" s="535"/>
      <c r="S14" s="535"/>
      <c r="T14" s="556"/>
      <c r="U14" s="535"/>
      <c r="V14" s="535"/>
    </row>
    <row r="15" spans="1:22" s="557" customFormat="1" ht="12.75">
      <c r="A15" s="551">
        <f>+A13+1</f>
        <v>2</v>
      </c>
      <c r="B15" s="564" t="s">
        <v>483</v>
      </c>
      <c r="C15" s="535"/>
      <c r="D15" s="553"/>
      <c r="E15" s="553"/>
      <c r="F15" s="553"/>
      <c r="G15" s="553"/>
      <c r="H15" s="553"/>
      <c r="I15" s="842">
        <v>11000</v>
      </c>
      <c r="J15" s="554">
        <f>+I15-K15</f>
        <v>11000</v>
      </c>
      <c r="K15" s="842">
        <v>0</v>
      </c>
      <c r="L15" s="555"/>
      <c r="M15" s="555"/>
      <c r="N15" s="535"/>
      <c r="O15" s="535"/>
      <c r="P15" s="535"/>
      <c r="Q15" s="535"/>
      <c r="R15" s="535"/>
      <c r="S15" s="535"/>
      <c r="T15" s="535"/>
      <c r="U15" s="535"/>
      <c r="V15" s="535"/>
    </row>
    <row r="16" spans="1:22" s="557" customFormat="1" ht="12.75">
      <c r="A16" s="558"/>
      <c r="B16" s="565"/>
      <c r="C16" s="560"/>
      <c r="D16" s="561"/>
      <c r="E16" s="561"/>
      <c r="F16" s="561"/>
      <c r="G16" s="561"/>
      <c r="H16" s="553"/>
      <c r="I16" s="563"/>
      <c r="J16" s="563"/>
      <c r="K16" s="563"/>
      <c r="L16" s="555"/>
      <c r="M16" s="555"/>
      <c r="N16" s="535"/>
      <c r="O16" s="535"/>
      <c r="P16" s="535"/>
      <c r="Q16" s="535"/>
      <c r="R16" s="535"/>
      <c r="S16" s="535"/>
      <c r="T16" s="535"/>
      <c r="U16" s="535"/>
      <c r="V16" s="535"/>
    </row>
    <row r="17" spans="1:22" s="557" customFormat="1" ht="12.75">
      <c r="A17" s="551">
        <f>+A15+1</f>
        <v>3</v>
      </c>
      <c r="B17" s="564" t="s">
        <v>484</v>
      </c>
      <c r="C17" s="535"/>
      <c r="D17" s="553"/>
      <c r="E17" s="553"/>
      <c r="F17" s="553"/>
      <c r="G17" s="553"/>
      <c r="H17" s="553"/>
      <c r="I17" s="842">
        <v>3594000</v>
      </c>
      <c r="J17" s="554">
        <f>+I17-K17</f>
        <v>3102000</v>
      </c>
      <c r="K17" s="842">
        <v>492000</v>
      </c>
      <c r="L17" s="555"/>
      <c r="M17" s="555"/>
      <c r="N17" s="535"/>
      <c r="O17" s="535"/>
      <c r="P17" s="535"/>
      <c r="Q17" s="535"/>
      <c r="R17" s="535"/>
      <c r="S17" s="535"/>
      <c r="T17" s="535"/>
      <c r="U17" s="535"/>
      <c r="V17" s="535"/>
    </row>
    <row r="18" spans="1:22" s="557" customFormat="1" ht="12.75">
      <c r="A18" s="558"/>
      <c r="B18" s="563"/>
      <c r="C18" s="569"/>
      <c r="D18" s="563"/>
      <c r="E18" s="563"/>
      <c r="F18" s="563"/>
      <c r="G18" s="566"/>
      <c r="H18" s="563"/>
      <c r="I18" s="563"/>
      <c r="J18" s="563"/>
      <c r="K18" s="563" t="s">
        <v>114</v>
      </c>
      <c r="L18" s="555"/>
      <c r="M18" s="555"/>
      <c r="N18" s="535"/>
      <c r="O18" s="535"/>
      <c r="P18" s="535"/>
      <c r="Q18" s="535"/>
      <c r="R18" s="535"/>
      <c r="S18" s="535"/>
      <c r="T18" s="535"/>
      <c r="U18" s="535"/>
      <c r="V18" s="535"/>
    </row>
    <row r="19" spans="1:22" s="557" customFormat="1" ht="12.75">
      <c r="A19" s="551">
        <f>+A17+1</f>
        <v>4</v>
      </c>
      <c r="B19" s="552" t="s">
        <v>760</v>
      </c>
      <c r="C19" s="569"/>
      <c r="D19" s="563"/>
      <c r="E19" s="563"/>
      <c r="F19" s="563"/>
      <c r="G19" s="566"/>
      <c r="H19" s="563"/>
      <c r="I19" s="842">
        <v>10000</v>
      </c>
      <c r="J19" s="554">
        <f>+I19-K19</f>
        <v>10000</v>
      </c>
      <c r="K19" s="842">
        <v>0</v>
      </c>
      <c r="L19" s="555"/>
      <c r="M19" s="555"/>
      <c r="N19" s="568"/>
      <c r="O19" s="535"/>
      <c r="P19" s="535"/>
      <c r="Q19" s="535"/>
      <c r="R19" s="535"/>
      <c r="S19" s="535"/>
      <c r="T19" s="535"/>
      <c r="U19" s="535"/>
      <c r="V19" s="535"/>
    </row>
    <row r="20" spans="1:22" s="557" customFormat="1" ht="12.75">
      <c r="A20" s="558"/>
      <c r="B20" s="552"/>
      <c r="C20" s="569"/>
      <c r="D20" s="563"/>
      <c r="E20" s="563"/>
      <c r="F20" s="563"/>
      <c r="G20" s="566"/>
      <c r="H20" s="563"/>
      <c r="I20" s="535"/>
      <c r="J20" s="535"/>
      <c r="K20" s="535" t="s">
        <v>114</v>
      </c>
      <c r="L20" s="569"/>
      <c r="M20" s="555"/>
      <c r="N20" s="568"/>
      <c r="O20" s="535"/>
      <c r="P20" s="535"/>
      <c r="Q20" s="535"/>
      <c r="R20" s="535"/>
      <c r="S20" s="535"/>
      <c r="T20" s="535"/>
      <c r="U20" s="535"/>
      <c r="V20" s="535"/>
    </row>
    <row r="21" spans="1:22" s="557" customFormat="1" ht="12.75">
      <c r="A21" s="551">
        <f>+A19+1</f>
        <v>5</v>
      </c>
      <c r="B21" s="552" t="s">
        <v>761</v>
      </c>
      <c r="C21" s="569"/>
      <c r="D21" s="563"/>
      <c r="E21" s="563"/>
      <c r="F21" s="563"/>
      <c r="G21" s="566"/>
      <c r="H21" s="563"/>
      <c r="I21" s="842">
        <v>6897000</v>
      </c>
      <c r="J21" s="554">
        <f>+I21-K21</f>
        <v>3855000</v>
      </c>
      <c r="K21" s="842">
        <v>3042000</v>
      </c>
      <c r="L21" s="555"/>
      <c r="M21" s="555"/>
      <c r="N21" s="568"/>
      <c r="O21" s="535"/>
      <c r="P21" s="535"/>
      <c r="Q21" s="535"/>
      <c r="R21" s="535"/>
      <c r="S21" s="535"/>
      <c r="T21" s="535"/>
      <c r="U21" s="535"/>
      <c r="V21" s="535"/>
    </row>
    <row r="22" spans="1:22" s="557" customFormat="1" ht="12.75">
      <c r="A22" s="551"/>
      <c r="B22" s="552"/>
      <c r="C22" s="569"/>
      <c r="D22" s="563"/>
      <c r="E22" s="563"/>
      <c r="F22" s="563"/>
      <c r="G22" s="566"/>
      <c r="H22" s="563"/>
      <c r="I22" s="873"/>
      <c r="J22" s="554"/>
      <c r="K22" s="873"/>
      <c r="L22" s="555"/>
      <c r="M22" s="555"/>
      <c r="N22" s="568"/>
      <c r="O22" s="535"/>
      <c r="P22" s="535"/>
      <c r="Q22" s="535"/>
      <c r="R22" s="535"/>
      <c r="S22" s="535"/>
      <c r="T22" s="535"/>
      <c r="U22" s="535"/>
      <c r="V22" s="535"/>
    </row>
    <row r="23" spans="1:22" s="557" customFormat="1" ht="12.75">
      <c r="A23" s="551" t="s">
        <v>619</v>
      </c>
      <c r="B23" s="552" t="s">
        <v>622</v>
      </c>
      <c r="C23" s="569"/>
      <c r="D23" s="563"/>
      <c r="E23" s="563"/>
      <c r="F23" s="563"/>
      <c r="G23" s="566"/>
      <c r="H23" s="563"/>
      <c r="I23" s="842"/>
      <c r="J23" s="554">
        <v>0</v>
      </c>
      <c r="K23" s="842"/>
      <c r="L23" s="555"/>
      <c r="M23" s="555"/>
      <c r="N23" s="568"/>
      <c r="O23" s="535"/>
      <c r="P23" s="535"/>
      <c r="Q23" s="535"/>
      <c r="R23" s="535"/>
      <c r="S23" s="535"/>
      <c r="T23" s="535"/>
      <c r="U23" s="535"/>
      <c r="V23" s="535"/>
    </row>
    <row r="24" spans="1:22" s="557" customFormat="1" ht="12.75">
      <c r="A24" s="551"/>
      <c r="B24" s="552"/>
      <c r="C24" s="569"/>
      <c r="D24" s="563"/>
      <c r="E24" s="563"/>
      <c r="F24" s="563"/>
      <c r="G24" s="566"/>
      <c r="H24" s="563"/>
      <c r="I24" s="873"/>
      <c r="J24" s="554"/>
      <c r="K24" s="873"/>
      <c r="L24" s="555"/>
      <c r="M24" s="555"/>
      <c r="N24" s="568"/>
      <c r="O24" s="535"/>
      <c r="P24" s="535"/>
      <c r="Q24" s="535"/>
      <c r="R24" s="535"/>
      <c r="S24" s="535"/>
      <c r="T24" s="535"/>
      <c r="U24" s="535"/>
      <c r="V24" s="535"/>
    </row>
    <row r="25" spans="1:22" s="557" customFormat="1" ht="12.75">
      <c r="A25" s="551" t="s">
        <v>620</v>
      </c>
      <c r="B25" s="552" t="s">
        <v>621</v>
      </c>
      <c r="C25" s="569"/>
      <c r="D25" s="563"/>
      <c r="E25" s="563"/>
      <c r="F25" s="563"/>
      <c r="G25" s="566"/>
      <c r="H25" s="563"/>
      <c r="I25" s="842"/>
      <c r="J25" s="554">
        <v>0</v>
      </c>
      <c r="K25" s="842"/>
      <c r="L25" s="555"/>
      <c r="M25" s="555"/>
      <c r="N25" s="568"/>
      <c r="O25" s="535"/>
      <c r="P25" s="535"/>
      <c r="Q25" s="535"/>
      <c r="R25" s="535"/>
      <c r="S25" s="535"/>
      <c r="T25" s="535"/>
      <c r="U25" s="535"/>
      <c r="V25" s="535"/>
    </row>
    <row r="26" spans="1:22" s="557" customFormat="1" ht="12.75">
      <c r="A26" s="551"/>
      <c r="B26" s="552"/>
      <c r="C26" s="569"/>
      <c r="D26" s="563"/>
      <c r="E26" s="563"/>
      <c r="F26" s="563"/>
      <c r="G26" s="566"/>
      <c r="H26" s="563"/>
      <c r="I26" s="535"/>
      <c r="J26" s="535"/>
      <c r="L26" s="555"/>
      <c r="M26" s="555"/>
      <c r="N26" s="535"/>
      <c r="O26" s="535"/>
      <c r="P26" s="535"/>
      <c r="Q26" s="535"/>
      <c r="R26" s="535"/>
      <c r="S26" s="535"/>
      <c r="T26" s="535"/>
      <c r="U26" s="535"/>
      <c r="V26" s="535"/>
    </row>
    <row r="27" spans="1:22" s="557" customFormat="1" ht="12.75">
      <c r="A27" s="551">
        <f>+A21+1</f>
        <v>6</v>
      </c>
      <c r="B27" s="552" t="s">
        <v>74</v>
      </c>
      <c r="C27" s="569"/>
      <c r="D27" s="563"/>
      <c r="E27" s="563"/>
      <c r="F27" s="563"/>
      <c r="G27" s="566"/>
      <c r="H27" s="563"/>
      <c r="I27" s="570">
        <f>+I21+I19+I17+I15+I13+I23+I25</f>
        <v>10669000</v>
      </c>
      <c r="J27" s="570">
        <f>+J21+J19+J17+J15+J13+J23+J25</f>
        <v>7135000</v>
      </c>
      <c r="K27" s="570">
        <f>+K21+K19+K17+K15+K13+K23+K25</f>
        <v>3534000</v>
      </c>
      <c r="L27" s="555"/>
      <c r="M27" s="555"/>
      <c r="N27" s="535"/>
      <c r="O27" s="535"/>
      <c r="P27" s="535"/>
      <c r="Q27" s="535"/>
      <c r="R27" s="535"/>
      <c r="S27" s="535"/>
      <c r="T27" s="535"/>
      <c r="U27" s="535"/>
      <c r="V27" s="535"/>
    </row>
    <row r="28" spans="1:22" s="557" customFormat="1" ht="12.75">
      <c r="A28" s="551"/>
      <c r="B28" s="552"/>
      <c r="C28" s="569"/>
      <c r="D28" s="563"/>
      <c r="E28" s="563"/>
      <c r="F28" s="563"/>
      <c r="G28" s="566"/>
      <c r="H28" s="563"/>
      <c r="I28" s="535"/>
      <c r="J28" s="535"/>
      <c r="K28" s="535"/>
      <c r="L28" s="555"/>
      <c r="M28" s="555"/>
      <c r="N28" s="535"/>
      <c r="O28" s="535"/>
      <c r="P28" s="535"/>
      <c r="Q28" s="535"/>
      <c r="R28" s="535"/>
      <c r="S28" s="535"/>
      <c r="T28" s="535"/>
      <c r="U28" s="535"/>
      <c r="V28" s="535"/>
    </row>
    <row r="29" spans="1:22" s="557" customFormat="1" ht="12.75">
      <c r="A29" s="551">
        <f>+A27+1</f>
        <v>7</v>
      </c>
      <c r="B29" s="1489" t="s">
        <v>485</v>
      </c>
      <c r="C29" s="1443"/>
      <c r="D29" s="1443"/>
      <c r="E29" s="1443"/>
      <c r="F29" s="1443"/>
      <c r="G29" s="1443"/>
      <c r="H29" s="563"/>
      <c r="I29" s="842"/>
      <c r="J29" s="554">
        <f>+I29-K29</f>
        <v>0</v>
      </c>
      <c r="K29" s="842"/>
      <c r="L29" s="555"/>
      <c r="M29" s="555"/>
      <c r="N29" s="535"/>
      <c r="O29" s="535"/>
      <c r="P29" s="535"/>
      <c r="Q29" s="535"/>
      <c r="R29" s="535"/>
      <c r="S29" s="535"/>
      <c r="T29" s="535"/>
      <c r="U29" s="535"/>
      <c r="V29" s="535"/>
    </row>
    <row r="30" spans="1:22" s="557" customFormat="1" ht="12.75">
      <c r="A30" s="1097"/>
      <c r="B30" s="1443"/>
      <c r="C30" s="1443"/>
      <c r="D30" s="1443"/>
      <c r="E30" s="1443"/>
      <c r="F30" s="1443"/>
      <c r="G30" s="1443"/>
      <c r="H30" s="553"/>
      <c r="I30" s="571"/>
      <c r="J30" s="553"/>
      <c r="K30" s="572"/>
      <c r="L30" s="555"/>
      <c r="M30" s="555"/>
      <c r="N30" s="535"/>
      <c r="O30" s="535"/>
      <c r="P30" s="535"/>
      <c r="Q30" s="535"/>
      <c r="R30" s="535"/>
      <c r="S30" s="535"/>
      <c r="T30" s="535"/>
      <c r="U30" s="535"/>
      <c r="V30" s="535"/>
    </row>
    <row r="31" spans="1:22" s="557" customFormat="1" ht="12.75">
      <c r="A31" s="551">
        <f>+A29+1</f>
        <v>8</v>
      </c>
      <c r="B31" s="559" t="s">
        <v>215</v>
      </c>
      <c r="C31" s="560"/>
      <c r="D31" s="561"/>
      <c r="E31" s="561"/>
      <c r="F31" s="561"/>
      <c r="G31" s="567"/>
      <c r="H31" s="553"/>
      <c r="I31" s="573">
        <f>SUM(I27:I29)</f>
        <v>10669000</v>
      </c>
      <c r="J31" s="573">
        <f>SUM(J27:J29)</f>
        <v>7135000</v>
      </c>
      <c r="K31" s="573">
        <f>SUM(K27:K29)</f>
        <v>3534000</v>
      </c>
      <c r="L31" s="555"/>
      <c r="M31" s="555"/>
      <c r="N31" s="535"/>
      <c r="O31" s="535"/>
      <c r="P31" s="535"/>
      <c r="Q31" s="535"/>
      <c r="R31" s="535"/>
      <c r="S31" s="535"/>
      <c r="T31" s="535"/>
      <c r="U31" s="535"/>
      <c r="V31" s="535"/>
    </row>
    <row r="32" spans="1:22" s="557" customFormat="1" ht="12.75">
      <c r="A32" s="551"/>
      <c r="B32" s="559"/>
      <c r="C32" s="560"/>
      <c r="D32" s="561"/>
      <c r="E32" s="561"/>
      <c r="F32" s="561"/>
      <c r="G32" s="567"/>
      <c r="H32" s="553"/>
      <c r="I32" s="572"/>
      <c r="J32" s="572"/>
      <c r="K32" s="572"/>
      <c r="L32" s="555"/>
      <c r="M32" s="555"/>
      <c r="N32" s="535"/>
      <c r="O32" s="535"/>
      <c r="P32" s="535"/>
      <c r="Q32" s="535"/>
      <c r="R32" s="535"/>
      <c r="S32" s="535"/>
      <c r="T32" s="535"/>
      <c r="U32" s="535"/>
      <c r="V32" s="535"/>
    </row>
    <row r="33" spans="1:41" s="557" customFormat="1" ht="12.75">
      <c r="A33" s="551"/>
      <c r="B33" s="559"/>
      <c r="C33" s="560"/>
      <c r="D33" s="561"/>
      <c r="E33" s="561"/>
      <c r="F33" s="561"/>
      <c r="G33" s="567"/>
      <c r="H33" s="553"/>
      <c r="I33" s="572"/>
      <c r="J33" s="572"/>
      <c r="K33" s="572"/>
      <c r="L33" s="555"/>
      <c r="M33" s="555"/>
      <c r="N33" s="535"/>
      <c r="O33" s="535"/>
      <c r="P33" s="535"/>
      <c r="Q33" s="535"/>
      <c r="R33" s="535"/>
      <c r="S33" s="535"/>
      <c r="T33" s="535"/>
      <c r="U33" s="535"/>
      <c r="V33" s="535"/>
    </row>
    <row r="34" spans="1:41" s="557" customFormat="1" ht="12.75">
      <c r="A34" s="1108"/>
      <c r="L34" s="555"/>
      <c r="M34" s="555"/>
      <c r="N34" s="535"/>
      <c r="O34" s="535"/>
      <c r="P34" s="535"/>
      <c r="Q34" s="535"/>
      <c r="R34" s="535"/>
      <c r="S34" s="535"/>
      <c r="T34" s="535"/>
      <c r="U34" s="535"/>
      <c r="V34" s="535"/>
    </row>
    <row r="35" spans="1:41">
      <c r="A35" s="1109"/>
      <c r="B35" s="535"/>
      <c r="C35" s="552"/>
      <c r="D35" s="553"/>
      <c r="E35" s="553"/>
      <c r="F35" s="553"/>
      <c r="G35" s="566"/>
      <c r="H35" s="553"/>
      <c r="I35" s="553"/>
      <c r="J35" s="553"/>
      <c r="K35" s="553"/>
      <c r="L35" s="574"/>
      <c r="M35" s="575"/>
      <c r="N35" s="511"/>
      <c r="O35" s="542"/>
      <c r="P35" s="542"/>
      <c r="Q35" s="542"/>
      <c r="R35" s="542"/>
      <c r="S35" s="511"/>
      <c r="T35" s="511"/>
      <c r="U35" s="511"/>
      <c r="V35" s="511"/>
    </row>
    <row r="36" spans="1:41" ht="15" customHeight="1">
      <c r="A36" s="1097" t="s">
        <v>499</v>
      </c>
      <c r="B36" s="1488"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WHEELING POWER COMPANY's general ledger. The functional amounts identified as transmission revenue also come from the general ledger. </v>
      </c>
      <c r="C36" s="1488"/>
      <c r="D36" s="1488"/>
      <c r="E36" s="1488"/>
      <c r="F36" s="1488"/>
      <c r="G36" s="1488"/>
      <c r="H36" s="1488"/>
      <c r="I36" s="1488"/>
      <c r="J36" s="1488"/>
      <c r="K36" s="535"/>
      <c r="L36" s="577"/>
      <c r="M36" s="577"/>
      <c r="N36" s="511"/>
      <c r="O36" s="542"/>
      <c r="P36" s="542"/>
      <c r="Q36" s="542"/>
      <c r="R36" s="542"/>
      <c r="S36" s="511"/>
      <c r="T36" s="545"/>
      <c r="U36" s="511"/>
      <c r="V36" s="511"/>
    </row>
    <row r="37" spans="1:41" ht="15.75">
      <c r="A37" s="1097"/>
      <c r="B37" s="1488"/>
      <c r="C37" s="1488"/>
      <c r="D37" s="1488"/>
      <c r="E37" s="1488"/>
      <c r="F37" s="1488"/>
      <c r="G37" s="1488"/>
      <c r="H37" s="1488"/>
      <c r="I37" s="1488"/>
      <c r="J37" s="1488"/>
      <c r="K37" s="535"/>
      <c r="L37" s="510"/>
      <c r="M37" s="578"/>
      <c r="N37" s="578"/>
      <c r="O37" s="578"/>
      <c r="P37" s="578"/>
      <c r="Q37" s="578"/>
      <c r="R37" s="510"/>
      <c r="S37" s="510"/>
      <c r="T37" s="510"/>
      <c r="U37" s="510"/>
      <c r="V37" s="510"/>
      <c r="W37" s="547"/>
      <c r="X37" s="547"/>
      <c r="Y37" s="547"/>
      <c r="Z37" s="547"/>
      <c r="AA37" s="547"/>
      <c r="AB37" s="547"/>
      <c r="AC37" s="547"/>
      <c r="AD37" s="547"/>
      <c r="AE37" s="547"/>
      <c r="AF37" s="547"/>
      <c r="AG37" s="547"/>
      <c r="AH37" s="547"/>
      <c r="AI37" s="547"/>
      <c r="AJ37" s="547"/>
      <c r="AK37" s="547"/>
      <c r="AL37" s="547"/>
      <c r="AM37" s="547"/>
      <c r="AN37" s="547"/>
      <c r="AO37" s="547"/>
    </row>
    <row r="38" spans="1:41" ht="15.75">
      <c r="A38" s="1097" t="s">
        <v>617</v>
      </c>
      <c r="B38" s="1106" t="s">
        <v>618</v>
      </c>
      <c r="C38" s="1107"/>
      <c r="D38" s="1107"/>
      <c r="E38" s="1107"/>
      <c r="F38" s="1107"/>
      <c r="G38" s="1107"/>
      <c r="H38" s="1107"/>
      <c r="I38" s="576"/>
      <c r="J38" s="576"/>
      <c r="K38" s="579"/>
      <c r="L38" s="510"/>
      <c r="M38" s="578"/>
      <c r="N38" s="578"/>
      <c r="O38" s="578"/>
      <c r="P38" s="578"/>
      <c r="Q38" s="578"/>
      <c r="R38" s="510"/>
      <c r="S38" s="510"/>
      <c r="T38" s="510"/>
      <c r="U38" s="510"/>
      <c r="V38" s="510"/>
      <c r="W38" s="547"/>
      <c r="X38" s="547"/>
      <c r="Y38" s="547"/>
      <c r="Z38" s="547"/>
      <c r="AA38" s="547"/>
      <c r="AB38" s="547"/>
      <c r="AC38" s="547"/>
      <c r="AD38" s="547"/>
      <c r="AE38" s="547"/>
      <c r="AF38" s="547"/>
      <c r="AG38" s="547"/>
      <c r="AH38" s="547"/>
      <c r="AI38" s="547"/>
      <c r="AJ38" s="547"/>
      <c r="AK38" s="547"/>
      <c r="AL38" s="547"/>
      <c r="AM38" s="547"/>
      <c r="AN38" s="547"/>
      <c r="AO38" s="547"/>
    </row>
    <row r="39" spans="1:41" ht="15.75">
      <c r="A39" s="551">
        <f>+A31+1</f>
        <v>9</v>
      </c>
      <c r="B39" s="564" t="s">
        <v>534</v>
      </c>
      <c r="C39" s="535"/>
      <c r="D39" s="553"/>
      <c r="E39" s="553"/>
      <c r="F39" s="553"/>
      <c r="G39" s="566"/>
      <c r="H39" s="553"/>
      <c r="I39" s="572"/>
      <c r="J39" s="572"/>
      <c r="K39" s="842">
        <v>0</v>
      </c>
      <c r="L39" s="510"/>
      <c r="M39" s="578"/>
      <c r="N39" s="578"/>
      <c r="O39" s="578"/>
      <c r="P39" s="578"/>
      <c r="Q39" s="578"/>
      <c r="R39" s="510"/>
      <c r="S39" s="510"/>
      <c r="T39" s="510"/>
      <c r="U39" s="510"/>
      <c r="V39" s="510"/>
      <c r="W39" s="547"/>
      <c r="X39" s="547"/>
      <c r="Y39" s="547"/>
      <c r="Z39" s="547"/>
      <c r="AA39" s="547"/>
      <c r="AB39" s="547"/>
      <c r="AC39" s="547"/>
      <c r="AD39" s="547"/>
      <c r="AE39" s="547"/>
      <c r="AF39" s="547"/>
      <c r="AG39" s="547"/>
      <c r="AH39" s="547"/>
      <c r="AI39" s="547"/>
      <c r="AJ39" s="547"/>
      <c r="AK39" s="547"/>
      <c r="AL39" s="547"/>
      <c r="AM39" s="547"/>
      <c r="AN39" s="547"/>
      <c r="AO39" s="547"/>
    </row>
    <row r="40" spans="1:41" ht="15.75">
      <c r="A40" s="511"/>
      <c r="B40" s="510"/>
      <c r="E40" s="578"/>
      <c r="F40" s="578"/>
      <c r="G40" s="578"/>
      <c r="H40" s="578"/>
      <c r="I40" s="580"/>
      <c r="J40" s="578"/>
      <c r="K40" s="578"/>
      <c r="L40" s="510"/>
      <c r="M40" s="578"/>
      <c r="N40" s="578"/>
      <c r="O40" s="578"/>
      <c r="P40" s="578"/>
      <c r="Q40" s="578"/>
      <c r="R40" s="510"/>
      <c r="S40" s="510"/>
      <c r="T40" s="510"/>
      <c r="U40" s="510"/>
      <c r="V40" s="510"/>
      <c r="W40" s="547"/>
      <c r="X40" s="547"/>
      <c r="Y40" s="547"/>
      <c r="Z40" s="547"/>
      <c r="AA40" s="547"/>
      <c r="AB40" s="547"/>
      <c r="AC40" s="547"/>
      <c r="AD40" s="547"/>
      <c r="AE40" s="547"/>
      <c r="AF40" s="547"/>
      <c r="AG40" s="547"/>
      <c r="AH40" s="547"/>
      <c r="AI40" s="547"/>
      <c r="AJ40" s="547"/>
      <c r="AK40" s="547"/>
      <c r="AL40" s="547"/>
      <c r="AM40" s="547"/>
      <c r="AN40" s="547"/>
      <c r="AO40" s="547"/>
    </row>
    <row r="41" spans="1:41" ht="15.75">
      <c r="A41" s="511"/>
      <c r="B41" s="510"/>
      <c r="E41" s="578"/>
      <c r="F41" s="578"/>
      <c r="G41" s="578"/>
      <c r="H41" s="578"/>
      <c r="I41" s="578" t="s">
        <v>114</v>
      </c>
      <c r="J41" s="578"/>
      <c r="K41" s="578"/>
      <c r="L41" s="510"/>
      <c r="M41" s="578"/>
      <c r="N41" s="578"/>
      <c r="O41" s="578"/>
      <c r="P41" s="578"/>
      <c r="Q41" s="578"/>
      <c r="R41" s="510"/>
      <c r="S41" s="510"/>
      <c r="T41" s="510"/>
      <c r="U41" s="510"/>
      <c r="V41" s="510"/>
      <c r="W41" s="547"/>
      <c r="X41" s="547"/>
      <c r="Y41" s="547"/>
      <c r="Z41" s="547"/>
      <c r="AA41" s="547"/>
      <c r="AB41" s="547"/>
      <c r="AC41" s="547"/>
      <c r="AD41" s="547"/>
      <c r="AE41" s="547"/>
      <c r="AF41" s="547"/>
      <c r="AG41" s="547"/>
      <c r="AH41" s="547"/>
      <c r="AI41" s="547"/>
      <c r="AJ41" s="547"/>
      <c r="AK41" s="547"/>
      <c r="AL41" s="547"/>
      <c r="AM41" s="547"/>
      <c r="AN41" s="547"/>
      <c r="AO41" s="547"/>
    </row>
    <row r="42" spans="1:41" ht="15.75">
      <c r="A42" s="511"/>
      <c r="B42" s="510"/>
      <c r="E42" s="578"/>
      <c r="F42" s="578"/>
      <c r="G42" s="578"/>
      <c r="H42" s="578"/>
      <c r="I42" s="578" t="s">
        <v>114</v>
      </c>
      <c r="J42" s="578"/>
      <c r="K42" s="578"/>
      <c r="L42" s="510"/>
      <c r="M42" s="578"/>
      <c r="N42" s="578"/>
      <c r="O42" s="578"/>
      <c r="P42" s="578"/>
      <c r="Q42" s="578"/>
      <c r="R42" s="510"/>
      <c r="S42" s="510"/>
      <c r="T42" s="510"/>
      <c r="U42" s="510"/>
      <c r="V42" s="510"/>
      <c r="W42" s="547"/>
      <c r="X42" s="547"/>
      <c r="Y42" s="547"/>
      <c r="Z42" s="547"/>
      <c r="AA42" s="547"/>
      <c r="AB42" s="547"/>
      <c r="AC42" s="547"/>
      <c r="AD42" s="547"/>
      <c r="AE42" s="547"/>
      <c r="AF42" s="547"/>
      <c r="AG42" s="547"/>
      <c r="AH42" s="547"/>
      <c r="AI42" s="547"/>
      <c r="AJ42" s="547"/>
      <c r="AK42" s="547"/>
      <c r="AL42" s="547"/>
      <c r="AM42" s="547"/>
      <c r="AN42" s="547"/>
      <c r="AO42" s="547"/>
    </row>
    <row r="43" spans="1:41" ht="15.75">
      <c r="A43" s="511"/>
      <c r="B43" s="510"/>
      <c r="E43" s="578"/>
      <c r="F43" s="578"/>
      <c r="G43" s="578"/>
      <c r="H43" s="578"/>
      <c r="I43" s="578"/>
      <c r="J43" s="578"/>
      <c r="K43" s="578"/>
      <c r="L43" s="510"/>
      <c r="M43" s="578"/>
      <c r="N43" s="578"/>
      <c r="O43" s="578"/>
      <c r="P43" s="578"/>
      <c r="Q43" s="578"/>
      <c r="R43" s="510"/>
      <c r="S43" s="510"/>
      <c r="T43" s="510"/>
      <c r="U43" s="510"/>
      <c r="V43" s="510"/>
      <c r="W43" s="547"/>
      <c r="X43" s="547"/>
      <c r="Y43" s="547"/>
      <c r="Z43" s="547"/>
      <c r="AA43" s="547"/>
      <c r="AB43" s="547"/>
      <c r="AC43" s="547"/>
      <c r="AD43" s="547"/>
      <c r="AE43" s="547"/>
      <c r="AF43" s="547"/>
      <c r="AG43" s="547"/>
      <c r="AH43" s="547"/>
      <c r="AI43" s="547"/>
      <c r="AJ43" s="547"/>
      <c r="AK43" s="547"/>
      <c r="AL43" s="547"/>
      <c r="AM43" s="547"/>
      <c r="AN43" s="547"/>
      <c r="AO43" s="547"/>
    </row>
    <row r="44" spans="1:41" ht="15.75">
      <c r="A44" s="511"/>
      <c r="B44" s="510"/>
      <c r="E44" s="578"/>
      <c r="F44" s="578"/>
      <c r="G44" s="578"/>
      <c r="H44" s="578"/>
      <c r="I44" s="578"/>
      <c r="J44" s="578"/>
      <c r="K44" s="578"/>
      <c r="L44" s="510"/>
      <c r="M44" s="578"/>
      <c r="N44" s="578"/>
      <c r="O44" s="578"/>
      <c r="P44" s="578"/>
      <c r="Q44" s="578"/>
      <c r="R44" s="510"/>
      <c r="S44" s="510"/>
      <c r="T44" s="510"/>
      <c r="U44" s="510"/>
      <c r="V44" s="510"/>
      <c r="W44" s="547"/>
      <c r="X44" s="547"/>
      <c r="Y44" s="547"/>
      <c r="Z44" s="547"/>
      <c r="AA44" s="547"/>
      <c r="AB44" s="547"/>
      <c r="AC44" s="547"/>
      <c r="AD44" s="547"/>
      <c r="AE44" s="547"/>
      <c r="AF44" s="547"/>
      <c r="AG44" s="547"/>
      <c r="AH44" s="547"/>
      <c r="AI44" s="547"/>
      <c r="AJ44" s="547"/>
      <c r="AK44" s="547"/>
      <c r="AL44" s="547"/>
      <c r="AM44" s="547"/>
      <c r="AN44" s="547"/>
      <c r="AO44" s="547"/>
    </row>
    <row r="45" spans="1:41" ht="15.75">
      <c r="A45" s="511"/>
      <c r="B45" s="510"/>
      <c r="E45" s="578"/>
      <c r="F45" s="578"/>
      <c r="G45" s="578"/>
      <c r="H45" s="578"/>
      <c r="I45" s="578"/>
      <c r="J45" s="578"/>
      <c r="K45" s="578"/>
      <c r="L45" s="510"/>
      <c r="M45" s="578"/>
      <c r="N45" s="578"/>
      <c r="O45" s="578"/>
      <c r="P45" s="578"/>
      <c r="Q45" s="578"/>
      <c r="R45" s="510"/>
      <c r="S45" s="510"/>
      <c r="T45" s="510"/>
      <c r="U45" s="510"/>
      <c r="V45" s="510"/>
      <c r="W45" s="547"/>
      <c r="X45" s="547"/>
      <c r="Y45" s="547"/>
      <c r="Z45" s="547"/>
      <c r="AA45" s="547"/>
      <c r="AB45" s="547"/>
      <c r="AC45" s="547"/>
      <c r="AD45" s="547"/>
      <c r="AE45" s="547"/>
      <c r="AF45" s="547"/>
      <c r="AG45" s="547"/>
      <c r="AH45" s="547"/>
      <c r="AI45" s="547"/>
      <c r="AJ45" s="547"/>
      <c r="AK45" s="547"/>
      <c r="AL45" s="547"/>
      <c r="AM45" s="547"/>
      <c r="AN45" s="547"/>
      <c r="AO45" s="547"/>
    </row>
    <row r="46" spans="1:41" ht="15.75">
      <c r="A46" s="511"/>
      <c r="B46" s="510"/>
      <c r="E46" s="578"/>
      <c r="F46" s="578"/>
      <c r="G46" s="578"/>
      <c r="H46" s="578"/>
      <c r="I46" s="578"/>
      <c r="J46" s="578"/>
      <c r="K46" s="578"/>
      <c r="L46" s="510"/>
      <c r="M46" s="578"/>
      <c r="N46" s="578"/>
      <c r="O46" s="578"/>
      <c r="P46" s="578"/>
      <c r="Q46" s="578"/>
      <c r="R46" s="510"/>
      <c r="S46" s="510"/>
      <c r="T46" s="510"/>
      <c r="U46" s="510"/>
      <c r="V46" s="510"/>
      <c r="W46" s="547"/>
      <c r="X46" s="547"/>
      <c r="Y46" s="547"/>
      <c r="Z46" s="547"/>
      <c r="AA46" s="547"/>
      <c r="AB46" s="547"/>
      <c r="AC46" s="547"/>
      <c r="AD46" s="547"/>
      <c r="AE46" s="547"/>
      <c r="AF46" s="547"/>
      <c r="AG46" s="547"/>
      <c r="AH46" s="547"/>
      <c r="AI46" s="547"/>
      <c r="AJ46" s="547"/>
      <c r="AK46" s="547"/>
      <c r="AL46" s="547"/>
      <c r="AM46" s="547"/>
      <c r="AN46" s="547"/>
      <c r="AO46" s="547"/>
    </row>
    <row r="47" spans="1:41" ht="15.75">
      <c r="A47" s="511"/>
      <c r="B47" s="510"/>
      <c r="E47" s="578"/>
      <c r="F47" s="578"/>
      <c r="G47" s="578"/>
      <c r="H47" s="578"/>
      <c r="I47" s="578"/>
      <c r="J47" s="578"/>
      <c r="K47" s="578"/>
      <c r="L47" s="510"/>
      <c r="M47" s="578"/>
      <c r="N47" s="578"/>
      <c r="O47" s="578"/>
      <c r="P47" s="578"/>
      <c r="Q47" s="578"/>
      <c r="R47" s="510"/>
      <c r="S47" s="510"/>
      <c r="T47" s="510"/>
      <c r="U47" s="510"/>
      <c r="V47" s="510"/>
      <c r="W47" s="547"/>
      <c r="X47" s="547"/>
      <c r="Y47" s="547"/>
      <c r="Z47" s="547"/>
      <c r="AA47" s="547"/>
      <c r="AB47" s="547"/>
      <c r="AC47" s="547"/>
      <c r="AD47" s="547"/>
      <c r="AE47" s="547"/>
      <c r="AF47" s="547"/>
      <c r="AG47" s="547"/>
      <c r="AH47" s="547"/>
      <c r="AI47" s="547"/>
      <c r="AJ47" s="547"/>
      <c r="AK47" s="547"/>
      <c r="AL47" s="547"/>
      <c r="AM47" s="547"/>
      <c r="AN47" s="547"/>
      <c r="AO47" s="547"/>
    </row>
    <row r="48" spans="1:41" ht="15.75">
      <c r="A48" s="511"/>
      <c r="B48" s="510"/>
      <c r="E48" s="578"/>
      <c r="F48" s="578"/>
      <c r="G48" s="578"/>
      <c r="H48" s="578"/>
      <c r="I48" s="578"/>
      <c r="J48" s="578"/>
      <c r="K48" s="578"/>
      <c r="L48" s="510"/>
      <c r="M48" s="578"/>
      <c r="N48" s="578"/>
      <c r="O48" s="578"/>
      <c r="P48" s="578"/>
      <c r="Q48" s="578"/>
      <c r="R48" s="510"/>
      <c r="S48" s="510"/>
      <c r="T48" s="510"/>
      <c r="U48" s="510"/>
      <c r="V48" s="510"/>
      <c r="W48" s="547"/>
      <c r="X48" s="547"/>
      <c r="Y48" s="547"/>
      <c r="Z48" s="547"/>
      <c r="AA48" s="547"/>
      <c r="AB48" s="547"/>
      <c r="AC48" s="547"/>
      <c r="AD48" s="547"/>
      <c r="AE48" s="547"/>
      <c r="AF48" s="547"/>
      <c r="AG48" s="547"/>
      <c r="AH48" s="547"/>
      <c r="AI48" s="547"/>
      <c r="AJ48" s="547"/>
      <c r="AK48" s="547"/>
      <c r="AL48" s="547"/>
      <c r="AM48" s="547"/>
      <c r="AN48" s="547"/>
      <c r="AO48" s="547"/>
    </row>
    <row r="49" spans="1:41" ht="15.75">
      <c r="I49" s="578"/>
      <c r="J49" s="578"/>
      <c r="K49" s="578"/>
      <c r="L49" s="510"/>
      <c r="M49" s="578"/>
      <c r="N49" s="578"/>
      <c r="O49" s="578"/>
      <c r="P49" s="578"/>
      <c r="Q49" s="578"/>
      <c r="R49" s="510"/>
      <c r="S49" s="510"/>
      <c r="T49" s="510"/>
      <c r="U49" s="510"/>
      <c r="V49" s="510"/>
      <c r="W49" s="547"/>
      <c r="X49" s="547"/>
      <c r="Y49" s="547"/>
      <c r="Z49" s="547"/>
      <c r="AA49" s="547"/>
      <c r="AB49" s="547"/>
      <c r="AC49" s="547"/>
      <c r="AD49" s="547"/>
      <c r="AE49" s="547"/>
      <c r="AF49" s="547"/>
      <c r="AG49" s="547"/>
      <c r="AH49" s="547"/>
      <c r="AI49" s="547"/>
      <c r="AJ49" s="547"/>
      <c r="AK49" s="547"/>
      <c r="AL49" s="547"/>
      <c r="AM49" s="547"/>
      <c r="AN49" s="547"/>
      <c r="AO49" s="547"/>
    </row>
    <row r="50" spans="1:41" ht="15.75">
      <c r="A50" s="511"/>
      <c r="B50" s="510"/>
      <c r="E50" s="578"/>
      <c r="F50" s="578"/>
      <c r="G50" s="578"/>
      <c r="H50" s="578"/>
      <c r="I50" s="578"/>
      <c r="J50" s="578"/>
      <c r="K50" s="578"/>
      <c r="L50" s="510"/>
      <c r="M50" s="578"/>
      <c r="N50" s="578"/>
      <c r="O50" s="578"/>
      <c r="P50" s="578"/>
      <c r="Q50" s="578"/>
      <c r="R50" s="510"/>
      <c r="S50" s="510"/>
      <c r="T50" s="510"/>
      <c r="U50" s="510"/>
      <c r="V50" s="510"/>
      <c r="W50" s="547"/>
      <c r="X50" s="547"/>
      <c r="Y50" s="547"/>
      <c r="Z50" s="547"/>
      <c r="AA50" s="547"/>
      <c r="AB50" s="547"/>
      <c r="AC50" s="547"/>
      <c r="AD50" s="547"/>
      <c r="AE50" s="547"/>
      <c r="AF50" s="547"/>
      <c r="AG50" s="547"/>
      <c r="AH50" s="547"/>
      <c r="AI50" s="547"/>
      <c r="AJ50" s="547"/>
      <c r="AK50" s="547"/>
      <c r="AL50" s="547"/>
      <c r="AM50" s="547"/>
      <c r="AN50" s="547"/>
      <c r="AO50" s="547"/>
    </row>
    <row r="51" spans="1:41" ht="15.75">
      <c r="A51" s="511"/>
      <c r="B51" s="510"/>
      <c r="E51" s="578"/>
      <c r="F51" s="578"/>
      <c r="G51" s="578"/>
      <c r="H51" s="578"/>
      <c r="I51" s="578"/>
      <c r="J51" s="578"/>
      <c r="K51" s="578"/>
      <c r="L51" s="510"/>
      <c r="M51" s="578"/>
      <c r="N51" s="578"/>
      <c r="O51" s="578"/>
      <c r="P51" s="578"/>
      <c r="Q51" s="578"/>
      <c r="R51" s="510"/>
      <c r="S51" s="510"/>
      <c r="T51" s="510"/>
      <c r="U51" s="510"/>
      <c r="V51" s="510"/>
      <c r="W51" s="547"/>
      <c r="X51" s="547"/>
      <c r="Y51" s="547"/>
      <c r="Z51" s="547"/>
      <c r="AA51" s="547"/>
      <c r="AB51" s="547"/>
      <c r="AC51" s="547"/>
      <c r="AD51" s="547"/>
      <c r="AE51" s="547"/>
      <c r="AF51" s="547"/>
      <c r="AG51" s="547"/>
      <c r="AH51" s="547"/>
      <c r="AI51" s="547"/>
      <c r="AJ51" s="547"/>
      <c r="AK51" s="547"/>
      <c r="AL51" s="547"/>
      <c r="AM51" s="547"/>
      <c r="AN51" s="547"/>
      <c r="AO51" s="547"/>
    </row>
    <row r="52" spans="1:41" ht="15.75">
      <c r="A52" s="511"/>
      <c r="B52" s="510"/>
      <c r="E52" s="578"/>
      <c r="F52" s="578"/>
      <c r="G52" s="578"/>
      <c r="H52" s="578"/>
      <c r="I52" s="578"/>
      <c r="J52" s="578"/>
      <c r="K52" s="578"/>
      <c r="L52" s="510"/>
      <c r="M52" s="578"/>
      <c r="N52" s="578"/>
      <c r="O52" s="578"/>
      <c r="P52" s="578"/>
      <c r="Q52" s="578"/>
      <c r="R52" s="510"/>
      <c r="S52" s="510"/>
      <c r="T52" s="510"/>
      <c r="U52" s="510"/>
      <c r="V52" s="510"/>
      <c r="W52" s="547"/>
      <c r="X52" s="547"/>
      <c r="Y52" s="547"/>
      <c r="Z52" s="547"/>
      <c r="AA52" s="547"/>
      <c r="AB52" s="547"/>
      <c r="AC52" s="547"/>
      <c r="AD52" s="547"/>
      <c r="AE52" s="547"/>
      <c r="AF52" s="547"/>
      <c r="AG52" s="547"/>
      <c r="AH52" s="547"/>
      <c r="AI52" s="547"/>
      <c r="AJ52" s="547"/>
      <c r="AK52" s="547"/>
      <c r="AL52" s="547"/>
      <c r="AM52" s="547"/>
      <c r="AN52" s="547"/>
      <c r="AO52" s="547"/>
    </row>
    <row r="53" spans="1:41" ht="15.75">
      <c r="A53" s="511"/>
      <c r="B53" s="510"/>
      <c r="E53" s="578"/>
      <c r="F53" s="578"/>
      <c r="G53" s="578"/>
      <c r="H53" s="578"/>
      <c r="I53" s="578"/>
      <c r="J53" s="578"/>
      <c r="K53" s="578"/>
      <c r="L53" s="510"/>
      <c r="M53" s="578"/>
      <c r="N53" s="578"/>
      <c r="O53" s="578"/>
      <c r="P53" s="578"/>
      <c r="Q53" s="578"/>
      <c r="R53" s="510"/>
      <c r="S53" s="510"/>
      <c r="T53" s="510"/>
      <c r="U53" s="510"/>
      <c r="V53" s="510"/>
      <c r="W53" s="547"/>
      <c r="X53" s="547"/>
      <c r="Y53" s="547"/>
      <c r="Z53" s="547"/>
      <c r="AA53" s="547"/>
      <c r="AB53" s="547"/>
      <c r="AC53" s="547"/>
      <c r="AD53" s="547"/>
      <c r="AE53" s="547"/>
      <c r="AF53" s="547"/>
      <c r="AG53" s="547"/>
      <c r="AH53" s="547"/>
      <c r="AI53" s="547"/>
      <c r="AJ53" s="547"/>
      <c r="AK53" s="547"/>
      <c r="AL53" s="547"/>
      <c r="AM53" s="547"/>
      <c r="AN53" s="547"/>
      <c r="AO53" s="547"/>
    </row>
    <row r="54" spans="1:41" ht="15.75">
      <c r="A54" s="511"/>
      <c r="B54" s="510"/>
      <c r="E54" s="578"/>
      <c r="F54" s="578"/>
      <c r="G54" s="578"/>
      <c r="H54" s="578"/>
      <c r="I54" s="578"/>
      <c r="J54" s="578"/>
      <c r="K54" s="578"/>
      <c r="L54" s="510"/>
      <c r="M54" s="578"/>
      <c r="N54" s="578"/>
      <c r="O54" s="578"/>
      <c r="P54" s="578"/>
      <c r="Q54" s="578"/>
      <c r="R54" s="510"/>
      <c r="S54" s="510"/>
      <c r="T54" s="510"/>
      <c r="U54" s="510"/>
      <c r="V54" s="510"/>
      <c r="W54" s="547"/>
      <c r="X54" s="547"/>
      <c r="Y54" s="547"/>
      <c r="Z54" s="547"/>
      <c r="AA54" s="547"/>
      <c r="AB54" s="547"/>
      <c r="AC54" s="547"/>
      <c r="AD54" s="547"/>
      <c r="AE54" s="547"/>
      <c r="AF54" s="547"/>
      <c r="AG54" s="547"/>
      <c r="AH54" s="547"/>
      <c r="AI54" s="547"/>
      <c r="AJ54" s="547"/>
      <c r="AK54" s="547"/>
      <c r="AL54" s="547"/>
      <c r="AM54" s="547"/>
      <c r="AN54" s="547"/>
      <c r="AO54" s="547"/>
    </row>
    <row r="55" spans="1:41" ht="15.75">
      <c r="A55" s="511"/>
      <c r="B55" s="510"/>
      <c r="E55" s="578"/>
      <c r="F55" s="578"/>
      <c r="G55" s="578"/>
      <c r="H55" s="578"/>
      <c r="I55" s="578"/>
      <c r="J55" s="578"/>
      <c r="K55" s="578"/>
      <c r="L55" s="510"/>
      <c r="M55" s="578"/>
      <c r="N55" s="578"/>
      <c r="O55" s="578"/>
      <c r="P55" s="578"/>
      <c r="Q55" s="578"/>
      <c r="R55" s="510"/>
      <c r="S55" s="510"/>
      <c r="T55" s="510"/>
      <c r="U55" s="510"/>
      <c r="V55" s="510"/>
      <c r="W55" s="547"/>
      <c r="X55" s="547"/>
      <c r="Y55" s="547"/>
      <c r="Z55" s="547"/>
      <c r="AA55" s="547"/>
      <c r="AB55" s="547"/>
      <c r="AC55" s="547"/>
      <c r="AD55" s="547"/>
      <c r="AE55" s="547"/>
      <c r="AF55" s="547"/>
      <c r="AG55" s="547"/>
      <c r="AH55" s="547"/>
      <c r="AI55" s="547"/>
      <c r="AJ55" s="547"/>
      <c r="AK55" s="547"/>
      <c r="AL55" s="547"/>
      <c r="AM55" s="547"/>
      <c r="AN55" s="547"/>
      <c r="AO55" s="547"/>
    </row>
    <row r="56" spans="1:41" ht="15.75">
      <c r="A56" s="511"/>
      <c r="B56" s="510"/>
      <c r="E56" s="578"/>
      <c r="F56" s="578"/>
      <c r="G56" s="578"/>
      <c r="H56" s="578"/>
      <c r="I56" s="578"/>
      <c r="J56" s="578"/>
      <c r="K56" s="578"/>
      <c r="L56" s="510"/>
      <c r="M56" s="578"/>
      <c r="N56" s="578"/>
      <c r="O56" s="578"/>
      <c r="P56" s="578"/>
      <c r="Q56" s="578"/>
      <c r="R56" s="510"/>
      <c r="S56" s="510"/>
      <c r="T56" s="510"/>
      <c r="U56" s="510"/>
      <c r="V56" s="510"/>
      <c r="W56" s="547"/>
      <c r="X56" s="547"/>
      <c r="Y56" s="547"/>
      <c r="Z56" s="547"/>
      <c r="AA56" s="547"/>
      <c r="AB56" s="547"/>
      <c r="AC56" s="547"/>
      <c r="AD56" s="547"/>
      <c r="AE56" s="547"/>
      <c r="AF56" s="547"/>
      <c r="AG56" s="547"/>
      <c r="AH56" s="547"/>
      <c r="AI56" s="547"/>
      <c r="AJ56" s="547"/>
      <c r="AK56" s="547"/>
      <c r="AL56" s="547"/>
      <c r="AM56" s="547"/>
      <c r="AN56" s="547"/>
      <c r="AO56" s="547"/>
    </row>
    <row r="57" spans="1:41" ht="15.75">
      <c r="A57" s="511"/>
      <c r="B57" s="510"/>
      <c r="E57" s="578"/>
      <c r="F57" s="578"/>
      <c r="G57" s="578"/>
      <c r="H57" s="578"/>
      <c r="I57" s="578"/>
      <c r="J57" s="578"/>
      <c r="K57" s="578"/>
      <c r="L57" s="510"/>
      <c r="M57" s="578"/>
      <c r="N57" s="578"/>
      <c r="O57" s="578"/>
      <c r="P57" s="578"/>
      <c r="Q57" s="578"/>
      <c r="R57" s="510"/>
      <c r="S57" s="510"/>
      <c r="T57" s="510"/>
      <c r="U57" s="510"/>
      <c r="V57" s="510"/>
      <c r="W57" s="547"/>
      <c r="X57" s="547"/>
      <c r="Y57" s="547"/>
      <c r="Z57" s="547"/>
      <c r="AA57" s="547"/>
      <c r="AB57" s="547"/>
      <c r="AC57" s="547"/>
      <c r="AD57" s="547"/>
      <c r="AE57" s="547"/>
      <c r="AF57" s="547"/>
      <c r="AG57" s="547"/>
      <c r="AH57" s="547"/>
      <c r="AI57" s="547"/>
      <c r="AJ57" s="547"/>
      <c r="AK57" s="547"/>
      <c r="AL57" s="547"/>
      <c r="AM57" s="547"/>
      <c r="AN57" s="547"/>
      <c r="AO57" s="547"/>
    </row>
    <row r="58" spans="1:41" ht="15.75">
      <c r="A58" s="511"/>
      <c r="B58" s="510"/>
      <c r="E58" s="578"/>
      <c r="F58" s="578"/>
      <c r="G58" s="578"/>
      <c r="H58" s="578"/>
      <c r="I58" s="578"/>
      <c r="J58" s="578"/>
      <c r="K58" s="578"/>
      <c r="L58" s="510"/>
      <c r="M58" s="578"/>
      <c r="N58" s="578"/>
      <c r="O58" s="578"/>
      <c r="P58" s="578"/>
      <c r="Q58" s="578"/>
      <c r="R58" s="510"/>
      <c r="S58" s="510"/>
      <c r="T58" s="510"/>
      <c r="U58" s="510"/>
      <c r="V58" s="510"/>
      <c r="W58" s="547"/>
      <c r="X58" s="547"/>
      <c r="Y58" s="547"/>
      <c r="Z58" s="547"/>
      <c r="AA58" s="547"/>
      <c r="AB58" s="547"/>
      <c r="AC58" s="547"/>
      <c r="AD58" s="547"/>
      <c r="AE58" s="547"/>
      <c r="AF58" s="547"/>
      <c r="AG58" s="547"/>
      <c r="AH58" s="547"/>
      <c r="AI58" s="547"/>
      <c r="AJ58" s="547"/>
      <c r="AK58" s="547"/>
      <c r="AL58" s="547"/>
      <c r="AM58" s="547"/>
      <c r="AN58" s="547"/>
      <c r="AO58" s="547"/>
    </row>
    <row r="59" spans="1:41" ht="15.75">
      <c r="A59" s="511"/>
      <c r="B59" s="510"/>
      <c r="E59" s="578"/>
      <c r="F59" s="578"/>
      <c r="G59" s="578"/>
      <c r="H59" s="578"/>
      <c r="I59" s="578"/>
      <c r="J59" s="578"/>
      <c r="K59" s="578"/>
      <c r="L59" s="510"/>
      <c r="M59" s="578"/>
      <c r="N59" s="578"/>
      <c r="O59" s="578"/>
      <c r="P59" s="578"/>
      <c r="Q59" s="578"/>
      <c r="R59" s="510"/>
      <c r="S59" s="510"/>
      <c r="T59" s="510"/>
      <c r="U59" s="510"/>
      <c r="V59" s="510"/>
      <c r="W59" s="547"/>
      <c r="X59" s="547"/>
      <c r="Y59" s="547"/>
      <c r="Z59" s="547"/>
      <c r="AA59" s="547"/>
      <c r="AB59" s="547"/>
      <c r="AC59" s="547"/>
      <c r="AD59" s="547"/>
      <c r="AE59" s="547"/>
      <c r="AF59" s="547"/>
      <c r="AG59" s="547"/>
      <c r="AH59" s="547"/>
      <c r="AI59" s="547"/>
      <c r="AJ59" s="547"/>
      <c r="AK59" s="547"/>
      <c r="AL59" s="547"/>
      <c r="AM59" s="547"/>
      <c r="AN59" s="547"/>
      <c r="AO59" s="547"/>
    </row>
    <row r="60" spans="1:41" ht="15.75">
      <c r="A60" s="511"/>
      <c r="B60" s="510"/>
      <c r="E60" s="578"/>
      <c r="F60" s="578"/>
      <c r="G60" s="578"/>
      <c r="H60" s="578"/>
      <c r="I60" s="578"/>
      <c r="J60" s="578"/>
      <c r="K60" s="578"/>
      <c r="L60" s="510"/>
      <c r="M60" s="578"/>
      <c r="N60" s="578"/>
      <c r="O60" s="578"/>
      <c r="P60" s="578"/>
      <c r="Q60" s="578"/>
      <c r="R60" s="510"/>
      <c r="S60" s="510"/>
      <c r="T60" s="510"/>
      <c r="U60" s="510"/>
      <c r="V60" s="510"/>
      <c r="W60" s="547"/>
      <c r="X60" s="547"/>
      <c r="Y60" s="547"/>
      <c r="Z60" s="547"/>
      <c r="AA60" s="547"/>
      <c r="AB60" s="547"/>
      <c r="AC60" s="547"/>
      <c r="AD60" s="547"/>
      <c r="AE60" s="547"/>
      <c r="AF60" s="547"/>
      <c r="AG60" s="547"/>
      <c r="AH60" s="547"/>
      <c r="AI60" s="547"/>
      <c r="AJ60" s="547"/>
      <c r="AK60" s="547"/>
      <c r="AL60" s="547"/>
      <c r="AM60" s="547"/>
      <c r="AN60" s="547"/>
      <c r="AO60" s="547"/>
    </row>
    <row r="61" spans="1:41" ht="15.75">
      <c r="A61" s="511"/>
      <c r="B61" s="510"/>
      <c r="E61" s="578"/>
      <c r="F61" s="578"/>
      <c r="G61" s="578"/>
      <c r="H61" s="578"/>
      <c r="I61" s="578"/>
      <c r="J61" s="578"/>
      <c r="K61" s="578"/>
      <c r="L61" s="510"/>
      <c r="M61" s="578"/>
      <c r="N61" s="578"/>
      <c r="O61" s="578"/>
      <c r="P61" s="578"/>
      <c r="Q61" s="578"/>
      <c r="R61" s="510"/>
      <c r="S61" s="510"/>
      <c r="T61" s="510"/>
      <c r="U61" s="510"/>
      <c r="V61" s="510"/>
      <c r="W61" s="547"/>
      <c r="X61" s="547"/>
      <c r="Y61" s="547"/>
      <c r="Z61" s="547"/>
      <c r="AA61" s="547"/>
      <c r="AB61" s="547"/>
      <c r="AC61" s="547"/>
      <c r="AD61" s="547"/>
      <c r="AE61" s="547"/>
      <c r="AF61" s="547"/>
      <c r="AG61" s="547"/>
      <c r="AH61" s="547"/>
      <c r="AI61" s="547"/>
      <c r="AJ61" s="547"/>
      <c r="AK61" s="547"/>
      <c r="AL61" s="547"/>
      <c r="AM61" s="547"/>
      <c r="AN61" s="547"/>
      <c r="AO61" s="547"/>
    </row>
    <row r="62" spans="1:41" ht="15.75">
      <c r="A62" s="511"/>
      <c r="B62" s="510"/>
      <c r="E62" s="578"/>
      <c r="F62" s="578"/>
      <c r="G62" s="578"/>
      <c r="H62" s="578"/>
      <c r="I62" s="578"/>
      <c r="J62" s="578"/>
      <c r="K62" s="578"/>
      <c r="L62" s="510"/>
      <c r="M62" s="578"/>
      <c r="N62" s="578"/>
      <c r="O62" s="578"/>
      <c r="P62" s="578"/>
      <c r="Q62" s="578"/>
      <c r="R62" s="510"/>
      <c r="S62" s="510"/>
      <c r="T62" s="510"/>
      <c r="U62" s="510"/>
      <c r="V62" s="510"/>
      <c r="W62" s="547"/>
      <c r="X62" s="547"/>
      <c r="Y62" s="547"/>
      <c r="Z62" s="547"/>
      <c r="AA62" s="547"/>
      <c r="AB62" s="547"/>
      <c r="AC62" s="547"/>
      <c r="AD62" s="547"/>
      <c r="AE62" s="547"/>
      <c r="AF62" s="547"/>
      <c r="AG62" s="547"/>
      <c r="AH62" s="547"/>
      <c r="AI62" s="547"/>
      <c r="AJ62" s="547"/>
      <c r="AK62" s="547"/>
      <c r="AL62" s="547"/>
      <c r="AM62" s="547"/>
      <c r="AN62" s="547"/>
      <c r="AO62" s="547"/>
    </row>
    <row r="63" spans="1:41" ht="15.75">
      <c r="A63" s="511"/>
      <c r="B63" s="510"/>
      <c r="E63" s="578"/>
      <c r="F63" s="578"/>
      <c r="G63" s="578"/>
      <c r="H63" s="578"/>
      <c r="I63" s="578"/>
      <c r="J63" s="578"/>
      <c r="K63" s="578"/>
      <c r="L63" s="510"/>
      <c r="M63" s="578"/>
      <c r="N63" s="578"/>
      <c r="O63" s="578"/>
      <c r="P63" s="578"/>
      <c r="Q63" s="578"/>
      <c r="R63" s="510"/>
      <c r="S63" s="510"/>
      <c r="T63" s="510"/>
      <c r="U63" s="510"/>
      <c r="V63" s="510"/>
      <c r="W63" s="547"/>
      <c r="X63" s="547"/>
      <c r="Y63" s="547"/>
      <c r="Z63" s="547"/>
      <c r="AA63" s="547"/>
      <c r="AB63" s="547"/>
      <c r="AC63" s="547"/>
      <c r="AD63" s="547"/>
      <c r="AE63" s="547"/>
      <c r="AF63" s="547"/>
      <c r="AG63" s="547"/>
      <c r="AH63" s="547"/>
      <c r="AI63" s="547"/>
      <c r="AJ63" s="547"/>
      <c r="AK63" s="547"/>
      <c r="AL63" s="547"/>
      <c r="AM63" s="547"/>
      <c r="AN63" s="547"/>
      <c r="AO63" s="547"/>
    </row>
    <row r="64" spans="1:41" ht="15.75">
      <c r="A64" s="511"/>
      <c r="B64" s="510"/>
      <c r="E64" s="578"/>
      <c r="F64" s="578"/>
      <c r="G64" s="578"/>
      <c r="H64" s="578"/>
      <c r="I64" s="578"/>
      <c r="J64" s="578"/>
      <c r="K64" s="578"/>
      <c r="L64" s="510"/>
      <c r="M64" s="578"/>
      <c r="N64" s="578"/>
      <c r="O64" s="578"/>
      <c r="P64" s="578"/>
      <c r="Q64" s="578"/>
      <c r="R64" s="510"/>
      <c r="S64" s="510"/>
      <c r="T64" s="510"/>
      <c r="U64" s="510"/>
      <c r="V64" s="510"/>
      <c r="W64" s="547"/>
      <c r="X64" s="547"/>
      <c r="Y64" s="547"/>
      <c r="Z64" s="547"/>
      <c r="AA64" s="547"/>
      <c r="AB64" s="547"/>
      <c r="AC64" s="547"/>
      <c r="AD64" s="547"/>
      <c r="AE64" s="547"/>
      <c r="AF64" s="547"/>
      <c r="AG64" s="547"/>
      <c r="AH64" s="547"/>
      <c r="AI64" s="547"/>
      <c r="AJ64" s="547"/>
      <c r="AK64" s="547"/>
      <c r="AL64" s="547"/>
      <c r="AM64" s="547"/>
      <c r="AN64" s="547"/>
      <c r="AO64" s="547"/>
    </row>
    <row r="65" spans="1:41" ht="15.75">
      <c r="A65" s="511"/>
      <c r="B65" s="510"/>
      <c r="E65" s="578"/>
      <c r="F65" s="578"/>
      <c r="G65" s="578"/>
      <c r="H65" s="578"/>
      <c r="I65" s="578"/>
      <c r="J65" s="578"/>
      <c r="K65" s="578"/>
      <c r="L65" s="510"/>
      <c r="M65" s="578"/>
      <c r="N65" s="578"/>
      <c r="O65" s="578"/>
      <c r="P65" s="578"/>
      <c r="Q65" s="578"/>
      <c r="R65" s="510"/>
      <c r="S65" s="510"/>
      <c r="T65" s="510"/>
      <c r="U65" s="510"/>
      <c r="V65" s="510"/>
      <c r="W65" s="547"/>
      <c r="X65" s="547"/>
      <c r="Y65" s="547"/>
      <c r="Z65" s="547"/>
      <c r="AA65" s="547"/>
      <c r="AB65" s="547"/>
      <c r="AC65" s="547"/>
      <c r="AD65" s="547"/>
      <c r="AE65" s="547"/>
      <c r="AF65" s="547"/>
      <c r="AG65" s="547"/>
      <c r="AH65" s="547"/>
      <c r="AI65" s="547"/>
      <c r="AJ65" s="547"/>
      <c r="AK65" s="547"/>
      <c r="AL65" s="547"/>
      <c r="AM65" s="547"/>
      <c r="AN65" s="547"/>
      <c r="AO65" s="547"/>
    </row>
    <row r="66" spans="1:41" ht="15.75">
      <c r="A66" s="511"/>
      <c r="B66" s="510"/>
      <c r="E66" s="578"/>
      <c r="F66" s="578"/>
      <c r="G66" s="578"/>
      <c r="H66" s="578"/>
      <c r="I66" s="578"/>
      <c r="J66" s="578"/>
      <c r="K66" s="578"/>
      <c r="L66" s="510"/>
      <c r="M66" s="578"/>
      <c r="N66" s="578"/>
      <c r="O66" s="578"/>
      <c r="P66" s="578"/>
      <c r="Q66" s="578"/>
      <c r="R66" s="510"/>
      <c r="S66" s="510"/>
      <c r="T66" s="510"/>
      <c r="U66" s="510"/>
      <c r="V66" s="510"/>
      <c r="W66" s="547"/>
      <c r="X66" s="547"/>
      <c r="Y66" s="547"/>
      <c r="Z66" s="547"/>
      <c r="AA66" s="547"/>
      <c r="AB66" s="547"/>
      <c r="AC66" s="547"/>
      <c r="AD66" s="547"/>
      <c r="AE66" s="547"/>
      <c r="AF66" s="547"/>
      <c r="AG66" s="547"/>
      <c r="AH66" s="547"/>
      <c r="AI66" s="547"/>
      <c r="AJ66" s="547"/>
      <c r="AK66" s="547"/>
      <c r="AL66" s="547"/>
      <c r="AM66" s="547"/>
      <c r="AN66" s="547"/>
      <c r="AO66" s="547"/>
    </row>
    <row r="67" spans="1:41" ht="15.75">
      <c r="A67" s="511"/>
      <c r="B67" s="510"/>
      <c r="E67" s="578"/>
      <c r="F67" s="578"/>
      <c r="G67" s="578"/>
      <c r="H67" s="578"/>
      <c r="I67" s="578"/>
      <c r="J67" s="578"/>
      <c r="K67" s="578"/>
      <c r="L67" s="510"/>
      <c r="M67" s="578"/>
      <c r="N67" s="578"/>
      <c r="O67" s="578"/>
      <c r="P67" s="578"/>
      <c r="Q67" s="578"/>
      <c r="R67" s="510"/>
      <c r="S67" s="510"/>
      <c r="T67" s="510"/>
      <c r="U67" s="510"/>
      <c r="V67" s="510"/>
      <c r="W67" s="547"/>
      <c r="X67" s="547"/>
      <c r="Y67" s="547"/>
      <c r="Z67" s="547"/>
      <c r="AA67" s="547"/>
      <c r="AB67" s="547"/>
      <c r="AC67" s="547"/>
      <c r="AD67" s="547"/>
      <c r="AE67" s="547"/>
      <c r="AF67" s="547"/>
      <c r="AG67" s="547"/>
      <c r="AH67" s="547"/>
      <c r="AI67" s="547"/>
      <c r="AJ67" s="547"/>
      <c r="AK67" s="547"/>
      <c r="AL67" s="547"/>
      <c r="AM67" s="547"/>
      <c r="AN67" s="547"/>
      <c r="AO67" s="547"/>
    </row>
    <row r="68" spans="1:41" ht="15.75">
      <c r="A68" s="511"/>
      <c r="B68" s="510"/>
      <c r="E68" s="578"/>
      <c r="F68" s="578"/>
      <c r="G68" s="578"/>
      <c r="H68" s="578"/>
      <c r="I68" s="578"/>
      <c r="J68" s="578"/>
      <c r="K68" s="578"/>
      <c r="L68" s="510"/>
      <c r="M68" s="578"/>
      <c r="N68" s="578"/>
      <c r="O68" s="578"/>
      <c r="P68" s="578"/>
      <c r="Q68" s="578"/>
      <c r="R68" s="510"/>
      <c r="S68" s="510"/>
      <c r="T68" s="510"/>
      <c r="U68" s="510"/>
      <c r="V68" s="510"/>
      <c r="W68" s="547"/>
      <c r="X68" s="547"/>
      <c r="Y68" s="547"/>
      <c r="Z68" s="547"/>
      <c r="AA68" s="547"/>
      <c r="AB68" s="547"/>
      <c r="AC68" s="547"/>
      <c r="AD68" s="547"/>
      <c r="AE68" s="547"/>
      <c r="AF68" s="547"/>
      <c r="AG68" s="547"/>
      <c r="AH68" s="547"/>
      <c r="AI68" s="547"/>
      <c r="AJ68" s="547"/>
      <c r="AK68" s="547"/>
      <c r="AL68" s="547"/>
      <c r="AM68" s="547"/>
      <c r="AN68" s="547"/>
      <c r="AO68" s="547"/>
    </row>
    <row r="69" spans="1:41" ht="15.75">
      <c r="A69" s="511"/>
      <c r="B69" s="510"/>
      <c r="E69" s="578"/>
      <c r="F69" s="578"/>
      <c r="G69" s="578"/>
      <c r="H69" s="578"/>
      <c r="I69" s="578"/>
      <c r="J69" s="578"/>
      <c r="K69" s="578"/>
      <c r="L69" s="510"/>
      <c r="M69" s="578"/>
      <c r="N69" s="578"/>
      <c r="O69" s="578"/>
      <c r="P69" s="578"/>
      <c r="Q69" s="578"/>
      <c r="R69" s="510"/>
      <c r="S69" s="510"/>
      <c r="T69" s="510"/>
      <c r="U69" s="510"/>
      <c r="V69" s="510"/>
      <c r="W69" s="547"/>
      <c r="X69" s="547"/>
      <c r="Y69" s="547"/>
      <c r="Z69" s="547"/>
      <c r="AA69" s="547"/>
      <c r="AB69" s="547"/>
      <c r="AC69" s="547"/>
      <c r="AD69" s="547"/>
      <c r="AE69" s="547"/>
      <c r="AF69" s="547"/>
      <c r="AG69" s="547"/>
      <c r="AH69" s="547"/>
      <c r="AI69" s="547"/>
      <c r="AJ69" s="547"/>
      <c r="AK69" s="547"/>
      <c r="AL69" s="547"/>
      <c r="AM69" s="547"/>
      <c r="AN69" s="547"/>
      <c r="AO69" s="547"/>
    </row>
    <row r="70" spans="1:41" ht="15.75">
      <c r="A70" s="511"/>
      <c r="B70" s="510"/>
      <c r="E70" s="578"/>
      <c r="F70" s="578"/>
      <c r="G70" s="578"/>
      <c r="H70" s="578"/>
      <c r="I70" s="578"/>
      <c r="J70" s="578"/>
      <c r="K70" s="578"/>
      <c r="L70" s="510"/>
      <c r="M70" s="578"/>
      <c r="N70" s="578"/>
      <c r="O70" s="578"/>
      <c r="P70" s="578"/>
      <c r="Q70" s="578"/>
      <c r="R70" s="510"/>
      <c r="S70" s="510"/>
      <c r="T70" s="510"/>
      <c r="U70" s="510"/>
      <c r="V70" s="510"/>
      <c r="W70" s="547"/>
      <c r="X70" s="547"/>
      <c r="Y70" s="547"/>
      <c r="Z70" s="547"/>
      <c r="AA70" s="547"/>
      <c r="AB70" s="547"/>
      <c r="AC70" s="547"/>
      <c r="AD70" s="547"/>
      <c r="AE70" s="547"/>
      <c r="AF70" s="547"/>
      <c r="AG70" s="547"/>
      <c r="AH70" s="547"/>
      <c r="AI70" s="547"/>
      <c r="AJ70" s="547"/>
      <c r="AK70" s="547"/>
      <c r="AL70" s="547"/>
      <c r="AM70" s="547"/>
      <c r="AN70" s="547"/>
      <c r="AO70" s="547"/>
    </row>
    <row r="71" spans="1:41" ht="15.75">
      <c r="A71" s="511"/>
      <c r="B71" s="510"/>
      <c r="E71" s="578"/>
      <c r="F71" s="578"/>
      <c r="G71" s="578"/>
      <c r="H71" s="578"/>
      <c r="I71" s="578"/>
      <c r="J71" s="578"/>
      <c r="K71" s="578"/>
      <c r="L71" s="510"/>
      <c r="M71" s="578"/>
      <c r="N71" s="578"/>
      <c r="O71" s="578"/>
      <c r="P71" s="578"/>
      <c r="Q71" s="578"/>
      <c r="R71" s="510"/>
      <c r="S71" s="510"/>
      <c r="T71" s="510"/>
      <c r="U71" s="510"/>
      <c r="V71" s="510"/>
      <c r="W71" s="547"/>
      <c r="X71" s="547"/>
      <c r="Y71" s="547"/>
      <c r="Z71" s="547"/>
      <c r="AA71" s="547"/>
      <c r="AB71" s="547"/>
      <c r="AC71" s="547"/>
      <c r="AD71" s="547"/>
      <c r="AE71" s="547"/>
      <c r="AF71" s="547"/>
      <c r="AG71" s="547"/>
      <c r="AH71" s="547"/>
      <c r="AI71" s="547"/>
      <c r="AJ71" s="547"/>
      <c r="AK71" s="547"/>
      <c r="AL71" s="547"/>
      <c r="AM71" s="547"/>
      <c r="AN71" s="547"/>
      <c r="AO71" s="547"/>
    </row>
    <row r="72" spans="1:41" ht="15.75">
      <c r="A72" s="511"/>
      <c r="B72" s="510"/>
      <c r="E72" s="578"/>
      <c r="F72" s="578"/>
      <c r="G72" s="578"/>
      <c r="H72" s="578"/>
      <c r="I72" s="578"/>
      <c r="J72" s="578"/>
      <c r="K72" s="578"/>
      <c r="L72" s="510"/>
      <c r="M72" s="578"/>
      <c r="N72" s="578"/>
      <c r="O72" s="578"/>
      <c r="P72" s="578"/>
      <c r="Q72" s="578"/>
      <c r="R72" s="510"/>
      <c r="S72" s="510"/>
      <c r="T72" s="510"/>
      <c r="U72" s="510"/>
      <c r="V72" s="510"/>
      <c r="W72" s="547"/>
      <c r="X72" s="547"/>
      <c r="Y72" s="547"/>
      <c r="Z72" s="547"/>
      <c r="AA72" s="547"/>
      <c r="AB72" s="547"/>
      <c r="AC72" s="547"/>
      <c r="AD72" s="547"/>
      <c r="AE72" s="547"/>
      <c r="AF72" s="547"/>
      <c r="AG72" s="547"/>
      <c r="AH72" s="547"/>
      <c r="AI72" s="547"/>
      <c r="AJ72" s="547"/>
      <c r="AK72" s="547"/>
      <c r="AL72" s="547"/>
      <c r="AM72" s="547"/>
      <c r="AN72" s="547"/>
      <c r="AO72" s="547"/>
    </row>
    <row r="73" spans="1:41" ht="15.75">
      <c r="A73" s="511"/>
      <c r="B73" s="510"/>
      <c r="E73" s="578"/>
      <c r="F73" s="578"/>
      <c r="G73" s="578"/>
      <c r="H73" s="578"/>
      <c r="I73" s="578"/>
      <c r="J73" s="578"/>
      <c r="K73" s="578"/>
      <c r="L73" s="510"/>
      <c r="M73" s="578"/>
      <c r="N73" s="578"/>
      <c r="O73" s="578"/>
      <c r="P73" s="578"/>
      <c r="Q73" s="578"/>
      <c r="R73" s="510"/>
      <c r="S73" s="510"/>
      <c r="T73" s="510"/>
      <c r="U73" s="510"/>
      <c r="V73" s="510"/>
      <c r="W73" s="547"/>
      <c r="X73" s="547"/>
      <c r="Y73" s="547"/>
      <c r="Z73" s="547"/>
      <c r="AA73" s="547"/>
      <c r="AB73" s="547"/>
      <c r="AC73" s="547"/>
      <c r="AD73" s="547"/>
      <c r="AE73" s="547"/>
      <c r="AF73" s="547"/>
      <c r="AG73" s="547"/>
      <c r="AH73" s="547"/>
      <c r="AI73" s="547"/>
      <c r="AJ73" s="547"/>
      <c r="AK73" s="547"/>
      <c r="AL73" s="547"/>
      <c r="AM73" s="547"/>
      <c r="AN73" s="547"/>
      <c r="AO73" s="547"/>
    </row>
    <row r="74" spans="1:41" ht="15.75">
      <c r="A74" s="511"/>
      <c r="B74" s="510"/>
      <c r="E74" s="578"/>
      <c r="F74" s="578"/>
      <c r="G74" s="578"/>
      <c r="H74" s="578"/>
      <c r="I74" s="578"/>
      <c r="J74" s="578"/>
      <c r="K74" s="578"/>
      <c r="L74" s="510"/>
      <c r="M74" s="578"/>
      <c r="N74" s="578"/>
      <c r="O74" s="578"/>
      <c r="P74" s="578"/>
      <c r="Q74" s="578"/>
      <c r="R74" s="510"/>
      <c r="S74" s="510"/>
      <c r="T74" s="510"/>
      <c r="U74" s="510"/>
      <c r="V74" s="510"/>
      <c r="W74" s="547"/>
      <c r="X74" s="547"/>
      <c r="Y74" s="547"/>
      <c r="Z74" s="547"/>
      <c r="AA74" s="547"/>
      <c r="AB74" s="547"/>
      <c r="AC74" s="547"/>
      <c r="AD74" s="547"/>
      <c r="AE74" s="547"/>
      <c r="AF74" s="547"/>
      <c r="AG74" s="547"/>
      <c r="AH74" s="547"/>
      <c r="AI74" s="547"/>
      <c r="AJ74" s="547"/>
      <c r="AK74" s="547"/>
      <c r="AL74" s="547"/>
      <c r="AM74" s="547"/>
      <c r="AN74" s="547"/>
      <c r="AO74" s="547"/>
    </row>
    <row r="75" spans="1:41" ht="15.75">
      <c r="A75" s="511"/>
      <c r="B75" s="510"/>
      <c r="E75" s="578"/>
      <c r="F75" s="578"/>
      <c r="G75" s="578"/>
      <c r="H75" s="578"/>
      <c r="I75" s="578"/>
      <c r="J75" s="578"/>
      <c r="K75" s="578"/>
      <c r="L75" s="510"/>
      <c r="M75" s="578"/>
      <c r="N75" s="578"/>
      <c r="O75" s="578"/>
      <c r="P75" s="578"/>
      <c r="Q75" s="578"/>
      <c r="R75" s="510"/>
      <c r="S75" s="510"/>
      <c r="T75" s="510"/>
      <c r="U75" s="510"/>
      <c r="V75" s="510"/>
      <c r="W75" s="547"/>
      <c r="X75" s="547"/>
      <c r="Y75" s="547"/>
      <c r="Z75" s="547"/>
      <c r="AA75" s="547"/>
      <c r="AB75" s="547"/>
      <c r="AC75" s="547"/>
      <c r="AD75" s="547"/>
      <c r="AE75" s="547"/>
      <c r="AF75" s="547"/>
      <c r="AG75" s="547"/>
      <c r="AH75" s="547"/>
      <c r="AI75" s="547"/>
      <c r="AJ75" s="547"/>
      <c r="AK75" s="547"/>
      <c r="AL75" s="547"/>
      <c r="AM75" s="547"/>
      <c r="AN75" s="547"/>
      <c r="AO75" s="547"/>
    </row>
    <row r="76" spans="1:41" ht="15.75">
      <c r="A76" s="511"/>
      <c r="B76" s="510"/>
      <c r="E76" s="578"/>
      <c r="F76" s="578"/>
      <c r="G76" s="578"/>
      <c r="H76" s="578"/>
      <c r="I76" s="578"/>
      <c r="J76" s="578"/>
      <c r="K76" s="578"/>
      <c r="L76" s="510"/>
      <c r="M76" s="578"/>
      <c r="N76" s="578"/>
      <c r="O76" s="578"/>
      <c r="P76" s="578"/>
      <c r="Q76" s="578"/>
      <c r="R76" s="510"/>
      <c r="S76" s="510"/>
      <c r="T76" s="510"/>
      <c r="U76" s="510"/>
      <c r="V76" s="510"/>
      <c r="W76" s="547"/>
      <c r="X76" s="547"/>
      <c r="Y76" s="547"/>
      <c r="Z76" s="547"/>
      <c r="AA76" s="547"/>
      <c r="AB76" s="547"/>
      <c r="AC76" s="547"/>
      <c r="AD76" s="547"/>
      <c r="AE76" s="547"/>
      <c r="AF76" s="547"/>
      <c r="AG76" s="547"/>
      <c r="AH76" s="547"/>
      <c r="AI76" s="547"/>
      <c r="AJ76" s="547"/>
      <c r="AK76" s="547"/>
      <c r="AL76" s="547"/>
      <c r="AM76" s="547"/>
      <c r="AN76" s="547"/>
      <c r="AO76" s="547"/>
    </row>
    <row r="77" spans="1:41" ht="15.75">
      <c r="A77" s="511"/>
      <c r="B77" s="510"/>
      <c r="E77" s="578"/>
      <c r="F77" s="578"/>
      <c r="G77" s="578"/>
      <c r="H77" s="578"/>
      <c r="I77" s="578"/>
      <c r="J77" s="578"/>
      <c r="K77" s="578"/>
      <c r="L77" s="510"/>
      <c r="M77" s="578"/>
      <c r="N77" s="578"/>
      <c r="O77" s="578"/>
      <c r="P77" s="578"/>
      <c r="Q77" s="578"/>
      <c r="R77" s="510"/>
      <c r="S77" s="510"/>
      <c r="T77" s="510"/>
      <c r="U77" s="510"/>
      <c r="V77" s="510"/>
      <c r="W77" s="547"/>
      <c r="X77" s="547"/>
      <c r="Y77" s="547"/>
      <c r="Z77" s="547"/>
      <c r="AA77" s="547"/>
      <c r="AB77" s="547"/>
      <c r="AC77" s="547"/>
      <c r="AD77" s="547"/>
      <c r="AE77" s="547"/>
      <c r="AF77" s="547"/>
      <c r="AG77" s="547"/>
      <c r="AH77" s="547"/>
      <c r="AI77" s="547"/>
      <c r="AJ77" s="547"/>
      <c r="AK77" s="547"/>
      <c r="AL77" s="547"/>
      <c r="AM77" s="547"/>
      <c r="AN77" s="547"/>
      <c r="AO77" s="547"/>
    </row>
    <row r="78" spans="1:41" ht="15.75">
      <c r="A78" s="511"/>
      <c r="B78" s="510"/>
      <c r="E78" s="578"/>
      <c r="F78" s="578"/>
      <c r="G78" s="578"/>
      <c r="H78" s="578"/>
      <c r="I78" s="578"/>
      <c r="J78" s="578"/>
      <c r="K78" s="578"/>
      <c r="L78" s="510"/>
      <c r="M78" s="578"/>
      <c r="N78" s="578"/>
      <c r="O78" s="578"/>
      <c r="P78" s="578"/>
      <c r="Q78" s="578"/>
      <c r="R78" s="510"/>
      <c r="S78" s="510"/>
      <c r="T78" s="510"/>
      <c r="U78" s="510"/>
      <c r="V78" s="510"/>
      <c r="W78" s="547"/>
      <c r="X78" s="547"/>
      <c r="Y78" s="547"/>
      <c r="Z78" s="547"/>
      <c r="AA78" s="547"/>
      <c r="AB78" s="547"/>
      <c r="AC78" s="547"/>
      <c r="AD78" s="547"/>
      <c r="AE78" s="547"/>
      <c r="AF78" s="547"/>
      <c r="AG78" s="547"/>
      <c r="AH78" s="547"/>
      <c r="AI78" s="547"/>
      <c r="AJ78" s="547"/>
      <c r="AK78" s="547"/>
      <c r="AL78" s="547"/>
      <c r="AM78" s="547"/>
      <c r="AN78" s="547"/>
      <c r="AO78" s="547"/>
    </row>
    <row r="79" spans="1:41" ht="15.75">
      <c r="A79" s="511"/>
      <c r="B79" s="510"/>
      <c r="E79" s="578"/>
      <c r="F79" s="578"/>
      <c r="G79" s="578"/>
      <c r="H79" s="578"/>
      <c r="I79" s="578"/>
      <c r="J79" s="578"/>
      <c r="K79" s="578"/>
      <c r="L79" s="510"/>
      <c r="M79" s="578"/>
      <c r="N79" s="578"/>
      <c r="O79" s="578"/>
      <c r="P79" s="578"/>
      <c r="Q79" s="578"/>
      <c r="R79" s="510"/>
      <c r="S79" s="510"/>
      <c r="T79" s="510"/>
      <c r="U79" s="510"/>
      <c r="V79" s="510"/>
      <c r="W79" s="547"/>
      <c r="X79" s="547"/>
      <c r="Y79" s="547"/>
      <c r="Z79" s="547"/>
      <c r="AA79" s="547"/>
      <c r="AB79" s="547"/>
      <c r="AC79" s="547"/>
      <c r="AD79" s="547"/>
      <c r="AE79" s="547"/>
      <c r="AF79" s="547"/>
      <c r="AG79" s="547"/>
      <c r="AH79" s="547"/>
      <c r="AI79" s="547"/>
      <c r="AJ79" s="547"/>
      <c r="AK79" s="547"/>
      <c r="AL79" s="547"/>
      <c r="AM79" s="547"/>
      <c r="AN79" s="547"/>
      <c r="AO79" s="547"/>
    </row>
    <row r="80" spans="1:41" ht="15.75">
      <c r="A80" s="511"/>
      <c r="B80" s="510"/>
      <c r="E80" s="578"/>
      <c r="F80" s="578"/>
      <c r="G80" s="578"/>
      <c r="H80" s="578"/>
      <c r="I80" s="578"/>
      <c r="J80" s="578"/>
      <c r="K80" s="578"/>
      <c r="L80" s="510"/>
      <c r="M80" s="578"/>
      <c r="N80" s="578"/>
      <c r="O80" s="578"/>
      <c r="P80" s="578"/>
      <c r="Q80" s="578"/>
      <c r="R80" s="510"/>
      <c r="S80" s="510"/>
      <c r="T80" s="510"/>
      <c r="U80" s="510"/>
      <c r="V80" s="510"/>
      <c r="W80" s="547"/>
      <c r="X80" s="547"/>
      <c r="Y80" s="547"/>
      <c r="Z80" s="547"/>
      <c r="AA80" s="547"/>
      <c r="AB80" s="547"/>
      <c r="AC80" s="547"/>
      <c r="AD80" s="547"/>
      <c r="AE80" s="547"/>
      <c r="AF80" s="547"/>
      <c r="AG80" s="547"/>
      <c r="AH80" s="547"/>
      <c r="AI80" s="547"/>
      <c r="AJ80" s="547"/>
      <c r="AK80" s="547"/>
      <c r="AL80" s="547"/>
      <c r="AM80" s="547"/>
      <c r="AN80" s="547"/>
      <c r="AO80" s="547"/>
    </row>
    <row r="81" spans="1:41" ht="15.75">
      <c r="A81" s="511"/>
      <c r="B81" s="510"/>
      <c r="E81" s="578"/>
      <c r="F81" s="578"/>
      <c r="G81" s="578"/>
      <c r="H81" s="578"/>
      <c r="I81" s="578"/>
      <c r="J81" s="578"/>
      <c r="K81" s="578"/>
      <c r="L81" s="510"/>
      <c r="M81" s="578"/>
      <c r="N81" s="578"/>
      <c r="O81" s="578"/>
      <c r="P81" s="578"/>
      <c r="Q81" s="578"/>
      <c r="R81" s="510"/>
      <c r="S81" s="510"/>
      <c r="T81" s="510"/>
      <c r="U81" s="510"/>
      <c r="V81" s="510"/>
      <c r="W81" s="547"/>
      <c r="X81" s="547"/>
      <c r="Y81" s="547"/>
      <c r="Z81" s="547"/>
      <c r="AA81" s="547"/>
      <c r="AB81" s="547"/>
      <c r="AC81" s="547"/>
      <c r="AD81" s="547"/>
      <c r="AE81" s="547"/>
      <c r="AF81" s="547"/>
      <c r="AG81" s="547"/>
      <c r="AH81" s="547"/>
      <c r="AI81" s="547"/>
      <c r="AJ81" s="547"/>
      <c r="AK81" s="547"/>
      <c r="AL81" s="547"/>
      <c r="AM81" s="547"/>
      <c r="AN81" s="547"/>
      <c r="AO81" s="547"/>
    </row>
    <row r="82" spans="1:41" ht="15.75">
      <c r="A82" s="511"/>
      <c r="B82" s="510"/>
      <c r="E82" s="578"/>
      <c r="F82" s="578"/>
      <c r="G82" s="578"/>
      <c r="H82" s="578"/>
      <c r="I82" s="578"/>
      <c r="J82" s="578"/>
      <c r="K82" s="578"/>
      <c r="L82" s="510"/>
      <c r="M82" s="578"/>
      <c r="N82" s="578"/>
      <c r="O82" s="578"/>
      <c r="P82" s="578"/>
      <c r="Q82" s="578"/>
      <c r="R82" s="510"/>
      <c r="S82" s="510"/>
      <c r="T82" s="510"/>
      <c r="U82" s="510"/>
      <c r="V82" s="510"/>
      <c r="W82" s="547"/>
      <c r="X82" s="547"/>
      <c r="Y82" s="547"/>
      <c r="Z82" s="547"/>
      <c r="AA82" s="547"/>
      <c r="AB82" s="547"/>
      <c r="AC82" s="547"/>
      <c r="AD82" s="547"/>
      <c r="AE82" s="547"/>
      <c r="AF82" s="547"/>
      <c r="AG82" s="547"/>
      <c r="AH82" s="547"/>
      <c r="AI82" s="547"/>
      <c r="AJ82" s="547"/>
      <c r="AK82" s="547"/>
      <c r="AL82" s="547"/>
      <c r="AM82" s="547"/>
      <c r="AN82" s="547"/>
      <c r="AO82" s="547"/>
    </row>
    <row r="83" spans="1:41" ht="15.75">
      <c r="A83" s="511"/>
      <c r="B83" s="510"/>
      <c r="E83" s="578"/>
      <c r="F83" s="578"/>
      <c r="G83" s="578"/>
      <c r="H83" s="578"/>
      <c r="I83" s="578"/>
      <c r="J83" s="578"/>
      <c r="K83" s="578"/>
      <c r="L83" s="510"/>
      <c r="M83" s="578"/>
      <c r="N83" s="578"/>
      <c r="O83" s="578"/>
      <c r="P83" s="578"/>
      <c r="Q83" s="578"/>
      <c r="R83" s="510"/>
      <c r="S83" s="510"/>
      <c r="T83" s="510"/>
      <c r="U83" s="510"/>
      <c r="V83" s="510"/>
      <c r="W83" s="547"/>
      <c r="X83" s="547"/>
      <c r="Y83" s="547"/>
      <c r="Z83" s="547"/>
      <c r="AA83" s="547"/>
      <c r="AB83" s="547"/>
      <c r="AC83" s="547"/>
      <c r="AD83" s="547"/>
      <c r="AE83" s="547"/>
      <c r="AF83" s="547"/>
      <c r="AG83" s="547"/>
      <c r="AH83" s="547"/>
      <c r="AI83" s="547"/>
      <c r="AJ83" s="547"/>
      <c r="AK83" s="547"/>
      <c r="AL83" s="547"/>
      <c r="AM83" s="547"/>
      <c r="AN83" s="547"/>
      <c r="AO83" s="547"/>
    </row>
    <row r="84" spans="1:41" ht="15.75">
      <c r="A84" s="511"/>
      <c r="B84" s="510"/>
      <c r="E84" s="578"/>
      <c r="F84" s="578"/>
      <c r="G84" s="578"/>
      <c r="H84" s="578"/>
      <c r="I84" s="578"/>
      <c r="J84" s="578"/>
      <c r="K84" s="578"/>
      <c r="L84" s="510"/>
      <c r="M84" s="578"/>
      <c r="N84" s="578"/>
      <c r="O84" s="578"/>
      <c r="P84" s="578"/>
      <c r="Q84" s="578"/>
      <c r="R84" s="510"/>
      <c r="S84" s="510"/>
      <c r="T84" s="510"/>
      <c r="U84" s="510"/>
      <c r="V84" s="510"/>
      <c r="W84" s="547"/>
      <c r="X84" s="547"/>
      <c r="Y84" s="547"/>
      <c r="Z84" s="547"/>
      <c r="AA84" s="547"/>
      <c r="AB84" s="547"/>
      <c r="AC84" s="547"/>
      <c r="AD84" s="547"/>
      <c r="AE84" s="547"/>
      <c r="AF84" s="547"/>
      <c r="AG84" s="547"/>
      <c r="AH84" s="547"/>
      <c r="AI84" s="547"/>
      <c r="AJ84" s="547"/>
      <c r="AK84" s="547"/>
      <c r="AL84" s="547"/>
      <c r="AM84" s="547"/>
      <c r="AN84" s="547"/>
      <c r="AO84" s="547"/>
    </row>
    <row r="85" spans="1:41" ht="15.75">
      <c r="A85" s="511"/>
      <c r="B85" s="510"/>
      <c r="E85" s="578"/>
      <c r="F85" s="578"/>
      <c r="G85" s="578"/>
      <c r="H85" s="578"/>
      <c r="I85" s="578"/>
      <c r="J85" s="578"/>
      <c r="K85" s="578"/>
      <c r="L85" s="510"/>
      <c r="M85" s="578"/>
      <c r="N85" s="578"/>
      <c r="O85" s="578"/>
      <c r="P85" s="578"/>
      <c r="Q85" s="578"/>
      <c r="R85" s="510"/>
      <c r="S85" s="510"/>
      <c r="T85" s="510"/>
      <c r="U85" s="510"/>
      <c r="V85" s="510"/>
      <c r="W85" s="547"/>
      <c r="X85" s="547"/>
      <c r="Y85" s="547"/>
      <c r="Z85" s="547"/>
      <c r="AA85" s="547"/>
      <c r="AB85" s="547"/>
      <c r="AC85" s="547"/>
      <c r="AD85" s="547"/>
      <c r="AE85" s="547"/>
      <c r="AF85" s="547"/>
      <c r="AG85" s="547"/>
      <c r="AH85" s="547"/>
      <c r="AI85" s="547"/>
      <c r="AJ85" s="547"/>
      <c r="AK85" s="547"/>
      <c r="AL85" s="547"/>
      <c r="AM85" s="547"/>
      <c r="AN85" s="547"/>
      <c r="AO85" s="547"/>
    </row>
    <row r="86" spans="1:41" ht="15.75">
      <c r="A86" s="511"/>
      <c r="B86" s="510"/>
      <c r="E86" s="578"/>
      <c r="F86" s="578"/>
      <c r="G86" s="578"/>
      <c r="H86" s="578"/>
      <c r="I86" s="578"/>
      <c r="J86" s="578"/>
      <c r="K86" s="578"/>
      <c r="L86" s="510"/>
      <c r="M86" s="578"/>
      <c r="N86" s="578"/>
      <c r="O86" s="578"/>
      <c r="P86" s="578"/>
      <c r="Q86" s="578"/>
      <c r="R86" s="510"/>
      <c r="S86" s="510"/>
      <c r="T86" s="510"/>
      <c r="U86" s="510"/>
      <c r="V86" s="510"/>
      <c r="W86" s="547"/>
      <c r="X86" s="547"/>
      <c r="Y86" s="547"/>
      <c r="Z86" s="547"/>
      <c r="AA86" s="547"/>
      <c r="AB86" s="547"/>
      <c r="AC86" s="547"/>
      <c r="AD86" s="547"/>
      <c r="AE86" s="547"/>
      <c r="AF86" s="547"/>
      <c r="AG86" s="547"/>
      <c r="AH86" s="547"/>
      <c r="AI86" s="547"/>
      <c r="AJ86" s="547"/>
      <c r="AK86" s="547"/>
      <c r="AL86" s="547"/>
      <c r="AM86" s="547"/>
      <c r="AN86" s="547"/>
      <c r="AO86" s="547"/>
    </row>
    <row r="87" spans="1:41" ht="15.75">
      <c r="A87" s="511"/>
      <c r="B87" s="510"/>
      <c r="E87" s="578"/>
      <c r="F87" s="578"/>
      <c r="G87" s="578"/>
      <c r="H87" s="578"/>
      <c r="I87" s="578"/>
      <c r="J87" s="578"/>
      <c r="K87" s="578"/>
      <c r="L87" s="510"/>
      <c r="M87" s="578"/>
      <c r="N87" s="578"/>
      <c r="O87" s="578"/>
      <c r="P87" s="578"/>
      <c r="Q87" s="578"/>
      <c r="R87" s="510"/>
      <c r="S87" s="510"/>
      <c r="T87" s="510"/>
      <c r="U87" s="510"/>
      <c r="V87" s="510"/>
      <c r="W87" s="547"/>
      <c r="X87" s="547"/>
      <c r="Y87" s="547"/>
      <c r="Z87" s="547"/>
      <c r="AA87" s="547"/>
      <c r="AB87" s="547"/>
      <c r="AC87" s="547"/>
      <c r="AD87" s="547"/>
      <c r="AE87" s="547"/>
      <c r="AF87" s="547"/>
      <c r="AG87" s="547"/>
      <c r="AH87" s="547"/>
      <c r="AI87" s="547"/>
      <c r="AJ87" s="547"/>
      <c r="AK87" s="547"/>
      <c r="AL87" s="547"/>
      <c r="AM87" s="547"/>
      <c r="AN87" s="547"/>
      <c r="AO87" s="547"/>
    </row>
    <row r="88" spans="1:41" ht="15.75">
      <c r="A88" s="511"/>
      <c r="B88" s="510"/>
      <c r="E88" s="578"/>
      <c r="F88" s="578"/>
      <c r="G88" s="578"/>
      <c r="H88" s="578"/>
      <c r="I88" s="578"/>
      <c r="J88" s="578"/>
      <c r="K88" s="578"/>
      <c r="L88" s="510"/>
      <c r="M88" s="578"/>
      <c r="N88" s="578"/>
      <c r="O88" s="578"/>
      <c r="P88" s="578"/>
      <c r="Q88" s="578"/>
      <c r="R88" s="510"/>
      <c r="S88" s="510"/>
      <c r="T88" s="510"/>
      <c r="U88" s="510"/>
      <c r="V88" s="510"/>
      <c r="W88" s="547"/>
      <c r="X88" s="547"/>
      <c r="Y88" s="547"/>
      <c r="Z88" s="547"/>
      <c r="AA88" s="547"/>
      <c r="AB88" s="547"/>
      <c r="AC88" s="547"/>
      <c r="AD88" s="547"/>
      <c r="AE88" s="547"/>
      <c r="AF88" s="547"/>
      <c r="AG88" s="547"/>
      <c r="AH88" s="547"/>
      <c r="AI88" s="547"/>
      <c r="AJ88" s="547"/>
      <c r="AK88" s="547"/>
      <c r="AL88" s="547"/>
      <c r="AM88" s="547"/>
      <c r="AN88" s="547"/>
      <c r="AO88" s="547"/>
    </row>
    <row r="89" spans="1:41" ht="15.75">
      <c r="A89" s="511"/>
      <c r="B89" s="510"/>
      <c r="E89" s="578"/>
      <c r="F89" s="578"/>
      <c r="G89" s="578"/>
      <c r="H89" s="578"/>
      <c r="I89" s="578"/>
      <c r="J89" s="578"/>
      <c r="K89" s="578"/>
      <c r="L89" s="510"/>
      <c r="M89" s="578"/>
      <c r="N89" s="578"/>
      <c r="O89" s="578"/>
      <c r="P89" s="578"/>
      <c r="Q89" s="578"/>
      <c r="R89" s="510"/>
      <c r="S89" s="510"/>
      <c r="T89" s="510"/>
      <c r="U89" s="510"/>
      <c r="V89" s="510"/>
      <c r="W89" s="547"/>
      <c r="X89" s="547"/>
      <c r="Y89" s="547"/>
      <c r="Z89" s="547"/>
      <c r="AA89" s="547"/>
      <c r="AB89" s="547"/>
      <c r="AC89" s="547"/>
      <c r="AD89" s="547"/>
      <c r="AE89" s="547"/>
      <c r="AF89" s="547"/>
      <c r="AG89" s="547"/>
      <c r="AH89" s="547"/>
      <c r="AI89" s="547"/>
      <c r="AJ89" s="547"/>
      <c r="AK89" s="547"/>
      <c r="AL89" s="547"/>
      <c r="AM89" s="547"/>
      <c r="AN89" s="547"/>
      <c r="AO89" s="547"/>
    </row>
    <row r="90" spans="1:41" ht="15.75">
      <c r="A90" s="511"/>
      <c r="B90" s="510"/>
      <c r="E90" s="578"/>
      <c r="F90" s="578"/>
      <c r="G90" s="578"/>
      <c r="H90" s="578"/>
      <c r="I90" s="578"/>
      <c r="J90" s="578"/>
      <c r="K90" s="578"/>
      <c r="L90" s="510"/>
      <c r="M90" s="578"/>
      <c r="N90" s="578"/>
      <c r="O90" s="578"/>
      <c r="P90" s="578"/>
      <c r="Q90" s="578"/>
      <c r="R90" s="510"/>
      <c r="S90" s="510"/>
      <c r="T90" s="510"/>
      <c r="U90" s="510"/>
      <c r="V90" s="510"/>
      <c r="W90" s="547"/>
      <c r="X90" s="547"/>
      <c r="Y90" s="547"/>
      <c r="Z90" s="547"/>
      <c r="AA90" s="547"/>
      <c r="AB90" s="547"/>
      <c r="AC90" s="547"/>
      <c r="AD90" s="547"/>
      <c r="AE90" s="547"/>
      <c r="AF90" s="547"/>
      <c r="AG90" s="547"/>
      <c r="AH90" s="547"/>
      <c r="AI90" s="547"/>
      <c r="AJ90" s="547"/>
      <c r="AK90" s="547"/>
      <c r="AL90" s="547"/>
      <c r="AM90" s="547"/>
      <c r="AN90" s="547"/>
      <c r="AO90" s="547"/>
    </row>
    <row r="91" spans="1:41" ht="15.75">
      <c r="A91" s="511"/>
      <c r="B91" s="510"/>
      <c r="E91" s="578"/>
      <c r="F91" s="578"/>
      <c r="G91" s="578"/>
      <c r="H91" s="578"/>
      <c r="I91" s="578"/>
      <c r="J91" s="578"/>
      <c r="K91" s="578"/>
      <c r="L91" s="510"/>
      <c r="M91" s="578"/>
      <c r="N91" s="578"/>
      <c r="O91" s="578"/>
      <c r="P91" s="578"/>
      <c r="Q91" s="578"/>
      <c r="R91" s="510"/>
      <c r="S91" s="510"/>
      <c r="T91" s="510"/>
      <c r="U91" s="510"/>
      <c r="V91" s="510"/>
      <c r="W91" s="547"/>
      <c r="X91" s="547"/>
      <c r="Y91" s="547"/>
      <c r="Z91" s="547"/>
      <c r="AA91" s="547"/>
      <c r="AB91" s="547"/>
      <c r="AC91" s="547"/>
      <c r="AD91" s="547"/>
      <c r="AE91" s="547"/>
      <c r="AF91" s="547"/>
      <c r="AG91" s="547"/>
      <c r="AH91" s="547"/>
      <c r="AI91" s="547"/>
      <c r="AJ91" s="547"/>
      <c r="AK91" s="547"/>
      <c r="AL91" s="547"/>
      <c r="AM91" s="547"/>
      <c r="AN91" s="547"/>
      <c r="AO91" s="547"/>
    </row>
    <row r="92" spans="1:41" ht="15.75">
      <c r="A92" s="511"/>
      <c r="B92" s="510"/>
      <c r="E92" s="578"/>
      <c r="F92" s="578"/>
      <c r="G92" s="578"/>
      <c r="H92" s="578"/>
      <c r="I92" s="578"/>
      <c r="J92" s="578"/>
      <c r="K92" s="578"/>
      <c r="L92" s="510"/>
      <c r="M92" s="578"/>
      <c r="N92" s="578"/>
      <c r="O92" s="578"/>
      <c r="P92" s="578"/>
      <c r="Q92" s="578"/>
      <c r="R92" s="510"/>
      <c r="S92" s="510"/>
      <c r="T92" s="510"/>
      <c r="U92" s="510"/>
      <c r="V92" s="510"/>
      <c r="W92" s="547"/>
      <c r="X92" s="547"/>
      <c r="Y92" s="547"/>
      <c r="Z92" s="547"/>
      <c r="AA92" s="547"/>
      <c r="AB92" s="547"/>
      <c r="AC92" s="547"/>
      <c r="AD92" s="547"/>
      <c r="AE92" s="547"/>
      <c r="AF92" s="547"/>
      <c r="AG92" s="547"/>
      <c r="AH92" s="547"/>
      <c r="AI92" s="547"/>
      <c r="AJ92" s="547"/>
      <c r="AK92" s="547"/>
      <c r="AL92" s="547"/>
      <c r="AM92" s="547"/>
      <c r="AN92" s="547"/>
      <c r="AO92" s="547"/>
    </row>
    <row r="93" spans="1:41" ht="15.75">
      <c r="A93" s="511"/>
      <c r="B93" s="510"/>
      <c r="E93" s="578"/>
      <c r="F93" s="578"/>
      <c r="G93" s="578"/>
      <c r="H93" s="578"/>
      <c r="I93" s="578"/>
      <c r="J93" s="578"/>
      <c r="K93" s="578"/>
      <c r="L93" s="510"/>
      <c r="M93" s="578"/>
      <c r="N93" s="578"/>
      <c r="O93" s="578"/>
      <c r="P93" s="578"/>
      <c r="Q93" s="578"/>
      <c r="R93" s="510"/>
      <c r="S93" s="510"/>
      <c r="T93" s="510"/>
      <c r="U93" s="510"/>
      <c r="V93" s="510"/>
      <c r="W93" s="547"/>
      <c r="X93" s="547"/>
      <c r="Y93" s="547"/>
      <c r="Z93" s="547"/>
      <c r="AA93" s="547"/>
      <c r="AB93" s="547"/>
      <c r="AC93" s="547"/>
      <c r="AD93" s="547"/>
      <c r="AE93" s="547"/>
      <c r="AF93" s="547"/>
      <c r="AG93" s="547"/>
      <c r="AH93" s="547"/>
      <c r="AI93" s="547"/>
      <c r="AJ93" s="547"/>
      <c r="AK93" s="547"/>
      <c r="AL93" s="547"/>
      <c r="AM93" s="547"/>
      <c r="AN93" s="547"/>
      <c r="AO93" s="547"/>
    </row>
    <row r="94" spans="1:41" ht="15.75">
      <c r="A94" s="511"/>
      <c r="B94" s="510"/>
      <c r="E94" s="578"/>
      <c r="F94" s="578"/>
      <c r="G94" s="578"/>
      <c r="H94" s="578"/>
      <c r="I94" s="578"/>
      <c r="J94" s="578"/>
      <c r="K94" s="578"/>
      <c r="L94" s="510"/>
      <c r="M94" s="578"/>
      <c r="N94" s="578"/>
      <c r="O94" s="578"/>
      <c r="P94" s="578"/>
      <c r="Q94" s="578"/>
      <c r="R94" s="510"/>
      <c r="S94" s="510"/>
      <c r="T94" s="510"/>
      <c r="U94" s="510"/>
      <c r="V94" s="510"/>
      <c r="W94" s="547"/>
      <c r="X94" s="547"/>
      <c r="Y94" s="547"/>
      <c r="Z94" s="547"/>
      <c r="AA94" s="547"/>
      <c r="AB94" s="547"/>
      <c r="AC94" s="547"/>
      <c r="AD94" s="547"/>
      <c r="AE94" s="547"/>
      <c r="AF94" s="547"/>
      <c r="AG94" s="547"/>
      <c r="AH94" s="547"/>
      <c r="AI94" s="547"/>
      <c r="AJ94" s="547"/>
      <c r="AK94" s="547"/>
      <c r="AL94" s="547"/>
      <c r="AM94" s="547"/>
      <c r="AN94" s="547"/>
      <c r="AO94" s="547"/>
    </row>
    <row r="95" spans="1:41" ht="15.75">
      <c r="A95" s="511"/>
      <c r="B95" s="510"/>
      <c r="E95" s="578"/>
      <c r="F95" s="578"/>
      <c r="G95" s="578"/>
      <c r="H95" s="578"/>
      <c r="I95" s="578"/>
      <c r="J95" s="578"/>
      <c r="K95" s="578"/>
      <c r="L95" s="510"/>
      <c r="M95" s="578"/>
      <c r="N95" s="578"/>
      <c r="O95" s="578"/>
      <c r="P95" s="578"/>
      <c r="Q95" s="578"/>
      <c r="R95" s="510"/>
      <c r="S95" s="510"/>
      <c r="T95" s="510"/>
      <c r="U95" s="510"/>
      <c r="V95" s="510"/>
      <c r="W95" s="547"/>
      <c r="X95" s="547"/>
      <c r="Y95" s="547"/>
      <c r="Z95" s="547"/>
      <c r="AA95" s="547"/>
      <c r="AB95" s="547"/>
      <c r="AC95" s="547"/>
      <c r="AD95" s="547"/>
      <c r="AE95" s="547"/>
      <c r="AF95" s="547"/>
      <c r="AG95" s="547"/>
      <c r="AH95" s="547"/>
      <c r="AI95" s="547"/>
      <c r="AJ95" s="547"/>
      <c r="AK95" s="547"/>
      <c r="AL95" s="547"/>
      <c r="AM95" s="547"/>
      <c r="AN95" s="547"/>
      <c r="AO95" s="547"/>
    </row>
    <row r="96" spans="1:41" ht="15.75">
      <c r="A96" s="511"/>
      <c r="B96" s="510"/>
      <c r="E96" s="578"/>
      <c r="F96" s="578"/>
      <c r="G96" s="578"/>
      <c r="H96" s="578"/>
      <c r="I96" s="578"/>
      <c r="J96" s="578"/>
      <c r="K96" s="578"/>
      <c r="L96" s="510"/>
      <c r="M96" s="578"/>
      <c r="N96" s="578"/>
      <c r="O96" s="578"/>
      <c r="P96" s="578"/>
      <c r="Q96" s="578"/>
      <c r="R96" s="510"/>
      <c r="S96" s="510"/>
      <c r="T96" s="510"/>
      <c r="U96" s="510"/>
      <c r="V96" s="510"/>
      <c r="W96" s="547"/>
      <c r="X96" s="547"/>
      <c r="Y96" s="547"/>
      <c r="Z96" s="547"/>
      <c r="AA96" s="547"/>
      <c r="AB96" s="547"/>
      <c r="AC96" s="547"/>
      <c r="AD96" s="547"/>
      <c r="AE96" s="547"/>
      <c r="AF96" s="547"/>
      <c r="AG96" s="547"/>
      <c r="AH96" s="547"/>
      <c r="AI96" s="547"/>
      <c r="AJ96" s="547"/>
      <c r="AK96" s="547"/>
      <c r="AL96" s="547"/>
      <c r="AM96" s="547"/>
      <c r="AN96" s="547"/>
      <c r="AO96" s="547"/>
    </row>
    <row r="97" spans="1:41" ht="15.75">
      <c r="A97" s="511"/>
      <c r="B97" s="510"/>
      <c r="E97" s="578"/>
      <c r="F97" s="578"/>
      <c r="G97" s="578"/>
      <c r="H97" s="578"/>
      <c r="I97" s="578"/>
      <c r="J97" s="578"/>
      <c r="K97" s="578"/>
      <c r="L97" s="510"/>
      <c r="M97" s="578"/>
      <c r="N97" s="578"/>
      <c r="O97" s="578"/>
      <c r="P97" s="578"/>
      <c r="Q97" s="578"/>
      <c r="R97" s="510"/>
      <c r="S97" s="510"/>
      <c r="T97" s="510"/>
      <c r="U97" s="510"/>
      <c r="V97" s="510"/>
      <c r="W97" s="547"/>
      <c r="X97" s="547"/>
      <c r="Y97" s="547"/>
      <c r="Z97" s="547"/>
      <c r="AA97" s="547"/>
      <c r="AB97" s="547"/>
      <c r="AC97" s="547"/>
      <c r="AD97" s="547"/>
      <c r="AE97" s="547"/>
      <c r="AF97" s="547"/>
      <c r="AG97" s="547"/>
      <c r="AH97" s="547"/>
      <c r="AI97" s="547"/>
      <c r="AJ97" s="547"/>
      <c r="AK97" s="547"/>
      <c r="AL97" s="547"/>
      <c r="AM97" s="547"/>
      <c r="AN97" s="547"/>
      <c r="AO97" s="547"/>
    </row>
    <row r="98" spans="1:41" ht="15.75">
      <c r="A98" s="511"/>
      <c r="B98" s="510"/>
      <c r="E98" s="578"/>
      <c r="F98" s="578"/>
      <c r="G98" s="578"/>
      <c r="H98" s="578"/>
      <c r="I98" s="578"/>
      <c r="J98" s="578"/>
      <c r="K98" s="578"/>
      <c r="L98" s="510"/>
      <c r="M98" s="578"/>
      <c r="N98" s="578"/>
      <c r="O98" s="578"/>
      <c r="P98" s="578"/>
      <c r="Q98" s="578"/>
      <c r="R98" s="510"/>
      <c r="S98" s="510"/>
      <c r="T98" s="510"/>
      <c r="U98" s="510"/>
      <c r="V98" s="510"/>
      <c r="W98" s="547"/>
      <c r="X98" s="547"/>
      <c r="Y98" s="547"/>
      <c r="Z98" s="547"/>
      <c r="AA98" s="547"/>
      <c r="AB98" s="547"/>
      <c r="AC98" s="547"/>
      <c r="AD98" s="547"/>
      <c r="AE98" s="547"/>
      <c r="AF98" s="547"/>
      <c r="AG98" s="547"/>
      <c r="AH98" s="547"/>
      <c r="AI98" s="547"/>
      <c r="AJ98" s="547"/>
      <c r="AK98" s="547"/>
      <c r="AL98" s="547"/>
      <c r="AM98" s="547"/>
      <c r="AN98" s="547"/>
      <c r="AO98" s="547"/>
    </row>
    <row r="99" spans="1:41" ht="15.75">
      <c r="A99" s="511"/>
      <c r="B99" s="510"/>
      <c r="E99" s="578"/>
      <c r="F99" s="578"/>
      <c r="G99" s="578"/>
      <c r="H99" s="578"/>
      <c r="I99" s="578"/>
      <c r="J99" s="578"/>
      <c r="K99" s="578"/>
      <c r="L99" s="510"/>
      <c r="M99" s="578"/>
      <c r="N99" s="578"/>
      <c r="O99" s="578"/>
      <c r="P99" s="578"/>
      <c r="Q99" s="578"/>
      <c r="R99" s="510"/>
      <c r="S99" s="510"/>
      <c r="T99" s="510"/>
      <c r="U99" s="510"/>
      <c r="V99" s="510"/>
      <c r="W99" s="547"/>
      <c r="X99" s="547"/>
      <c r="Y99" s="547"/>
      <c r="Z99" s="547"/>
      <c r="AA99" s="547"/>
      <c r="AB99" s="547"/>
      <c r="AC99" s="547"/>
      <c r="AD99" s="547"/>
      <c r="AE99" s="547"/>
      <c r="AF99" s="547"/>
      <c r="AG99" s="547"/>
      <c r="AH99" s="547"/>
      <c r="AI99" s="547"/>
      <c r="AJ99" s="547"/>
      <c r="AK99" s="547"/>
      <c r="AL99" s="547"/>
      <c r="AM99" s="547"/>
      <c r="AN99" s="547"/>
      <c r="AO99" s="547"/>
    </row>
    <row r="100" spans="1:41">
      <c r="A100" s="542"/>
      <c r="B100" s="542"/>
      <c r="C100" s="542"/>
      <c r="D100" s="542"/>
      <c r="E100" s="542"/>
      <c r="F100" s="542"/>
      <c r="G100" s="542"/>
      <c r="H100" s="542"/>
      <c r="I100" s="542"/>
      <c r="J100" s="542"/>
      <c r="K100" s="542"/>
      <c r="L100" s="542"/>
      <c r="M100" s="542"/>
      <c r="N100" s="542"/>
      <c r="O100" s="542"/>
      <c r="P100" s="542"/>
      <c r="Q100" s="542"/>
      <c r="R100" s="542"/>
      <c r="S100" s="542"/>
      <c r="T100" s="542"/>
      <c r="U100" s="542"/>
      <c r="V100" s="542"/>
      <c r="W100" s="547"/>
      <c r="X100" s="547"/>
      <c r="Y100" s="547"/>
      <c r="Z100" s="547"/>
      <c r="AA100" s="547"/>
      <c r="AB100" s="547"/>
      <c r="AC100" s="547"/>
      <c r="AD100" s="547"/>
      <c r="AE100" s="547"/>
      <c r="AF100" s="547"/>
      <c r="AG100" s="547"/>
      <c r="AH100" s="547"/>
      <c r="AI100" s="547"/>
      <c r="AJ100" s="547"/>
      <c r="AK100" s="547"/>
      <c r="AL100" s="547"/>
      <c r="AM100" s="547"/>
      <c r="AN100" s="547"/>
      <c r="AO100" s="547"/>
    </row>
    <row r="101" spans="1:41">
      <c r="A101" s="542"/>
      <c r="B101" s="542"/>
      <c r="C101" s="542"/>
      <c r="D101" s="542"/>
      <c r="E101" s="542"/>
      <c r="F101" s="542"/>
      <c r="G101" s="542"/>
      <c r="H101" s="542"/>
      <c r="I101" s="542"/>
      <c r="J101" s="542"/>
      <c r="K101" s="542"/>
      <c r="L101" s="542"/>
      <c r="M101" s="542"/>
      <c r="N101" s="542"/>
      <c r="O101" s="542"/>
      <c r="P101" s="542"/>
      <c r="Q101" s="542"/>
      <c r="R101" s="542"/>
      <c r="S101" s="542"/>
      <c r="T101" s="542"/>
      <c r="U101" s="542"/>
      <c r="V101" s="542"/>
      <c r="W101" s="547"/>
      <c r="X101" s="547"/>
      <c r="Y101" s="547"/>
      <c r="Z101" s="547"/>
      <c r="AA101" s="547"/>
      <c r="AB101" s="547"/>
      <c r="AC101" s="547"/>
      <c r="AD101" s="547"/>
      <c r="AE101" s="547"/>
      <c r="AF101" s="547"/>
      <c r="AG101" s="547"/>
      <c r="AH101" s="547"/>
      <c r="AI101" s="547"/>
      <c r="AJ101" s="547"/>
      <c r="AK101" s="547"/>
      <c r="AL101" s="547"/>
      <c r="AM101" s="547"/>
      <c r="AN101" s="547"/>
      <c r="AO101" s="547"/>
    </row>
    <row r="102" spans="1:41">
      <c r="A102" s="542"/>
      <c r="B102" s="542"/>
      <c r="C102" s="542"/>
      <c r="D102" s="542"/>
      <c r="E102" s="542"/>
      <c r="F102" s="542"/>
      <c r="G102" s="542"/>
      <c r="H102" s="542"/>
      <c r="I102" s="542"/>
      <c r="J102" s="542"/>
      <c r="K102" s="542"/>
      <c r="L102" s="542"/>
      <c r="M102" s="542"/>
      <c r="N102" s="542"/>
      <c r="O102" s="542"/>
      <c r="P102" s="542"/>
      <c r="Q102" s="542"/>
      <c r="R102" s="542"/>
      <c r="S102" s="542"/>
      <c r="T102" s="542"/>
      <c r="U102" s="542"/>
      <c r="V102" s="542"/>
      <c r="W102" s="547"/>
      <c r="X102" s="547"/>
      <c r="Y102" s="547"/>
      <c r="Z102" s="547"/>
      <c r="AA102" s="547"/>
      <c r="AB102" s="547"/>
      <c r="AC102" s="547"/>
      <c r="AD102" s="547"/>
      <c r="AE102" s="547"/>
      <c r="AF102" s="547"/>
      <c r="AG102" s="547"/>
      <c r="AH102" s="547"/>
      <c r="AI102" s="547"/>
      <c r="AJ102" s="547"/>
      <c r="AK102" s="547"/>
      <c r="AL102" s="547"/>
      <c r="AM102" s="547"/>
      <c r="AN102" s="547"/>
      <c r="AO102" s="547"/>
    </row>
    <row r="103" spans="1:41">
      <c r="A103" s="542"/>
      <c r="B103" s="542"/>
      <c r="C103" s="542"/>
      <c r="D103" s="542"/>
      <c r="E103" s="542"/>
      <c r="F103" s="542"/>
      <c r="G103" s="542"/>
      <c r="H103" s="542"/>
      <c r="I103" s="542"/>
      <c r="J103" s="542"/>
      <c r="K103" s="542"/>
      <c r="L103" s="542"/>
      <c r="M103" s="542"/>
      <c r="N103" s="542"/>
      <c r="O103" s="542"/>
      <c r="P103" s="542"/>
      <c r="Q103" s="542"/>
      <c r="R103" s="542"/>
      <c r="S103" s="542"/>
      <c r="T103" s="542"/>
      <c r="U103" s="542"/>
      <c r="V103" s="542"/>
    </row>
    <row r="104" spans="1:41">
      <c r="A104" s="542"/>
      <c r="B104" s="542"/>
      <c r="C104" s="542"/>
      <c r="D104" s="542"/>
      <c r="E104" s="542"/>
      <c r="F104" s="542"/>
      <c r="G104" s="542"/>
      <c r="H104" s="542"/>
      <c r="I104" s="542"/>
      <c r="J104" s="542"/>
      <c r="K104" s="542"/>
      <c r="L104" s="542"/>
      <c r="M104" s="542"/>
      <c r="N104" s="542"/>
      <c r="O104" s="542"/>
      <c r="P104" s="542"/>
      <c r="Q104" s="542"/>
      <c r="R104" s="542"/>
      <c r="S104" s="542"/>
      <c r="T104" s="542"/>
      <c r="U104" s="542"/>
      <c r="V104" s="542"/>
    </row>
    <row r="105" spans="1:41">
      <c r="A105" s="542"/>
      <c r="B105" s="542"/>
      <c r="C105" s="542"/>
      <c r="D105" s="542"/>
      <c r="E105" s="542"/>
      <c r="F105" s="542"/>
      <c r="G105" s="542"/>
      <c r="H105" s="542"/>
      <c r="I105" s="542"/>
      <c r="J105" s="542"/>
      <c r="K105" s="542"/>
      <c r="L105" s="542"/>
      <c r="M105" s="542"/>
      <c r="N105" s="542"/>
      <c r="O105" s="542"/>
      <c r="P105" s="542"/>
      <c r="Q105" s="542"/>
      <c r="R105" s="542"/>
      <c r="S105" s="542"/>
      <c r="T105" s="542"/>
      <c r="U105" s="542"/>
      <c r="V105" s="542"/>
    </row>
    <row r="106" spans="1:41">
      <c r="A106" s="542"/>
      <c r="B106" s="542"/>
      <c r="C106" s="542"/>
      <c r="D106" s="542"/>
      <c r="E106" s="542"/>
      <c r="F106" s="542"/>
      <c r="G106" s="542"/>
      <c r="H106" s="542"/>
      <c r="I106" s="542"/>
      <c r="J106" s="542"/>
      <c r="K106" s="542"/>
      <c r="L106" s="542"/>
      <c r="M106" s="542"/>
      <c r="N106" s="542"/>
      <c r="O106" s="542"/>
      <c r="P106" s="542"/>
      <c r="Q106" s="542"/>
      <c r="R106" s="542"/>
      <c r="S106" s="542"/>
      <c r="T106" s="542"/>
      <c r="U106" s="542"/>
      <c r="V106" s="542"/>
    </row>
    <row r="107" spans="1:41" ht="12.75" customHeight="1">
      <c r="A107" s="542"/>
      <c r="B107" s="542"/>
      <c r="C107" s="542"/>
      <c r="D107" s="542"/>
      <c r="E107" s="542"/>
      <c r="F107" s="542"/>
      <c r="G107" s="542"/>
      <c r="H107" s="542"/>
      <c r="I107" s="542"/>
      <c r="J107" s="542"/>
      <c r="K107" s="542"/>
      <c r="L107" s="542"/>
      <c r="M107" s="542"/>
      <c r="N107" s="542"/>
      <c r="O107" s="542"/>
      <c r="P107" s="542"/>
      <c r="Q107" s="542"/>
      <c r="R107" s="542"/>
      <c r="S107" s="542"/>
      <c r="T107" s="542"/>
      <c r="U107" s="542"/>
      <c r="V107" s="542"/>
    </row>
    <row r="108" spans="1:41" ht="12.75" customHeight="1">
      <c r="A108" s="542"/>
      <c r="B108" s="542"/>
      <c r="C108" s="542"/>
      <c r="D108" s="542"/>
      <c r="E108" s="542"/>
      <c r="F108" s="542"/>
      <c r="G108" s="542"/>
      <c r="H108" s="542"/>
      <c r="I108" s="542"/>
      <c r="J108" s="542"/>
      <c r="K108" s="542"/>
      <c r="L108" s="542"/>
      <c r="M108" s="542"/>
      <c r="N108" s="542"/>
      <c r="O108" s="542"/>
      <c r="P108" s="542"/>
      <c r="Q108" s="542"/>
      <c r="R108" s="542"/>
      <c r="S108" s="542"/>
      <c r="T108" s="542"/>
      <c r="U108" s="542"/>
      <c r="V108" s="542"/>
    </row>
    <row r="109" spans="1:41" ht="12.75" customHeight="1">
      <c r="A109" s="542"/>
      <c r="B109" s="542"/>
      <c r="C109" s="542"/>
      <c r="D109" s="542"/>
      <c r="E109" s="542"/>
      <c r="F109" s="542"/>
      <c r="G109" s="542"/>
      <c r="H109" s="542"/>
      <c r="I109" s="542"/>
      <c r="J109" s="542"/>
      <c r="K109" s="542"/>
      <c r="L109" s="542"/>
      <c r="M109" s="542"/>
      <c r="N109" s="542"/>
      <c r="O109" s="542"/>
      <c r="P109" s="542"/>
      <c r="Q109" s="542"/>
      <c r="R109" s="542"/>
      <c r="S109" s="542"/>
      <c r="T109" s="542"/>
      <c r="U109" s="542"/>
      <c r="V109" s="542"/>
    </row>
    <row r="110" spans="1:41" ht="12.75" customHeight="1">
      <c r="A110" s="542"/>
      <c r="B110" s="542"/>
      <c r="C110" s="542"/>
      <c r="D110" s="542"/>
      <c r="E110" s="542"/>
      <c r="F110" s="542"/>
      <c r="G110" s="542"/>
      <c r="H110" s="542"/>
      <c r="I110" s="542"/>
      <c r="J110" s="542"/>
      <c r="K110" s="542"/>
      <c r="L110" s="542"/>
      <c r="M110" s="542"/>
      <c r="N110" s="542"/>
      <c r="O110" s="542"/>
      <c r="P110" s="542"/>
      <c r="Q110" s="542"/>
      <c r="R110" s="542"/>
      <c r="S110" s="542"/>
      <c r="T110" s="542"/>
      <c r="U110" s="542"/>
      <c r="V110" s="542"/>
    </row>
    <row r="111" spans="1:41" ht="12.75" customHeight="1">
      <c r="A111" s="542"/>
      <c r="B111" s="542"/>
      <c r="C111" s="542"/>
      <c r="D111" s="542"/>
      <c r="E111" s="542"/>
      <c r="F111" s="542"/>
      <c r="G111" s="542"/>
      <c r="H111" s="542"/>
      <c r="I111" s="542"/>
      <c r="J111" s="542"/>
      <c r="K111" s="542"/>
      <c r="L111" s="542"/>
      <c r="M111" s="542"/>
      <c r="N111" s="542"/>
      <c r="O111" s="542"/>
      <c r="P111" s="542"/>
      <c r="Q111" s="542"/>
      <c r="R111" s="542"/>
      <c r="S111" s="542"/>
      <c r="T111" s="542"/>
      <c r="U111" s="542"/>
      <c r="V111" s="542"/>
    </row>
    <row r="112" spans="1:41" ht="12.75" customHeight="1">
      <c r="A112" s="542"/>
      <c r="B112" s="542"/>
      <c r="C112" s="542"/>
      <c r="D112" s="542"/>
      <c r="E112" s="542"/>
      <c r="F112" s="542"/>
      <c r="G112" s="542"/>
      <c r="H112" s="542"/>
      <c r="I112" s="542"/>
      <c r="J112" s="542"/>
      <c r="K112" s="542"/>
      <c r="L112" s="542"/>
      <c r="M112" s="542"/>
      <c r="N112" s="542"/>
      <c r="O112" s="542"/>
      <c r="P112" s="542"/>
      <c r="Q112" s="542"/>
      <c r="R112" s="542"/>
      <c r="S112" s="542"/>
      <c r="T112" s="542"/>
      <c r="U112" s="542"/>
      <c r="V112" s="542"/>
    </row>
    <row r="113" spans="1:22" ht="12.75" customHeight="1">
      <c r="A113" s="542"/>
      <c r="B113" s="542"/>
      <c r="C113" s="542"/>
      <c r="D113" s="542"/>
      <c r="E113" s="542"/>
      <c r="F113" s="542"/>
      <c r="G113" s="542"/>
      <c r="H113" s="542"/>
      <c r="I113" s="542"/>
      <c r="J113" s="542"/>
      <c r="K113" s="542"/>
      <c r="L113" s="542"/>
      <c r="M113" s="542"/>
      <c r="N113" s="542"/>
      <c r="O113" s="542"/>
      <c r="P113" s="542"/>
      <c r="Q113" s="542"/>
      <c r="R113" s="542"/>
      <c r="S113" s="542"/>
      <c r="T113" s="542"/>
      <c r="U113" s="542"/>
      <c r="V113" s="542"/>
    </row>
    <row r="114" spans="1:22" ht="12.75" customHeight="1">
      <c r="A114" s="542"/>
      <c r="B114" s="542"/>
      <c r="C114" s="542"/>
      <c r="D114" s="542"/>
      <c r="E114" s="542"/>
      <c r="F114" s="542"/>
      <c r="G114" s="542"/>
      <c r="H114" s="542"/>
      <c r="I114" s="542"/>
      <c r="J114" s="542"/>
      <c r="K114" s="542"/>
      <c r="L114" s="542"/>
      <c r="M114" s="542"/>
      <c r="N114" s="542"/>
      <c r="O114" s="542"/>
      <c r="P114" s="542"/>
      <c r="Q114" s="542"/>
      <c r="R114" s="542"/>
      <c r="S114" s="542"/>
      <c r="T114" s="542"/>
      <c r="U114" s="542"/>
      <c r="V114" s="542"/>
    </row>
    <row r="115" spans="1:22" ht="12.75" customHeight="1">
      <c r="A115" s="542"/>
      <c r="B115" s="542"/>
      <c r="C115" s="542"/>
      <c r="D115" s="542"/>
      <c r="E115" s="542"/>
      <c r="F115" s="542"/>
      <c r="G115" s="542"/>
      <c r="H115" s="542"/>
      <c r="I115" s="542"/>
      <c r="J115" s="542"/>
      <c r="K115" s="542"/>
      <c r="L115" s="542"/>
      <c r="M115" s="542"/>
      <c r="N115" s="542"/>
      <c r="O115" s="542"/>
      <c r="P115" s="542"/>
      <c r="Q115" s="542"/>
      <c r="R115" s="542"/>
      <c r="S115" s="542"/>
      <c r="T115" s="542"/>
      <c r="U115" s="542"/>
      <c r="V115" s="542"/>
    </row>
    <row r="116" spans="1:22" ht="12.75" customHeight="1">
      <c r="A116" s="542"/>
      <c r="B116" s="542"/>
      <c r="C116" s="542"/>
      <c r="D116" s="542"/>
      <c r="E116" s="542"/>
      <c r="F116" s="542"/>
      <c r="G116" s="542"/>
      <c r="H116" s="542"/>
      <c r="I116" s="542"/>
      <c r="J116" s="542"/>
      <c r="K116" s="542"/>
      <c r="L116" s="542"/>
      <c r="M116" s="542"/>
      <c r="N116" s="542"/>
      <c r="O116" s="542"/>
      <c r="P116" s="542"/>
      <c r="Q116" s="542"/>
      <c r="R116" s="542"/>
      <c r="S116" s="542"/>
      <c r="T116" s="542"/>
      <c r="U116" s="542"/>
      <c r="V116" s="542"/>
    </row>
    <row r="117" spans="1:22" ht="12.75" customHeight="1">
      <c r="A117" s="542"/>
      <c r="B117" s="542"/>
      <c r="C117" s="542"/>
      <c r="D117" s="542"/>
      <c r="E117" s="542"/>
      <c r="F117" s="542"/>
      <c r="G117" s="542"/>
      <c r="H117" s="542"/>
      <c r="I117" s="542"/>
      <c r="J117" s="542"/>
      <c r="K117" s="542"/>
      <c r="L117" s="542"/>
      <c r="M117" s="542"/>
      <c r="N117" s="542"/>
      <c r="O117" s="542"/>
      <c r="P117" s="542"/>
      <c r="Q117" s="542"/>
      <c r="R117" s="542"/>
      <c r="S117" s="542"/>
      <c r="T117" s="542"/>
      <c r="U117" s="542"/>
      <c r="V117" s="542"/>
    </row>
    <row r="118" spans="1:22">
      <c r="A118" s="542"/>
      <c r="B118" s="542"/>
      <c r="C118" s="542"/>
      <c r="D118" s="542"/>
      <c r="E118" s="542"/>
      <c r="F118" s="542"/>
      <c r="G118" s="542"/>
      <c r="H118" s="542"/>
      <c r="I118" s="542"/>
      <c r="J118" s="542"/>
      <c r="K118" s="542"/>
      <c r="L118" s="542"/>
      <c r="M118" s="542"/>
      <c r="N118" s="542"/>
      <c r="O118" s="542"/>
      <c r="P118" s="542"/>
      <c r="Q118" s="542"/>
      <c r="R118" s="542"/>
      <c r="S118" s="542"/>
      <c r="T118" s="542"/>
      <c r="U118" s="542"/>
      <c r="V118" s="542"/>
    </row>
    <row r="119" spans="1:22">
      <c r="A119" s="542"/>
      <c r="B119" s="542"/>
      <c r="C119" s="542"/>
      <c r="D119" s="542"/>
      <c r="E119" s="542"/>
      <c r="F119" s="542"/>
      <c r="G119" s="542"/>
      <c r="H119" s="542"/>
      <c r="I119" s="542"/>
      <c r="J119" s="542"/>
      <c r="K119" s="542"/>
      <c r="L119" s="542"/>
      <c r="M119" s="542"/>
      <c r="N119" s="542"/>
      <c r="O119" s="542"/>
      <c r="P119" s="542"/>
      <c r="Q119" s="542"/>
      <c r="R119" s="542"/>
      <c r="S119" s="542"/>
      <c r="T119" s="542"/>
      <c r="U119" s="542"/>
      <c r="V119" s="542"/>
    </row>
    <row r="120" spans="1:22">
      <c r="A120" s="542"/>
      <c r="B120" s="542"/>
      <c r="C120" s="542"/>
      <c r="D120" s="542"/>
      <c r="E120" s="542"/>
      <c r="F120" s="542"/>
      <c r="G120" s="542"/>
      <c r="H120" s="542"/>
      <c r="I120" s="542"/>
      <c r="J120" s="542"/>
      <c r="K120" s="542"/>
      <c r="L120" s="542"/>
      <c r="M120" s="542"/>
      <c r="N120" s="542"/>
      <c r="O120" s="542"/>
      <c r="P120" s="542"/>
      <c r="Q120" s="542"/>
      <c r="R120" s="542"/>
      <c r="S120" s="542"/>
      <c r="T120" s="542"/>
      <c r="U120" s="542"/>
      <c r="V120" s="542"/>
    </row>
    <row r="121" spans="1:22">
      <c r="A121" s="542"/>
      <c r="B121" s="542"/>
      <c r="C121" s="542"/>
      <c r="D121" s="542"/>
      <c r="E121" s="542"/>
      <c r="F121" s="542"/>
      <c r="G121" s="542"/>
      <c r="H121" s="542"/>
      <c r="I121" s="542"/>
      <c r="J121" s="542"/>
      <c r="K121" s="542"/>
      <c r="L121" s="542"/>
      <c r="M121" s="542"/>
      <c r="N121" s="542"/>
      <c r="O121" s="542"/>
      <c r="P121" s="542"/>
      <c r="Q121" s="542"/>
      <c r="R121" s="542"/>
      <c r="S121" s="542"/>
      <c r="T121" s="542"/>
      <c r="U121" s="542"/>
      <c r="V121" s="542"/>
    </row>
    <row r="122" spans="1:22">
      <c r="A122" s="542"/>
      <c r="B122" s="542"/>
      <c r="C122" s="542"/>
      <c r="D122" s="542"/>
      <c r="E122" s="542"/>
      <c r="F122" s="542"/>
      <c r="G122" s="542"/>
      <c r="H122" s="542"/>
      <c r="I122" s="542"/>
      <c r="J122" s="542"/>
      <c r="K122" s="542"/>
      <c r="L122" s="542"/>
      <c r="M122" s="542"/>
      <c r="N122" s="542"/>
      <c r="O122" s="542"/>
      <c r="P122" s="542"/>
      <c r="Q122" s="542"/>
      <c r="R122" s="542"/>
      <c r="S122" s="542"/>
      <c r="T122" s="542"/>
      <c r="U122" s="542"/>
      <c r="V122" s="542"/>
    </row>
    <row r="123" spans="1:22">
      <c r="A123" s="542"/>
      <c r="B123" s="542"/>
      <c r="C123" s="542"/>
      <c r="D123" s="542"/>
      <c r="E123" s="542"/>
      <c r="F123" s="542"/>
      <c r="G123" s="542"/>
      <c r="H123" s="542"/>
      <c r="I123" s="542"/>
      <c r="J123" s="542"/>
      <c r="K123" s="542"/>
      <c r="L123" s="542"/>
      <c r="M123" s="542"/>
      <c r="N123" s="542"/>
      <c r="O123" s="542"/>
      <c r="P123" s="542"/>
      <c r="Q123" s="542"/>
      <c r="R123" s="542"/>
      <c r="S123" s="542"/>
      <c r="T123" s="542"/>
      <c r="U123" s="542"/>
      <c r="V123" s="542"/>
    </row>
    <row r="124" spans="1:22">
      <c r="A124" s="542"/>
      <c r="B124" s="542"/>
      <c r="C124" s="542"/>
      <c r="D124" s="542"/>
      <c r="E124" s="542"/>
      <c r="F124" s="542"/>
      <c r="G124" s="542"/>
      <c r="H124" s="542"/>
      <c r="I124" s="542"/>
      <c r="J124" s="542"/>
      <c r="K124" s="542"/>
      <c r="L124" s="542"/>
      <c r="M124" s="542"/>
      <c r="N124" s="542"/>
      <c r="O124" s="542"/>
      <c r="P124" s="542"/>
      <c r="Q124" s="542"/>
      <c r="R124" s="542"/>
      <c r="S124" s="542"/>
      <c r="T124" s="542"/>
      <c r="U124" s="542"/>
      <c r="V124" s="542"/>
    </row>
    <row r="125" spans="1:22">
      <c r="A125" s="542"/>
      <c r="B125" s="542"/>
      <c r="C125" s="542"/>
      <c r="D125" s="542"/>
      <c r="E125" s="542"/>
      <c r="F125" s="542"/>
      <c r="G125" s="542"/>
      <c r="H125" s="542"/>
      <c r="I125" s="542"/>
      <c r="J125" s="542"/>
      <c r="K125" s="542"/>
      <c r="L125" s="542"/>
      <c r="M125" s="542"/>
      <c r="N125" s="542"/>
      <c r="O125" s="542"/>
      <c r="P125" s="542"/>
      <c r="Q125" s="542"/>
      <c r="R125" s="542"/>
      <c r="S125" s="542"/>
      <c r="T125" s="542"/>
      <c r="U125" s="542"/>
      <c r="V125" s="542"/>
    </row>
    <row r="126" spans="1:22">
      <c r="A126" s="542"/>
      <c r="B126" s="542"/>
      <c r="C126" s="542"/>
      <c r="D126" s="542"/>
      <c r="E126" s="542"/>
      <c r="F126" s="542"/>
      <c r="G126" s="542"/>
      <c r="H126" s="542"/>
      <c r="I126" s="542"/>
      <c r="J126" s="542"/>
      <c r="K126" s="542"/>
      <c r="L126" s="542"/>
      <c r="M126" s="542"/>
      <c r="N126" s="542"/>
      <c r="O126" s="542"/>
      <c r="P126" s="542"/>
      <c r="Q126" s="542"/>
      <c r="R126" s="542"/>
      <c r="S126" s="542"/>
      <c r="T126" s="542"/>
      <c r="U126" s="542"/>
      <c r="V126" s="542"/>
    </row>
    <row r="127" spans="1:22">
      <c r="A127" s="542"/>
      <c r="B127" s="542"/>
      <c r="C127" s="542"/>
      <c r="D127" s="542"/>
      <c r="E127" s="542"/>
      <c r="F127" s="542"/>
      <c r="G127" s="542"/>
      <c r="H127" s="542"/>
      <c r="I127" s="542"/>
      <c r="J127" s="542"/>
      <c r="K127" s="542"/>
      <c r="L127" s="542"/>
      <c r="M127" s="542"/>
      <c r="N127" s="542"/>
      <c r="O127" s="542"/>
      <c r="P127" s="542"/>
      <c r="Q127" s="542"/>
      <c r="R127" s="542"/>
      <c r="S127" s="542"/>
      <c r="T127" s="542"/>
      <c r="U127" s="542"/>
      <c r="V127" s="542"/>
    </row>
    <row r="128" spans="1:22">
      <c r="A128" s="542"/>
      <c r="B128" s="542"/>
      <c r="C128" s="542"/>
      <c r="D128" s="542"/>
      <c r="E128" s="542"/>
      <c r="F128" s="542"/>
      <c r="G128" s="542"/>
      <c r="H128" s="542"/>
      <c r="I128" s="542"/>
      <c r="J128" s="542"/>
      <c r="K128" s="542"/>
      <c r="L128" s="542"/>
      <c r="M128" s="542"/>
      <c r="N128" s="542"/>
      <c r="O128" s="542"/>
      <c r="P128" s="542"/>
      <c r="Q128" s="542"/>
      <c r="R128" s="542"/>
      <c r="S128" s="542"/>
      <c r="T128" s="542"/>
      <c r="U128" s="542"/>
      <c r="V128" s="542"/>
    </row>
    <row r="129" spans="1:22">
      <c r="A129" s="542"/>
      <c r="B129" s="542"/>
      <c r="C129" s="542"/>
      <c r="D129" s="542"/>
      <c r="E129" s="542"/>
      <c r="F129" s="542"/>
      <c r="G129" s="542"/>
      <c r="H129" s="542"/>
      <c r="I129" s="542"/>
      <c r="J129" s="542"/>
      <c r="K129" s="542"/>
      <c r="L129" s="542"/>
      <c r="M129" s="542"/>
      <c r="N129" s="542"/>
      <c r="O129" s="542"/>
      <c r="P129" s="542"/>
      <c r="Q129" s="542"/>
      <c r="R129" s="542"/>
      <c r="S129" s="542"/>
      <c r="T129" s="542"/>
      <c r="U129" s="542"/>
      <c r="V129" s="542"/>
    </row>
    <row r="130" spans="1:22">
      <c r="A130" s="542"/>
      <c r="B130" s="542"/>
      <c r="C130" s="542"/>
      <c r="D130" s="542"/>
      <c r="E130" s="542"/>
      <c r="F130" s="542"/>
      <c r="G130" s="542"/>
      <c r="H130" s="542"/>
      <c r="I130" s="542"/>
      <c r="J130" s="542"/>
      <c r="K130" s="542"/>
      <c r="L130" s="542"/>
      <c r="M130" s="542"/>
      <c r="N130" s="542"/>
      <c r="O130" s="542"/>
      <c r="P130" s="542"/>
      <c r="Q130" s="542"/>
      <c r="R130" s="542"/>
      <c r="S130" s="542"/>
      <c r="T130" s="542"/>
      <c r="U130" s="542"/>
      <c r="V130" s="542"/>
    </row>
    <row r="131" spans="1:22">
      <c r="A131" s="542"/>
      <c r="B131" s="542"/>
      <c r="C131" s="542"/>
      <c r="D131" s="542"/>
      <c r="E131" s="542"/>
      <c r="F131" s="542"/>
      <c r="G131" s="542"/>
      <c r="H131" s="542"/>
      <c r="I131" s="542"/>
      <c r="J131" s="542"/>
      <c r="K131" s="542"/>
      <c r="L131" s="542"/>
      <c r="M131" s="542"/>
      <c r="N131" s="542"/>
      <c r="O131" s="542"/>
      <c r="P131" s="542"/>
      <c r="Q131" s="542"/>
      <c r="R131" s="542"/>
      <c r="S131" s="542"/>
      <c r="T131" s="542"/>
      <c r="U131" s="542"/>
      <c r="V131" s="542"/>
    </row>
    <row r="132" spans="1:22">
      <c r="A132" s="542"/>
      <c r="B132" s="542"/>
      <c r="C132" s="542"/>
      <c r="D132" s="542"/>
      <c r="E132" s="542"/>
      <c r="F132" s="542"/>
      <c r="G132" s="542"/>
      <c r="H132" s="542"/>
      <c r="I132" s="542"/>
      <c r="J132" s="542"/>
      <c r="K132" s="542"/>
      <c r="L132" s="542"/>
      <c r="M132" s="542"/>
      <c r="N132" s="542"/>
      <c r="O132" s="542"/>
      <c r="P132" s="542"/>
      <c r="Q132" s="542"/>
      <c r="R132" s="542"/>
      <c r="S132" s="542"/>
      <c r="T132" s="542"/>
      <c r="U132" s="542"/>
      <c r="V132" s="542"/>
    </row>
    <row r="133" spans="1:22">
      <c r="A133" s="542"/>
      <c r="B133" s="542"/>
      <c r="C133" s="542"/>
      <c r="D133" s="542"/>
      <c r="E133" s="542"/>
      <c r="F133" s="542"/>
      <c r="G133" s="542"/>
      <c r="H133" s="542"/>
      <c r="I133" s="542"/>
      <c r="J133" s="542"/>
      <c r="K133" s="542"/>
      <c r="L133" s="542"/>
      <c r="M133" s="542"/>
      <c r="N133" s="542"/>
      <c r="O133" s="542"/>
      <c r="P133" s="542"/>
      <c r="Q133" s="542"/>
      <c r="R133" s="542"/>
      <c r="S133" s="542"/>
      <c r="T133" s="542"/>
      <c r="U133" s="542"/>
      <c r="V133" s="542"/>
    </row>
    <row r="134" spans="1:22">
      <c r="A134" s="542"/>
      <c r="B134" s="542"/>
      <c r="C134" s="542"/>
      <c r="D134" s="542"/>
      <c r="E134" s="542"/>
      <c r="F134" s="542"/>
      <c r="G134" s="542"/>
      <c r="H134" s="542"/>
      <c r="I134" s="542"/>
      <c r="J134" s="542"/>
      <c r="K134" s="542"/>
      <c r="L134" s="542"/>
      <c r="M134" s="542"/>
      <c r="N134" s="542"/>
      <c r="O134" s="542"/>
      <c r="P134" s="542"/>
      <c r="Q134" s="542"/>
      <c r="R134" s="542"/>
      <c r="S134" s="542"/>
      <c r="T134" s="542"/>
      <c r="U134" s="542"/>
      <c r="V134" s="542"/>
    </row>
    <row r="135" spans="1:22">
      <c r="A135" s="542"/>
      <c r="B135" s="542"/>
      <c r="C135" s="542"/>
      <c r="D135" s="542"/>
      <c r="E135" s="542"/>
      <c r="F135" s="542"/>
      <c r="G135" s="542"/>
      <c r="H135" s="542"/>
      <c r="I135" s="542"/>
      <c r="J135" s="542"/>
      <c r="K135" s="542"/>
      <c r="L135" s="542"/>
      <c r="M135" s="542"/>
      <c r="N135" s="542"/>
      <c r="O135" s="542"/>
      <c r="P135" s="542"/>
      <c r="Q135" s="542"/>
      <c r="R135" s="542"/>
      <c r="S135" s="542"/>
      <c r="T135" s="542"/>
      <c r="U135" s="542"/>
      <c r="V135" s="542"/>
    </row>
    <row r="136" spans="1:22">
      <c r="A136" s="542"/>
      <c r="B136" s="542"/>
      <c r="C136" s="542"/>
      <c r="D136" s="542"/>
      <c r="E136" s="542"/>
      <c r="F136" s="542"/>
      <c r="G136" s="542"/>
      <c r="H136" s="542"/>
      <c r="I136" s="542"/>
      <c r="J136" s="542"/>
      <c r="K136" s="542"/>
      <c r="L136" s="542"/>
      <c r="M136" s="542"/>
      <c r="N136" s="542"/>
      <c r="O136" s="542"/>
      <c r="P136" s="542"/>
      <c r="Q136" s="542"/>
      <c r="R136" s="542"/>
      <c r="S136" s="542"/>
      <c r="T136" s="542"/>
      <c r="U136" s="542"/>
      <c r="V136" s="542"/>
    </row>
    <row r="137" spans="1:22">
      <c r="A137" s="542"/>
      <c r="B137" s="542"/>
      <c r="C137" s="542"/>
      <c r="D137" s="542"/>
      <c r="E137" s="542"/>
      <c r="F137" s="542"/>
      <c r="G137" s="542"/>
      <c r="H137" s="542"/>
      <c r="I137" s="542"/>
      <c r="J137" s="542"/>
      <c r="K137" s="542"/>
      <c r="L137" s="542"/>
      <c r="M137" s="542"/>
      <c r="N137" s="542"/>
      <c r="O137" s="542"/>
      <c r="P137" s="542"/>
      <c r="Q137" s="542"/>
      <c r="R137" s="542"/>
      <c r="S137" s="542"/>
      <c r="T137" s="542"/>
      <c r="U137" s="542"/>
      <c r="V137" s="542"/>
    </row>
    <row r="138" spans="1:22" ht="12.75" customHeight="1">
      <c r="A138" s="542"/>
      <c r="B138" s="542"/>
      <c r="C138" s="542"/>
      <c r="D138" s="542"/>
      <c r="E138" s="542"/>
      <c r="F138" s="542"/>
      <c r="G138" s="542"/>
      <c r="H138" s="542"/>
      <c r="I138" s="542"/>
      <c r="J138" s="542"/>
      <c r="K138" s="542"/>
      <c r="L138" s="542"/>
      <c r="M138" s="542"/>
      <c r="N138" s="542"/>
      <c r="O138" s="542"/>
      <c r="P138" s="542"/>
      <c r="Q138" s="542"/>
      <c r="R138" s="542"/>
      <c r="S138" s="542"/>
      <c r="T138" s="542"/>
      <c r="U138" s="542"/>
      <c r="V138" s="542"/>
    </row>
    <row r="139" spans="1:22" ht="12.75" customHeight="1">
      <c r="A139" s="542"/>
      <c r="B139" s="542"/>
      <c r="C139" s="542"/>
      <c r="D139" s="542"/>
      <c r="E139" s="542"/>
      <c r="F139" s="542"/>
      <c r="G139" s="542"/>
      <c r="H139" s="542"/>
      <c r="I139" s="542"/>
      <c r="J139" s="542"/>
      <c r="K139" s="542"/>
      <c r="L139" s="542"/>
      <c r="M139" s="542"/>
      <c r="N139" s="542"/>
      <c r="O139" s="542"/>
      <c r="P139" s="542"/>
      <c r="Q139" s="542"/>
      <c r="R139" s="542"/>
      <c r="S139" s="542"/>
      <c r="T139" s="542"/>
      <c r="U139" s="542"/>
      <c r="V139" s="542"/>
    </row>
    <row r="140" spans="1:22" ht="12.75" customHeight="1">
      <c r="A140" s="542"/>
      <c r="B140" s="542"/>
      <c r="C140" s="542"/>
      <c r="D140" s="542"/>
      <c r="E140" s="542"/>
      <c r="F140" s="542"/>
      <c r="G140" s="542"/>
      <c r="H140" s="542"/>
      <c r="I140" s="542"/>
      <c r="J140" s="542"/>
      <c r="K140" s="542"/>
      <c r="L140" s="542"/>
      <c r="M140" s="542"/>
      <c r="N140" s="542"/>
      <c r="O140" s="542"/>
      <c r="P140" s="542"/>
      <c r="Q140" s="542"/>
      <c r="R140" s="542"/>
      <c r="S140" s="542"/>
      <c r="T140" s="542"/>
      <c r="U140" s="542"/>
      <c r="V140" s="542"/>
    </row>
    <row r="141" spans="1:22">
      <c r="A141" s="542"/>
      <c r="B141" s="542"/>
      <c r="C141" s="542"/>
      <c r="D141" s="542"/>
      <c r="E141" s="542"/>
      <c r="F141" s="542"/>
      <c r="G141" s="542"/>
      <c r="H141" s="542"/>
      <c r="I141" s="542"/>
      <c r="J141" s="542"/>
      <c r="K141" s="542"/>
      <c r="L141" s="542"/>
      <c r="M141" s="542"/>
      <c r="N141" s="542"/>
      <c r="O141" s="542"/>
      <c r="P141" s="542"/>
      <c r="Q141" s="542"/>
      <c r="R141" s="542"/>
      <c r="S141" s="542"/>
      <c r="T141" s="542"/>
      <c r="U141" s="542"/>
      <c r="V141" s="542"/>
    </row>
    <row r="142" spans="1:22">
      <c r="A142" s="542"/>
      <c r="B142" s="542"/>
      <c r="C142" s="542"/>
      <c r="D142" s="542"/>
      <c r="E142" s="542"/>
      <c r="F142" s="542"/>
      <c r="G142" s="542"/>
      <c r="H142" s="542"/>
      <c r="I142" s="542"/>
      <c r="J142" s="542"/>
      <c r="K142" s="542"/>
      <c r="L142" s="542"/>
      <c r="M142" s="542"/>
      <c r="N142" s="542"/>
      <c r="O142" s="542"/>
      <c r="P142" s="542"/>
      <c r="Q142" s="542"/>
      <c r="R142" s="542"/>
      <c r="S142" s="542"/>
      <c r="T142" s="542"/>
      <c r="U142" s="542"/>
      <c r="V142" s="542"/>
    </row>
    <row r="143" spans="1:22">
      <c r="A143" s="542"/>
      <c r="B143" s="542"/>
      <c r="C143" s="542"/>
      <c r="D143" s="542"/>
      <c r="E143" s="542"/>
      <c r="F143" s="542"/>
      <c r="G143" s="542"/>
      <c r="H143" s="542"/>
      <c r="I143" s="542"/>
      <c r="J143" s="542"/>
      <c r="K143" s="542"/>
      <c r="L143" s="542"/>
      <c r="M143" s="542"/>
      <c r="N143" s="542"/>
      <c r="O143" s="542"/>
      <c r="P143" s="542"/>
      <c r="Q143" s="542"/>
      <c r="R143" s="542"/>
      <c r="S143" s="542"/>
      <c r="T143" s="542"/>
      <c r="U143" s="542"/>
      <c r="V143" s="542"/>
    </row>
    <row r="144" spans="1:22">
      <c r="A144" s="542"/>
      <c r="B144" s="542"/>
      <c r="C144" s="542"/>
      <c r="D144" s="542"/>
      <c r="E144" s="542"/>
      <c r="F144" s="542"/>
      <c r="G144" s="542"/>
      <c r="H144" s="542"/>
      <c r="I144" s="542"/>
      <c r="J144" s="542"/>
      <c r="K144" s="542"/>
      <c r="L144" s="542"/>
      <c r="M144" s="542"/>
      <c r="N144" s="542"/>
      <c r="O144" s="542"/>
      <c r="P144" s="542"/>
      <c r="Q144" s="542"/>
      <c r="R144" s="542"/>
      <c r="S144" s="542"/>
      <c r="T144" s="542"/>
      <c r="U144" s="542"/>
      <c r="V144" s="542"/>
    </row>
    <row r="145" spans="1:22">
      <c r="A145" s="542"/>
      <c r="B145" s="542"/>
      <c r="C145" s="542"/>
      <c r="D145" s="542"/>
      <c r="E145" s="542"/>
      <c r="F145" s="542"/>
      <c r="G145" s="542"/>
      <c r="H145" s="542"/>
      <c r="I145" s="542"/>
      <c r="J145" s="542"/>
      <c r="K145" s="542"/>
      <c r="L145" s="542"/>
      <c r="M145" s="542"/>
      <c r="N145" s="542"/>
      <c r="O145" s="542"/>
      <c r="P145" s="542"/>
      <c r="Q145" s="542"/>
      <c r="R145" s="542"/>
      <c r="S145" s="542"/>
      <c r="T145" s="542"/>
      <c r="U145" s="542"/>
      <c r="V145" s="542"/>
    </row>
    <row r="146" spans="1:22">
      <c r="A146" s="542"/>
      <c r="B146" s="542"/>
      <c r="C146" s="542"/>
      <c r="D146" s="542"/>
      <c r="E146" s="542"/>
      <c r="F146" s="542"/>
      <c r="G146" s="542"/>
      <c r="H146" s="542"/>
      <c r="I146" s="542"/>
      <c r="J146" s="542"/>
      <c r="K146" s="542"/>
      <c r="L146" s="542"/>
      <c r="M146" s="542"/>
      <c r="N146" s="542"/>
      <c r="O146" s="542"/>
      <c r="P146" s="542"/>
      <c r="Q146" s="542"/>
      <c r="R146" s="542"/>
      <c r="S146" s="542"/>
      <c r="T146" s="542"/>
      <c r="U146" s="542"/>
      <c r="V146" s="542"/>
    </row>
    <row r="147" spans="1:22">
      <c r="A147" s="542"/>
      <c r="B147" s="542"/>
      <c r="C147" s="542"/>
      <c r="D147" s="542"/>
      <c r="E147" s="542"/>
      <c r="F147" s="542"/>
      <c r="G147" s="542"/>
      <c r="H147" s="542"/>
      <c r="I147" s="542"/>
      <c r="J147" s="542"/>
      <c r="K147" s="542"/>
      <c r="L147" s="542"/>
      <c r="M147" s="542"/>
      <c r="N147" s="542"/>
      <c r="O147" s="542"/>
      <c r="P147" s="542"/>
      <c r="Q147" s="542"/>
      <c r="R147" s="542"/>
      <c r="S147" s="542"/>
      <c r="T147" s="542"/>
      <c r="U147" s="542"/>
      <c r="V147" s="542"/>
    </row>
    <row r="148" spans="1:22">
      <c r="A148" s="542"/>
      <c r="B148" s="542"/>
      <c r="C148" s="542"/>
      <c r="D148" s="542"/>
      <c r="E148" s="542"/>
      <c r="F148" s="542"/>
      <c r="G148" s="542"/>
      <c r="H148" s="542"/>
      <c r="I148" s="542"/>
      <c r="J148" s="542"/>
      <c r="K148" s="542"/>
      <c r="L148" s="542"/>
      <c r="M148" s="542"/>
      <c r="N148" s="542"/>
      <c r="O148" s="542"/>
      <c r="P148" s="542"/>
      <c r="Q148" s="542"/>
      <c r="R148" s="542"/>
      <c r="S148" s="542"/>
      <c r="T148" s="542"/>
      <c r="U148" s="542"/>
      <c r="V148" s="542"/>
    </row>
    <row r="149" spans="1:22">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row>
    <row r="150" spans="1:22">
      <c r="A150" s="542"/>
      <c r="B150" s="542"/>
      <c r="C150" s="542"/>
      <c r="D150" s="542"/>
      <c r="E150" s="542"/>
      <c r="F150" s="542"/>
      <c r="G150" s="542"/>
      <c r="H150" s="542"/>
      <c r="I150" s="542"/>
      <c r="J150" s="542"/>
      <c r="K150" s="542"/>
      <c r="L150" s="542"/>
      <c r="M150" s="542"/>
      <c r="N150" s="542"/>
      <c r="O150" s="542"/>
      <c r="P150" s="542"/>
      <c r="Q150" s="542"/>
      <c r="R150" s="542"/>
      <c r="S150" s="542"/>
      <c r="T150" s="542"/>
      <c r="U150" s="542"/>
      <c r="V150" s="542"/>
    </row>
    <row r="151" spans="1:22">
      <c r="A151" s="542"/>
      <c r="B151" s="542"/>
      <c r="C151" s="542"/>
      <c r="D151" s="542"/>
      <c r="E151" s="542"/>
      <c r="F151" s="542"/>
      <c r="G151" s="542"/>
      <c r="H151" s="542"/>
      <c r="I151" s="542"/>
      <c r="J151" s="542"/>
      <c r="K151" s="542"/>
      <c r="L151" s="542"/>
      <c r="M151" s="542"/>
      <c r="N151" s="542"/>
      <c r="O151" s="542"/>
      <c r="P151" s="542"/>
      <c r="Q151" s="542"/>
      <c r="R151" s="542"/>
      <c r="S151" s="542"/>
      <c r="T151" s="542"/>
      <c r="U151" s="542"/>
      <c r="V151" s="542"/>
    </row>
    <row r="164" spans="7:12">
      <c r="G164" s="1279"/>
      <c r="L164" s="1279"/>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75"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40995BCB-3D57-4CD6-B8A2-67071DD22B8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Schedule 12</vt:lpstr>
      <vt:lpstr>WSQ Schedule 1A</vt:lpstr>
      <vt:lpstr>TCOS!Print_Area</vt:lpstr>
      <vt:lpstr>'WS B-2 - Actual Stmt. AG'!Print_Area</vt:lpstr>
      <vt:lpstr>'WS E Rev Credits'!Print_Area</vt:lpstr>
      <vt:lpstr>'WS J PROJECTED RTEP RR'!Print_Area</vt:lpstr>
      <vt:lpstr>'WS L Reserved'!Print_Area</vt:lpstr>
      <vt:lpstr>'WS M - Cost of Capital'!Print_Area</vt:lpstr>
      <vt:lpstr>'WS O - PBOP'!Print_Area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2022-10-28T12:54:41Z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7d44b5e6-5197-4ad5-a92e-65a4af799af5</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