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E:\FORMULA RATES SPP\Annual Update AEP West Trans\Projected\2024 Projection\Transco\Filed Documents\"/>
    </mc:Choice>
  </mc:AlternateContent>
  <xr:revisionPtr revIDLastSave="0" documentId="14_{ACC28490-6DE6-4E4E-A629-60E1D9B80722}" xr6:coauthVersionLast="47" xr6:coauthVersionMax="47" xr10:uidLastSave="{00000000-0000-0000-0000-000000000000}"/>
  <bookViews>
    <workbookView xWindow="-120" yWindow="-120" windowWidth="24240" windowHeight="13020" tabRatio="834" xr2:uid="{00000000-000D-0000-FFFF-FFFF00000000}"/>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7" r:id="rId21"/>
    <sheet name="OKT.019" sheetId="38" r:id="rId22"/>
    <sheet name="OKT.020" sheetId="39" r:id="rId23"/>
    <sheet name="OKT.021" sheetId="40" r:id="rId24"/>
    <sheet name="OKT.022" sheetId="41" r:id="rId25"/>
    <sheet name="OKT.023" sheetId="42" r:id="rId26"/>
    <sheet name="OKT.024" sheetId="43" r:id="rId27"/>
    <sheet name="OKT.xyz - blank" sheetId="13" r:id="rId28"/>
  </sheets>
  <externalReferences>
    <externalReference r:id="rId29"/>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'OKT.Sch.11.Rates'!$A$1:$T$44</definedName>
    <definedName name="_xlnm.Print_Area" localSheetId="1">'OKT.WS.F.BPU.ATRR.Projected'!$A$1:$O$90</definedName>
    <definedName name="_xlnm.Print_Area" localSheetId="2">'OKT.WS.G.BPU.ATRR.True-up'!$A$1:$P$96</definedName>
    <definedName name="_xlnm.Print_Area" localSheetId="27">'OKT.xyz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7">'OKT.xyz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17" l="1"/>
  <c r="V40" i="17" l="1"/>
  <c r="L40" i="17" l="1"/>
  <c r="P155" i="43"/>
  <c r="O155" i="43"/>
  <c r="M155" i="43"/>
  <c r="J155" i="43"/>
  <c r="P154" i="43"/>
  <c r="O154" i="43"/>
  <c r="M154" i="43"/>
  <c r="J154" i="43"/>
  <c r="P153" i="43"/>
  <c r="O153" i="43"/>
  <c r="M153" i="43"/>
  <c r="J153" i="43"/>
  <c r="P152" i="43"/>
  <c r="O152" i="43"/>
  <c r="M152" i="43"/>
  <c r="J152" i="43"/>
  <c r="P151" i="43"/>
  <c r="O151" i="43"/>
  <c r="M151" i="43"/>
  <c r="J151" i="43"/>
  <c r="P150" i="43"/>
  <c r="O150" i="43"/>
  <c r="M150" i="43"/>
  <c r="J150" i="43"/>
  <c r="P149" i="43"/>
  <c r="O149" i="43"/>
  <c r="M149" i="43"/>
  <c r="J149" i="43"/>
  <c r="P148" i="43"/>
  <c r="O148" i="43"/>
  <c r="M148" i="43"/>
  <c r="J148" i="43"/>
  <c r="P147" i="43"/>
  <c r="O147" i="43"/>
  <c r="M147" i="43"/>
  <c r="J147" i="43"/>
  <c r="P146" i="43"/>
  <c r="O146" i="43"/>
  <c r="M146" i="43"/>
  <c r="J146" i="43"/>
  <c r="P145" i="43"/>
  <c r="O145" i="43"/>
  <c r="M145" i="43"/>
  <c r="J145" i="43"/>
  <c r="P144" i="43"/>
  <c r="O144" i="43"/>
  <c r="M144" i="43"/>
  <c r="J144" i="43"/>
  <c r="P143" i="43"/>
  <c r="O143" i="43"/>
  <c r="M143" i="43"/>
  <c r="J143" i="43"/>
  <c r="P142" i="43"/>
  <c r="O142" i="43"/>
  <c r="M142" i="43"/>
  <c r="J142" i="43"/>
  <c r="P141" i="43"/>
  <c r="O141" i="43"/>
  <c r="M141" i="43"/>
  <c r="J141" i="43"/>
  <c r="P140" i="43"/>
  <c r="O140" i="43"/>
  <c r="M140" i="43"/>
  <c r="J140" i="43"/>
  <c r="P139" i="43"/>
  <c r="O139" i="43"/>
  <c r="M139" i="43"/>
  <c r="J139" i="43"/>
  <c r="P138" i="43"/>
  <c r="O138" i="43"/>
  <c r="M138" i="43"/>
  <c r="J138" i="43"/>
  <c r="P137" i="43"/>
  <c r="O137" i="43"/>
  <c r="M137" i="43"/>
  <c r="J137" i="43"/>
  <c r="P136" i="43"/>
  <c r="O136" i="43"/>
  <c r="M136" i="43"/>
  <c r="J136" i="43"/>
  <c r="P135" i="43"/>
  <c r="O135" i="43"/>
  <c r="M135" i="43"/>
  <c r="J135" i="43"/>
  <c r="P134" i="43"/>
  <c r="O134" i="43"/>
  <c r="M134" i="43"/>
  <c r="J134" i="43"/>
  <c r="P133" i="43"/>
  <c r="O133" i="43"/>
  <c r="M133" i="43"/>
  <c r="J133" i="43"/>
  <c r="P132" i="43"/>
  <c r="O132" i="43"/>
  <c r="M132" i="43"/>
  <c r="J132" i="43"/>
  <c r="O131" i="43"/>
  <c r="M131" i="43"/>
  <c r="O130" i="43"/>
  <c r="P130" i="43" s="1"/>
  <c r="M130" i="43"/>
  <c r="O129" i="43"/>
  <c r="P129" i="43" s="1"/>
  <c r="M129" i="43"/>
  <c r="O128" i="43"/>
  <c r="P128" i="43" s="1"/>
  <c r="M128" i="43"/>
  <c r="O127" i="43"/>
  <c r="M127" i="43"/>
  <c r="O126" i="43"/>
  <c r="P126" i="43" s="1"/>
  <c r="M126" i="43"/>
  <c r="O125" i="43"/>
  <c r="P125" i="43" s="1"/>
  <c r="M125" i="43"/>
  <c r="O124" i="43"/>
  <c r="P124" i="43" s="1"/>
  <c r="M124" i="43"/>
  <c r="O123" i="43"/>
  <c r="M123" i="43"/>
  <c r="O122" i="43"/>
  <c r="P122" i="43" s="1"/>
  <c r="M122" i="43"/>
  <c r="O121" i="43"/>
  <c r="P121" i="43" s="1"/>
  <c r="M121" i="43"/>
  <c r="O120" i="43"/>
  <c r="P120" i="43" s="1"/>
  <c r="M120" i="43"/>
  <c r="O119" i="43"/>
  <c r="M119" i="43"/>
  <c r="O118" i="43"/>
  <c r="P118" i="43" s="1"/>
  <c r="M118" i="43"/>
  <c r="O117" i="43"/>
  <c r="M117" i="43"/>
  <c r="O116" i="43"/>
  <c r="P116" i="43" s="1"/>
  <c r="M116" i="43"/>
  <c r="O115" i="43"/>
  <c r="M115" i="43"/>
  <c r="O114" i="43"/>
  <c r="P114" i="43" s="1"/>
  <c r="M114" i="43"/>
  <c r="O113" i="43"/>
  <c r="P113" i="43" s="1"/>
  <c r="M113" i="43"/>
  <c r="O112" i="43"/>
  <c r="P112" i="43" s="1"/>
  <c r="M112" i="43"/>
  <c r="O111" i="43"/>
  <c r="M111" i="43"/>
  <c r="O110" i="43"/>
  <c r="P110" i="43" s="1"/>
  <c r="M110" i="43"/>
  <c r="O109" i="43"/>
  <c r="P109" i="43" s="1"/>
  <c r="M109" i="43"/>
  <c r="O108" i="43"/>
  <c r="P108" i="43" s="1"/>
  <c r="M108" i="43"/>
  <c r="O107" i="43"/>
  <c r="M107" i="43"/>
  <c r="O106" i="43"/>
  <c r="P106" i="43" s="1"/>
  <c r="M106" i="43"/>
  <c r="O105" i="43"/>
  <c r="P105" i="43" s="1"/>
  <c r="M105" i="43"/>
  <c r="O104" i="43"/>
  <c r="P104" i="43" s="1"/>
  <c r="M104" i="43"/>
  <c r="O103" i="43"/>
  <c r="M103" i="43"/>
  <c r="O102" i="43"/>
  <c r="P102" i="43" s="1"/>
  <c r="M102" i="43"/>
  <c r="O101" i="43"/>
  <c r="M101" i="43"/>
  <c r="E100" i="43"/>
  <c r="J97" i="43"/>
  <c r="D97" i="43"/>
  <c r="D96" i="43"/>
  <c r="J95" i="43"/>
  <c r="J96" i="43" s="1"/>
  <c r="D95" i="43"/>
  <c r="L94" i="43"/>
  <c r="J94" i="43"/>
  <c r="D94" i="43"/>
  <c r="J93" i="43"/>
  <c r="D92" i="43"/>
  <c r="D91" i="43"/>
  <c r="D90" i="43"/>
  <c r="N89" i="43"/>
  <c r="N73" i="43"/>
  <c r="L73" i="43"/>
  <c r="N72" i="43"/>
  <c r="L72" i="43"/>
  <c r="O72" i="43" s="1"/>
  <c r="N71" i="43"/>
  <c r="L71" i="43"/>
  <c r="N70" i="43"/>
  <c r="L70" i="43"/>
  <c r="N69" i="43"/>
  <c r="L69" i="43"/>
  <c r="N68" i="43"/>
  <c r="L68" i="43"/>
  <c r="N67" i="43"/>
  <c r="L67" i="43"/>
  <c r="N66" i="43"/>
  <c r="L66" i="43"/>
  <c r="N65" i="43"/>
  <c r="L65" i="43"/>
  <c r="N64" i="43"/>
  <c r="L64" i="43"/>
  <c r="N63" i="43"/>
  <c r="L63" i="43"/>
  <c r="N62" i="43"/>
  <c r="O62" i="43" s="1"/>
  <c r="L62" i="43"/>
  <c r="N61" i="43"/>
  <c r="L61" i="43"/>
  <c r="N60" i="43"/>
  <c r="L60" i="43"/>
  <c r="N59" i="43"/>
  <c r="L59" i="43"/>
  <c r="N58" i="43"/>
  <c r="O58" i="43" s="1"/>
  <c r="L58" i="43"/>
  <c r="N57" i="43"/>
  <c r="L57" i="43"/>
  <c r="N56" i="43"/>
  <c r="L56" i="43"/>
  <c r="N55" i="43"/>
  <c r="L55" i="43"/>
  <c r="N54" i="43"/>
  <c r="O54" i="43" s="1"/>
  <c r="L54" i="43"/>
  <c r="N53" i="43"/>
  <c r="L53" i="43"/>
  <c r="N52" i="43"/>
  <c r="L52" i="43"/>
  <c r="N51" i="43"/>
  <c r="L51" i="43"/>
  <c r="N50" i="43"/>
  <c r="O50" i="43" s="1"/>
  <c r="L50" i="43"/>
  <c r="N49" i="43"/>
  <c r="L49" i="43"/>
  <c r="N48" i="43"/>
  <c r="L48" i="43"/>
  <c r="N47" i="43"/>
  <c r="L47" i="43"/>
  <c r="N46" i="43"/>
  <c r="L46" i="43"/>
  <c r="N45" i="43"/>
  <c r="L45" i="43"/>
  <c r="N44" i="43"/>
  <c r="L44" i="43"/>
  <c r="N43" i="43"/>
  <c r="L43" i="43"/>
  <c r="N42" i="43"/>
  <c r="O42" i="43" s="1"/>
  <c r="L42" i="43"/>
  <c r="N41" i="43"/>
  <c r="L41" i="43"/>
  <c r="N40" i="43"/>
  <c r="L40" i="43"/>
  <c r="N39" i="43"/>
  <c r="L39" i="43"/>
  <c r="N38" i="43"/>
  <c r="O38" i="43" s="1"/>
  <c r="L38" i="43"/>
  <c r="N37" i="43"/>
  <c r="L37" i="43"/>
  <c r="N36" i="43"/>
  <c r="L36" i="43"/>
  <c r="N35" i="43"/>
  <c r="L35" i="43"/>
  <c r="N34" i="43"/>
  <c r="O34" i="43" s="1"/>
  <c r="L34" i="43"/>
  <c r="N33" i="43"/>
  <c r="L33" i="43"/>
  <c r="N32" i="43"/>
  <c r="L32" i="43"/>
  <c r="N31" i="43"/>
  <c r="L31" i="43"/>
  <c r="N30" i="43"/>
  <c r="O30" i="43" s="1"/>
  <c r="L30" i="43"/>
  <c r="N29" i="43"/>
  <c r="L29" i="43"/>
  <c r="N28" i="43"/>
  <c r="L28" i="43"/>
  <c r="N27" i="43"/>
  <c r="L27" i="43"/>
  <c r="N26" i="43"/>
  <c r="L26" i="43"/>
  <c r="N25" i="43"/>
  <c r="L25" i="43"/>
  <c r="N24" i="43"/>
  <c r="L24" i="43"/>
  <c r="N23" i="43"/>
  <c r="L23" i="43"/>
  <c r="N22" i="43"/>
  <c r="L22" i="43"/>
  <c r="N21" i="43"/>
  <c r="L21" i="43"/>
  <c r="N20" i="43"/>
  <c r="L20" i="43"/>
  <c r="N19" i="43"/>
  <c r="L19" i="43"/>
  <c r="N18" i="43"/>
  <c r="L18" i="43"/>
  <c r="C18" i="43"/>
  <c r="C19" i="43" s="1"/>
  <c r="C20" i="43" s="1"/>
  <c r="C21" i="43" s="1"/>
  <c r="C22" i="43" s="1"/>
  <c r="C23" i="43" s="1"/>
  <c r="C24" i="43" s="1"/>
  <c r="C25" i="43" s="1"/>
  <c r="C26" i="43" s="1"/>
  <c r="C27" i="43" s="1"/>
  <c r="C28" i="43" s="1"/>
  <c r="C29" i="43" s="1"/>
  <c r="C30" i="43" s="1"/>
  <c r="C31" i="43" s="1"/>
  <c r="C32" i="43" s="1"/>
  <c r="C33" i="43" s="1"/>
  <c r="C34" i="43" s="1"/>
  <c r="C35" i="43" s="1"/>
  <c r="C36" i="43" s="1"/>
  <c r="C37" i="43" s="1"/>
  <c r="C38" i="43" s="1"/>
  <c r="C39" i="43" s="1"/>
  <c r="C40" i="43" s="1"/>
  <c r="C41" i="43" s="1"/>
  <c r="C42" i="43" s="1"/>
  <c r="C43" i="43" s="1"/>
  <c r="C44" i="43" s="1"/>
  <c r="C45" i="43" s="1"/>
  <c r="N17" i="43"/>
  <c r="L17" i="43"/>
  <c r="E17" i="43"/>
  <c r="F17" i="43" s="1"/>
  <c r="C17" i="43"/>
  <c r="B17" i="43"/>
  <c r="I14" i="43"/>
  <c r="K11" i="43"/>
  <c r="I11" i="43"/>
  <c r="I10" i="43"/>
  <c r="P1" i="43"/>
  <c r="P84" i="43" s="1"/>
  <c r="O19" i="43" l="1"/>
  <c r="O31" i="43"/>
  <c r="O39" i="43"/>
  <c r="O57" i="43"/>
  <c r="O71" i="43"/>
  <c r="O28" i="43"/>
  <c r="O36" i="43"/>
  <c r="O44" i="43"/>
  <c r="O73" i="43"/>
  <c r="O49" i="43"/>
  <c r="O37" i="43"/>
  <c r="O35" i="43"/>
  <c r="O67" i="43"/>
  <c r="O43" i="43"/>
  <c r="O63" i="43"/>
  <c r="O24" i="43"/>
  <c r="O56" i="43"/>
  <c r="O60" i="43"/>
  <c r="O17" i="43"/>
  <c r="O20" i="43"/>
  <c r="O40" i="43"/>
  <c r="O48" i="43"/>
  <c r="O52" i="43"/>
  <c r="O22" i="43"/>
  <c r="O46" i="43"/>
  <c r="O66" i="43"/>
  <c r="O70" i="43"/>
  <c r="O23" i="43"/>
  <c r="O18" i="43"/>
  <c r="O33" i="43"/>
  <c r="O55" i="43"/>
  <c r="O59" i="43"/>
  <c r="O69" i="43"/>
  <c r="O26" i="43"/>
  <c r="O25" i="43"/>
  <c r="O51" i="43"/>
  <c r="O41" i="43"/>
  <c r="O65" i="43"/>
  <c r="O27" i="43"/>
  <c r="O47" i="43"/>
  <c r="O32" i="43"/>
  <c r="C46" i="43"/>
  <c r="C47" i="43" s="1"/>
  <c r="C48" i="43" s="1"/>
  <c r="C49" i="43" s="1"/>
  <c r="C50" i="43" s="1"/>
  <c r="C51" i="43" s="1"/>
  <c r="C52" i="43" s="1"/>
  <c r="C53" i="43" s="1"/>
  <c r="C54" i="43" s="1"/>
  <c r="C55" i="43" s="1"/>
  <c r="C56" i="43" s="1"/>
  <c r="C57" i="43" s="1"/>
  <c r="C58" i="43" s="1"/>
  <c r="C59" i="43" s="1"/>
  <c r="C60" i="43" s="1"/>
  <c r="C61" i="43" s="1"/>
  <c r="C62" i="43" s="1"/>
  <c r="C63" i="43" s="1"/>
  <c r="C64" i="43" s="1"/>
  <c r="C65" i="43" s="1"/>
  <c r="C66" i="43" s="1"/>
  <c r="C67" i="43" s="1"/>
  <c r="C68" i="43" s="1"/>
  <c r="C69" i="43" s="1"/>
  <c r="C70" i="43" s="1"/>
  <c r="C71" i="43" s="1"/>
  <c r="C72" i="43" s="1"/>
  <c r="O61" i="43"/>
  <c r="O45" i="43"/>
  <c r="P117" i="43"/>
  <c r="P127" i="43"/>
  <c r="O21" i="43"/>
  <c r="O29" i="43"/>
  <c r="C100" i="43"/>
  <c r="F100" i="43" s="1"/>
  <c r="O53" i="43"/>
  <c r="P101" i="43"/>
  <c r="P111" i="43"/>
  <c r="D18" i="43"/>
  <c r="E18" i="43" s="1"/>
  <c r="O64" i="43"/>
  <c r="P107" i="43"/>
  <c r="P123" i="43"/>
  <c r="O68" i="43"/>
  <c r="P103" i="43"/>
  <c r="P119" i="43"/>
  <c r="M89" i="43"/>
  <c r="N88" i="43"/>
  <c r="M88" i="43"/>
  <c r="L87" i="43"/>
  <c r="P115" i="43"/>
  <c r="P131" i="43"/>
  <c r="K42" i="17"/>
  <c r="J42" i="17"/>
  <c r="O88" i="43" l="1"/>
  <c r="M90" i="43"/>
  <c r="D101" i="43"/>
  <c r="E101" i="43"/>
  <c r="C101" i="43"/>
  <c r="C102" i="43" s="1"/>
  <c r="C103" i="43" s="1"/>
  <c r="C104" i="43" s="1"/>
  <c r="C105" i="43" s="1"/>
  <c r="C106" i="43" s="1"/>
  <c r="C107" i="43" s="1"/>
  <c r="C108" i="43" s="1"/>
  <c r="C109" i="43" s="1"/>
  <c r="C110" i="43" s="1"/>
  <c r="C111" i="43" s="1"/>
  <c r="C112" i="43" s="1"/>
  <c r="C113" i="43" s="1"/>
  <c r="C114" i="43" s="1"/>
  <c r="C115" i="43" s="1"/>
  <c r="C116" i="43" s="1"/>
  <c r="C117" i="43" s="1"/>
  <c r="C118" i="43" s="1"/>
  <c r="C119" i="43" s="1"/>
  <c r="C120" i="43" s="1"/>
  <c r="C121" i="43" s="1"/>
  <c r="C122" i="43" s="1"/>
  <c r="C123" i="43" s="1"/>
  <c r="C124" i="43" s="1"/>
  <c r="C125" i="43" s="1"/>
  <c r="C126" i="43" s="1"/>
  <c r="C127" i="43" s="1"/>
  <c r="C128" i="43" s="1"/>
  <c r="C129" i="43" s="1"/>
  <c r="C130" i="43" s="1"/>
  <c r="C131" i="43" s="1"/>
  <c r="C132" i="43" s="1"/>
  <c r="C133" i="43" s="1"/>
  <c r="C134" i="43" s="1"/>
  <c r="C135" i="43" s="1"/>
  <c r="C136" i="43" s="1"/>
  <c r="C137" i="43" s="1"/>
  <c r="C138" i="43" s="1"/>
  <c r="C139" i="43" s="1"/>
  <c r="C140" i="43" s="1"/>
  <c r="C141" i="43" s="1"/>
  <c r="C142" i="43" s="1"/>
  <c r="C143" i="43" s="1"/>
  <c r="C144" i="43" s="1"/>
  <c r="C145" i="43" s="1"/>
  <c r="C146" i="43" s="1"/>
  <c r="C147" i="43" s="1"/>
  <c r="C148" i="43" s="1"/>
  <c r="C149" i="43" s="1"/>
  <c r="C150" i="43" s="1"/>
  <c r="C151" i="43" s="1"/>
  <c r="C152" i="43" s="1"/>
  <c r="C153" i="43" s="1"/>
  <c r="C154" i="43" s="1"/>
  <c r="C155" i="43" s="1"/>
  <c r="D100" i="43"/>
  <c r="B100" i="43" s="1"/>
  <c r="F18" i="43"/>
  <c r="B18" i="43"/>
  <c r="O89" i="43"/>
  <c r="O90" i="43" s="1"/>
  <c r="N90" i="43"/>
  <c r="G100" i="43" l="1"/>
  <c r="H101" i="43"/>
  <c r="F101" i="43"/>
  <c r="B101" i="43"/>
  <c r="D19" i="43"/>
  <c r="E19" i="43" s="1"/>
  <c r="H100" i="43" l="1"/>
  <c r="I100" i="43"/>
  <c r="F19" i="43"/>
  <c r="B19" i="43"/>
  <c r="D102" i="43"/>
  <c r="G101" i="43"/>
  <c r="I101" i="43" s="1"/>
  <c r="J101" i="43" s="1"/>
  <c r="E102" i="43"/>
  <c r="M17" i="41"/>
  <c r="K17" i="41"/>
  <c r="L17" i="41" s="1"/>
  <c r="M17" i="40"/>
  <c r="K17" i="40"/>
  <c r="L17" i="40" s="1"/>
  <c r="M19" i="39"/>
  <c r="K19" i="39"/>
  <c r="L19" i="39" s="1"/>
  <c r="M21" i="37"/>
  <c r="K21" i="37"/>
  <c r="L21" i="37" s="1"/>
  <c r="M21" i="38"/>
  <c r="K21" i="38"/>
  <c r="L21" i="38" s="1"/>
  <c r="M22" i="35"/>
  <c r="K22" i="35"/>
  <c r="L22" i="35" s="1"/>
  <c r="M22" i="34"/>
  <c r="K22" i="34"/>
  <c r="L22" i="34" s="1"/>
  <c r="M22" i="31"/>
  <c r="K22" i="31"/>
  <c r="L22" i="31" s="1"/>
  <c r="M23" i="29"/>
  <c r="K23" i="29"/>
  <c r="L23" i="29" s="1"/>
  <c r="M25" i="26"/>
  <c r="K25" i="26"/>
  <c r="L25" i="26" s="1"/>
  <c r="M26" i="24"/>
  <c r="K26" i="24"/>
  <c r="L26" i="24" s="1"/>
  <c r="M24" i="25"/>
  <c r="K24" i="25"/>
  <c r="L24" i="25" s="1"/>
  <c r="M25" i="23"/>
  <c r="K25" i="23"/>
  <c r="L25" i="23" s="1"/>
  <c r="M25" i="22"/>
  <c r="K25" i="22"/>
  <c r="L25" i="22" s="1"/>
  <c r="M26" i="21"/>
  <c r="K26" i="21"/>
  <c r="L26" i="21" s="1"/>
  <c r="M28" i="19"/>
  <c r="K28" i="19"/>
  <c r="L28" i="19" s="1"/>
  <c r="M28" i="18"/>
  <c r="K28" i="18"/>
  <c r="L28" i="18" s="1"/>
  <c r="M29" i="4"/>
  <c r="K29" i="4"/>
  <c r="L29" i="4" s="1"/>
  <c r="M29" i="3"/>
  <c r="K29" i="3"/>
  <c r="L29" i="3" s="1"/>
  <c r="M18" i="39"/>
  <c r="K18" i="39"/>
  <c r="L18" i="39" s="1"/>
  <c r="D20" i="43" l="1"/>
  <c r="E20" i="43" s="1"/>
  <c r="N100" i="43"/>
  <c r="O100" i="43" s="1"/>
  <c r="P100" i="43" s="1"/>
  <c r="J100" i="43"/>
  <c r="L100" i="43"/>
  <c r="M100" i="43" s="1"/>
  <c r="B102" i="43"/>
  <c r="H102" i="43"/>
  <c r="F102" i="43"/>
  <c r="M20" i="37"/>
  <c r="K20" i="37"/>
  <c r="L20" i="37" s="1"/>
  <c r="M21" i="35"/>
  <c r="K21" i="35"/>
  <c r="L21" i="35" s="1"/>
  <c r="M20" i="38"/>
  <c r="K20" i="38"/>
  <c r="L20" i="38" s="1"/>
  <c r="M21" i="34"/>
  <c r="K21" i="34"/>
  <c r="L21" i="34" s="1"/>
  <c r="D104" i="34"/>
  <c r="M21" i="31"/>
  <c r="K21" i="31"/>
  <c r="L21" i="31" s="1"/>
  <c r="M22" i="29"/>
  <c r="K22" i="29"/>
  <c r="L22" i="29" s="1"/>
  <c r="M25" i="27"/>
  <c r="K25" i="27"/>
  <c r="L25" i="27" s="1"/>
  <c r="M24" i="26"/>
  <c r="K24" i="26"/>
  <c r="L24" i="26" s="1"/>
  <c r="M25" i="24"/>
  <c r="K25" i="24"/>
  <c r="L25" i="24" s="1"/>
  <c r="M23" i="25"/>
  <c r="K23" i="25"/>
  <c r="L23" i="25" s="1"/>
  <c r="M24" i="23"/>
  <c r="K24" i="23"/>
  <c r="L24" i="23" s="1"/>
  <c r="M24" i="22"/>
  <c r="K24" i="22"/>
  <c r="L24" i="22" s="1"/>
  <c r="M25" i="21"/>
  <c r="K25" i="21"/>
  <c r="L25" i="21" s="1"/>
  <c r="G102" i="43" l="1"/>
  <c r="I102" i="43" s="1"/>
  <c r="D103" i="43"/>
  <c r="E103" i="43"/>
  <c r="B20" i="43"/>
  <c r="F20" i="43"/>
  <c r="M16" i="2"/>
  <c r="F103" i="43" l="1"/>
  <c r="B103" i="43"/>
  <c r="J102" i="43"/>
  <c r="D21" i="43"/>
  <c r="E21" i="43" s="1"/>
  <c r="W39" i="17"/>
  <c r="W38" i="17"/>
  <c r="L39" i="17"/>
  <c r="V39" i="17" s="1"/>
  <c r="L38" i="17"/>
  <c r="V38" i="17" s="1"/>
  <c r="J155" i="42"/>
  <c r="J154" i="42"/>
  <c r="J153" i="42"/>
  <c r="J152" i="42"/>
  <c r="J151" i="42"/>
  <c r="J150" i="42"/>
  <c r="J149" i="42"/>
  <c r="J148" i="42"/>
  <c r="J147" i="42"/>
  <c r="J146" i="42"/>
  <c r="J145" i="42"/>
  <c r="J144" i="42"/>
  <c r="J143" i="42"/>
  <c r="J142" i="42"/>
  <c r="J141" i="42"/>
  <c r="J140" i="42"/>
  <c r="J139" i="42"/>
  <c r="J138" i="42"/>
  <c r="J137" i="42"/>
  <c r="J136" i="42"/>
  <c r="J135" i="42"/>
  <c r="J134" i="42"/>
  <c r="J133" i="42"/>
  <c r="J132" i="42"/>
  <c r="E100" i="42"/>
  <c r="J155" i="41"/>
  <c r="J154" i="41"/>
  <c r="J153" i="41"/>
  <c r="J152" i="41"/>
  <c r="J151" i="41"/>
  <c r="J150" i="41"/>
  <c r="J149" i="41"/>
  <c r="J148" i="41"/>
  <c r="J147" i="41"/>
  <c r="J146" i="41"/>
  <c r="J145" i="41"/>
  <c r="J144" i="41"/>
  <c r="J143" i="41"/>
  <c r="J142" i="41"/>
  <c r="J141" i="41"/>
  <c r="J140" i="41"/>
  <c r="J139" i="41"/>
  <c r="J138" i="41"/>
  <c r="J137" i="41"/>
  <c r="J136" i="41"/>
  <c r="J135" i="41"/>
  <c r="J134" i="41"/>
  <c r="J133" i="41"/>
  <c r="J132" i="41"/>
  <c r="E100" i="41"/>
  <c r="E100" i="40"/>
  <c r="L17" i="42"/>
  <c r="P155" i="42"/>
  <c r="O155" i="42"/>
  <c r="M155" i="42"/>
  <c r="P154" i="42"/>
  <c r="O154" i="42"/>
  <c r="M154" i="42"/>
  <c r="P153" i="42"/>
  <c r="O153" i="42"/>
  <c r="M153" i="42"/>
  <c r="P152" i="42"/>
  <c r="O152" i="42"/>
  <c r="M152" i="42"/>
  <c r="P151" i="42"/>
  <c r="O151" i="42"/>
  <c r="M151" i="42"/>
  <c r="P150" i="42"/>
  <c r="O150" i="42"/>
  <c r="M150" i="42"/>
  <c r="P149" i="42"/>
  <c r="O149" i="42"/>
  <c r="M149" i="42"/>
  <c r="P148" i="42"/>
  <c r="O148" i="42"/>
  <c r="M148" i="42"/>
  <c r="P147" i="42"/>
  <c r="O147" i="42"/>
  <c r="M147" i="42"/>
  <c r="P146" i="42"/>
  <c r="O146" i="42"/>
  <c r="M146" i="42"/>
  <c r="P145" i="42"/>
  <c r="O145" i="42"/>
  <c r="M145" i="42"/>
  <c r="P144" i="42"/>
  <c r="O144" i="42"/>
  <c r="M144" i="42"/>
  <c r="P143" i="42"/>
  <c r="O143" i="42"/>
  <c r="M143" i="42"/>
  <c r="P142" i="42"/>
  <c r="O142" i="42"/>
  <c r="M142" i="42"/>
  <c r="P141" i="42"/>
  <c r="O141" i="42"/>
  <c r="M141" i="42"/>
  <c r="P140" i="42"/>
  <c r="O140" i="42"/>
  <c r="M140" i="42"/>
  <c r="P139" i="42"/>
  <c r="O139" i="42"/>
  <c r="M139" i="42"/>
  <c r="P138" i="42"/>
  <c r="O138" i="42"/>
  <c r="M138" i="42"/>
  <c r="P137" i="42"/>
  <c r="O137" i="42"/>
  <c r="M137" i="42"/>
  <c r="P136" i="42"/>
  <c r="O136" i="42"/>
  <c r="M136" i="42"/>
  <c r="P135" i="42"/>
  <c r="O135" i="42"/>
  <c r="M135" i="42"/>
  <c r="P134" i="42"/>
  <c r="O134" i="42"/>
  <c r="M134" i="42"/>
  <c r="P133" i="42"/>
  <c r="O133" i="42"/>
  <c r="M133" i="42"/>
  <c r="P132" i="42"/>
  <c r="O132" i="42"/>
  <c r="M132" i="42"/>
  <c r="O131" i="42"/>
  <c r="M131" i="42"/>
  <c r="O130" i="42"/>
  <c r="M130" i="42"/>
  <c r="O129" i="42"/>
  <c r="M129" i="42"/>
  <c r="O128" i="42"/>
  <c r="M128" i="42"/>
  <c r="O127" i="42"/>
  <c r="M127" i="42"/>
  <c r="O126" i="42"/>
  <c r="M126" i="42"/>
  <c r="O125" i="42"/>
  <c r="M125" i="42"/>
  <c r="O124" i="42"/>
  <c r="M124" i="42"/>
  <c r="O123" i="42"/>
  <c r="M123" i="42"/>
  <c r="O122" i="42"/>
  <c r="M122" i="42"/>
  <c r="O121" i="42"/>
  <c r="M121" i="42"/>
  <c r="O120" i="42"/>
  <c r="M120" i="42"/>
  <c r="O119" i="42"/>
  <c r="M119" i="42"/>
  <c r="O118" i="42"/>
  <c r="M118" i="42"/>
  <c r="O117" i="42"/>
  <c r="M117" i="42"/>
  <c r="O116" i="42"/>
  <c r="M116" i="42"/>
  <c r="O115" i="42"/>
  <c r="M115" i="42"/>
  <c r="O114" i="42"/>
  <c r="M114" i="42"/>
  <c r="O113" i="42"/>
  <c r="M113" i="42"/>
  <c r="O112" i="42"/>
  <c r="M112" i="42"/>
  <c r="O111" i="42"/>
  <c r="M111" i="42"/>
  <c r="O110" i="42"/>
  <c r="M110" i="42"/>
  <c r="O109" i="42"/>
  <c r="M109" i="42"/>
  <c r="O108" i="42"/>
  <c r="M108" i="42"/>
  <c r="O107" i="42"/>
  <c r="M107" i="42"/>
  <c r="O106" i="42"/>
  <c r="M106" i="42"/>
  <c r="O105" i="42"/>
  <c r="M105" i="42"/>
  <c r="O104" i="42"/>
  <c r="M104" i="42"/>
  <c r="O103" i="42"/>
  <c r="M103" i="42"/>
  <c r="O102" i="42"/>
  <c r="M102" i="42"/>
  <c r="O101" i="42"/>
  <c r="M101" i="42"/>
  <c r="J97" i="42"/>
  <c r="D97" i="42"/>
  <c r="D95" i="42"/>
  <c r="L94" i="42"/>
  <c r="J94" i="42"/>
  <c r="D94" i="42"/>
  <c r="J93" i="42"/>
  <c r="M88" i="42" s="1"/>
  <c r="D92" i="42"/>
  <c r="D91" i="42"/>
  <c r="D90" i="42"/>
  <c r="N89" i="42"/>
  <c r="N73" i="42"/>
  <c r="L73" i="42"/>
  <c r="N72" i="42"/>
  <c r="L72" i="42"/>
  <c r="N71" i="42"/>
  <c r="L71" i="42"/>
  <c r="N70" i="42"/>
  <c r="L70" i="42"/>
  <c r="N69" i="42"/>
  <c r="L69" i="42"/>
  <c r="N68" i="42"/>
  <c r="L68" i="42"/>
  <c r="N67" i="42"/>
  <c r="L67" i="42"/>
  <c r="N66" i="42"/>
  <c r="L66" i="42"/>
  <c r="N65" i="42"/>
  <c r="L65" i="42"/>
  <c r="N64" i="42"/>
  <c r="L64" i="42"/>
  <c r="N63" i="42"/>
  <c r="L63" i="42"/>
  <c r="N62" i="42"/>
  <c r="L62" i="42"/>
  <c r="N61" i="42"/>
  <c r="L61" i="42"/>
  <c r="N60" i="42"/>
  <c r="L60" i="42"/>
  <c r="N59" i="42"/>
  <c r="L59" i="42"/>
  <c r="N58" i="42"/>
  <c r="L58" i="42"/>
  <c r="N57" i="42"/>
  <c r="L57" i="42"/>
  <c r="N56" i="42"/>
  <c r="L56" i="42"/>
  <c r="N55" i="42"/>
  <c r="L55" i="42"/>
  <c r="N54" i="42"/>
  <c r="L54" i="42"/>
  <c r="N53" i="42"/>
  <c r="L53" i="42"/>
  <c r="N52" i="42"/>
  <c r="L52" i="42"/>
  <c r="N51" i="42"/>
  <c r="L51" i="42"/>
  <c r="N50" i="42"/>
  <c r="L50" i="42"/>
  <c r="N49" i="42"/>
  <c r="L49" i="42"/>
  <c r="N48" i="42"/>
  <c r="L48" i="42"/>
  <c r="N47" i="42"/>
  <c r="L47" i="42"/>
  <c r="N46" i="42"/>
  <c r="L46" i="42"/>
  <c r="N45" i="42"/>
  <c r="L45" i="42"/>
  <c r="N44" i="42"/>
  <c r="L44" i="42"/>
  <c r="N43" i="42"/>
  <c r="L43" i="42"/>
  <c r="N42" i="42"/>
  <c r="L42" i="42"/>
  <c r="N41" i="42"/>
  <c r="L41" i="42"/>
  <c r="N40" i="42"/>
  <c r="L40" i="42"/>
  <c r="N39" i="42"/>
  <c r="L39" i="42"/>
  <c r="N38" i="42"/>
  <c r="L38" i="42"/>
  <c r="N37" i="42"/>
  <c r="L37" i="42"/>
  <c r="N36" i="42"/>
  <c r="L36" i="42"/>
  <c r="N35" i="42"/>
  <c r="L35" i="42"/>
  <c r="N34" i="42"/>
  <c r="L34" i="42"/>
  <c r="N33" i="42"/>
  <c r="L33" i="42"/>
  <c r="N32" i="42"/>
  <c r="L32" i="42"/>
  <c r="N31" i="42"/>
  <c r="L31" i="42"/>
  <c r="N30" i="42"/>
  <c r="L30" i="42"/>
  <c r="N29" i="42"/>
  <c r="L29" i="42"/>
  <c r="N28" i="42"/>
  <c r="L28" i="42"/>
  <c r="N27" i="42"/>
  <c r="L27" i="42"/>
  <c r="N26" i="42"/>
  <c r="L26" i="42"/>
  <c r="N25" i="42"/>
  <c r="L25" i="42"/>
  <c r="N24" i="42"/>
  <c r="L24" i="42"/>
  <c r="N23" i="42"/>
  <c r="L23" i="42"/>
  <c r="N22" i="42"/>
  <c r="L22" i="42"/>
  <c r="N21" i="42"/>
  <c r="L21" i="42"/>
  <c r="N20" i="42"/>
  <c r="L20" i="42"/>
  <c r="N19" i="42"/>
  <c r="L19" i="42"/>
  <c r="N18" i="42"/>
  <c r="L18" i="42"/>
  <c r="C17" i="42"/>
  <c r="C18" i="42" s="1"/>
  <c r="C19" i="42" s="1"/>
  <c r="C20" i="42" s="1"/>
  <c r="C21" i="42" s="1"/>
  <c r="C22" i="42" s="1"/>
  <c r="C23" i="42" s="1"/>
  <c r="C24" i="42" s="1"/>
  <c r="C25" i="42" s="1"/>
  <c r="C26" i="42" s="1"/>
  <c r="C27" i="42" s="1"/>
  <c r="C28" i="42" s="1"/>
  <c r="C29" i="42" s="1"/>
  <c r="C30" i="42" s="1"/>
  <c r="C31" i="42" s="1"/>
  <c r="C32" i="42" s="1"/>
  <c r="C33" i="42" s="1"/>
  <c r="C34" i="42" s="1"/>
  <c r="C35" i="42" s="1"/>
  <c r="C36" i="42" s="1"/>
  <c r="C37" i="42" s="1"/>
  <c r="C38" i="42" s="1"/>
  <c r="C39" i="42" s="1"/>
  <c r="C40" i="42" s="1"/>
  <c r="C41" i="42" s="1"/>
  <c r="C42" i="42" s="1"/>
  <c r="C43" i="42" s="1"/>
  <c r="C44" i="42" s="1"/>
  <c r="C45" i="42" s="1"/>
  <c r="C46" i="42" s="1"/>
  <c r="C47" i="42" s="1"/>
  <c r="C48" i="42" s="1"/>
  <c r="C49" i="42" s="1"/>
  <c r="C50" i="42" s="1"/>
  <c r="C51" i="42" s="1"/>
  <c r="C52" i="42" s="1"/>
  <c r="C53" i="42" s="1"/>
  <c r="C54" i="42" s="1"/>
  <c r="C55" i="42" s="1"/>
  <c r="C56" i="42" s="1"/>
  <c r="C57" i="42" s="1"/>
  <c r="C58" i="42" s="1"/>
  <c r="C59" i="42" s="1"/>
  <c r="C60" i="42" s="1"/>
  <c r="C61" i="42" s="1"/>
  <c r="C62" i="42" s="1"/>
  <c r="C63" i="42" s="1"/>
  <c r="C64" i="42" s="1"/>
  <c r="C65" i="42" s="1"/>
  <c r="C66" i="42" s="1"/>
  <c r="C67" i="42" s="1"/>
  <c r="C68" i="42" s="1"/>
  <c r="C69" i="42" s="1"/>
  <c r="C70" i="42" s="1"/>
  <c r="C71" i="42" s="1"/>
  <c r="C72" i="42" s="1"/>
  <c r="B17" i="42"/>
  <c r="K11" i="42"/>
  <c r="I11" i="42"/>
  <c r="I10" i="42"/>
  <c r="P1" i="42"/>
  <c r="P84" i="42" s="1"/>
  <c r="P155" i="41"/>
  <c r="O155" i="41"/>
  <c r="M155" i="41"/>
  <c r="P154" i="41"/>
  <c r="O154" i="41"/>
  <c r="M154" i="41"/>
  <c r="P153" i="41"/>
  <c r="O153" i="41"/>
  <c r="M153" i="41"/>
  <c r="P152" i="41"/>
  <c r="O152" i="41"/>
  <c r="M152" i="41"/>
  <c r="P151" i="41"/>
  <c r="O151" i="41"/>
  <c r="M151" i="41"/>
  <c r="P150" i="41"/>
  <c r="O150" i="41"/>
  <c r="M150" i="41"/>
  <c r="P149" i="41"/>
  <c r="O149" i="41"/>
  <c r="M149" i="41"/>
  <c r="P148" i="41"/>
  <c r="O148" i="41"/>
  <c r="M148" i="41"/>
  <c r="P147" i="41"/>
  <c r="O147" i="41"/>
  <c r="M147" i="41"/>
  <c r="P146" i="41"/>
  <c r="O146" i="41"/>
  <c r="M146" i="41"/>
  <c r="P145" i="41"/>
  <c r="O145" i="41"/>
  <c r="M145" i="41"/>
  <c r="P144" i="41"/>
  <c r="O144" i="41"/>
  <c r="M144" i="41"/>
  <c r="P143" i="41"/>
  <c r="O143" i="41"/>
  <c r="M143" i="41"/>
  <c r="P142" i="41"/>
  <c r="O142" i="41"/>
  <c r="M142" i="41"/>
  <c r="P141" i="41"/>
  <c r="O141" i="41"/>
  <c r="M141" i="41"/>
  <c r="P140" i="41"/>
  <c r="O140" i="41"/>
  <c r="M140" i="41"/>
  <c r="P139" i="41"/>
  <c r="O139" i="41"/>
  <c r="M139" i="41"/>
  <c r="P138" i="41"/>
  <c r="O138" i="41"/>
  <c r="M138" i="41"/>
  <c r="P137" i="41"/>
  <c r="O137" i="41"/>
  <c r="M137" i="41"/>
  <c r="P136" i="41"/>
  <c r="O136" i="41"/>
  <c r="M136" i="41"/>
  <c r="P135" i="41"/>
  <c r="O135" i="41"/>
  <c r="M135" i="41"/>
  <c r="P134" i="41"/>
  <c r="O134" i="41"/>
  <c r="M134" i="41"/>
  <c r="P133" i="41"/>
  <c r="O133" i="41"/>
  <c r="M133" i="41"/>
  <c r="P132" i="41"/>
  <c r="O132" i="41"/>
  <c r="M132" i="41"/>
  <c r="O131" i="41"/>
  <c r="M131" i="41"/>
  <c r="O130" i="41"/>
  <c r="M130" i="41"/>
  <c r="O129" i="41"/>
  <c r="M129" i="41"/>
  <c r="O128" i="41"/>
  <c r="M128" i="41"/>
  <c r="O127" i="41"/>
  <c r="M127" i="41"/>
  <c r="O126" i="41"/>
  <c r="M126" i="41"/>
  <c r="O125" i="41"/>
  <c r="M125" i="41"/>
  <c r="O124" i="41"/>
  <c r="M124" i="41"/>
  <c r="O123" i="41"/>
  <c r="M123" i="41"/>
  <c r="O122" i="41"/>
  <c r="M122" i="41"/>
  <c r="O121" i="41"/>
  <c r="M121" i="41"/>
  <c r="O120" i="41"/>
  <c r="M120" i="41"/>
  <c r="O119" i="41"/>
  <c r="M119" i="41"/>
  <c r="O118" i="41"/>
  <c r="M118" i="41"/>
  <c r="O117" i="41"/>
  <c r="M117" i="41"/>
  <c r="O116" i="41"/>
  <c r="M116" i="41"/>
  <c r="O115" i="41"/>
  <c r="M115" i="41"/>
  <c r="O114" i="41"/>
  <c r="M114" i="41"/>
  <c r="O113" i="41"/>
  <c r="M113" i="41"/>
  <c r="O112" i="41"/>
  <c r="M112" i="41"/>
  <c r="O111" i="41"/>
  <c r="M111" i="41"/>
  <c r="O110" i="41"/>
  <c r="M110" i="41"/>
  <c r="O109" i="41"/>
  <c r="M109" i="41"/>
  <c r="O108" i="41"/>
  <c r="M108" i="41"/>
  <c r="O107" i="41"/>
  <c r="M107" i="41"/>
  <c r="O106" i="41"/>
  <c r="M106" i="41"/>
  <c r="O105" i="41"/>
  <c r="M105" i="41"/>
  <c r="O104" i="41"/>
  <c r="M104" i="41"/>
  <c r="O103" i="41"/>
  <c r="M103" i="41"/>
  <c r="O102" i="41"/>
  <c r="M102" i="41"/>
  <c r="O101" i="41"/>
  <c r="M101" i="41"/>
  <c r="D97" i="41"/>
  <c r="D95" i="41"/>
  <c r="L94" i="41"/>
  <c r="J94" i="41"/>
  <c r="D94" i="41"/>
  <c r="J93" i="41"/>
  <c r="N88" i="41" s="1"/>
  <c r="D92" i="41"/>
  <c r="D91" i="41"/>
  <c r="D90" i="41"/>
  <c r="N73" i="41"/>
  <c r="L73" i="41"/>
  <c r="N72" i="41"/>
  <c r="L72" i="41"/>
  <c r="N71" i="41"/>
  <c r="L71" i="41"/>
  <c r="N70" i="41"/>
  <c r="L70" i="41"/>
  <c r="N69" i="41"/>
  <c r="L69" i="41"/>
  <c r="N68" i="41"/>
  <c r="L68" i="41"/>
  <c r="N67" i="41"/>
  <c r="L67" i="41"/>
  <c r="N66" i="41"/>
  <c r="L66" i="41"/>
  <c r="N65" i="41"/>
  <c r="L65" i="41"/>
  <c r="N64" i="41"/>
  <c r="L64" i="41"/>
  <c r="N63" i="41"/>
  <c r="L63" i="41"/>
  <c r="N62" i="41"/>
  <c r="L62" i="41"/>
  <c r="N61" i="41"/>
  <c r="L61" i="41"/>
  <c r="N60" i="41"/>
  <c r="L60" i="41"/>
  <c r="N59" i="41"/>
  <c r="L59" i="41"/>
  <c r="N58" i="41"/>
  <c r="L58" i="41"/>
  <c r="N57" i="41"/>
  <c r="L57" i="41"/>
  <c r="N56" i="41"/>
  <c r="L56" i="41"/>
  <c r="N55" i="41"/>
  <c r="L55" i="41"/>
  <c r="N54" i="41"/>
  <c r="L54" i="41"/>
  <c r="N53" i="41"/>
  <c r="L53" i="41"/>
  <c r="N52" i="41"/>
  <c r="L52" i="41"/>
  <c r="N51" i="41"/>
  <c r="L51" i="41"/>
  <c r="N50" i="41"/>
  <c r="L50" i="41"/>
  <c r="N49" i="41"/>
  <c r="L49" i="41"/>
  <c r="N48" i="41"/>
  <c r="L48" i="41"/>
  <c r="N47" i="41"/>
  <c r="L47" i="41"/>
  <c r="N46" i="41"/>
  <c r="L46" i="41"/>
  <c r="N45" i="41"/>
  <c r="L45" i="41"/>
  <c r="N44" i="41"/>
  <c r="L44" i="41"/>
  <c r="N43" i="41"/>
  <c r="L43" i="41"/>
  <c r="N42" i="41"/>
  <c r="L42" i="41"/>
  <c r="N41" i="41"/>
  <c r="L41" i="41"/>
  <c r="N40" i="41"/>
  <c r="L40" i="41"/>
  <c r="N39" i="41"/>
  <c r="L39" i="41"/>
  <c r="N38" i="41"/>
  <c r="L38" i="41"/>
  <c r="N37" i="41"/>
  <c r="L37" i="41"/>
  <c r="N36" i="41"/>
  <c r="L36" i="41"/>
  <c r="N35" i="41"/>
  <c r="L35" i="41"/>
  <c r="N34" i="41"/>
  <c r="L34" i="41"/>
  <c r="N33" i="41"/>
  <c r="L33" i="41"/>
  <c r="N32" i="41"/>
  <c r="L32" i="41"/>
  <c r="N31" i="41"/>
  <c r="L31" i="41"/>
  <c r="N30" i="41"/>
  <c r="L30" i="41"/>
  <c r="N29" i="41"/>
  <c r="L29" i="41"/>
  <c r="N28" i="41"/>
  <c r="L28" i="41"/>
  <c r="N27" i="41"/>
  <c r="L27" i="41"/>
  <c r="N26" i="41"/>
  <c r="L26" i="41"/>
  <c r="N25" i="41"/>
  <c r="L25" i="41"/>
  <c r="N24" i="41"/>
  <c r="L24" i="41"/>
  <c r="N23" i="41"/>
  <c r="L23" i="41"/>
  <c r="N22" i="41"/>
  <c r="L22" i="41"/>
  <c r="N21" i="41"/>
  <c r="L21" i="41"/>
  <c r="N20" i="41"/>
  <c r="L20" i="41"/>
  <c r="N19" i="41"/>
  <c r="L19" i="41"/>
  <c r="N18" i="41"/>
  <c r="L18" i="41"/>
  <c r="C17" i="41"/>
  <c r="C18" i="41" s="1"/>
  <c r="C19" i="41" s="1"/>
  <c r="C20" i="41" s="1"/>
  <c r="C21" i="41" s="1"/>
  <c r="C22" i="41" s="1"/>
  <c r="C23" i="41" s="1"/>
  <c r="C24" i="41" s="1"/>
  <c r="C25" i="41" s="1"/>
  <c r="C26" i="41" s="1"/>
  <c r="C27" i="41" s="1"/>
  <c r="C28" i="41" s="1"/>
  <c r="C29" i="41" s="1"/>
  <c r="C30" i="41" s="1"/>
  <c r="C31" i="41" s="1"/>
  <c r="C32" i="41" s="1"/>
  <c r="C33" i="41" s="1"/>
  <c r="C34" i="41" s="1"/>
  <c r="C35" i="41" s="1"/>
  <c r="C36" i="41" s="1"/>
  <c r="C37" i="41" s="1"/>
  <c r="C38" i="41" s="1"/>
  <c r="C39" i="41" s="1"/>
  <c r="C40" i="41" s="1"/>
  <c r="C41" i="41" s="1"/>
  <c r="C42" i="41" s="1"/>
  <c r="C43" i="41" s="1"/>
  <c r="C44" i="41" s="1"/>
  <c r="C45" i="41" s="1"/>
  <c r="B17" i="41"/>
  <c r="K11" i="41"/>
  <c r="I11" i="41"/>
  <c r="I10" i="41"/>
  <c r="P1" i="41"/>
  <c r="P84" i="41" s="1"/>
  <c r="P155" i="40"/>
  <c r="O155" i="40"/>
  <c r="M155" i="40"/>
  <c r="J155" i="40"/>
  <c r="P154" i="40"/>
  <c r="O154" i="40"/>
  <c r="M154" i="40"/>
  <c r="J154" i="40"/>
  <c r="P153" i="40"/>
  <c r="O153" i="40"/>
  <c r="M153" i="40"/>
  <c r="J153" i="40"/>
  <c r="P152" i="40"/>
  <c r="O152" i="40"/>
  <c r="M152" i="40"/>
  <c r="J152" i="40"/>
  <c r="P151" i="40"/>
  <c r="O151" i="40"/>
  <c r="M151" i="40"/>
  <c r="J151" i="40"/>
  <c r="P150" i="40"/>
  <c r="O150" i="40"/>
  <c r="M150" i="40"/>
  <c r="J150" i="40"/>
  <c r="P149" i="40"/>
  <c r="O149" i="40"/>
  <c r="M149" i="40"/>
  <c r="J149" i="40"/>
  <c r="P148" i="40"/>
  <c r="O148" i="40"/>
  <c r="M148" i="40"/>
  <c r="J148" i="40"/>
  <c r="P147" i="40"/>
  <c r="O147" i="40"/>
  <c r="M147" i="40"/>
  <c r="J147" i="40"/>
  <c r="P146" i="40"/>
  <c r="O146" i="40"/>
  <c r="M146" i="40"/>
  <c r="J146" i="40"/>
  <c r="P145" i="40"/>
  <c r="O145" i="40"/>
  <c r="M145" i="40"/>
  <c r="J145" i="40"/>
  <c r="P144" i="40"/>
  <c r="O144" i="40"/>
  <c r="M144" i="40"/>
  <c r="J144" i="40"/>
  <c r="P143" i="40"/>
  <c r="O143" i="40"/>
  <c r="M143" i="40"/>
  <c r="J143" i="40"/>
  <c r="P142" i="40"/>
  <c r="O142" i="40"/>
  <c r="M142" i="40"/>
  <c r="J142" i="40"/>
  <c r="P141" i="40"/>
  <c r="O141" i="40"/>
  <c r="M141" i="40"/>
  <c r="J141" i="40"/>
  <c r="P140" i="40"/>
  <c r="O140" i="40"/>
  <c r="M140" i="40"/>
  <c r="J140" i="40"/>
  <c r="P139" i="40"/>
  <c r="O139" i="40"/>
  <c r="M139" i="40"/>
  <c r="J139" i="40"/>
  <c r="P138" i="40"/>
  <c r="O138" i="40"/>
  <c r="M138" i="40"/>
  <c r="J138" i="40"/>
  <c r="P137" i="40"/>
  <c r="O137" i="40"/>
  <c r="M137" i="40"/>
  <c r="J137" i="40"/>
  <c r="P136" i="40"/>
  <c r="O136" i="40"/>
  <c r="M136" i="40"/>
  <c r="J136" i="40"/>
  <c r="P135" i="40"/>
  <c r="O135" i="40"/>
  <c r="M135" i="40"/>
  <c r="J135" i="40"/>
  <c r="P134" i="40"/>
  <c r="O134" i="40"/>
  <c r="M134" i="40"/>
  <c r="J134" i="40"/>
  <c r="P133" i="40"/>
  <c r="O133" i="40"/>
  <c r="M133" i="40"/>
  <c r="J133" i="40"/>
  <c r="P132" i="40"/>
  <c r="O132" i="40"/>
  <c r="M132" i="40"/>
  <c r="J132" i="40"/>
  <c r="O131" i="40"/>
  <c r="M131" i="40"/>
  <c r="O130" i="40"/>
  <c r="M130" i="40"/>
  <c r="O129" i="40"/>
  <c r="M129" i="40"/>
  <c r="O128" i="40"/>
  <c r="M128" i="40"/>
  <c r="O127" i="40"/>
  <c r="M127" i="40"/>
  <c r="O126" i="40"/>
  <c r="M126" i="40"/>
  <c r="O125" i="40"/>
  <c r="M125" i="40"/>
  <c r="O124" i="40"/>
  <c r="M124" i="40"/>
  <c r="O123" i="40"/>
  <c r="M123" i="40"/>
  <c r="O122" i="40"/>
  <c r="M122" i="40"/>
  <c r="O121" i="40"/>
  <c r="M121" i="40"/>
  <c r="O120" i="40"/>
  <c r="M120" i="40"/>
  <c r="O119" i="40"/>
  <c r="M119" i="40"/>
  <c r="O118" i="40"/>
  <c r="M118" i="40"/>
  <c r="O117" i="40"/>
  <c r="M117" i="40"/>
  <c r="O116" i="40"/>
  <c r="M116" i="40"/>
  <c r="O115" i="40"/>
  <c r="M115" i="40"/>
  <c r="O114" i="40"/>
  <c r="M114" i="40"/>
  <c r="O113" i="40"/>
  <c r="M113" i="40"/>
  <c r="O112" i="40"/>
  <c r="M112" i="40"/>
  <c r="O111" i="40"/>
  <c r="M111" i="40"/>
  <c r="O110" i="40"/>
  <c r="M110" i="40"/>
  <c r="O109" i="40"/>
  <c r="M109" i="40"/>
  <c r="O108" i="40"/>
  <c r="M108" i="40"/>
  <c r="O107" i="40"/>
  <c r="M107" i="40"/>
  <c r="O106" i="40"/>
  <c r="M106" i="40"/>
  <c r="O105" i="40"/>
  <c r="M105" i="40"/>
  <c r="O104" i="40"/>
  <c r="M104" i="40"/>
  <c r="O103" i="40"/>
  <c r="M103" i="40"/>
  <c r="O102" i="40"/>
  <c r="M102" i="40"/>
  <c r="O101" i="40"/>
  <c r="M101" i="40"/>
  <c r="D97" i="40"/>
  <c r="D95" i="40"/>
  <c r="L94" i="40"/>
  <c r="J94" i="40"/>
  <c r="D94" i="40"/>
  <c r="J93" i="40"/>
  <c r="M88" i="40" s="1"/>
  <c r="D92" i="40"/>
  <c r="D91" i="40"/>
  <c r="D90" i="40"/>
  <c r="N89" i="40"/>
  <c r="N73" i="40"/>
  <c r="L73" i="40"/>
  <c r="N72" i="40"/>
  <c r="L72" i="40"/>
  <c r="N71" i="40"/>
  <c r="L71" i="40"/>
  <c r="N70" i="40"/>
  <c r="L70" i="40"/>
  <c r="N69" i="40"/>
  <c r="L69" i="40"/>
  <c r="N68" i="40"/>
  <c r="L68" i="40"/>
  <c r="N67" i="40"/>
  <c r="L67" i="40"/>
  <c r="N66" i="40"/>
  <c r="L66" i="40"/>
  <c r="N65" i="40"/>
  <c r="L65" i="40"/>
  <c r="N64" i="40"/>
  <c r="L64" i="40"/>
  <c r="N63" i="40"/>
  <c r="L63" i="40"/>
  <c r="N62" i="40"/>
  <c r="L62" i="40"/>
  <c r="N61" i="40"/>
  <c r="L61" i="40"/>
  <c r="N60" i="40"/>
  <c r="L60" i="40"/>
  <c r="N59" i="40"/>
  <c r="L59" i="40"/>
  <c r="N58" i="40"/>
  <c r="L58" i="40"/>
  <c r="N57" i="40"/>
  <c r="L57" i="40"/>
  <c r="N56" i="40"/>
  <c r="L56" i="40"/>
  <c r="N55" i="40"/>
  <c r="L55" i="40"/>
  <c r="N54" i="40"/>
  <c r="L54" i="40"/>
  <c r="N53" i="40"/>
  <c r="L53" i="40"/>
  <c r="N52" i="40"/>
  <c r="L52" i="40"/>
  <c r="N51" i="40"/>
  <c r="L51" i="40"/>
  <c r="N50" i="40"/>
  <c r="L50" i="40"/>
  <c r="N49" i="40"/>
  <c r="L49" i="40"/>
  <c r="N48" i="40"/>
  <c r="L48" i="40"/>
  <c r="N47" i="40"/>
  <c r="L47" i="40"/>
  <c r="N46" i="40"/>
  <c r="L46" i="40"/>
  <c r="N45" i="40"/>
  <c r="L45" i="40"/>
  <c r="N44" i="40"/>
  <c r="L44" i="40"/>
  <c r="N43" i="40"/>
  <c r="L43" i="40"/>
  <c r="N42" i="40"/>
  <c r="L42" i="40"/>
  <c r="N41" i="40"/>
  <c r="L41" i="40"/>
  <c r="N40" i="40"/>
  <c r="L40" i="40"/>
  <c r="N39" i="40"/>
  <c r="L39" i="40"/>
  <c r="N38" i="40"/>
  <c r="L38" i="40"/>
  <c r="N37" i="40"/>
  <c r="L37" i="40"/>
  <c r="N36" i="40"/>
  <c r="L36" i="40"/>
  <c r="N35" i="40"/>
  <c r="L35" i="40"/>
  <c r="N34" i="40"/>
  <c r="L34" i="40"/>
  <c r="N33" i="40"/>
  <c r="L33" i="40"/>
  <c r="N32" i="40"/>
  <c r="L32" i="40"/>
  <c r="N31" i="40"/>
  <c r="L31" i="40"/>
  <c r="N30" i="40"/>
  <c r="L30" i="40"/>
  <c r="N29" i="40"/>
  <c r="L29" i="40"/>
  <c r="N28" i="40"/>
  <c r="L28" i="40"/>
  <c r="N27" i="40"/>
  <c r="L27" i="40"/>
  <c r="N26" i="40"/>
  <c r="L26" i="40"/>
  <c r="N25" i="40"/>
  <c r="L25" i="40"/>
  <c r="N24" i="40"/>
  <c r="L24" i="40"/>
  <c r="N23" i="40"/>
  <c r="L23" i="40"/>
  <c r="N22" i="40"/>
  <c r="L22" i="40"/>
  <c r="N21" i="40"/>
  <c r="L21" i="40"/>
  <c r="N20" i="40"/>
  <c r="L20" i="40"/>
  <c r="N19" i="40"/>
  <c r="L19" i="40"/>
  <c r="N18" i="40"/>
  <c r="L18" i="40"/>
  <c r="C17" i="40"/>
  <c r="C18" i="40" s="1"/>
  <c r="C19" i="40" s="1"/>
  <c r="C20" i="40" s="1"/>
  <c r="C21" i="40" s="1"/>
  <c r="C22" i="40" s="1"/>
  <c r="C23" i="40" s="1"/>
  <c r="C24" i="40" s="1"/>
  <c r="C25" i="40" s="1"/>
  <c r="C26" i="40" s="1"/>
  <c r="C27" i="40" s="1"/>
  <c r="C28" i="40" s="1"/>
  <c r="C29" i="40" s="1"/>
  <c r="C30" i="40" s="1"/>
  <c r="C31" i="40" s="1"/>
  <c r="C32" i="40" s="1"/>
  <c r="C33" i="40" s="1"/>
  <c r="C34" i="40" s="1"/>
  <c r="C35" i="40" s="1"/>
  <c r="C36" i="40" s="1"/>
  <c r="C37" i="40" s="1"/>
  <c r="C38" i="40" s="1"/>
  <c r="C39" i="40" s="1"/>
  <c r="C40" i="40" s="1"/>
  <c r="C41" i="40" s="1"/>
  <c r="C42" i="40" s="1"/>
  <c r="C43" i="40" s="1"/>
  <c r="C44" i="40" s="1"/>
  <c r="C45" i="40" s="1"/>
  <c r="C46" i="40" s="1"/>
  <c r="C47" i="40" s="1"/>
  <c r="C48" i="40" s="1"/>
  <c r="C49" i="40" s="1"/>
  <c r="C50" i="40" s="1"/>
  <c r="C51" i="40" s="1"/>
  <c r="C52" i="40" s="1"/>
  <c r="C53" i="40" s="1"/>
  <c r="C54" i="40" s="1"/>
  <c r="C55" i="40" s="1"/>
  <c r="C56" i="40" s="1"/>
  <c r="C57" i="40" s="1"/>
  <c r="C58" i="40" s="1"/>
  <c r="C59" i="40" s="1"/>
  <c r="C60" i="40" s="1"/>
  <c r="C61" i="40" s="1"/>
  <c r="C62" i="40" s="1"/>
  <c r="C63" i="40" s="1"/>
  <c r="C64" i="40" s="1"/>
  <c r="C65" i="40" s="1"/>
  <c r="C66" i="40" s="1"/>
  <c r="C67" i="40" s="1"/>
  <c r="C68" i="40" s="1"/>
  <c r="C69" i="40" s="1"/>
  <c r="C70" i="40" s="1"/>
  <c r="C71" i="40" s="1"/>
  <c r="C72" i="40" s="1"/>
  <c r="B17" i="40"/>
  <c r="K11" i="40"/>
  <c r="I11" i="40"/>
  <c r="I10" i="40"/>
  <c r="P1" i="40"/>
  <c r="P84" i="40" s="1"/>
  <c r="F21" i="43" l="1"/>
  <c r="B21" i="43"/>
  <c r="D104" i="43"/>
  <c r="E104" i="43" s="1"/>
  <c r="G103" i="43"/>
  <c r="N89" i="41"/>
  <c r="M89" i="40"/>
  <c r="L87" i="40"/>
  <c r="N88" i="40"/>
  <c r="O88" i="40" s="1"/>
  <c r="L87" i="41"/>
  <c r="M88" i="41"/>
  <c r="O88" i="41" s="1"/>
  <c r="M89" i="41"/>
  <c r="O40" i="40"/>
  <c r="O44" i="40"/>
  <c r="O54" i="40"/>
  <c r="O66" i="40"/>
  <c r="O70" i="40"/>
  <c r="O32" i="40"/>
  <c r="O36" i="40"/>
  <c r="P102" i="40"/>
  <c r="P118" i="40"/>
  <c r="N88" i="42"/>
  <c r="O88" i="42" s="1"/>
  <c r="M89" i="42"/>
  <c r="O89" i="42" s="1"/>
  <c r="L87" i="42"/>
  <c r="P110" i="40"/>
  <c r="P111" i="40"/>
  <c r="P113" i="40"/>
  <c r="P117" i="40"/>
  <c r="O72" i="40"/>
  <c r="O31" i="42"/>
  <c r="O23" i="40"/>
  <c r="O28" i="40"/>
  <c r="O49" i="40"/>
  <c r="O65" i="40"/>
  <c r="O73" i="40"/>
  <c r="O62" i="40"/>
  <c r="P116" i="42"/>
  <c r="P111" i="42"/>
  <c r="P101" i="42"/>
  <c r="P103" i="42"/>
  <c r="P118" i="42"/>
  <c r="P104" i="42"/>
  <c r="P106" i="42"/>
  <c r="P108" i="42"/>
  <c r="P119" i="42"/>
  <c r="P112" i="42"/>
  <c r="P110" i="42"/>
  <c r="P113" i="42"/>
  <c r="P115" i="42"/>
  <c r="P122" i="42"/>
  <c r="P124" i="42"/>
  <c r="P126" i="42"/>
  <c r="P128" i="42"/>
  <c r="P130" i="42"/>
  <c r="P102" i="42"/>
  <c r="P105" i="42"/>
  <c r="P107" i="42"/>
  <c r="P117" i="42"/>
  <c r="P109" i="42"/>
  <c r="P114" i="42"/>
  <c r="P121" i="42"/>
  <c r="P123" i="42"/>
  <c r="P125" i="42"/>
  <c r="P127" i="42"/>
  <c r="P129" i="42"/>
  <c r="P131" i="42"/>
  <c r="O52" i="42"/>
  <c r="O20" i="42"/>
  <c r="O36" i="42"/>
  <c r="O54" i="42"/>
  <c r="O56" i="42"/>
  <c r="O60" i="42"/>
  <c r="O64" i="42"/>
  <c r="O68" i="42"/>
  <c r="O47" i="42"/>
  <c r="O70" i="42"/>
  <c r="O72" i="42"/>
  <c r="O22" i="42"/>
  <c r="O24" i="42"/>
  <c r="O28" i="42"/>
  <c r="O32" i="42"/>
  <c r="O63" i="42"/>
  <c r="O38" i="42"/>
  <c r="O40" i="42"/>
  <c r="O44" i="42"/>
  <c r="O48" i="42"/>
  <c r="O42" i="41"/>
  <c r="O44" i="41"/>
  <c r="O50" i="41"/>
  <c r="O64" i="41"/>
  <c r="O31" i="41"/>
  <c r="O47" i="41"/>
  <c r="O61" i="41"/>
  <c r="P112" i="41"/>
  <c r="P114" i="41"/>
  <c r="P116" i="41"/>
  <c r="P118" i="41"/>
  <c r="O23" i="41"/>
  <c r="O39" i="41"/>
  <c r="O55" i="41"/>
  <c r="O65" i="41"/>
  <c r="O69" i="41"/>
  <c r="O25" i="41"/>
  <c r="O27" i="41"/>
  <c r="O33" i="41"/>
  <c r="O35" i="41"/>
  <c r="O20" i="41"/>
  <c r="O22" i="41"/>
  <c r="O41" i="41"/>
  <c r="O43" i="41"/>
  <c r="O49" i="41"/>
  <c r="O51" i="41"/>
  <c r="C100" i="41"/>
  <c r="D100" i="41" s="1"/>
  <c r="B100" i="41" s="1"/>
  <c r="F100" i="41"/>
  <c r="O19" i="41"/>
  <c r="O26" i="41"/>
  <c r="O34" i="41"/>
  <c r="O57" i="41"/>
  <c r="O59" i="41"/>
  <c r="O70" i="41"/>
  <c r="O72" i="41"/>
  <c r="C101" i="41"/>
  <c r="C102" i="41" s="1"/>
  <c r="C103" i="41" s="1"/>
  <c r="C104" i="41" s="1"/>
  <c r="C105" i="41" s="1"/>
  <c r="C106" i="41" s="1"/>
  <c r="C107" i="41" s="1"/>
  <c r="C108" i="41" s="1"/>
  <c r="C109" i="41" s="1"/>
  <c r="C110" i="41" s="1"/>
  <c r="C111" i="41" s="1"/>
  <c r="C112" i="41" s="1"/>
  <c r="C113" i="41" s="1"/>
  <c r="C114" i="41" s="1"/>
  <c r="C115" i="41" s="1"/>
  <c r="C116" i="41" s="1"/>
  <c r="C117" i="41" s="1"/>
  <c r="C118" i="41" s="1"/>
  <c r="C119" i="41" s="1"/>
  <c r="C120" i="41" s="1"/>
  <c r="C121" i="41" s="1"/>
  <c r="C122" i="41" s="1"/>
  <c r="C123" i="41" s="1"/>
  <c r="C124" i="41" s="1"/>
  <c r="C125" i="41" s="1"/>
  <c r="C126" i="41" s="1"/>
  <c r="C127" i="41" s="1"/>
  <c r="C128" i="41" s="1"/>
  <c r="C129" i="41" s="1"/>
  <c r="C130" i="41" s="1"/>
  <c r="C131" i="41" s="1"/>
  <c r="C132" i="41" s="1"/>
  <c r="C133" i="41" s="1"/>
  <c r="C134" i="41" s="1"/>
  <c r="C135" i="41" s="1"/>
  <c r="C136" i="41" s="1"/>
  <c r="C137" i="41" s="1"/>
  <c r="C138" i="41" s="1"/>
  <c r="C139" i="41" s="1"/>
  <c r="C140" i="41" s="1"/>
  <c r="C141" i="41" s="1"/>
  <c r="C142" i="41" s="1"/>
  <c r="C143" i="41" s="1"/>
  <c r="C144" i="41" s="1"/>
  <c r="C145" i="41" s="1"/>
  <c r="C146" i="41" s="1"/>
  <c r="C147" i="41" s="1"/>
  <c r="C148" i="41" s="1"/>
  <c r="C149" i="41" s="1"/>
  <c r="C150" i="41" s="1"/>
  <c r="C151" i="41" s="1"/>
  <c r="C152" i="41" s="1"/>
  <c r="C153" i="41" s="1"/>
  <c r="C154" i="41" s="1"/>
  <c r="C155" i="41" s="1"/>
  <c r="P107" i="41"/>
  <c r="P119" i="41"/>
  <c r="P125" i="41"/>
  <c r="P129" i="41"/>
  <c r="P103" i="41"/>
  <c r="P120" i="41"/>
  <c r="P111" i="41"/>
  <c r="P113" i="41"/>
  <c r="P115" i="41"/>
  <c r="P117" i="41"/>
  <c r="P104" i="40"/>
  <c r="P106" i="40"/>
  <c r="P108" i="40"/>
  <c r="O89" i="40"/>
  <c r="P112" i="40"/>
  <c r="P114" i="40"/>
  <c r="P119" i="40"/>
  <c r="P101" i="40"/>
  <c r="P103" i="40"/>
  <c r="P105" i="40"/>
  <c r="P109" i="40"/>
  <c r="P116" i="40"/>
  <c r="P121" i="40"/>
  <c r="P123" i="40"/>
  <c r="P127" i="40"/>
  <c r="P131" i="40"/>
  <c r="P107" i="40"/>
  <c r="P115" i="40"/>
  <c r="O19" i="42"/>
  <c r="O33" i="42"/>
  <c r="O35" i="42"/>
  <c r="O49" i="42"/>
  <c r="O51" i="42"/>
  <c r="O65" i="42"/>
  <c r="O67" i="42"/>
  <c r="O23" i="42"/>
  <c r="O30" i="42"/>
  <c r="O39" i="42"/>
  <c r="O46" i="42"/>
  <c r="O55" i="42"/>
  <c r="O62" i="42"/>
  <c r="O71" i="42"/>
  <c r="O25" i="42"/>
  <c r="O27" i="42"/>
  <c r="O41" i="42"/>
  <c r="O43" i="42"/>
  <c r="O57" i="42"/>
  <c r="O59" i="42"/>
  <c r="O36" i="41"/>
  <c r="O38" i="41"/>
  <c r="O52" i="41"/>
  <c r="O54" i="41"/>
  <c r="O68" i="41"/>
  <c r="O18" i="41"/>
  <c r="O28" i="41"/>
  <c r="O30" i="41"/>
  <c r="O46" i="41"/>
  <c r="O60" i="41"/>
  <c r="O33" i="40"/>
  <c r="O18" i="40"/>
  <c r="O20" i="40"/>
  <c r="O24" i="40"/>
  <c r="O56" i="40"/>
  <c r="O60" i="40"/>
  <c r="O35" i="40"/>
  <c r="O50" i="40"/>
  <c r="O46" i="40"/>
  <c r="O25" i="40"/>
  <c r="O27" i="40"/>
  <c r="O30" i="40"/>
  <c r="O39" i="40"/>
  <c r="O51" i="40"/>
  <c r="O53" i="40"/>
  <c r="O69" i="40"/>
  <c r="O19" i="40"/>
  <c r="O22" i="40"/>
  <c r="O41" i="40"/>
  <c r="O55" i="40"/>
  <c r="O57" i="40"/>
  <c r="O71" i="40"/>
  <c r="M90" i="40"/>
  <c r="O31" i="40"/>
  <c r="O38" i="40"/>
  <c r="O45" i="40"/>
  <c r="O52" i="40"/>
  <c r="O58" i="40"/>
  <c r="O61" i="40"/>
  <c r="O18" i="42"/>
  <c r="O21" i="42"/>
  <c r="O26" i="42"/>
  <c r="O29" i="42"/>
  <c r="O34" i="42"/>
  <c r="O37" i="42"/>
  <c r="O42" i="42"/>
  <c r="O45" i="42"/>
  <c r="O50" i="42"/>
  <c r="O53" i="42"/>
  <c r="O58" i="42"/>
  <c r="O61" i="42"/>
  <c r="O66" i="42"/>
  <c r="O69" i="42"/>
  <c r="O73" i="42"/>
  <c r="C100" i="42"/>
  <c r="C101" i="42" s="1"/>
  <c r="C102" i="42" s="1"/>
  <c r="C103" i="42" s="1"/>
  <c r="C104" i="42" s="1"/>
  <c r="C105" i="42" s="1"/>
  <c r="C106" i="42" s="1"/>
  <c r="C107" i="42" s="1"/>
  <c r="C108" i="42" s="1"/>
  <c r="C109" i="42" s="1"/>
  <c r="C110" i="42" s="1"/>
  <c r="C111" i="42" s="1"/>
  <c r="C112" i="42" s="1"/>
  <c r="C113" i="42" s="1"/>
  <c r="C114" i="42" s="1"/>
  <c r="C115" i="42" s="1"/>
  <c r="C116" i="42" s="1"/>
  <c r="C117" i="42" s="1"/>
  <c r="C118" i="42" s="1"/>
  <c r="C119" i="42" s="1"/>
  <c r="C120" i="42" s="1"/>
  <c r="C121" i="42" s="1"/>
  <c r="C122" i="42" s="1"/>
  <c r="C123" i="42" s="1"/>
  <c r="C124" i="42" s="1"/>
  <c r="C125" i="42" s="1"/>
  <c r="C126" i="42" s="1"/>
  <c r="C127" i="42" s="1"/>
  <c r="C128" i="42" s="1"/>
  <c r="C129" i="42" s="1"/>
  <c r="C130" i="42" s="1"/>
  <c r="C131" i="42" s="1"/>
  <c r="C132" i="42" s="1"/>
  <c r="C133" i="42" s="1"/>
  <c r="C134" i="42" s="1"/>
  <c r="C135" i="42" s="1"/>
  <c r="C136" i="42" s="1"/>
  <c r="C137" i="42" s="1"/>
  <c r="C138" i="42" s="1"/>
  <c r="C139" i="42" s="1"/>
  <c r="C140" i="42" s="1"/>
  <c r="C141" i="42" s="1"/>
  <c r="C142" i="42" s="1"/>
  <c r="C143" i="42" s="1"/>
  <c r="C144" i="42" s="1"/>
  <c r="C145" i="42" s="1"/>
  <c r="C146" i="42" s="1"/>
  <c r="C147" i="42" s="1"/>
  <c r="C148" i="42" s="1"/>
  <c r="C149" i="42" s="1"/>
  <c r="C150" i="42" s="1"/>
  <c r="C151" i="42" s="1"/>
  <c r="C152" i="42" s="1"/>
  <c r="C153" i="42" s="1"/>
  <c r="C154" i="42" s="1"/>
  <c r="C155" i="42" s="1"/>
  <c r="P120" i="42"/>
  <c r="C46" i="41"/>
  <c r="C47" i="41" s="1"/>
  <c r="C48" i="41" s="1"/>
  <c r="C49" i="41" s="1"/>
  <c r="C50" i="41" s="1"/>
  <c r="C51" i="41" s="1"/>
  <c r="C52" i="41" s="1"/>
  <c r="C53" i="41" s="1"/>
  <c r="C54" i="41" s="1"/>
  <c r="C55" i="41" s="1"/>
  <c r="C56" i="41" s="1"/>
  <c r="C57" i="41" s="1"/>
  <c r="C58" i="41" s="1"/>
  <c r="C59" i="41" s="1"/>
  <c r="C60" i="41" s="1"/>
  <c r="C61" i="41" s="1"/>
  <c r="C62" i="41" s="1"/>
  <c r="C63" i="41" s="1"/>
  <c r="C64" i="41" s="1"/>
  <c r="C65" i="41" s="1"/>
  <c r="C66" i="41" s="1"/>
  <c r="C67" i="41" s="1"/>
  <c r="C68" i="41" s="1"/>
  <c r="C69" i="41" s="1"/>
  <c r="C70" i="41" s="1"/>
  <c r="C71" i="41" s="1"/>
  <c r="C72" i="41" s="1"/>
  <c r="O63" i="41"/>
  <c r="P102" i="41"/>
  <c r="P110" i="41"/>
  <c r="O21" i="41"/>
  <c r="O24" i="41"/>
  <c r="O29" i="41"/>
  <c r="O32" i="41"/>
  <c r="O37" i="41"/>
  <c r="O40" i="41"/>
  <c r="O45" i="41"/>
  <c r="O48" i="41"/>
  <c r="O53" i="41"/>
  <c r="O56" i="41"/>
  <c r="O66" i="41"/>
  <c r="O67" i="41"/>
  <c r="P124" i="41"/>
  <c r="P106" i="41"/>
  <c r="O62" i="41"/>
  <c r="O71" i="41"/>
  <c r="P101" i="41"/>
  <c r="P105" i="41"/>
  <c r="P109" i="41"/>
  <c r="O58" i="41"/>
  <c r="O73" i="41"/>
  <c r="P104" i="41"/>
  <c r="P108" i="41"/>
  <c r="P121" i="41"/>
  <c r="P128" i="41"/>
  <c r="N90" i="41"/>
  <c r="P122" i="41"/>
  <c r="P123" i="41"/>
  <c r="P127" i="41"/>
  <c r="P131" i="41"/>
  <c r="P126" i="41"/>
  <c r="P130" i="41"/>
  <c r="O64" i="40"/>
  <c r="O21" i="40"/>
  <c r="O26" i="40"/>
  <c r="O29" i="40"/>
  <c r="O34" i="40"/>
  <c r="O37" i="40"/>
  <c r="O42" i="40"/>
  <c r="O67" i="40"/>
  <c r="O68" i="40"/>
  <c r="P120" i="40"/>
  <c r="P125" i="40"/>
  <c r="O48" i="40"/>
  <c r="C100" i="40"/>
  <c r="C101" i="40" s="1"/>
  <c r="C102" i="40" s="1"/>
  <c r="C103" i="40" s="1"/>
  <c r="C104" i="40" s="1"/>
  <c r="C105" i="40" s="1"/>
  <c r="C106" i="40" s="1"/>
  <c r="C107" i="40" s="1"/>
  <c r="C108" i="40" s="1"/>
  <c r="C109" i="40" s="1"/>
  <c r="C110" i="40" s="1"/>
  <c r="C111" i="40" s="1"/>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C134" i="40" s="1"/>
  <c r="C135" i="40" s="1"/>
  <c r="C136" i="40" s="1"/>
  <c r="C137" i="40" s="1"/>
  <c r="C138" i="40" s="1"/>
  <c r="C139" i="40" s="1"/>
  <c r="C140" i="40" s="1"/>
  <c r="C141" i="40" s="1"/>
  <c r="C142" i="40" s="1"/>
  <c r="C143" i="40" s="1"/>
  <c r="C144" i="40" s="1"/>
  <c r="C145" i="40" s="1"/>
  <c r="C146" i="40" s="1"/>
  <c r="C147" i="40" s="1"/>
  <c r="C148" i="40" s="1"/>
  <c r="C149" i="40" s="1"/>
  <c r="C150" i="40" s="1"/>
  <c r="C151" i="40" s="1"/>
  <c r="C152" i="40" s="1"/>
  <c r="C153" i="40" s="1"/>
  <c r="C154" i="40" s="1"/>
  <c r="C155" i="40" s="1"/>
  <c r="O47" i="40"/>
  <c r="O63" i="40"/>
  <c r="P124" i="40"/>
  <c r="P129" i="40"/>
  <c r="O43" i="40"/>
  <c r="O59" i="40"/>
  <c r="P128" i="40"/>
  <c r="P122" i="40"/>
  <c r="P126" i="40"/>
  <c r="P130" i="40"/>
  <c r="H103" i="43" l="1"/>
  <c r="I103" i="43"/>
  <c r="D22" i="43"/>
  <c r="E22" i="43" s="1"/>
  <c r="B104" i="43"/>
  <c r="F104" i="43"/>
  <c r="N90" i="40"/>
  <c r="F100" i="42"/>
  <c r="D100" i="42"/>
  <c r="B100" i="42" s="1"/>
  <c r="F100" i="40"/>
  <c r="D100" i="40"/>
  <c r="B100" i="40" s="1"/>
  <c r="M90" i="41"/>
  <c r="O89" i="41"/>
  <c r="O90" i="41" s="1"/>
  <c r="N90" i="42"/>
  <c r="M90" i="42"/>
  <c r="O90" i="42"/>
  <c r="G100" i="41"/>
  <c r="D101" i="41"/>
  <c r="O90" i="40"/>
  <c r="N17" i="42"/>
  <c r="O17" i="42" s="1"/>
  <c r="N17" i="41"/>
  <c r="O17" i="41" s="1"/>
  <c r="N17" i="40"/>
  <c r="O17" i="40" s="1"/>
  <c r="G104" i="43" l="1"/>
  <c r="D105" i="43"/>
  <c r="E105" i="43"/>
  <c r="J103" i="43"/>
  <c r="B22" i="43"/>
  <c r="F22" i="43"/>
  <c r="D101" i="40"/>
  <c r="B101" i="40" s="1"/>
  <c r="G100" i="40"/>
  <c r="D101" i="42"/>
  <c r="B101" i="42" s="1"/>
  <c r="G100" i="42"/>
  <c r="B101" i="41"/>
  <c r="D23" i="43" l="1"/>
  <c r="H104" i="43"/>
  <c r="I104" i="43"/>
  <c r="F105" i="43"/>
  <c r="B105" i="43"/>
  <c r="E101" i="42"/>
  <c r="F101" i="42" s="1"/>
  <c r="D106" i="43" l="1"/>
  <c r="G105" i="43"/>
  <c r="E106" i="43"/>
  <c r="B23" i="43"/>
  <c r="J104" i="43"/>
  <c r="E23" i="43"/>
  <c r="F23" i="43" s="1"/>
  <c r="D102" i="42"/>
  <c r="G101" i="42"/>
  <c r="D24" i="43" l="1"/>
  <c r="E24" i="43" s="1"/>
  <c r="I105" i="43"/>
  <c r="H105" i="43"/>
  <c r="B106" i="43"/>
  <c r="F106" i="43"/>
  <c r="E102" i="42"/>
  <c r="F102" i="42" s="1"/>
  <c r="B102" i="42"/>
  <c r="D107" i="43" l="1"/>
  <c r="G106" i="43"/>
  <c r="E107" i="43"/>
  <c r="J105" i="43"/>
  <c r="F24" i="43"/>
  <c r="B24" i="43"/>
  <c r="G102" i="42"/>
  <c r="D103" i="42"/>
  <c r="B103" i="42" s="1"/>
  <c r="D25" i="43" l="1"/>
  <c r="H106" i="43"/>
  <c r="I106" i="43"/>
  <c r="J106" i="43" s="1"/>
  <c r="F107" i="43"/>
  <c r="B107" i="43"/>
  <c r="E103" i="42"/>
  <c r="F103" i="42" s="1"/>
  <c r="D108" i="43" l="1"/>
  <c r="G107" i="43"/>
  <c r="B25" i="43"/>
  <c r="E25" i="43"/>
  <c r="F25" i="43" s="1"/>
  <c r="G103" i="42"/>
  <c r="D104" i="42"/>
  <c r="B104" i="42" s="1"/>
  <c r="D26" i="43" l="1"/>
  <c r="E26" i="43" s="1"/>
  <c r="B108" i="43"/>
  <c r="E108" i="43"/>
  <c r="F108" i="43" s="1"/>
  <c r="I107" i="43"/>
  <c r="J107" i="43" s="1"/>
  <c r="H107" i="43"/>
  <c r="E104" i="42"/>
  <c r="F104" i="42" s="1"/>
  <c r="D105" i="42" s="1"/>
  <c r="G104" i="42" l="1"/>
  <c r="G108" i="43"/>
  <c r="I108" i="43" s="1"/>
  <c r="J108" i="43" s="1"/>
  <c r="D109" i="43"/>
  <c r="E109" i="43"/>
  <c r="H108" i="43"/>
  <c r="F26" i="43"/>
  <c r="B26" i="43"/>
  <c r="B105" i="42"/>
  <c r="E105" i="42"/>
  <c r="F105" i="42"/>
  <c r="D27" i="43" l="1"/>
  <c r="E27" i="43"/>
  <c r="F109" i="43"/>
  <c r="B109" i="43"/>
  <c r="D106" i="42"/>
  <c r="E106" i="42" s="1"/>
  <c r="F106" i="42" s="1"/>
  <c r="G106" i="42" s="1"/>
  <c r="G105" i="42"/>
  <c r="B106" i="42"/>
  <c r="D110" i="43" l="1"/>
  <c r="G109" i="43"/>
  <c r="I109" i="43" s="1"/>
  <c r="E110" i="43"/>
  <c r="H109" i="43"/>
  <c r="F27" i="43"/>
  <c r="B27" i="43"/>
  <c r="D107" i="42"/>
  <c r="E107" i="42" s="1"/>
  <c r="F107" i="42" s="1"/>
  <c r="D28" i="43" l="1"/>
  <c r="E28" i="43" s="1"/>
  <c r="J109" i="43"/>
  <c r="B110" i="43"/>
  <c r="F110" i="43"/>
  <c r="H110" i="43"/>
  <c r="G107" i="42"/>
  <c r="D108" i="42"/>
  <c r="B107" i="42"/>
  <c r="D111" i="43" l="1"/>
  <c r="G110" i="43"/>
  <c r="I110" i="43" s="1"/>
  <c r="J110" i="43" s="1"/>
  <c r="E111" i="43"/>
  <c r="B28" i="43"/>
  <c r="F28" i="43"/>
  <c r="E108" i="42"/>
  <c r="F108" i="42" s="1"/>
  <c r="D29" i="43" l="1"/>
  <c r="E29" i="43" s="1"/>
  <c r="F111" i="43"/>
  <c r="B111" i="43"/>
  <c r="D109" i="42"/>
  <c r="E109" i="42" s="1"/>
  <c r="G108" i="42"/>
  <c r="B108" i="42"/>
  <c r="D112" i="43" l="1"/>
  <c r="G111" i="43"/>
  <c r="I111" i="43" s="1"/>
  <c r="E112" i="43"/>
  <c r="H111" i="43"/>
  <c r="F29" i="43"/>
  <c r="B29" i="43"/>
  <c r="F109" i="42"/>
  <c r="D30" i="43" l="1"/>
  <c r="E30" i="43"/>
  <c r="J111" i="43"/>
  <c r="B112" i="43"/>
  <c r="F112" i="43"/>
  <c r="G109" i="42"/>
  <c r="D110" i="42"/>
  <c r="B109" i="42"/>
  <c r="G112" i="43" l="1"/>
  <c r="I112" i="43" s="1"/>
  <c r="D113" i="43"/>
  <c r="H112" i="43"/>
  <c r="B30" i="43"/>
  <c r="F30" i="43"/>
  <c r="E110" i="42"/>
  <c r="F110" i="42" s="1"/>
  <c r="B113" i="43" l="1"/>
  <c r="D31" i="43"/>
  <c r="E113" i="43"/>
  <c r="F113" i="43" s="1"/>
  <c r="J112" i="43"/>
  <c r="G110" i="42"/>
  <c r="D111" i="42"/>
  <c r="B110" i="42"/>
  <c r="D114" i="43" l="1"/>
  <c r="G113" i="43"/>
  <c r="I113" i="43" s="1"/>
  <c r="E114" i="43"/>
  <c r="H113" i="43"/>
  <c r="B31" i="43"/>
  <c r="E31" i="43"/>
  <c r="F31" i="43" s="1"/>
  <c r="E111" i="42"/>
  <c r="F111" i="42" s="1"/>
  <c r="D32" i="43" l="1"/>
  <c r="E32" i="43"/>
  <c r="J113" i="43"/>
  <c r="B114" i="43"/>
  <c r="F114" i="43"/>
  <c r="D112" i="42"/>
  <c r="E112" i="42" s="1"/>
  <c r="G111" i="42"/>
  <c r="B111" i="42"/>
  <c r="G114" i="43" l="1"/>
  <c r="I114" i="43" s="1"/>
  <c r="D115" i="43"/>
  <c r="E115" i="43"/>
  <c r="H114" i="43"/>
  <c r="F32" i="43"/>
  <c r="B32" i="43"/>
  <c r="F112" i="42"/>
  <c r="D33" i="43" l="1"/>
  <c r="E33" i="43" s="1"/>
  <c r="F115" i="43"/>
  <c r="B115" i="43"/>
  <c r="J114" i="43"/>
  <c r="D113" i="42"/>
  <c r="E113" i="42" s="1"/>
  <c r="G112" i="42"/>
  <c r="B112" i="42"/>
  <c r="D116" i="43" l="1"/>
  <c r="G115" i="43"/>
  <c r="I115" i="43" s="1"/>
  <c r="E116" i="43"/>
  <c r="H115" i="43"/>
  <c r="B33" i="43"/>
  <c r="F33" i="43"/>
  <c r="F113" i="42"/>
  <c r="J115" i="43" l="1"/>
  <c r="D34" i="43"/>
  <c r="E34" i="43" s="1"/>
  <c r="B116" i="43"/>
  <c r="F116" i="43"/>
  <c r="G113" i="42"/>
  <c r="D114" i="42"/>
  <c r="B113" i="42"/>
  <c r="D117" i="43" l="1"/>
  <c r="G116" i="43"/>
  <c r="I116" i="43" s="1"/>
  <c r="H116" i="43"/>
  <c r="F34" i="43"/>
  <c r="B34" i="43"/>
  <c r="E114" i="42"/>
  <c r="F114" i="42" s="1"/>
  <c r="B117" i="43" l="1"/>
  <c r="D35" i="43"/>
  <c r="E35" i="43" s="1"/>
  <c r="E117" i="43"/>
  <c r="F117" i="43" s="1"/>
  <c r="J116" i="43"/>
  <c r="D115" i="42"/>
  <c r="E115" i="42" s="1"/>
  <c r="G114" i="42"/>
  <c r="B114" i="42"/>
  <c r="D118" i="43" l="1"/>
  <c r="E118" i="43" s="1"/>
  <c r="G117" i="43"/>
  <c r="I117" i="43" s="1"/>
  <c r="H117" i="43"/>
  <c r="F35" i="43"/>
  <c r="B35" i="43"/>
  <c r="F115" i="42"/>
  <c r="J117" i="43" l="1"/>
  <c r="D36" i="43"/>
  <c r="B118" i="43"/>
  <c r="F118" i="43"/>
  <c r="H118" i="43" s="1"/>
  <c r="D116" i="42"/>
  <c r="E116" i="42" s="1"/>
  <c r="G115" i="42"/>
  <c r="B115" i="42"/>
  <c r="B36" i="43" l="1"/>
  <c r="G118" i="43"/>
  <c r="I118" i="43" s="1"/>
  <c r="J118" i="43" s="1"/>
  <c r="D119" i="43"/>
  <c r="E119" i="43"/>
  <c r="E36" i="43"/>
  <c r="F36" i="43" s="1"/>
  <c r="F116" i="42"/>
  <c r="D37" i="43" l="1"/>
  <c r="E37" i="43" s="1"/>
  <c r="F119" i="43"/>
  <c r="B119" i="43"/>
  <c r="D117" i="42"/>
  <c r="E117" i="42" s="1"/>
  <c r="G116" i="42"/>
  <c r="B116" i="42"/>
  <c r="D120" i="43" l="1"/>
  <c r="G119" i="43"/>
  <c r="I119" i="43" s="1"/>
  <c r="E120" i="43"/>
  <c r="H119" i="43"/>
  <c r="F37" i="43"/>
  <c r="B37" i="43"/>
  <c r="F117" i="42"/>
  <c r="D38" i="43" l="1"/>
  <c r="E38" i="43" s="1"/>
  <c r="J119" i="43"/>
  <c r="B120" i="43"/>
  <c r="F120" i="43"/>
  <c r="H120" i="43"/>
  <c r="D118" i="42"/>
  <c r="G117" i="42"/>
  <c r="B117" i="42"/>
  <c r="G120" i="43" l="1"/>
  <c r="I120" i="43" s="1"/>
  <c r="J120" i="43" s="1"/>
  <c r="D121" i="43"/>
  <c r="B38" i="43"/>
  <c r="F38" i="43"/>
  <c r="E118" i="42"/>
  <c r="F118" i="42" s="1"/>
  <c r="D39" i="43" l="1"/>
  <c r="E39" i="43"/>
  <c r="B121" i="43"/>
  <c r="E121" i="43"/>
  <c r="F121" i="43" s="1"/>
  <c r="D119" i="42"/>
  <c r="E119" i="42" s="1"/>
  <c r="G118" i="42"/>
  <c r="B118" i="42"/>
  <c r="D122" i="43" l="1"/>
  <c r="G121" i="43"/>
  <c r="I121" i="43" s="1"/>
  <c r="E122" i="43"/>
  <c r="H121" i="43"/>
  <c r="B39" i="43"/>
  <c r="F39" i="43"/>
  <c r="F119" i="42"/>
  <c r="J121" i="43" l="1"/>
  <c r="D40" i="43"/>
  <c r="E40" i="43" s="1"/>
  <c r="B122" i="43"/>
  <c r="F122" i="43"/>
  <c r="G119" i="42"/>
  <c r="D120" i="42"/>
  <c r="B119" i="42"/>
  <c r="G122" i="43" l="1"/>
  <c r="I122" i="43" s="1"/>
  <c r="D123" i="43"/>
  <c r="E123" i="43"/>
  <c r="H122" i="43"/>
  <c r="F40" i="43"/>
  <c r="B40" i="43"/>
  <c r="E120" i="42"/>
  <c r="F120" i="42" s="1"/>
  <c r="D41" i="43" l="1"/>
  <c r="E41" i="43" s="1"/>
  <c r="F123" i="43"/>
  <c r="B123" i="43"/>
  <c r="J122" i="43"/>
  <c r="D121" i="42"/>
  <c r="E121" i="42" s="1"/>
  <c r="G120" i="42"/>
  <c r="B120" i="42"/>
  <c r="D124" i="43" l="1"/>
  <c r="G123" i="43"/>
  <c r="I123" i="43" s="1"/>
  <c r="E124" i="43"/>
  <c r="H123" i="43"/>
  <c r="B41" i="43"/>
  <c r="F41" i="43"/>
  <c r="F121" i="42"/>
  <c r="D42" i="43" l="1"/>
  <c r="E42" i="43" s="1"/>
  <c r="J123" i="43"/>
  <c r="B124" i="43"/>
  <c r="F124" i="43"/>
  <c r="D122" i="42"/>
  <c r="G121" i="42"/>
  <c r="B121" i="42"/>
  <c r="G124" i="43" l="1"/>
  <c r="I124" i="43" s="1"/>
  <c r="D125" i="43"/>
  <c r="E125" i="43" s="1"/>
  <c r="H124" i="43"/>
  <c r="F42" i="43"/>
  <c r="B42" i="43"/>
  <c r="E122" i="42"/>
  <c r="F122" i="42" s="1"/>
  <c r="N100" i="39"/>
  <c r="L100" i="39"/>
  <c r="M100" i="39" s="1"/>
  <c r="D101" i="39"/>
  <c r="I17" i="39"/>
  <c r="N102" i="37"/>
  <c r="L102" i="37"/>
  <c r="M102" i="37" s="1"/>
  <c r="N101" i="37"/>
  <c r="L101" i="37"/>
  <c r="M101" i="37" s="1"/>
  <c r="N102" i="38"/>
  <c r="L102" i="38"/>
  <c r="M102" i="38" s="1"/>
  <c r="N101" i="38"/>
  <c r="L101" i="38"/>
  <c r="M101" i="38" s="1"/>
  <c r="N103" i="35"/>
  <c r="L103" i="35"/>
  <c r="M103" i="35" s="1"/>
  <c r="N102" i="35"/>
  <c r="L102" i="35"/>
  <c r="M102" i="35" s="1"/>
  <c r="N103" i="34"/>
  <c r="L103" i="34"/>
  <c r="M103" i="34" s="1"/>
  <c r="N102" i="34"/>
  <c r="L102" i="34"/>
  <c r="M102" i="34" s="1"/>
  <c r="N103" i="31"/>
  <c r="L103" i="31"/>
  <c r="M103" i="31" s="1"/>
  <c r="N102" i="31"/>
  <c r="L102" i="31"/>
  <c r="M102" i="31" s="1"/>
  <c r="N103" i="29"/>
  <c r="L103" i="29"/>
  <c r="M103" i="29" s="1"/>
  <c r="N102" i="29"/>
  <c r="L102" i="29"/>
  <c r="M102" i="29" s="1"/>
  <c r="N106" i="27"/>
  <c r="L106" i="27"/>
  <c r="M106" i="27" s="1"/>
  <c r="M24" i="27"/>
  <c r="K24" i="27"/>
  <c r="L24" i="27" s="1"/>
  <c r="N106" i="26"/>
  <c r="L106" i="26"/>
  <c r="M106" i="26" s="1"/>
  <c r="N105" i="26"/>
  <c r="L105" i="26"/>
  <c r="M105" i="26" s="1"/>
  <c r="N107" i="24"/>
  <c r="L107" i="24"/>
  <c r="M107" i="24" s="1"/>
  <c r="N106" i="24"/>
  <c r="L106" i="24"/>
  <c r="M106" i="24" s="1"/>
  <c r="N105" i="25"/>
  <c r="L105" i="25"/>
  <c r="M105" i="25" s="1"/>
  <c r="N104" i="25"/>
  <c r="L104" i="25"/>
  <c r="M104" i="25" s="1"/>
  <c r="N106" i="23"/>
  <c r="L106" i="23"/>
  <c r="M106" i="23" s="1"/>
  <c r="N105" i="23"/>
  <c r="L105" i="23"/>
  <c r="M105" i="23" s="1"/>
  <c r="N106" i="22"/>
  <c r="L106" i="22"/>
  <c r="M106" i="22" s="1"/>
  <c r="N105" i="22"/>
  <c r="L105" i="22"/>
  <c r="M105" i="22" s="1"/>
  <c r="N107" i="21"/>
  <c r="O107" i="21" s="1"/>
  <c r="L107" i="21"/>
  <c r="M107" i="21" s="1"/>
  <c r="N106" i="21"/>
  <c r="O106" i="21" s="1"/>
  <c r="L106" i="21"/>
  <c r="M106" i="21" s="1"/>
  <c r="N109" i="19"/>
  <c r="O109" i="19" s="1"/>
  <c r="L109" i="19"/>
  <c r="M109" i="19" s="1"/>
  <c r="N108" i="19"/>
  <c r="O108" i="19" s="1"/>
  <c r="L108" i="19"/>
  <c r="M108" i="19" s="1"/>
  <c r="N109" i="18"/>
  <c r="L109" i="18"/>
  <c r="M109" i="18" s="1"/>
  <c r="N108" i="18"/>
  <c r="L108" i="18"/>
  <c r="M108" i="18" s="1"/>
  <c r="N109" i="4"/>
  <c r="O109" i="4" s="1"/>
  <c r="L109" i="4"/>
  <c r="M109" i="4" s="1"/>
  <c r="N110" i="3"/>
  <c r="O110" i="3" s="1"/>
  <c r="L110" i="3"/>
  <c r="M110" i="3" s="1"/>
  <c r="N109" i="3"/>
  <c r="O109" i="3" s="1"/>
  <c r="L109" i="3"/>
  <c r="M109" i="3" s="1"/>
  <c r="D43" i="43" l="1"/>
  <c r="E43" i="43" s="1"/>
  <c r="F125" i="43"/>
  <c r="H125" i="43" s="1"/>
  <c r="B125" i="43"/>
  <c r="J124" i="43"/>
  <c r="G122" i="42"/>
  <c r="D123" i="42"/>
  <c r="B122" i="42"/>
  <c r="N110" i="4"/>
  <c r="O110" i="4" s="1"/>
  <c r="L110" i="4"/>
  <c r="M110" i="4" s="1"/>
  <c r="D126" i="43" l="1"/>
  <c r="G125" i="43"/>
  <c r="I125" i="43" s="1"/>
  <c r="J125" i="43" s="1"/>
  <c r="E126" i="43"/>
  <c r="F43" i="43"/>
  <c r="B43" i="43"/>
  <c r="E123" i="42"/>
  <c r="F123" i="42" s="1"/>
  <c r="D44" i="43" l="1"/>
  <c r="B126" i="43"/>
  <c r="F126" i="43"/>
  <c r="H126" i="43"/>
  <c r="G123" i="42"/>
  <c r="D124" i="42"/>
  <c r="B123" i="42"/>
  <c r="T14" i="17"/>
  <c r="D127" i="43" l="1"/>
  <c r="G126" i="43"/>
  <c r="I126" i="43" s="1"/>
  <c r="J126" i="43" s="1"/>
  <c r="E127" i="43"/>
  <c r="B44" i="43"/>
  <c r="E44" i="43"/>
  <c r="F44" i="43" s="1"/>
  <c r="E124" i="42"/>
  <c r="F124" i="42" s="1"/>
  <c r="E35" i="1"/>
  <c r="E34" i="1"/>
  <c r="D45" i="43" l="1"/>
  <c r="E45" i="43" s="1"/>
  <c r="F127" i="43"/>
  <c r="B127" i="43"/>
  <c r="D125" i="42"/>
  <c r="E125" i="42" s="1"/>
  <c r="G124" i="42"/>
  <c r="B124" i="42"/>
  <c r="M19" i="38"/>
  <c r="K19" i="38"/>
  <c r="L19" i="38" s="1"/>
  <c r="D128" i="43" l="1"/>
  <c r="G127" i="43"/>
  <c r="I127" i="43" s="1"/>
  <c r="J127" i="43" s="1"/>
  <c r="E128" i="43"/>
  <c r="H127" i="43"/>
  <c r="F45" i="43"/>
  <c r="B45" i="43"/>
  <c r="F125" i="42"/>
  <c r="W37" i="17"/>
  <c r="L37" i="17"/>
  <c r="M17" i="39"/>
  <c r="N17" i="39" s="1"/>
  <c r="K17" i="39"/>
  <c r="L17" i="39" s="1"/>
  <c r="P155" i="39"/>
  <c r="O155" i="39"/>
  <c r="M155" i="39"/>
  <c r="J155" i="39"/>
  <c r="P154" i="39"/>
  <c r="O154" i="39"/>
  <c r="M154" i="39"/>
  <c r="J154" i="39"/>
  <c r="P153" i="39"/>
  <c r="O153" i="39"/>
  <c r="M153" i="39"/>
  <c r="J153" i="39"/>
  <c r="P152" i="39"/>
  <c r="O152" i="39"/>
  <c r="M152" i="39"/>
  <c r="J152" i="39"/>
  <c r="P151" i="39"/>
  <c r="O151" i="39"/>
  <c r="M151" i="39"/>
  <c r="J151" i="39"/>
  <c r="P150" i="39"/>
  <c r="O150" i="39"/>
  <c r="M150" i="39"/>
  <c r="J150" i="39"/>
  <c r="P149" i="39"/>
  <c r="O149" i="39"/>
  <c r="M149" i="39"/>
  <c r="J149" i="39"/>
  <c r="P148" i="39"/>
  <c r="O148" i="39"/>
  <c r="M148" i="39"/>
  <c r="J148" i="39"/>
  <c r="P147" i="39"/>
  <c r="O147" i="39"/>
  <c r="M147" i="39"/>
  <c r="J147" i="39"/>
  <c r="P146" i="39"/>
  <c r="O146" i="39"/>
  <c r="M146" i="39"/>
  <c r="J146" i="39"/>
  <c r="P145" i="39"/>
  <c r="O145" i="39"/>
  <c r="M145" i="39"/>
  <c r="J145" i="39"/>
  <c r="P144" i="39"/>
  <c r="O144" i="39"/>
  <c r="M144" i="39"/>
  <c r="J144" i="39"/>
  <c r="P143" i="39"/>
  <c r="O143" i="39"/>
  <c r="M143" i="39"/>
  <c r="J143" i="39"/>
  <c r="P142" i="39"/>
  <c r="O142" i="39"/>
  <c r="M142" i="39"/>
  <c r="J142" i="39"/>
  <c r="P141" i="39"/>
  <c r="O141" i="39"/>
  <c r="M141" i="39"/>
  <c r="J141" i="39"/>
  <c r="P140" i="39"/>
  <c r="O140" i="39"/>
  <c r="M140" i="39"/>
  <c r="J140" i="39"/>
  <c r="P139" i="39"/>
  <c r="O139" i="39"/>
  <c r="M139" i="39"/>
  <c r="J139" i="39"/>
  <c r="P138" i="39"/>
  <c r="O138" i="39"/>
  <c r="M138" i="39"/>
  <c r="J138" i="39"/>
  <c r="P137" i="39"/>
  <c r="O137" i="39"/>
  <c r="M137" i="39"/>
  <c r="J137" i="39"/>
  <c r="P136" i="39"/>
  <c r="O136" i="39"/>
  <c r="M136" i="39"/>
  <c r="J136" i="39"/>
  <c r="P135" i="39"/>
  <c r="O135" i="39"/>
  <c r="M135" i="39"/>
  <c r="J135" i="39"/>
  <c r="P134" i="39"/>
  <c r="O134" i="39"/>
  <c r="M134" i="39"/>
  <c r="J134" i="39"/>
  <c r="P133" i="39"/>
  <c r="O133" i="39"/>
  <c r="M133" i="39"/>
  <c r="J133" i="39"/>
  <c r="P132" i="39"/>
  <c r="O132" i="39"/>
  <c r="M132" i="39"/>
  <c r="J132" i="39"/>
  <c r="O131" i="39"/>
  <c r="M131" i="39"/>
  <c r="O130" i="39"/>
  <c r="M130" i="39"/>
  <c r="O129" i="39"/>
  <c r="M129" i="39"/>
  <c r="O128" i="39"/>
  <c r="M128" i="39"/>
  <c r="O127" i="39"/>
  <c r="M127" i="39"/>
  <c r="O126" i="39"/>
  <c r="M126" i="39"/>
  <c r="O125" i="39"/>
  <c r="M125" i="39"/>
  <c r="O124" i="39"/>
  <c r="M124" i="39"/>
  <c r="O123" i="39"/>
  <c r="M123" i="39"/>
  <c r="O122" i="39"/>
  <c r="M122" i="39"/>
  <c r="O121" i="39"/>
  <c r="M121" i="39"/>
  <c r="O120" i="39"/>
  <c r="M120" i="39"/>
  <c r="O119" i="39"/>
  <c r="M119" i="39"/>
  <c r="O118" i="39"/>
  <c r="M118" i="39"/>
  <c r="O117" i="39"/>
  <c r="M117" i="39"/>
  <c r="O116" i="39"/>
  <c r="M116" i="39"/>
  <c r="O115" i="39"/>
  <c r="M115" i="39"/>
  <c r="O114" i="39"/>
  <c r="M114" i="39"/>
  <c r="O113" i="39"/>
  <c r="M113" i="39"/>
  <c r="O112" i="39"/>
  <c r="M112" i="39"/>
  <c r="O111" i="39"/>
  <c r="M111" i="39"/>
  <c r="O110" i="39"/>
  <c r="M110" i="39"/>
  <c r="O109" i="39"/>
  <c r="M109" i="39"/>
  <c r="O108" i="39"/>
  <c r="M108" i="39"/>
  <c r="O107" i="39"/>
  <c r="M107" i="39"/>
  <c r="O106" i="39"/>
  <c r="M106" i="39"/>
  <c r="O105" i="39"/>
  <c r="M105" i="39"/>
  <c r="O104" i="39"/>
  <c r="M104" i="39"/>
  <c r="O103" i="39"/>
  <c r="M103" i="39"/>
  <c r="O102" i="39"/>
  <c r="M102" i="39"/>
  <c r="O101" i="39"/>
  <c r="M101" i="39"/>
  <c r="O100" i="39"/>
  <c r="D97" i="39"/>
  <c r="D95" i="39"/>
  <c r="L94" i="39"/>
  <c r="J94" i="39"/>
  <c r="D94" i="39"/>
  <c r="J93" i="39"/>
  <c r="D92" i="39"/>
  <c r="D90" i="39"/>
  <c r="N73" i="39"/>
  <c r="L73" i="39"/>
  <c r="N72" i="39"/>
  <c r="L72" i="39"/>
  <c r="N71" i="39"/>
  <c r="L71" i="39"/>
  <c r="N70" i="39"/>
  <c r="L70" i="39"/>
  <c r="N69" i="39"/>
  <c r="L69" i="39"/>
  <c r="N68" i="39"/>
  <c r="L68" i="39"/>
  <c r="N67" i="39"/>
  <c r="L67" i="39"/>
  <c r="N66" i="39"/>
  <c r="L66" i="39"/>
  <c r="N65" i="39"/>
  <c r="L65" i="39"/>
  <c r="N64" i="39"/>
  <c r="L64" i="39"/>
  <c r="N63" i="39"/>
  <c r="L63" i="39"/>
  <c r="N62" i="39"/>
  <c r="L62" i="39"/>
  <c r="N61" i="39"/>
  <c r="L61" i="39"/>
  <c r="N60" i="39"/>
  <c r="L60" i="39"/>
  <c r="N59" i="39"/>
  <c r="L59" i="39"/>
  <c r="N58" i="39"/>
  <c r="L58" i="39"/>
  <c r="N57" i="39"/>
  <c r="L57" i="39"/>
  <c r="N56" i="39"/>
  <c r="L56" i="39"/>
  <c r="N55" i="39"/>
  <c r="L55" i="39"/>
  <c r="N54" i="39"/>
  <c r="L54" i="39"/>
  <c r="N53" i="39"/>
  <c r="L53" i="39"/>
  <c r="N52" i="39"/>
  <c r="L52" i="39"/>
  <c r="N51" i="39"/>
  <c r="L51" i="39"/>
  <c r="N50" i="39"/>
  <c r="L50" i="39"/>
  <c r="N49" i="39"/>
  <c r="L49" i="39"/>
  <c r="N48" i="39"/>
  <c r="L48" i="39"/>
  <c r="N47" i="39"/>
  <c r="L47" i="39"/>
  <c r="N46" i="39"/>
  <c r="L46" i="39"/>
  <c r="N45" i="39"/>
  <c r="L45" i="39"/>
  <c r="N44" i="39"/>
  <c r="L44" i="39"/>
  <c r="N43" i="39"/>
  <c r="L43" i="39"/>
  <c r="N42" i="39"/>
  <c r="L42" i="39"/>
  <c r="N41" i="39"/>
  <c r="L41" i="39"/>
  <c r="N40" i="39"/>
  <c r="L40" i="39"/>
  <c r="N39" i="39"/>
  <c r="L39" i="39"/>
  <c r="N38" i="39"/>
  <c r="L38" i="39"/>
  <c r="N37" i="39"/>
  <c r="L37" i="39"/>
  <c r="N36" i="39"/>
  <c r="L36" i="39"/>
  <c r="N35" i="39"/>
  <c r="L35" i="39"/>
  <c r="N34" i="39"/>
  <c r="L34" i="39"/>
  <c r="N33" i="39"/>
  <c r="L33" i="39"/>
  <c r="N32" i="39"/>
  <c r="L32" i="39"/>
  <c r="N31" i="39"/>
  <c r="L31" i="39"/>
  <c r="N30" i="39"/>
  <c r="L30" i="39"/>
  <c r="N29" i="39"/>
  <c r="L29" i="39"/>
  <c r="N28" i="39"/>
  <c r="L28" i="39"/>
  <c r="N27" i="39"/>
  <c r="L27" i="39"/>
  <c r="N26" i="39"/>
  <c r="L26" i="39"/>
  <c r="N25" i="39"/>
  <c r="L25" i="39"/>
  <c r="N24" i="39"/>
  <c r="L24" i="39"/>
  <c r="N23" i="39"/>
  <c r="L23" i="39"/>
  <c r="N22" i="39"/>
  <c r="L22" i="39"/>
  <c r="N21" i="39"/>
  <c r="L21" i="39"/>
  <c r="N20" i="39"/>
  <c r="L20" i="39"/>
  <c r="N19" i="39"/>
  <c r="N18" i="39"/>
  <c r="C17" i="39"/>
  <c r="B17" i="39"/>
  <c r="K11" i="39"/>
  <c r="I11" i="39"/>
  <c r="I10" i="39"/>
  <c r="D91" i="39"/>
  <c r="P1" i="39"/>
  <c r="P84" i="39" s="1"/>
  <c r="D46" i="43" l="1"/>
  <c r="E46" i="43" s="1"/>
  <c r="B128" i="43"/>
  <c r="F128" i="43"/>
  <c r="G125" i="42"/>
  <c r="D126" i="42"/>
  <c r="B125" i="42"/>
  <c r="P106" i="39"/>
  <c r="P108" i="39"/>
  <c r="P110" i="39"/>
  <c r="P114" i="39"/>
  <c r="P116" i="39"/>
  <c r="P118" i="39"/>
  <c r="P107" i="39"/>
  <c r="P111" i="39"/>
  <c r="P115" i="39"/>
  <c r="P119" i="39"/>
  <c r="P123" i="39"/>
  <c r="P127" i="39"/>
  <c r="P102" i="39"/>
  <c r="P131" i="39"/>
  <c r="P103" i="39"/>
  <c r="O54" i="39"/>
  <c r="O66" i="39"/>
  <c r="O35" i="39"/>
  <c r="O43" i="39"/>
  <c r="O17" i="39"/>
  <c r="O57" i="39"/>
  <c r="O59" i="39"/>
  <c r="O61" i="39"/>
  <c r="O65" i="39"/>
  <c r="O22" i="39"/>
  <c r="O24" i="39"/>
  <c r="O26" i="39"/>
  <c r="O30" i="39"/>
  <c r="O32" i="39"/>
  <c r="O34" i="39"/>
  <c r="O42" i="39"/>
  <c r="O46" i="39"/>
  <c r="O41" i="39"/>
  <c r="O29" i="39"/>
  <c r="O33" i="39"/>
  <c r="O48" i="39"/>
  <c r="O56" i="39"/>
  <c r="O64" i="39"/>
  <c r="O25" i="39"/>
  <c r="O58" i="39"/>
  <c r="O62" i="39"/>
  <c r="O70" i="39"/>
  <c r="O49" i="39"/>
  <c r="O19" i="39"/>
  <c r="O21" i="39"/>
  <c r="O38" i="39"/>
  <c r="O47" i="39"/>
  <c r="O50" i="39"/>
  <c r="O67" i="39"/>
  <c r="O69" i="39"/>
  <c r="O73" i="39"/>
  <c r="P101" i="39"/>
  <c r="P104" i="39"/>
  <c r="P109" i="39"/>
  <c r="P112" i="39"/>
  <c r="P117" i="39"/>
  <c r="O18" i="39"/>
  <c r="O37" i="39"/>
  <c r="O53" i="39"/>
  <c r="P100" i="39"/>
  <c r="P105" i="39"/>
  <c r="P113" i="39"/>
  <c r="O40" i="39"/>
  <c r="O45" i="39"/>
  <c r="P126" i="39"/>
  <c r="O27" i="39"/>
  <c r="O39" i="39"/>
  <c r="O71" i="39"/>
  <c r="O51" i="39"/>
  <c r="O20" i="39"/>
  <c r="O23" i="39"/>
  <c r="O28" i="39"/>
  <c r="O31" i="39"/>
  <c r="O36" i="39"/>
  <c r="O44" i="39"/>
  <c r="O52" i="39"/>
  <c r="O55" i="39"/>
  <c r="O60" i="39"/>
  <c r="O63" i="39"/>
  <c r="O68" i="39"/>
  <c r="P120" i="39"/>
  <c r="C18" i="39"/>
  <c r="C19" i="39" s="1"/>
  <c r="C20" i="39" s="1"/>
  <c r="C21" i="39" s="1"/>
  <c r="C22" i="39" s="1"/>
  <c r="C23" i="39" s="1"/>
  <c r="C24" i="39" s="1"/>
  <c r="C25" i="39" s="1"/>
  <c r="C26" i="39" s="1"/>
  <c r="C27" i="39" s="1"/>
  <c r="C28" i="39" s="1"/>
  <c r="C29" i="39" s="1"/>
  <c r="C30" i="39" s="1"/>
  <c r="C31" i="39" s="1"/>
  <c r="C32" i="39" s="1"/>
  <c r="C33" i="39" s="1"/>
  <c r="C34" i="39" s="1"/>
  <c r="C35" i="39" s="1"/>
  <c r="C36" i="39" s="1"/>
  <c r="C37" i="39" s="1"/>
  <c r="C38" i="39" s="1"/>
  <c r="C39" i="39" s="1"/>
  <c r="C40" i="39" s="1"/>
  <c r="C41" i="39" s="1"/>
  <c r="C42" i="39" s="1"/>
  <c r="C43" i="39" s="1"/>
  <c r="C44" i="39" s="1"/>
  <c r="C45" i="39" s="1"/>
  <c r="O72" i="39"/>
  <c r="C100" i="39"/>
  <c r="C101" i="39" s="1"/>
  <c r="C102" i="39" s="1"/>
  <c r="C103" i="39" s="1"/>
  <c r="C104" i="39" s="1"/>
  <c r="C105" i="39" s="1"/>
  <c r="C106" i="39" s="1"/>
  <c r="C107" i="39" s="1"/>
  <c r="C108" i="39" s="1"/>
  <c r="C109" i="39" s="1"/>
  <c r="C110" i="39" s="1"/>
  <c r="C111" i="39" s="1"/>
  <c r="C112" i="39" s="1"/>
  <c r="C113" i="39" s="1"/>
  <c r="C114" i="39" s="1"/>
  <c r="C115" i="39" s="1"/>
  <c r="C116" i="39" s="1"/>
  <c r="C117" i="39" s="1"/>
  <c r="C118" i="39" s="1"/>
  <c r="C119" i="39" s="1"/>
  <c r="C120" i="39" s="1"/>
  <c r="C121" i="39" s="1"/>
  <c r="C122" i="39" s="1"/>
  <c r="C123" i="39" s="1"/>
  <c r="C124" i="39" s="1"/>
  <c r="C125" i="39" s="1"/>
  <c r="C126" i="39" s="1"/>
  <c r="C127" i="39" s="1"/>
  <c r="P130" i="39"/>
  <c r="L87" i="39"/>
  <c r="P121" i="39"/>
  <c r="P125" i="39"/>
  <c r="P129" i="39"/>
  <c r="P122" i="39"/>
  <c r="P124" i="39"/>
  <c r="P128" i="39"/>
  <c r="G128" i="43" l="1"/>
  <c r="I128" i="43" s="1"/>
  <c r="D129" i="43"/>
  <c r="E129" i="43"/>
  <c r="H128" i="43"/>
  <c r="B46" i="43"/>
  <c r="F46" i="43"/>
  <c r="E126" i="42"/>
  <c r="F126" i="42" s="1"/>
  <c r="C128" i="39"/>
  <c r="C129" i="39" s="1"/>
  <c r="C130" i="39" s="1"/>
  <c r="C131" i="39" s="1"/>
  <c r="C132" i="39" s="1"/>
  <c r="C133" i="39" s="1"/>
  <c r="C134" i="39" s="1"/>
  <c r="C135" i="39" s="1"/>
  <c r="C136" i="39" s="1"/>
  <c r="C137" i="39" s="1"/>
  <c r="C138" i="39" s="1"/>
  <c r="C139" i="39" s="1"/>
  <c r="C140" i="39" s="1"/>
  <c r="C141" i="39" s="1"/>
  <c r="C142" i="39" s="1"/>
  <c r="C143" i="39" s="1"/>
  <c r="C144" i="39" s="1"/>
  <c r="C145" i="39" s="1"/>
  <c r="C146" i="39" s="1"/>
  <c r="C147" i="39" s="1"/>
  <c r="C148" i="39" s="1"/>
  <c r="C149" i="39" s="1"/>
  <c r="C150" i="39" s="1"/>
  <c r="C151" i="39" s="1"/>
  <c r="C152" i="39" s="1"/>
  <c r="C153" i="39" s="1"/>
  <c r="C154" i="39" s="1"/>
  <c r="C155" i="39" s="1"/>
  <c r="B100" i="39"/>
  <c r="C46" i="39"/>
  <c r="C47" i="39" s="1"/>
  <c r="C48" i="39" s="1"/>
  <c r="C49" i="39" s="1"/>
  <c r="C50" i="39" s="1"/>
  <c r="C51" i="39" s="1"/>
  <c r="C52" i="39" s="1"/>
  <c r="C53" i="39" s="1"/>
  <c r="C54" i="39" s="1"/>
  <c r="C55" i="39" s="1"/>
  <c r="C56" i="39" s="1"/>
  <c r="C57" i="39" s="1"/>
  <c r="C58" i="39" s="1"/>
  <c r="C59" i="39" s="1"/>
  <c r="C60" i="39" s="1"/>
  <c r="C61" i="39" s="1"/>
  <c r="C62" i="39" s="1"/>
  <c r="C63" i="39" s="1"/>
  <c r="C64" i="39" s="1"/>
  <c r="C65" i="39" s="1"/>
  <c r="C66" i="39" s="1"/>
  <c r="C67" i="39" s="1"/>
  <c r="C68" i="39" s="1"/>
  <c r="C69" i="39" s="1"/>
  <c r="C70" i="39" s="1"/>
  <c r="C71" i="39" s="1"/>
  <c r="C72" i="39" s="1"/>
  <c r="M88" i="39"/>
  <c r="N88" i="39"/>
  <c r="F129" i="43" l="1"/>
  <c r="B129" i="43"/>
  <c r="D47" i="43"/>
  <c r="E47" i="43" s="1"/>
  <c r="J128" i="43"/>
  <c r="G126" i="42"/>
  <c r="D127" i="42"/>
  <c r="B126" i="42"/>
  <c r="O88" i="39"/>
  <c r="B18" i="39"/>
  <c r="B101" i="39"/>
  <c r="B47" i="43" l="1"/>
  <c r="F47" i="43"/>
  <c r="D130" i="43"/>
  <c r="G129" i="43"/>
  <c r="I129" i="43" s="1"/>
  <c r="H129" i="43"/>
  <c r="E127" i="42"/>
  <c r="F127" i="42" s="1"/>
  <c r="J100" i="39"/>
  <c r="B130" i="43" l="1"/>
  <c r="E130" i="43"/>
  <c r="F130" i="43" s="1"/>
  <c r="D48" i="43"/>
  <c r="E48" i="43" s="1"/>
  <c r="J129" i="43"/>
  <c r="D128" i="42"/>
  <c r="E128" i="42" s="1"/>
  <c r="G127" i="42"/>
  <c r="B127" i="42"/>
  <c r="G130" i="43" l="1"/>
  <c r="I130" i="43" s="1"/>
  <c r="D131" i="43"/>
  <c r="E131" i="43" s="1"/>
  <c r="H130" i="43"/>
  <c r="F48" i="43"/>
  <c r="B48" i="43"/>
  <c r="F128" i="42"/>
  <c r="D49" i="43" l="1"/>
  <c r="E49" i="43" s="1"/>
  <c r="F131" i="43"/>
  <c r="B131" i="43"/>
  <c r="J130" i="43"/>
  <c r="D129" i="42"/>
  <c r="E129" i="42" s="1"/>
  <c r="G128" i="42"/>
  <c r="B128" i="42"/>
  <c r="D132" i="43" l="1"/>
  <c r="G131" i="43"/>
  <c r="I131" i="43" s="1"/>
  <c r="E132" i="43"/>
  <c r="H131" i="43"/>
  <c r="B49" i="43"/>
  <c r="F49" i="43"/>
  <c r="F129" i="42"/>
  <c r="D50" i="43" l="1"/>
  <c r="E50" i="43" s="1"/>
  <c r="J131" i="43"/>
  <c r="J156" i="43" s="1"/>
  <c r="B132" i="43"/>
  <c r="F132" i="43"/>
  <c r="H132" i="43"/>
  <c r="G129" i="42"/>
  <c r="D130" i="42"/>
  <c r="B129" i="42"/>
  <c r="G132" i="43" l="1"/>
  <c r="I132" i="43" s="1"/>
  <c r="D133" i="43"/>
  <c r="E133" i="43"/>
  <c r="F50" i="43"/>
  <c r="B50" i="43"/>
  <c r="E130" i="42"/>
  <c r="F130" i="42" s="1"/>
  <c r="D51" i="43" l="1"/>
  <c r="F133" i="43"/>
  <c r="B133" i="43"/>
  <c r="D131" i="42"/>
  <c r="E131" i="42" s="1"/>
  <c r="G130" i="42"/>
  <c r="B130" i="42"/>
  <c r="B51" i="43" l="1"/>
  <c r="D134" i="43"/>
  <c r="G133" i="43"/>
  <c r="I133" i="43" s="1"/>
  <c r="E134" i="43"/>
  <c r="H133" i="43"/>
  <c r="E51" i="43"/>
  <c r="F51" i="43" s="1"/>
  <c r="F131" i="42"/>
  <c r="D52" i="43" l="1"/>
  <c r="B134" i="43"/>
  <c r="F134" i="43"/>
  <c r="H134" i="43"/>
  <c r="G131" i="42"/>
  <c r="D132" i="42"/>
  <c r="B131" i="42"/>
  <c r="D135" i="43" l="1"/>
  <c r="G134" i="43"/>
  <c r="I134" i="43" s="1"/>
  <c r="E135" i="43"/>
  <c r="B52" i="43"/>
  <c r="E52" i="43"/>
  <c r="F52" i="43" s="1"/>
  <c r="E132" i="42"/>
  <c r="F132" i="42" s="1"/>
  <c r="D53" i="43" l="1"/>
  <c r="E53" i="43" s="1"/>
  <c r="F135" i="43"/>
  <c r="H135" i="43" s="1"/>
  <c r="B135" i="43"/>
  <c r="D133" i="42"/>
  <c r="E133" i="42" s="1"/>
  <c r="G132" i="42"/>
  <c r="B132" i="42"/>
  <c r="D136" i="43" l="1"/>
  <c r="G135" i="43"/>
  <c r="I135" i="43" s="1"/>
  <c r="E136" i="43"/>
  <c r="F53" i="43"/>
  <c r="B53" i="43"/>
  <c r="F133" i="42"/>
  <c r="D54" i="43" l="1"/>
  <c r="E54" i="43" s="1"/>
  <c r="B136" i="43"/>
  <c r="F136" i="43"/>
  <c r="H136" i="43" s="1"/>
  <c r="D134" i="42"/>
  <c r="G133" i="42"/>
  <c r="B133" i="42"/>
  <c r="D137" i="43" l="1"/>
  <c r="G136" i="43"/>
  <c r="I136" i="43" s="1"/>
  <c r="E137" i="43"/>
  <c r="B54" i="43"/>
  <c r="F54" i="43"/>
  <c r="E134" i="42"/>
  <c r="F134" i="42" s="1"/>
  <c r="D55" i="43" l="1"/>
  <c r="F137" i="43"/>
  <c r="B137" i="43"/>
  <c r="D135" i="42"/>
  <c r="E135" i="42" s="1"/>
  <c r="G134" i="42"/>
  <c r="B134" i="42"/>
  <c r="D138" i="43" l="1"/>
  <c r="G137" i="43"/>
  <c r="I137" i="43" s="1"/>
  <c r="E138" i="43"/>
  <c r="H137" i="43"/>
  <c r="B55" i="43"/>
  <c r="E55" i="43"/>
  <c r="F55" i="43" s="1"/>
  <c r="F135" i="42"/>
  <c r="D56" i="43" l="1"/>
  <c r="E56" i="43" s="1"/>
  <c r="B138" i="43"/>
  <c r="H138" i="43"/>
  <c r="F138" i="43"/>
  <c r="D136" i="42"/>
  <c r="G135" i="42"/>
  <c r="B135" i="42"/>
  <c r="F56" i="43" l="1"/>
  <c r="B56" i="43"/>
  <c r="D139" i="43"/>
  <c r="G138" i="43"/>
  <c r="I138" i="43" s="1"/>
  <c r="E136" i="42"/>
  <c r="F136" i="42" s="1"/>
  <c r="B139" i="43" l="1"/>
  <c r="E139" i="43"/>
  <c r="F139" i="43" s="1"/>
  <c r="D57" i="43"/>
  <c r="E57" i="43" s="1"/>
  <c r="D137" i="42"/>
  <c r="E137" i="42" s="1"/>
  <c r="G136" i="42"/>
  <c r="B136" i="42"/>
  <c r="D140" i="43" l="1"/>
  <c r="G139" i="43"/>
  <c r="I139" i="43" s="1"/>
  <c r="E140" i="43"/>
  <c r="H139" i="43"/>
  <c r="B57" i="43"/>
  <c r="F57" i="43"/>
  <c r="F137" i="42"/>
  <c r="D58" i="43" l="1"/>
  <c r="E58" i="43" s="1"/>
  <c r="B140" i="43"/>
  <c r="F140" i="43"/>
  <c r="G137" i="42"/>
  <c r="D138" i="42"/>
  <c r="B137" i="42"/>
  <c r="D141" i="43" l="1"/>
  <c r="E141" i="43" s="1"/>
  <c r="G140" i="43"/>
  <c r="I140" i="43" s="1"/>
  <c r="H140" i="43"/>
  <c r="F58" i="43"/>
  <c r="B58" i="43"/>
  <c r="E138" i="42"/>
  <c r="F138" i="42" s="1"/>
  <c r="D59" i="43" l="1"/>
  <c r="E59" i="43" s="1"/>
  <c r="F141" i="43"/>
  <c r="B141" i="43"/>
  <c r="G138" i="42"/>
  <c r="D139" i="42"/>
  <c r="B138" i="42"/>
  <c r="D142" i="43" l="1"/>
  <c r="G141" i="43"/>
  <c r="I141" i="43" s="1"/>
  <c r="E142" i="43"/>
  <c r="H141" i="43"/>
  <c r="F59" i="43"/>
  <c r="B59" i="43"/>
  <c r="E139" i="42"/>
  <c r="F139" i="42" s="1"/>
  <c r="D60" i="43" l="1"/>
  <c r="E60" i="43" s="1"/>
  <c r="B142" i="43"/>
  <c r="F142" i="43"/>
  <c r="H142" i="43"/>
  <c r="D140" i="42"/>
  <c r="E140" i="42" s="1"/>
  <c r="G139" i="42"/>
  <c r="B139" i="42"/>
  <c r="D143" i="43" l="1"/>
  <c r="G142" i="43"/>
  <c r="I142" i="43" s="1"/>
  <c r="E143" i="43"/>
  <c r="B60" i="43"/>
  <c r="F60" i="43"/>
  <c r="F140" i="42"/>
  <c r="D61" i="43" l="1"/>
  <c r="E61" i="43"/>
  <c r="F143" i="43"/>
  <c r="B143" i="43"/>
  <c r="D141" i="42"/>
  <c r="E141" i="42" s="1"/>
  <c r="G140" i="42"/>
  <c r="B140" i="42"/>
  <c r="D144" i="43" l="1"/>
  <c r="E144" i="43" s="1"/>
  <c r="G143" i="43"/>
  <c r="I143" i="43" s="1"/>
  <c r="H143" i="43"/>
  <c r="F61" i="43"/>
  <c r="B61" i="43"/>
  <c r="F141" i="42"/>
  <c r="D62" i="43" l="1"/>
  <c r="E62" i="43" s="1"/>
  <c r="B144" i="43"/>
  <c r="F144" i="43"/>
  <c r="D142" i="42"/>
  <c r="G141" i="42"/>
  <c r="B141" i="42"/>
  <c r="D145" i="43" l="1"/>
  <c r="G144" i="43"/>
  <c r="I144" i="43" s="1"/>
  <c r="E145" i="43"/>
  <c r="H144" i="43"/>
  <c r="B62" i="43"/>
  <c r="F62" i="43"/>
  <c r="E142" i="42"/>
  <c r="F142" i="42" s="1"/>
  <c r="D63" i="43" l="1"/>
  <c r="E63" i="43" s="1"/>
  <c r="H145" i="43"/>
  <c r="F145" i="43"/>
  <c r="B145" i="43"/>
  <c r="G142" i="42"/>
  <c r="D143" i="42"/>
  <c r="B142" i="42"/>
  <c r="D146" i="43" l="1"/>
  <c r="G145" i="43"/>
  <c r="I145" i="43" s="1"/>
  <c r="E146" i="43"/>
  <c r="B63" i="43"/>
  <c r="F63" i="43"/>
  <c r="E143" i="42"/>
  <c r="F143" i="42" s="1"/>
  <c r="D64" i="43" l="1"/>
  <c r="E64" i="43" s="1"/>
  <c r="B146" i="43"/>
  <c r="F146" i="43"/>
  <c r="D144" i="42"/>
  <c r="G143" i="42"/>
  <c r="B143" i="42"/>
  <c r="D147" i="43" l="1"/>
  <c r="G146" i="43"/>
  <c r="I146" i="43" s="1"/>
  <c r="E147" i="43"/>
  <c r="H146" i="43"/>
  <c r="F64" i="43"/>
  <c r="B64" i="43"/>
  <c r="E144" i="42"/>
  <c r="F144" i="42" s="1"/>
  <c r="D65" i="43" l="1"/>
  <c r="E65" i="43" s="1"/>
  <c r="F147" i="43"/>
  <c r="B147" i="43"/>
  <c r="D145" i="42"/>
  <c r="E145" i="42" s="1"/>
  <c r="G144" i="42"/>
  <c r="B144" i="42"/>
  <c r="D148" i="43" l="1"/>
  <c r="G147" i="43"/>
  <c r="I147" i="43" s="1"/>
  <c r="E148" i="43"/>
  <c r="H147" i="43"/>
  <c r="B65" i="43"/>
  <c r="F65" i="43"/>
  <c r="F145" i="42"/>
  <c r="D66" i="43" l="1"/>
  <c r="E66" i="43" s="1"/>
  <c r="B148" i="43"/>
  <c r="F148" i="43"/>
  <c r="G145" i="42"/>
  <c r="D146" i="42"/>
  <c r="B145" i="42"/>
  <c r="G148" i="43" l="1"/>
  <c r="I148" i="43" s="1"/>
  <c r="D149" i="43"/>
  <c r="E149" i="43" s="1"/>
  <c r="H148" i="43"/>
  <c r="B66" i="43"/>
  <c r="F66" i="43"/>
  <c r="E146" i="42"/>
  <c r="F146" i="42" s="1"/>
  <c r="D67" i="43" l="1"/>
  <c r="F149" i="43"/>
  <c r="B149" i="43"/>
  <c r="G146" i="42"/>
  <c r="D147" i="42"/>
  <c r="B146" i="42"/>
  <c r="D150" i="43" l="1"/>
  <c r="G149" i="43"/>
  <c r="I149" i="43" s="1"/>
  <c r="E150" i="43"/>
  <c r="H149" i="43"/>
  <c r="B67" i="43"/>
  <c r="E67" i="43"/>
  <c r="F67" i="43" s="1"/>
  <c r="E147" i="42"/>
  <c r="F147" i="42" s="1"/>
  <c r="D68" i="43" l="1"/>
  <c r="E68" i="43" s="1"/>
  <c r="B150" i="43"/>
  <c r="F150" i="43"/>
  <c r="G147" i="42"/>
  <c r="D148" i="42"/>
  <c r="B147" i="42"/>
  <c r="D151" i="43" l="1"/>
  <c r="G150" i="43"/>
  <c r="I150" i="43" s="1"/>
  <c r="E151" i="43"/>
  <c r="H150" i="43"/>
  <c r="B68" i="43"/>
  <c r="F68" i="43"/>
  <c r="E148" i="42"/>
  <c r="F148" i="42" s="1"/>
  <c r="D69" i="43" l="1"/>
  <c r="E69" i="43" s="1"/>
  <c r="F151" i="43"/>
  <c r="B151" i="43"/>
  <c r="D149" i="42"/>
  <c r="E149" i="42" s="1"/>
  <c r="G148" i="42"/>
  <c r="B148" i="42"/>
  <c r="D152" i="43" l="1"/>
  <c r="G151" i="43"/>
  <c r="I151" i="43" s="1"/>
  <c r="E152" i="43"/>
  <c r="H151" i="43"/>
  <c r="F69" i="43"/>
  <c r="B69" i="43"/>
  <c r="F149" i="42"/>
  <c r="D70" i="43" l="1"/>
  <c r="E70" i="43" s="1"/>
  <c r="B152" i="43"/>
  <c r="F152" i="43"/>
  <c r="D150" i="42"/>
  <c r="G149" i="42"/>
  <c r="B149" i="42"/>
  <c r="D153" i="43" l="1"/>
  <c r="G152" i="43"/>
  <c r="I152" i="43" s="1"/>
  <c r="E153" i="43"/>
  <c r="H152" i="43"/>
  <c r="F70" i="43"/>
  <c r="B70" i="43"/>
  <c r="E150" i="42"/>
  <c r="F150" i="42" s="1"/>
  <c r="D71" i="43" l="1"/>
  <c r="E71" i="43" s="1"/>
  <c r="F153" i="43"/>
  <c r="B153" i="43"/>
  <c r="G150" i="42"/>
  <c r="D151" i="42"/>
  <c r="B150" i="42"/>
  <c r="D154" i="43" l="1"/>
  <c r="G153" i="43"/>
  <c r="I153" i="43" s="1"/>
  <c r="E154" i="43"/>
  <c r="H153" i="43"/>
  <c r="B71" i="43"/>
  <c r="F71" i="43"/>
  <c r="E151" i="42"/>
  <c r="F151" i="42" s="1"/>
  <c r="D72" i="43" l="1"/>
  <c r="E72" i="43"/>
  <c r="B154" i="43"/>
  <c r="F154" i="43"/>
  <c r="H154" i="43"/>
  <c r="D152" i="42"/>
  <c r="G151" i="42"/>
  <c r="B151" i="42"/>
  <c r="D155" i="43" l="1"/>
  <c r="G154" i="43"/>
  <c r="I154" i="43" s="1"/>
  <c r="E155" i="43"/>
  <c r="E156" i="43" s="1"/>
  <c r="F72" i="43"/>
  <c r="E152" i="42"/>
  <c r="F152" i="42" s="1"/>
  <c r="D73" i="43" l="1"/>
  <c r="E73" i="43" s="1"/>
  <c r="E74" i="43" s="1"/>
  <c r="F155" i="43"/>
  <c r="G155" i="43" s="1"/>
  <c r="I155" i="43" s="1"/>
  <c r="I156" i="43" s="1"/>
  <c r="B155" i="43"/>
  <c r="D153" i="42"/>
  <c r="E153" i="42" s="1"/>
  <c r="G152" i="42"/>
  <c r="B152" i="42"/>
  <c r="H155" i="43" l="1"/>
  <c r="H156" i="43" s="1"/>
  <c r="F73" i="43"/>
  <c r="B73" i="43"/>
  <c r="F153" i="42"/>
  <c r="G153" i="42" l="1"/>
  <c r="D154" i="42"/>
  <c r="B153" i="42"/>
  <c r="E154" i="42" l="1"/>
  <c r="F154" i="42" s="1"/>
  <c r="G154" i="42" l="1"/>
  <c r="D155" i="42"/>
  <c r="B154" i="42"/>
  <c r="E155" i="42" l="1"/>
  <c r="F155" i="42" s="1"/>
  <c r="G155" i="42" l="1"/>
  <c r="E156" i="42"/>
  <c r="B155" i="42"/>
  <c r="M18" i="38" l="1"/>
  <c r="K18" i="38"/>
  <c r="L18" i="38" s="1"/>
  <c r="M19" i="37"/>
  <c r="K19" i="37"/>
  <c r="L19" i="37" s="1"/>
  <c r="M20" i="35"/>
  <c r="K20" i="35"/>
  <c r="L20" i="35" s="1"/>
  <c r="M20" i="34"/>
  <c r="K20" i="34"/>
  <c r="L20" i="34" s="1"/>
  <c r="M20" i="31"/>
  <c r="K20" i="31"/>
  <c r="L20" i="31" s="1"/>
  <c r="M21" i="29"/>
  <c r="K21" i="29"/>
  <c r="L21" i="29" s="1"/>
  <c r="M23" i="26"/>
  <c r="N23" i="26" s="1"/>
  <c r="K23" i="26"/>
  <c r="L23" i="26" s="1"/>
  <c r="M24" i="24"/>
  <c r="N24" i="24" s="1"/>
  <c r="K24" i="24"/>
  <c r="L24" i="24" s="1"/>
  <c r="M22" i="25"/>
  <c r="N22" i="25" s="1"/>
  <c r="K22" i="25"/>
  <c r="L22" i="25" s="1"/>
  <c r="M23" i="23"/>
  <c r="N23" i="23" s="1"/>
  <c r="K23" i="23"/>
  <c r="L23" i="23" s="1"/>
  <c r="M23" i="22"/>
  <c r="N23" i="22" s="1"/>
  <c r="K23" i="22"/>
  <c r="L23" i="22" s="1"/>
  <c r="M24" i="21"/>
  <c r="N24" i="21" s="1"/>
  <c r="K24" i="21"/>
  <c r="L24" i="21" s="1"/>
  <c r="M26" i="19"/>
  <c r="N26" i="19" s="1"/>
  <c r="K26" i="19"/>
  <c r="L26" i="19" s="1"/>
  <c r="M26" i="18"/>
  <c r="N26" i="18" s="1"/>
  <c r="K26" i="18"/>
  <c r="L26" i="18" s="1"/>
  <c r="M27" i="4"/>
  <c r="N27" i="4" s="1"/>
  <c r="K27" i="4"/>
  <c r="L27" i="4" s="1"/>
  <c r="M27" i="3"/>
  <c r="N27" i="3" s="1"/>
  <c r="K27" i="3"/>
  <c r="L27" i="3" s="1"/>
  <c r="O22" i="25" l="1"/>
  <c r="O23" i="23"/>
  <c r="O23" i="22"/>
  <c r="O24" i="21"/>
  <c r="O27" i="4"/>
  <c r="O27" i="3"/>
  <c r="I13" i="17"/>
  <c r="O101" i="37" l="1"/>
  <c r="O102" i="37"/>
  <c r="K26" i="3" l="1"/>
  <c r="L26" i="3" s="1"/>
  <c r="M22" i="22"/>
  <c r="N22" i="22" s="1"/>
  <c r="M22" i="23"/>
  <c r="N22" i="23" s="1"/>
  <c r="K23" i="27"/>
  <c r="L23" i="27" s="1"/>
  <c r="M23" i="27"/>
  <c r="N23" i="27" s="1"/>
  <c r="N101" i="35"/>
  <c r="O101" i="35" s="1"/>
  <c r="L101" i="35"/>
  <c r="M101" i="35" s="1"/>
  <c r="N101" i="34"/>
  <c r="O101" i="34" s="1"/>
  <c r="L101" i="34"/>
  <c r="M101" i="34" s="1"/>
  <c r="N101" i="31"/>
  <c r="O101" i="31" s="1"/>
  <c r="L101" i="31"/>
  <c r="M101" i="31" s="1"/>
  <c r="N101" i="29"/>
  <c r="O101" i="29" s="1"/>
  <c r="M101" i="29"/>
  <c r="L101" i="29"/>
  <c r="N105" i="28"/>
  <c r="O105" i="28" s="1"/>
  <c r="L105" i="28"/>
  <c r="M105" i="28" s="1"/>
  <c r="N105" i="27"/>
  <c r="O105" i="27" s="1"/>
  <c r="L105" i="27"/>
  <c r="M105" i="27" s="1"/>
  <c r="N104" i="26"/>
  <c r="O104" i="26" s="1"/>
  <c r="L104" i="26"/>
  <c r="M104" i="26" s="1"/>
  <c r="N105" i="24"/>
  <c r="O105" i="24" s="1"/>
  <c r="L105" i="24"/>
  <c r="M105" i="24" s="1"/>
  <c r="N103" i="25"/>
  <c r="O103" i="25" s="1"/>
  <c r="L103" i="25"/>
  <c r="M103" i="25" s="1"/>
  <c r="N104" i="23"/>
  <c r="O104" i="23" s="1"/>
  <c r="L104" i="23"/>
  <c r="M104" i="23" s="1"/>
  <c r="N104" i="22"/>
  <c r="O104" i="22" s="1"/>
  <c r="M104" i="22"/>
  <c r="L104" i="22"/>
  <c r="N105" i="21"/>
  <c r="O105" i="21" s="1"/>
  <c r="L105" i="21"/>
  <c r="M105" i="21" s="1"/>
  <c r="N107" i="19"/>
  <c r="O107" i="19" s="1"/>
  <c r="L107" i="19"/>
  <c r="M107" i="19" s="1"/>
  <c r="N107" i="18"/>
  <c r="O107" i="18" s="1"/>
  <c r="L107" i="18"/>
  <c r="M107" i="18" s="1"/>
  <c r="N108" i="4"/>
  <c r="O108" i="4" s="1"/>
  <c r="L108" i="4"/>
  <c r="M108" i="4" s="1"/>
  <c r="N108" i="3"/>
  <c r="O108" i="3" s="1"/>
  <c r="P108" i="3" s="1"/>
  <c r="L108" i="3"/>
  <c r="M108" i="3" s="1"/>
  <c r="P104" i="23" l="1"/>
  <c r="P104" i="22"/>
  <c r="P101" i="29"/>
  <c r="P105" i="21"/>
  <c r="P105" i="24"/>
  <c r="P105" i="28"/>
  <c r="P101" i="35"/>
  <c r="P101" i="31"/>
  <c r="P104" i="26"/>
  <c r="P107" i="19"/>
  <c r="P103" i="25"/>
  <c r="O23" i="27"/>
  <c r="P101" i="34"/>
  <c r="P105" i="27"/>
  <c r="P102" i="37"/>
  <c r="M26" i="3"/>
  <c r="N26" i="3" s="1"/>
  <c r="O26" i="3" s="1"/>
  <c r="M26" i="4"/>
  <c r="N26" i="4" s="1"/>
  <c r="M25" i="18"/>
  <c r="N25" i="18" s="1"/>
  <c r="M25" i="19"/>
  <c r="N25" i="19" s="1"/>
  <c r="M23" i="21"/>
  <c r="N23" i="21" s="1"/>
  <c r="K22" i="22"/>
  <c r="L22" i="22" s="1"/>
  <c r="O22" i="22" s="1"/>
  <c r="K22" i="23"/>
  <c r="L22" i="23" s="1"/>
  <c r="O22" i="23" s="1"/>
  <c r="M23" i="24"/>
  <c r="N23" i="24" s="1"/>
  <c r="M22" i="26"/>
  <c r="N22" i="26" s="1"/>
  <c r="K22" i="26"/>
  <c r="L22" i="26" s="1"/>
  <c r="M20" i="29"/>
  <c r="N20" i="29" s="1"/>
  <c r="K20" i="29"/>
  <c r="L20" i="29" s="1"/>
  <c r="M19" i="31"/>
  <c r="N19" i="31" s="1"/>
  <c r="K19" i="31"/>
  <c r="L19" i="31" s="1"/>
  <c r="M19" i="34"/>
  <c r="N19" i="34" s="1"/>
  <c r="M19" i="35"/>
  <c r="N19" i="35" s="1"/>
  <c r="M21" i="25"/>
  <c r="N21" i="25" s="1"/>
  <c r="P107" i="18"/>
  <c r="P108" i="4"/>
  <c r="O19" i="31" l="1"/>
  <c r="O22" i="26"/>
  <c r="K26" i="4"/>
  <c r="L26" i="4" s="1"/>
  <c r="O26" i="4" s="1"/>
  <c r="K25" i="18"/>
  <c r="L25" i="18" s="1"/>
  <c r="O25" i="18" s="1"/>
  <c r="K25" i="19"/>
  <c r="L25" i="19" s="1"/>
  <c r="O25" i="19" s="1"/>
  <c r="K23" i="21"/>
  <c r="L23" i="21" s="1"/>
  <c r="O23" i="21" s="1"/>
  <c r="K23" i="24"/>
  <c r="L23" i="24" s="1"/>
  <c r="O23" i="24" s="1"/>
  <c r="O20" i="29"/>
  <c r="K19" i="34"/>
  <c r="L19" i="34" s="1"/>
  <c r="O19" i="34" s="1"/>
  <c r="K19" i="35"/>
  <c r="L19" i="35" s="1"/>
  <c r="O19" i="35" s="1"/>
  <c r="K21" i="25"/>
  <c r="L21" i="25" s="1"/>
  <c r="O21" i="25" s="1"/>
  <c r="M17" i="38" l="1"/>
  <c r="K17" i="38"/>
  <c r="M18" i="37"/>
  <c r="K18" i="37"/>
  <c r="L18" i="37" s="1"/>
  <c r="I49" i="17"/>
  <c r="F12" i="1" l="1"/>
  <c r="D49" i="17"/>
  <c r="V37" i="17" l="1"/>
  <c r="W36" i="17"/>
  <c r="D37" i="17"/>
  <c r="D38" i="17"/>
  <c r="D36" i="17"/>
  <c r="D39" i="17"/>
  <c r="F58" i="2" l="1"/>
  <c r="C58" i="2"/>
  <c r="E34" i="2"/>
  <c r="C34" i="2"/>
  <c r="F81" i="2" l="1"/>
  <c r="C81" i="2"/>
  <c r="F75" i="2"/>
  <c r="C75" i="2"/>
  <c r="F47" i="2"/>
  <c r="F46" i="2"/>
  <c r="F45" i="2"/>
  <c r="F44" i="2"/>
  <c r="C47" i="2"/>
  <c r="C46" i="2"/>
  <c r="C45" i="2"/>
  <c r="C44" i="2"/>
  <c r="J95" i="40" l="1"/>
  <c r="J95" i="42"/>
  <c r="J95" i="41"/>
  <c r="J95" i="39"/>
  <c r="J96" i="39" s="1"/>
  <c r="F48" i="2"/>
  <c r="L22" i="17"/>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4" i="38"/>
  <c r="M104" i="38"/>
  <c r="O103" i="38"/>
  <c r="M103" i="38"/>
  <c r="O102" i="38"/>
  <c r="O101" i="38"/>
  <c r="D97" i="38"/>
  <c r="D95" i="38"/>
  <c r="L94" i="38"/>
  <c r="J94" i="38"/>
  <c r="D94" i="38"/>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L22" i="38"/>
  <c r="N21" i="38"/>
  <c r="N20" i="38"/>
  <c r="N19" i="38"/>
  <c r="N18" i="38"/>
  <c r="N17" i="38"/>
  <c r="L17" i="38"/>
  <c r="C17" i="38"/>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K17" i="37"/>
  <c r="L17" i="37" s="1"/>
  <c r="N100" i="35"/>
  <c r="L100" i="35"/>
  <c r="M18" i="35"/>
  <c r="N18" i="35" s="1"/>
  <c r="K18" i="35"/>
  <c r="L18" i="35" s="1"/>
  <c r="N100" i="34"/>
  <c r="L100" i="34"/>
  <c r="M100" i="34" s="1"/>
  <c r="M18" i="34"/>
  <c r="N18" i="34" s="1"/>
  <c r="K18" i="34"/>
  <c r="L18" i="34" s="1"/>
  <c r="N100" i="31"/>
  <c r="L100" i="31"/>
  <c r="M18" i="31"/>
  <c r="N18" i="31" s="1"/>
  <c r="K18" i="31"/>
  <c r="L18" i="31" s="1"/>
  <c r="N100" i="29"/>
  <c r="L100" i="29"/>
  <c r="M100" i="29" s="1"/>
  <c r="M19" i="29"/>
  <c r="N19" i="29" s="1"/>
  <c r="K19" i="29"/>
  <c r="L19" i="29" s="1"/>
  <c r="N104" i="28"/>
  <c r="O104" i="28" s="1"/>
  <c r="L104" i="28"/>
  <c r="M104" i="28" s="1"/>
  <c r="M22" i="28"/>
  <c r="N22" i="28" s="1"/>
  <c r="K22" i="28"/>
  <c r="L22" i="28" s="1"/>
  <c r="N104" i="27"/>
  <c r="O104" i="27" s="1"/>
  <c r="L104" i="27"/>
  <c r="M104" i="27" s="1"/>
  <c r="M22" i="27"/>
  <c r="N22" i="27" s="1"/>
  <c r="K22" i="27"/>
  <c r="L22" i="27" s="1"/>
  <c r="N103" i="26"/>
  <c r="O103" i="26" s="1"/>
  <c r="L103" i="26"/>
  <c r="M103" i="26" s="1"/>
  <c r="P103" i="26" s="1"/>
  <c r="M21" i="26"/>
  <c r="N21" i="26" s="1"/>
  <c r="K21" i="26"/>
  <c r="L21" i="26" s="1"/>
  <c r="O21" i="26" s="1"/>
  <c r="N104" i="24"/>
  <c r="O104" i="24" s="1"/>
  <c r="L104" i="24"/>
  <c r="M104" i="24" s="1"/>
  <c r="M22" i="24"/>
  <c r="N22" i="24" s="1"/>
  <c r="K22" i="24"/>
  <c r="L22" i="24" s="1"/>
  <c r="N102" i="25"/>
  <c r="O102" i="25" s="1"/>
  <c r="L102" i="25"/>
  <c r="M102" i="25" s="1"/>
  <c r="M20" i="25"/>
  <c r="N20" i="25" s="1"/>
  <c r="K20" i="25"/>
  <c r="L20" i="25" s="1"/>
  <c r="N103" i="23"/>
  <c r="O103" i="23" s="1"/>
  <c r="L103" i="23"/>
  <c r="M103" i="23" s="1"/>
  <c r="M21" i="23"/>
  <c r="N21" i="23" s="1"/>
  <c r="K21" i="23"/>
  <c r="L21" i="23" s="1"/>
  <c r="N103" i="22"/>
  <c r="O103" i="22" s="1"/>
  <c r="L103" i="22"/>
  <c r="M103" i="22" s="1"/>
  <c r="M21" i="22"/>
  <c r="N21" i="22" s="1"/>
  <c r="K21" i="22"/>
  <c r="L21" i="22" s="1"/>
  <c r="N104" i="21"/>
  <c r="O104" i="21" s="1"/>
  <c r="L104" i="21"/>
  <c r="M104" i="21" s="1"/>
  <c r="M22" i="21"/>
  <c r="N22" i="21" s="1"/>
  <c r="K22" i="21"/>
  <c r="L22" i="21" s="1"/>
  <c r="O22" i="21" s="1"/>
  <c r="N106" i="19"/>
  <c r="O106" i="19" s="1"/>
  <c r="M106" i="19"/>
  <c r="L106" i="19"/>
  <c r="M24" i="19"/>
  <c r="N24" i="19" s="1"/>
  <c r="K24" i="19"/>
  <c r="L24" i="19" s="1"/>
  <c r="N106" i="18"/>
  <c r="O106" i="18" s="1"/>
  <c r="P106" i="18" s="1"/>
  <c r="L106" i="18"/>
  <c r="M106" i="18" s="1"/>
  <c r="M24" i="18"/>
  <c r="N24" i="18" s="1"/>
  <c r="K24" i="18"/>
  <c r="L24" i="18" s="1"/>
  <c r="N107" i="4"/>
  <c r="O107" i="4" s="1"/>
  <c r="L107" i="4"/>
  <c r="M107" i="4" s="1"/>
  <c r="M25" i="3"/>
  <c r="N25" i="3" s="1"/>
  <c r="K25" i="3"/>
  <c r="L25" i="3" s="1"/>
  <c r="N107" i="3"/>
  <c r="O107" i="3" s="1"/>
  <c r="L107" i="3"/>
  <c r="M107" i="3" s="1"/>
  <c r="M25" i="4"/>
  <c r="N25" i="4" s="1"/>
  <c r="K25" i="4"/>
  <c r="L25" i="4" s="1"/>
  <c r="M17" i="31"/>
  <c r="K17" i="31"/>
  <c r="L17" i="31" s="1"/>
  <c r="M17" i="35"/>
  <c r="N17" i="35" s="1"/>
  <c r="K17" i="35"/>
  <c r="L17" i="35" s="1"/>
  <c r="M17" i="34"/>
  <c r="N17" i="34" s="1"/>
  <c r="K17" i="34"/>
  <c r="L17" i="34" s="1"/>
  <c r="C86" i="1"/>
  <c r="C79" i="1"/>
  <c r="F73" i="1"/>
  <c r="C63" i="1"/>
  <c r="F45" i="1"/>
  <c r="C44" i="1"/>
  <c r="F43" i="1"/>
  <c r="E31" i="1"/>
  <c r="C24" i="1"/>
  <c r="D18" i="1"/>
  <c r="I10" i="13"/>
  <c r="F57" i="1"/>
  <c r="C46" i="1"/>
  <c r="C57"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4" i="37"/>
  <c r="M104" i="37"/>
  <c r="O103" i="37"/>
  <c r="M103" i="37"/>
  <c r="D97" i="37"/>
  <c r="D95" i="37"/>
  <c r="L94" i="37"/>
  <c r="J94" i="37"/>
  <c r="D94" i="37"/>
  <c r="C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L54" i="37"/>
  <c r="N53" i="37"/>
  <c r="L53" i="37"/>
  <c r="N52" i="37"/>
  <c r="L52" i="37"/>
  <c r="N51" i="37"/>
  <c r="L51" i="37"/>
  <c r="N50" i="37"/>
  <c r="L50" i="37"/>
  <c r="N49" i="37"/>
  <c r="L49" i="37"/>
  <c r="N48" i="37"/>
  <c r="L48" i="37"/>
  <c r="N47" i="37"/>
  <c r="L47" i="37"/>
  <c r="N46" i="37"/>
  <c r="L46" i="37"/>
  <c r="N45" i="37"/>
  <c r="L45" i="37"/>
  <c r="N44" i="37"/>
  <c r="L44" i="37"/>
  <c r="N43" i="37"/>
  <c r="L43" i="37"/>
  <c r="N42" i="37"/>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L22" i="37"/>
  <c r="N21" i="37"/>
  <c r="N19" i="37"/>
  <c r="N18"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s="1"/>
  <c r="K18" i="29"/>
  <c r="O103" i="28"/>
  <c r="N103" i="28"/>
  <c r="L103" i="28"/>
  <c r="M103" i="28" s="1"/>
  <c r="M21" i="28"/>
  <c r="N21" i="28" s="1"/>
  <c r="K21" i="28"/>
  <c r="L21" i="28" s="1"/>
  <c r="N103" i="27"/>
  <c r="O103" i="27" s="1"/>
  <c r="L103" i="27"/>
  <c r="M103" i="27" s="1"/>
  <c r="M21" i="27"/>
  <c r="N21" i="27" s="1"/>
  <c r="K21" i="27"/>
  <c r="L21" i="27" s="1"/>
  <c r="N102" i="26"/>
  <c r="O102" i="26" s="1"/>
  <c r="L102" i="26"/>
  <c r="M102" i="26" s="1"/>
  <c r="M20" i="26"/>
  <c r="N20" i="26" s="1"/>
  <c r="O20" i="26" s="1"/>
  <c r="K20" i="26"/>
  <c r="L20" i="26" s="1"/>
  <c r="N103" i="24"/>
  <c r="O103" i="24" s="1"/>
  <c r="P103" i="24" s="1"/>
  <c r="L103" i="24"/>
  <c r="M103" i="24" s="1"/>
  <c r="M21" i="24"/>
  <c r="K21" i="24"/>
  <c r="L21" i="24" s="1"/>
  <c r="N101" i="25"/>
  <c r="O101" i="25" s="1"/>
  <c r="L101" i="25"/>
  <c r="M101" i="25" s="1"/>
  <c r="M19" i="25"/>
  <c r="N19" i="25" s="1"/>
  <c r="O19" i="25" s="1"/>
  <c r="K19" i="25"/>
  <c r="L19" i="25" s="1"/>
  <c r="N102" i="23"/>
  <c r="O102" i="23" s="1"/>
  <c r="L102" i="23"/>
  <c r="M102" i="23" s="1"/>
  <c r="M20" i="23"/>
  <c r="N20" i="23" s="1"/>
  <c r="K20" i="23"/>
  <c r="L20" i="23"/>
  <c r="N102" i="22"/>
  <c r="O102" i="22" s="1"/>
  <c r="L102" i="22"/>
  <c r="M102" i="22" s="1"/>
  <c r="M20" i="22"/>
  <c r="N20" i="22" s="1"/>
  <c r="O20" i="22" s="1"/>
  <c r="K20" i="22"/>
  <c r="L20" i="22" s="1"/>
  <c r="I20" i="22"/>
  <c r="N103" i="21"/>
  <c r="O103" i="21" s="1"/>
  <c r="L103" i="21"/>
  <c r="M103" i="21" s="1"/>
  <c r="M21" i="21"/>
  <c r="N21" i="21" s="1"/>
  <c r="K21" i="21"/>
  <c r="L21" i="21" s="1"/>
  <c r="N105" i="19"/>
  <c r="O105" i="19" s="1"/>
  <c r="P105" i="19" s="1"/>
  <c r="L105" i="19"/>
  <c r="M105" i="19" s="1"/>
  <c r="M23" i="19"/>
  <c r="N23" i="19" s="1"/>
  <c r="O23" i="19" s="1"/>
  <c r="K23" i="19"/>
  <c r="L23" i="19" s="1"/>
  <c r="N105" i="18"/>
  <c r="O105" i="18" s="1"/>
  <c r="L105" i="18"/>
  <c r="M105" i="18" s="1"/>
  <c r="M23" i="18"/>
  <c r="N23" i="18" s="1"/>
  <c r="K23" i="18"/>
  <c r="L23" i="18" s="1"/>
  <c r="N106" i="4"/>
  <c r="O106" i="4" s="1"/>
  <c r="P106" i="4" s="1"/>
  <c r="L106" i="4"/>
  <c r="M106" i="4"/>
  <c r="M24" i="4"/>
  <c r="N24" i="4" s="1"/>
  <c r="K24" i="4"/>
  <c r="L24" i="4" s="1"/>
  <c r="N106" i="3"/>
  <c r="O106" i="3"/>
  <c r="L106" i="3"/>
  <c r="M106" i="3" s="1"/>
  <c r="M24" i="3"/>
  <c r="N24" i="3" s="1"/>
  <c r="K24" i="3"/>
  <c r="L24" i="3"/>
  <c r="K17" i="29"/>
  <c r="L17" i="29" s="1"/>
  <c r="F66" i="2"/>
  <c r="C66" i="2"/>
  <c r="I10" i="35"/>
  <c r="I10" i="34"/>
  <c r="D95" i="34" s="1"/>
  <c r="I10" i="31"/>
  <c r="I10" i="28"/>
  <c r="I10" i="27"/>
  <c r="I10" i="24"/>
  <c r="I10" i="25"/>
  <c r="D95" i="25" s="1"/>
  <c r="I10" i="23"/>
  <c r="D94" i="23" s="1"/>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I10" i="21"/>
  <c r="I10" i="20"/>
  <c r="D93" i="20" s="1"/>
  <c r="J97" i="20" s="1"/>
  <c r="I10" i="19"/>
  <c r="D95" i="19" s="1"/>
  <c r="I10" i="4"/>
  <c r="D93" i="4" s="1"/>
  <c r="B106" i="4"/>
  <c r="I10" i="3"/>
  <c r="D93" i="3" s="1"/>
  <c r="N73" i="13"/>
  <c r="L73" i="13"/>
  <c r="N72" i="13"/>
  <c r="L72" i="13"/>
  <c r="N73" i="35"/>
  <c r="L73" i="35"/>
  <c r="N72" i="35"/>
  <c r="L72" i="35"/>
  <c r="N73" i="34"/>
  <c r="L73" i="34"/>
  <c r="N72" i="34"/>
  <c r="L72" i="34"/>
  <c r="D95" i="13"/>
  <c r="D94" i="13"/>
  <c r="W32" i="17"/>
  <c r="W33" i="17"/>
  <c r="W34" i="17"/>
  <c r="O42" i="17"/>
  <c r="N42"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5" i="35"/>
  <c r="M105" i="35"/>
  <c r="O104" i="35"/>
  <c r="M104" i="35"/>
  <c r="O103" i="35"/>
  <c r="O102" i="35"/>
  <c r="O100" i="35"/>
  <c r="P100" i="35" s="1"/>
  <c r="M100"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L23" i="35"/>
  <c r="N22" i="35"/>
  <c r="N21" i="35"/>
  <c r="N20"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5" i="34"/>
  <c r="M105" i="34"/>
  <c r="O104" i="34"/>
  <c r="M104" i="34"/>
  <c r="O103" i="34"/>
  <c r="O102" i="34"/>
  <c r="O100"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L23" i="34"/>
  <c r="N22" i="34"/>
  <c r="N21" i="34"/>
  <c r="N20" i="34"/>
  <c r="C17" i="34"/>
  <c r="C18" i="34" s="1"/>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C45" i="34" s="1"/>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7" i="34"/>
  <c r="K11" i="34"/>
  <c r="I11" i="34"/>
  <c r="D8" i="34"/>
  <c r="D91" i="34" s="1"/>
  <c r="B21" i="28"/>
  <c r="B22" i="19"/>
  <c r="D93" i="25"/>
  <c r="N102" i="28"/>
  <c r="L102" i="28"/>
  <c r="M102" i="28" s="1"/>
  <c r="N102" i="27"/>
  <c r="O102" i="27" s="1"/>
  <c r="L102" i="27"/>
  <c r="M102" i="27" s="1"/>
  <c r="N101" i="26"/>
  <c r="L101" i="26"/>
  <c r="M101" i="26" s="1"/>
  <c r="N102" i="24"/>
  <c r="O102" i="24" s="1"/>
  <c r="P102" i="24" s="1"/>
  <c r="L102" i="24"/>
  <c r="M102" i="24"/>
  <c r="N100" i="25"/>
  <c r="O100" i="25" s="1"/>
  <c r="P100" i="25" s="1"/>
  <c r="L100" i="25"/>
  <c r="M100" i="25" s="1"/>
  <c r="L101" i="23"/>
  <c r="M101" i="23"/>
  <c r="N101" i="23"/>
  <c r="O101" i="23" s="1"/>
  <c r="P101" i="23" s="1"/>
  <c r="L101" i="22"/>
  <c r="M101" i="22" s="1"/>
  <c r="N101" i="22"/>
  <c r="O101" i="22" s="1"/>
  <c r="L102" i="21"/>
  <c r="M102" i="21" s="1"/>
  <c r="N102" i="21"/>
  <c r="O102" i="21" s="1"/>
  <c r="P102" i="21" s="1"/>
  <c r="L104" i="19"/>
  <c r="M104" i="19" s="1"/>
  <c r="N104" i="19"/>
  <c r="O104" i="19" s="1"/>
  <c r="L104" i="18"/>
  <c r="M104" i="18" s="1"/>
  <c r="N104" i="18"/>
  <c r="O104" i="18" s="1"/>
  <c r="P104" i="18" s="1"/>
  <c r="L105" i="3"/>
  <c r="M105" i="3" s="1"/>
  <c r="N105" i="3"/>
  <c r="O105" i="3" s="1"/>
  <c r="M17" i="29"/>
  <c r="N17" i="29" s="1"/>
  <c r="O17" i="29" s="1"/>
  <c r="K20" i="28"/>
  <c r="L20" i="28" s="1"/>
  <c r="M20" i="28"/>
  <c r="K20" i="27"/>
  <c r="L20" i="27" s="1"/>
  <c r="M20" i="27"/>
  <c r="K19" i="26"/>
  <c r="L19" i="26" s="1"/>
  <c r="M19" i="26"/>
  <c r="N19" i="26" s="1"/>
  <c r="K20" i="24"/>
  <c r="L20" i="24"/>
  <c r="M20" i="24"/>
  <c r="N20" i="24" s="1"/>
  <c r="O20" i="24" s="1"/>
  <c r="K18" i="25"/>
  <c r="L18" i="25" s="1"/>
  <c r="M18" i="25"/>
  <c r="K19" i="23"/>
  <c r="L19" i="23" s="1"/>
  <c r="M19" i="23"/>
  <c r="N19" i="23" s="1"/>
  <c r="K19" i="22"/>
  <c r="L19" i="22" s="1"/>
  <c r="M19" i="22"/>
  <c r="K20" i="21"/>
  <c r="L20" i="21" s="1"/>
  <c r="M20" i="21"/>
  <c r="N20" i="21" s="1"/>
  <c r="O20" i="21" s="1"/>
  <c r="K22" i="19"/>
  <c r="L22" i="19" s="1"/>
  <c r="M22" i="19"/>
  <c r="K22" i="18"/>
  <c r="L22" i="18"/>
  <c r="O22" i="18" s="1"/>
  <c r="M22" i="18"/>
  <c r="K23" i="4"/>
  <c r="L23" i="4" s="1"/>
  <c r="M23" i="4"/>
  <c r="N23" i="4"/>
  <c r="K23" i="3"/>
  <c r="L23" i="3" s="1"/>
  <c r="O23" i="3" s="1"/>
  <c r="M23" i="3"/>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s="1"/>
  <c r="N105" i="4"/>
  <c r="O105" i="4"/>
  <c r="L104" i="3"/>
  <c r="M104" i="3" s="1"/>
  <c r="N23" i="3"/>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M100" i="3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5" i="31"/>
  <c r="M105" i="31"/>
  <c r="O104" i="31"/>
  <c r="M104" i="31"/>
  <c r="O103" i="31"/>
  <c r="O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L23" i="31"/>
  <c r="N22" i="31"/>
  <c r="N21" i="31"/>
  <c r="N20" i="31"/>
  <c r="N17" i="31"/>
  <c r="O17" i="31" s="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7" i="1"/>
  <c r="D93" i="19"/>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6" i="29"/>
  <c r="M106" i="29"/>
  <c r="O105" i="29"/>
  <c r="M105" i="29"/>
  <c r="O104" i="29"/>
  <c r="M104" i="29"/>
  <c r="O103" i="29"/>
  <c r="O102" i="29"/>
  <c r="O100" i="29"/>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L24" i="29"/>
  <c r="N23" i="29"/>
  <c r="N22" i="29"/>
  <c r="N21" i="29"/>
  <c r="C17" i="29"/>
  <c r="C18" i="29"/>
  <c r="C19" i="29" s="1"/>
  <c r="C20" i="29" s="1"/>
  <c r="C21" i="29" s="1"/>
  <c r="C22" i="29" s="1"/>
  <c r="C23" i="29" s="1"/>
  <c r="C24" i="29" s="1"/>
  <c r="C25" i="29" s="1"/>
  <c r="C26" i="29" s="1"/>
  <c r="C27" i="29" s="1"/>
  <c r="C28" i="29" s="1"/>
  <c r="C29" i="29" s="1"/>
  <c r="C30" i="29" s="1"/>
  <c r="C31" i="29" s="1"/>
  <c r="C32" i="29" s="1"/>
  <c r="K11" i="29"/>
  <c r="I11" i="29"/>
  <c r="D8" i="29"/>
  <c r="D91" i="29" s="1"/>
  <c r="B100" i="22"/>
  <c r="B18" i="22"/>
  <c r="B17" i="22"/>
  <c r="B102" i="28"/>
  <c r="B20" i="28"/>
  <c r="B19" i="28"/>
  <c r="B18" i="28"/>
  <c r="B17" i="28"/>
  <c r="D95" i="28"/>
  <c r="D94" i="28"/>
  <c r="M19" i="28"/>
  <c r="N19" i="28"/>
  <c r="K19" i="28"/>
  <c r="L19" i="28" s="1"/>
  <c r="D95" i="27"/>
  <c r="C100" i="27"/>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B20" i="27"/>
  <c r="B19" i="27"/>
  <c r="B18" i="27"/>
  <c r="B17" i="27"/>
  <c r="M19" i="27"/>
  <c r="N19" i="27" s="1"/>
  <c r="K19" i="27"/>
  <c r="L19" i="27" s="1"/>
  <c r="M18" i="27"/>
  <c r="N18" i="27" s="1"/>
  <c r="K18" i="27"/>
  <c r="L18" i="27" s="1"/>
  <c r="B101" i="26"/>
  <c r="D95" i="26"/>
  <c r="D94" i="26"/>
  <c r="B18" i="26"/>
  <c r="B17" i="26"/>
  <c r="B20" i="24"/>
  <c r="B19" i="24"/>
  <c r="B18" i="24"/>
  <c r="B17" i="24"/>
  <c r="B19" i="26"/>
  <c r="M18" i="26"/>
  <c r="N18" i="26"/>
  <c r="K18" i="26"/>
  <c r="L18" i="26" s="1"/>
  <c r="D95" i="24"/>
  <c r="D94" i="24"/>
  <c r="M19" i="24"/>
  <c r="N19" i="24" s="1"/>
  <c r="K19" i="24"/>
  <c r="L19" i="24" s="1"/>
  <c r="O19" i="24" s="1"/>
  <c r="B17" i="25"/>
  <c r="B19" i="23"/>
  <c r="B18" i="23"/>
  <c r="B17" i="23"/>
  <c r="B18" i="25"/>
  <c r="M17" i="25"/>
  <c r="N17" i="25" s="1"/>
  <c r="K17" i="25"/>
  <c r="L17" i="25" s="1"/>
  <c r="O17" i="25" s="1"/>
  <c r="N100" i="23"/>
  <c r="O100" i="23" s="1"/>
  <c r="L100" i="23"/>
  <c r="M100" i="23" s="1"/>
  <c r="M18" i="23"/>
  <c r="N18" i="23" s="1"/>
  <c r="O18" i="23" s="1"/>
  <c r="L18" i="23"/>
  <c r="K18" i="23"/>
  <c r="B101" i="22"/>
  <c r="N100" i="22"/>
  <c r="O100" i="22" s="1"/>
  <c r="L100" i="22"/>
  <c r="M100" i="22" s="1"/>
  <c r="B102" i="27"/>
  <c r="B19" i="22"/>
  <c r="M18" i="22"/>
  <c r="N18" i="22" s="1"/>
  <c r="K18" i="22"/>
  <c r="L18" i="22" s="1"/>
  <c r="M19" i="21"/>
  <c r="N19" i="21" s="1"/>
  <c r="K19" i="21"/>
  <c r="L19" i="21" s="1"/>
  <c r="O19" i="21" s="1"/>
  <c r="N103" i="19"/>
  <c r="O103" i="19" s="1"/>
  <c r="L103" i="19"/>
  <c r="M103" i="19" s="1"/>
  <c r="M21" i="19"/>
  <c r="N21" i="19" s="1"/>
  <c r="K21" i="19"/>
  <c r="L21" i="19" s="1"/>
  <c r="N103" i="18"/>
  <c r="O103" i="18" s="1"/>
  <c r="L103" i="18"/>
  <c r="M103" i="18" s="1"/>
  <c r="M21" i="18"/>
  <c r="N21" i="18" s="1"/>
  <c r="K21" i="18"/>
  <c r="L21" i="18" s="1"/>
  <c r="N104" i="4"/>
  <c r="O104" i="4" s="1"/>
  <c r="L104" i="4"/>
  <c r="M104" i="4" s="1"/>
  <c r="M22" i="4"/>
  <c r="N22" i="4" s="1"/>
  <c r="K22" i="4"/>
  <c r="L22" i="4" s="1"/>
  <c r="N104" i="3"/>
  <c r="O104" i="3" s="1"/>
  <c r="M22" i="3"/>
  <c r="N22" i="3" s="1"/>
  <c r="K22" i="3"/>
  <c r="L22" i="3" s="1"/>
  <c r="W30" i="17"/>
  <c r="W29" i="17"/>
  <c r="M18" i="28"/>
  <c r="N18" i="28" s="1"/>
  <c r="O18" i="28" s="1"/>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M106" i="28"/>
  <c r="O102" i="28"/>
  <c r="P102" i="28" s="1"/>
  <c r="O101" i="28"/>
  <c r="P101" i="28" s="1"/>
  <c r="M101" i="28"/>
  <c r="O100" i="28"/>
  <c r="M100" i="28"/>
  <c r="P100" i="28" s="1"/>
  <c r="C100" i="28"/>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L24" i="28"/>
  <c r="N23" i="28"/>
  <c r="L23" i="28"/>
  <c r="N20" i="28"/>
  <c r="C17" i="28"/>
  <c r="C18" i="28" s="1"/>
  <c r="C19" i="28" s="1"/>
  <c r="C20" i="28" s="1"/>
  <c r="C21" i="28" s="1"/>
  <c r="C22" i="28" s="1"/>
  <c r="C23" i="28" s="1"/>
  <c r="C24" i="28" s="1"/>
  <c r="C25" i="28" s="1"/>
  <c r="C26" i="28" s="1"/>
  <c r="C27" i="28" s="1"/>
  <c r="C28" i="28" s="1"/>
  <c r="C29" i="28" s="1"/>
  <c r="C30" i="28" s="1"/>
  <c r="C31" i="28" s="1"/>
  <c r="C32" i="28" s="1"/>
  <c r="K11" i="28"/>
  <c r="I11" i="28"/>
  <c r="M17" i="27"/>
  <c r="N17" i="27" s="1"/>
  <c r="K17" i="27"/>
  <c r="L17" i="27" s="1"/>
  <c r="M17" i="26"/>
  <c r="N17" i="26" s="1"/>
  <c r="O17" i="26" s="1"/>
  <c r="K17" i="26"/>
  <c r="L17" i="26" s="1"/>
  <c r="M18" i="24"/>
  <c r="N18" i="24" s="1"/>
  <c r="K18" i="24"/>
  <c r="L18" i="24" s="1"/>
  <c r="M17" i="24"/>
  <c r="N17" i="24" s="1"/>
  <c r="K17" i="24"/>
  <c r="L17" i="24" s="1"/>
  <c r="N102" i="18"/>
  <c r="O102" i="18" s="1"/>
  <c r="L102" i="18"/>
  <c r="M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8" i="27"/>
  <c r="M108" i="27"/>
  <c r="O107" i="27"/>
  <c r="M107" i="27"/>
  <c r="O106" i="27"/>
  <c r="O101" i="27"/>
  <c r="M101" i="27"/>
  <c r="P101" i="27" s="1"/>
  <c r="O100" i="27"/>
  <c r="M100" i="27"/>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L26" i="27"/>
  <c r="N25" i="27"/>
  <c r="N24" i="27"/>
  <c r="N20" i="27"/>
  <c r="C17" i="27"/>
  <c r="C18" i="27" s="1"/>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8" i="26"/>
  <c r="M108" i="26"/>
  <c r="O107" i="26"/>
  <c r="M107" i="26"/>
  <c r="O106" i="26"/>
  <c r="O105" i="26"/>
  <c r="O101" i="26"/>
  <c r="P101" i="26" s="1"/>
  <c r="O100" i="26"/>
  <c r="P100" i="26" s="1"/>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L26" i="26"/>
  <c r="N25" i="26"/>
  <c r="N24" i="26"/>
  <c r="C17" i="26"/>
  <c r="C18" i="26" s="1"/>
  <c r="C19" i="26" s="1"/>
  <c r="C20" i="26" s="1"/>
  <c r="C21" i="26" s="1"/>
  <c r="C22" i="26" s="1"/>
  <c r="C23" i="26" s="1"/>
  <c r="C24" i="26" s="1"/>
  <c r="C25" i="26" s="1"/>
  <c r="C26" i="26" s="1"/>
  <c r="C27" i="26" s="1"/>
  <c r="C28" i="26" s="1"/>
  <c r="C29" i="26" s="1"/>
  <c r="C30" i="26" s="1"/>
  <c r="C31" i="26" s="1"/>
  <c r="C32" i="26" s="1"/>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7" i="25"/>
  <c r="M107" i="25"/>
  <c r="O106" i="25"/>
  <c r="M106" i="25"/>
  <c r="O105" i="25"/>
  <c r="O104" i="25"/>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L25" i="25"/>
  <c r="N24" i="25"/>
  <c r="N23" i="25"/>
  <c r="N18" i="25"/>
  <c r="C17" i="25"/>
  <c r="C18" i="25" s="1"/>
  <c r="C19" i="25" s="1"/>
  <c r="C20" i="25" s="1"/>
  <c r="C21" i="25" s="1"/>
  <c r="C22" i="25" s="1"/>
  <c r="C23" i="25" s="1"/>
  <c r="C24" i="25" s="1"/>
  <c r="C25" i="25" s="1"/>
  <c r="C26" i="25" s="1"/>
  <c r="C27" i="25" s="1"/>
  <c r="C28" i="25" s="1"/>
  <c r="C29" i="25" s="1"/>
  <c r="C30" i="25" s="1"/>
  <c r="C31" i="25" s="1"/>
  <c r="C32" i="25" s="1"/>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9" i="24"/>
  <c r="M109" i="24"/>
  <c r="O108" i="24"/>
  <c r="M108" i="24"/>
  <c r="O107" i="24"/>
  <c r="O106" i="24"/>
  <c r="O101" i="24"/>
  <c r="M101" i="24"/>
  <c r="O100" i="24"/>
  <c r="P100" i="24" s="1"/>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L27" i="24"/>
  <c r="N26" i="24"/>
  <c r="N25"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K17" i="23"/>
  <c r="L17" i="23" s="1"/>
  <c r="M17" i="22"/>
  <c r="N17" i="22"/>
  <c r="O17" i="22" s="1"/>
  <c r="K17" i="22"/>
  <c r="L17" i="22" s="1"/>
  <c r="N101" i="21"/>
  <c r="O101" i="21" s="1"/>
  <c r="P101" i="21" s="1"/>
  <c r="L101" i="21"/>
  <c r="M101" i="21" s="1"/>
  <c r="M18" i="21"/>
  <c r="N18" i="21" s="1"/>
  <c r="K18" i="21"/>
  <c r="L18" i="21" s="1"/>
  <c r="N102" i="19"/>
  <c r="O102" i="19" s="1"/>
  <c r="L102" i="19"/>
  <c r="M102" i="19"/>
  <c r="P102" i="19" s="1"/>
  <c r="M20" i="19"/>
  <c r="N20" i="19" s="1"/>
  <c r="K20" i="19"/>
  <c r="L20" i="19" s="1"/>
  <c r="M20" i="18"/>
  <c r="N20" i="18" s="1"/>
  <c r="K20" i="18"/>
  <c r="L20" i="18" s="1"/>
  <c r="N103" i="4"/>
  <c r="O103" i="4" s="1"/>
  <c r="L103" i="4"/>
  <c r="M103" i="4" s="1"/>
  <c r="M21" i="4"/>
  <c r="N21" i="4" s="1"/>
  <c r="K21" i="4"/>
  <c r="L21" i="4" s="1"/>
  <c r="N103" i="3"/>
  <c r="O103" i="3" s="1"/>
  <c r="P103" i="3" s="1"/>
  <c r="L103" i="3"/>
  <c r="M103" i="3" s="1"/>
  <c r="M21" i="3"/>
  <c r="N21" i="3" s="1"/>
  <c r="K21" i="3"/>
  <c r="L21" i="3" s="1"/>
  <c r="O21" i="3" s="1"/>
  <c r="D8" i="23"/>
  <c r="D91" i="23" s="1"/>
  <c r="D8" i="22"/>
  <c r="D91" i="22" s="1"/>
  <c r="D8" i="21"/>
  <c r="D91" i="19"/>
  <c r="D8" i="18"/>
  <c r="D91" i="18" s="1"/>
  <c r="D8" i="4"/>
  <c r="D91" i="4" s="1"/>
  <c r="D8" i="3"/>
  <c r="D91" i="3" s="1"/>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8" i="23"/>
  <c r="M108" i="23"/>
  <c r="O107" i="23"/>
  <c r="M107" i="23"/>
  <c r="O106" i="23"/>
  <c r="O105" i="23"/>
  <c r="D97" i="23"/>
  <c r="L94" i="23"/>
  <c r="J94" i="23"/>
  <c r="D92"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L26" i="23"/>
  <c r="N25" i="23"/>
  <c r="N24"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8" i="22"/>
  <c r="M108" i="22"/>
  <c r="O107" i="22"/>
  <c r="M107" i="22"/>
  <c r="O106" i="22"/>
  <c r="O105"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L26" i="22"/>
  <c r="N25" i="22"/>
  <c r="N24" i="22"/>
  <c r="N19" i="22"/>
  <c r="C17" i="22"/>
  <c r="C18" i="22" s="1"/>
  <c r="C19" i="22" s="1"/>
  <c r="C20" i="22" s="1"/>
  <c r="C21" i="22" s="1"/>
  <c r="C22" i="22" s="1"/>
  <c r="C23" i="22" s="1"/>
  <c r="C24" i="22" s="1"/>
  <c r="C25" i="22" s="1"/>
  <c r="C26" i="22" s="1"/>
  <c r="C27" i="22" s="1"/>
  <c r="C28" i="22" s="1"/>
  <c r="C29" i="22" s="1"/>
  <c r="C30" i="22" s="1"/>
  <c r="C31" i="22" s="1"/>
  <c r="C32" i="22" s="1"/>
  <c r="K11" i="22"/>
  <c r="I11" i="22"/>
  <c r="N100" i="21"/>
  <c r="O100" i="21" s="1"/>
  <c r="L100" i="21"/>
  <c r="M100" i="21" s="1"/>
  <c r="N101" i="19"/>
  <c r="O101" i="19" s="1"/>
  <c r="L101" i="19"/>
  <c r="M101" i="19" s="1"/>
  <c r="M19" i="19"/>
  <c r="N19" i="19" s="1"/>
  <c r="K19" i="19"/>
  <c r="L19" i="19" s="1"/>
  <c r="N101" i="18"/>
  <c r="O101" i="18" s="1"/>
  <c r="P101" i="18" s="1"/>
  <c r="L101" i="18"/>
  <c r="M101" i="18" s="1"/>
  <c r="M19" i="18"/>
  <c r="N19" i="18" s="1"/>
  <c r="K19" i="18"/>
  <c r="L19" i="18" s="1"/>
  <c r="N102" i="4"/>
  <c r="O102" i="4" s="1"/>
  <c r="L102" i="4"/>
  <c r="M102" i="4" s="1"/>
  <c r="M20" i="4"/>
  <c r="N20" i="4" s="1"/>
  <c r="K20" i="4"/>
  <c r="L20" i="4" s="1"/>
  <c r="O20" i="4" s="1"/>
  <c r="M20" i="3"/>
  <c r="N20" i="3" s="1"/>
  <c r="K20" i="3"/>
  <c r="L20" i="3" s="1"/>
  <c r="N102" i="3"/>
  <c r="O102" i="3" s="1"/>
  <c r="L102" i="3"/>
  <c r="M102" i="3" s="1"/>
  <c r="F79" i="1"/>
  <c r="I12" i="43" s="1"/>
  <c r="W23" i="17"/>
  <c r="W22" i="17"/>
  <c r="B21" i="18"/>
  <c r="B19" i="21"/>
  <c r="B21" i="3"/>
  <c r="M17" i="21"/>
  <c r="K17" i="21"/>
  <c r="L17" i="21" s="1"/>
  <c r="M17" i="20"/>
  <c r="N17" i="20" s="1"/>
  <c r="K17" i="20"/>
  <c r="L17" i="20" s="1"/>
  <c r="N100" i="19"/>
  <c r="O100" i="19" s="1"/>
  <c r="L100" i="19"/>
  <c r="M18" i="19"/>
  <c r="K18" i="19"/>
  <c r="L18" i="19" s="1"/>
  <c r="N100" i="18"/>
  <c r="L100" i="18"/>
  <c r="M100" i="18" s="1"/>
  <c r="P100" i="18" s="1"/>
  <c r="M18" i="18"/>
  <c r="K18" i="18"/>
  <c r="L18" i="18" s="1"/>
  <c r="N101" i="4"/>
  <c r="L101" i="4"/>
  <c r="M101" i="4" s="1"/>
  <c r="M19" i="4"/>
  <c r="K19" i="4"/>
  <c r="L19" i="4" s="1"/>
  <c r="N101" i="3"/>
  <c r="L101" i="3"/>
  <c r="M101" i="3" s="1"/>
  <c r="M19" i="3"/>
  <c r="N19" i="3" s="1"/>
  <c r="O19" i="3" s="1"/>
  <c r="K19" i="3"/>
  <c r="L19" i="3" s="1"/>
  <c r="J95" i="31"/>
  <c r="D94" i="3"/>
  <c r="C100" i="3" s="1"/>
  <c r="C17" i="3"/>
  <c r="C18" i="3" s="1"/>
  <c r="C19" i="3" s="1"/>
  <c r="C20" i="3" s="1"/>
  <c r="C21" i="3" s="1"/>
  <c r="C22" i="3" s="1"/>
  <c r="C23" i="3" s="1"/>
  <c r="C24" i="3" s="1"/>
  <c r="C25" i="3" s="1"/>
  <c r="C26" i="3" s="1"/>
  <c r="C27" i="3" s="1"/>
  <c r="C28" i="3" s="1"/>
  <c r="C29" i="3" s="1"/>
  <c r="C30" i="3" s="1"/>
  <c r="C31" i="3" s="1"/>
  <c r="C32" i="3" s="1"/>
  <c r="K18" i="3"/>
  <c r="L18" i="3" s="1"/>
  <c r="C17" i="4"/>
  <c r="C18" i="4" s="1"/>
  <c r="C19" i="4" s="1"/>
  <c r="C20" i="4" s="1"/>
  <c r="C21" i="4" s="1"/>
  <c r="C22" i="4" s="1"/>
  <c r="C23" i="4" s="1"/>
  <c r="C24" i="4" s="1"/>
  <c r="C25" i="4" s="1"/>
  <c r="C26" i="4" s="1"/>
  <c r="C27" i="4" s="1"/>
  <c r="C28" i="4" s="1"/>
  <c r="C29" i="4" s="1"/>
  <c r="C30" i="4" s="1"/>
  <c r="C31" i="4" s="1"/>
  <c r="C32" i="4" s="1"/>
  <c r="K18" i="4"/>
  <c r="C17" i="18"/>
  <c r="C18" i="18" s="1"/>
  <c r="C19" i="18" s="1"/>
  <c r="C20" i="18" s="1"/>
  <c r="C21" i="18" s="1"/>
  <c r="C22" i="18" s="1"/>
  <c r="C23" i="18" s="1"/>
  <c r="C24" i="18" s="1"/>
  <c r="C25" i="18" s="1"/>
  <c r="C26" i="18" s="1"/>
  <c r="C27" i="18" s="1"/>
  <c r="C28" i="18" s="1"/>
  <c r="C29" i="18" s="1"/>
  <c r="C30" i="18" s="1"/>
  <c r="C31" i="18" s="1"/>
  <c r="C32" i="18" s="1"/>
  <c r="K17" i="18"/>
  <c r="C17" i="19"/>
  <c r="C18" i="19"/>
  <c r="C19" i="19" s="1"/>
  <c r="C20" i="19" s="1"/>
  <c r="C21" i="19" s="1"/>
  <c r="C22" i="19" s="1"/>
  <c r="C23" i="19" s="1"/>
  <c r="C24" i="19" s="1"/>
  <c r="C25" i="19" s="1"/>
  <c r="C26" i="19" s="1"/>
  <c r="C27" i="19" s="1"/>
  <c r="C28" i="19" s="1"/>
  <c r="C29" i="19" s="1"/>
  <c r="C30" i="19" s="1"/>
  <c r="C31" i="19" s="1"/>
  <c r="C32" i="19" s="1"/>
  <c r="K17" i="19"/>
  <c r="L17" i="19" s="1"/>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N17" i="21"/>
  <c r="N25" i="21"/>
  <c r="N26" i="21"/>
  <c r="L27" i="21"/>
  <c r="N27" i="21"/>
  <c r="L28" i="21"/>
  <c r="N28" i="21"/>
  <c r="L29" i="21"/>
  <c r="N29" i="21"/>
  <c r="L30" i="21"/>
  <c r="N30" i="21"/>
  <c r="L31" i="21"/>
  <c r="N31" i="21"/>
  <c r="L33" i="21"/>
  <c r="N33" i="2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1" i="21"/>
  <c r="D92" i="21"/>
  <c r="J94" i="21"/>
  <c r="L94" i="21"/>
  <c r="D97" i="21"/>
  <c r="M108" i="21"/>
  <c r="O108" i="21"/>
  <c r="M109" i="21"/>
  <c r="O109"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N17" i="19" s="1"/>
  <c r="O17" i="19" s="1"/>
  <c r="P1" i="20"/>
  <c r="P84" i="20" s="1"/>
  <c r="H3" i="20"/>
  <c r="K11" i="20"/>
  <c r="B17" i="20"/>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7" i="18" s="1"/>
  <c r="O17" i="18" s="1"/>
  <c r="N100" i="4"/>
  <c r="O100" i="4" s="1"/>
  <c r="P100" i="4" s="1"/>
  <c r="L100" i="4"/>
  <c r="M100" i="4" s="1"/>
  <c r="M18" i="4"/>
  <c r="N18" i="4" s="1"/>
  <c r="O18" i="4" s="1"/>
  <c r="N100" i="3"/>
  <c r="O100" i="3" s="1"/>
  <c r="L100" i="3"/>
  <c r="M100" i="3" s="1"/>
  <c r="M18" i="3"/>
  <c r="C17" i="13"/>
  <c r="W21" i="17"/>
  <c r="W20" i="17"/>
  <c r="K17" i="3"/>
  <c r="K17" i="4"/>
  <c r="L17" i="4" s="1"/>
  <c r="P1" i="19"/>
  <c r="P84" i="19" s="1"/>
  <c r="H3" i="19"/>
  <c r="K11" i="19"/>
  <c r="B17" i="19"/>
  <c r="I17" i="19"/>
  <c r="B18" i="19"/>
  <c r="N18" i="19"/>
  <c r="N22" i="19"/>
  <c r="N28" i="19"/>
  <c r="L29" i="19"/>
  <c r="N29" i="19"/>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2" i="19"/>
  <c r="J94" i="19"/>
  <c r="L94" i="19"/>
  <c r="D97" i="19"/>
  <c r="M100" i="19"/>
  <c r="M110" i="19"/>
  <c r="O110" i="19"/>
  <c r="M111" i="19"/>
  <c r="O111"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L17" i="18"/>
  <c r="B18" i="18"/>
  <c r="N18" i="18"/>
  <c r="N22" i="18"/>
  <c r="N28" i="18"/>
  <c r="L29"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O100" i="18"/>
  <c r="O108" i="18"/>
  <c r="O109" i="18"/>
  <c r="M110" i="18"/>
  <c r="O110" i="18"/>
  <c r="M111" i="18"/>
  <c r="O111"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B101" i="4"/>
  <c r="B100" i="4"/>
  <c r="B19" i="4"/>
  <c r="B18" i="4"/>
  <c r="B19" i="3"/>
  <c r="B18" i="3"/>
  <c r="B100" i="3"/>
  <c r="M17" i="3"/>
  <c r="N17" i="3" s="1"/>
  <c r="P1" i="13"/>
  <c r="P84" i="13" s="1"/>
  <c r="P1" i="4"/>
  <c r="P84" i="4" s="1"/>
  <c r="P1" i="3"/>
  <c r="P84" i="3" s="1"/>
  <c r="P12" i="17"/>
  <c r="L12" i="17"/>
  <c r="R12" i="17" s="1"/>
  <c r="W19" i="17"/>
  <c r="W18" i="17"/>
  <c r="G12" i="17"/>
  <c r="H3" i="3"/>
  <c r="H3" i="4"/>
  <c r="O3" i="3"/>
  <c r="A1" i="2"/>
  <c r="F13" i="1"/>
  <c r="C38"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N17" i="4"/>
  <c r="I18" i="4"/>
  <c r="L18" i="4"/>
  <c r="N19" i="4"/>
  <c r="N29" i="4"/>
  <c r="L30"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01" i="4"/>
  <c r="M111" i="4"/>
  <c r="O111" i="4"/>
  <c r="M112" i="4"/>
  <c r="O112"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L17" i="3"/>
  <c r="I18" i="3"/>
  <c r="N18" i="3"/>
  <c r="O18" i="3"/>
  <c r="N29" i="3"/>
  <c r="L30"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1" i="3"/>
  <c r="M111"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C39" i="1"/>
  <c r="C43" i="1"/>
  <c r="F44" i="1"/>
  <c r="C45" i="1"/>
  <c r="F46" i="1"/>
  <c r="C51" i="1"/>
  <c r="F63" i="1"/>
  <c r="C73" i="1"/>
  <c r="C87" i="1"/>
  <c r="S129" i="1"/>
  <c r="S130" i="1"/>
  <c r="S131" i="1"/>
  <c r="E31" i="2"/>
  <c r="D19" i="2"/>
  <c r="D18" i="2"/>
  <c r="D17" i="2"/>
  <c r="F13" i="2"/>
  <c r="C76" i="2" s="1"/>
  <c r="J100" i="4"/>
  <c r="J100" i="3"/>
  <c r="E18" i="2"/>
  <c r="E17" i="2"/>
  <c r="E24" i="2"/>
  <c r="F64" i="2"/>
  <c r="C90" i="2"/>
  <c r="C89" i="2"/>
  <c r="C64" i="2"/>
  <c r="C31" i="2"/>
  <c r="C24" i="2"/>
  <c r="C12" i="2"/>
  <c r="B101" i="3"/>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B22" i="4"/>
  <c r="B23" i="3"/>
  <c r="C100" i="24"/>
  <c r="C101" i="24" s="1"/>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C128" i="24" s="1"/>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B23" i="4"/>
  <c r="B102" i="18"/>
  <c r="M17" i="28"/>
  <c r="N17" i="28" s="1"/>
  <c r="K17" i="28"/>
  <c r="L17" i="28" s="1"/>
  <c r="C100" i="26"/>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J102" i="18"/>
  <c r="I22" i="3"/>
  <c r="B105" i="3"/>
  <c r="B104" i="3"/>
  <c r="B103" i="18"/>
  <c r="B104" i="4"/>
  <c r="B100" i="25"/>
  <c r="E13" i="17"/>
  <c r="H3" i="17"/>
  <c r="B105" i="4"/>
  <c r="B103" i="19"/>
  <c r="B22" i="18"/>
  <c r="B104" i="19"/>
  <c r="O20" i="3"/>
  <c r="O100" i="31"/>
  <c r="P100" i="31" s="1"/>
  <c r="J105" i="4"/>
  <c r="B104" i="18"/>
  <c r="O19" i="22"/>
  <c r="O18" i="25"/>
  <c r="O20" i="28"/>
  <c r="B20" i="26"/>
  <c r="O22" i="19"/>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B19" i="25"/>
  <c r="B103" i="28"/>
  <c r="B103" i="27"/>
  <c r="B101" i="25"/>
  <c r="B103" i="21"/>
  <c r="P105" i="3"/>
  <c r="C18" i="13"/>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B17" i="13"/>
  <c r="I14" i="13"/>
  <c r="E17" i="13"/>
  <c r="B102" i="22"/>
  <c r="A5" i="2"/>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P100" i="29"/>
  <c r="L18" i="29"/>
  <c r="P103" i="28"/>
  <c r="B22" i="28"/>
  <c r="B22" i="27"/>
  <c r="P102" i="26"/>
  <c r="P101" i="24"/>
  <c r="B102" i="24"/>
  <c r="B104" i="24"/>
  <c r="N21" i="24"/>
  <c r="O21" i="24" s="1"/>
  <c r="B102" i="25"/>
  <c r="B21" i="22"/>
  <c r="B22" i="21"/>
  <c r="I17" i="35"/>
  <c r="I21" i="28"/>
  <c r="B106" i="3"/>
  <c r="B107" i="4"/>
  <c r="B105" i="18"/>
  <c r="J106" i="4"/>
  <c r="J100" i="29"/>
  <c r="J106" i="3"/>
  <c r="J102" i="23"/>
  <c r="J102" i="22"/>
  <c r="J105" i="18"/>
  <c r="J97" i="13"/>
  <c r="B107" i="3"/>
  <c r="D17" i="1"/>
  <c r="E17" i="1"/>
  <c r="I10" i="18"/>
  <c r="D95" i="18" s="1"/>
  <c r="I10" i="22"/>
  <c r="D93" i="22" s="1"/>
  <c r="B104" i="22" s="1"/>
  <c r="I10" i="26"/>
  <c r="I10" i="29"/>
  <c r="D95" i="29" s="1"/>
  <c r="E100" i="13"/>
  <c r="B100" i="34"/>
  <c r="B103" i="22"/>
  <c r="E18" i="1"/>
  <c r="B100" i="35"/>
  <c r="J95" i="27"/>
  <c r="J96" i="27" s="1"/>
  <c r="B24" i="18"/>
  <c r="B21" i="26"/>
  <c r="B20" i="25"/>
  <c r="B18" i="35"/>
  <c r="P100" i="21"/>
  <c r="P42" i="17"/>
  <c r="C100" i="3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B100" i="31"/>
  <c r="O20" i="23"/>
  <c r="B106" i="18"/>
  <c r="B105" i="21"/>
  <c r="B101" i="35"/>
  <c r="B107" i="19"/>
  <c r="B105" i="27"/>
  <c r="B108" i="4"/>
  <c r="B26" i="3"/>
  <c r="B25" i="19"/>
  <c r="B101" i="34"/>
  <c r="B105" i="28"/>
  <c r="B22" i="22"/>
  <c r="B25" i="18"/>
  <c r="J100" i="31"/>
  <c r="B23" i="21"/>
  <c r="B23" i="24"/>
  <c r="B22" i="23"/>
  <c r="B22" i="26"/>
  <c r="B26" i="4"/>
  <c r="B104" i="26"/>
  <c r="J102" i="25"/>
  <c r="J104" i="24"/>
  <c r="J100" i="35"/>
  <c r="J107" i="4"/>
  <c r="I18" i="34"/>
  <c r="B23" i="28"/>
  <c r="I19" i="29"/>
  <c r="J101" i="29"/>
  <c r="I18" i="31"/>
  <c r="I25" i="4"/>
  <c r="J103" i="22"/>
  <c r="I17" i="37"/>
  <c r="J104" i="21"/>
  <c r="I25" i="3"/>
  <c r="J100" i="34"/>
  <c r="J107" i="3"/>
  <c r="J106" i="18"/>
  <c r="C100" i="38"/>
  <c r="P100" i="34"/>
  <c r="B101" i="31"/>
  <c r="B105" i="24"/>
  <c r="B103" i="25"/>
  <c r="I18" i="35"/>
  <c r="B19" i="34"/>
  <c r="J95" i="20"/>
  <c r="J96" i="20" s="1"/>
  <c r="J95" i="29"/>
  <c r="J96" i="29" s="1"/>
  <c r="F52" i="2"/>
  <c r="J96" i="31"/>
  <c r="J95" i="18"/>
  <c r="J96" i="18" s="1"/>
  <c r="J95" i="38"/>
  <c r="J95" i="34"/>
  <c r="J96" i="34" s="1"/>
  <c r="J95" i="28"/>
  <c r="J96" i="28" s="1"/>
  <c r="J95" i="4"/>
  <c r="J96" i="4" s="1"/>
  <c r="J95" i="37"/>
  <c r="J96" i="37" s="1"/>
  <c r="J95" i="3"/>
  <c r="J96" i="3" s="1"/>
  <c r="J95" i="23"/>
  <c r="J96" i="23" s="1"/>
  <c r="J95" i="19"/>
  <c r="J95" i="22"/>
  <c r="J96" i="22" s="1"/>
  <c r="J95" i="24"/>
  <c r="J96" i="24" s="1"/>
  <c r="J95" i="26"/>
  <c r="J96" i="26" s="1"/>
  <c r="J95" i="35"/>
  <c r="J96" i="35" s="1"/>
  <c r="J95" i="25"/>
  <c r="J96" i="25" s="1"/>
  <c r="J95" i="21"/>
  <c r="J96" i="21" s="1"/>
  <c r="J95" i="13"/>
  <c r="J96" i="13" s="1"/>
  <c r="J96" i="19"/>
  <c r="N49" i="17"/>
  <c r="F49" i="17"/>
  <c r="O49" i="17"/>
  <c r="E49" i="17"/>
  <c r="C49" i="17"/>
  <c r="I13" i="43" l="1"/>
  <c r="G17" i="43"/>
  <c r="G18" i="43"/>
  <c r="G19" i="43"/>
  <c r="N5" i="43" s="1"/>
  <c r="G20" i="43"/>
  <c r="G21" i="43"/>
  <c r="G22" i="43"/>
  <c r="G23" i="43"/>
  <c r="G24" i="43"/>
  <c r="G25" i="43"/>
  <c r="G26" i="43"/>
  <c r="G27" i="43"/>
  <c r="G28" i="43"/>
  <c r="G29" i="43"/>
  <c r="G30" i="43"/>
  <c r="G31" i="43"/>
  <c r="G32" i="43"/>
  <c r="G33" i="43"/>
  <c r="G34" i="43"/>
  <c r="G35" i="43"/>
  <c r="G36" i="43"/>
  <c r="G37" i="43"/>
  <c r="G38" i="43"/>
  <c r="G39" i="43"/>
  <c r="G40" i="43"/>
  <c r="G41" i="43"/>
  <c r="G42" i="43"/>
  <c r="G43" i="43"/>
  <c r="G44" i="43"/>
  <c r="G45" i="43"/>
  <c r="G46" i="43"/>
  <c r="G47" i="43"/>
  <c r="G48" i="43"/>
  <c r="G49" i="43"/>
  <c r="G50" i="43"/>
  <c r="G51" i="43"/>
  <c r="G52" i="43"/>
  <c r="G53" i="43"/>
  <c r="G54" i="43"/>
  <c r="G55" i="43"/>
  <c r="G56" i="43"/>
  <c r="G57" i="43"/>
  <c r="G58" i="43"/>
  <c r="G59" i="43"/>
  <c r="G60" i="43"/>
  <c r="G61" i="43"/>
  <c r="G62" i="43"/>
  <c r="G63" i="43"/>
  <c r="G64" i="43"/>
  <c r="G65" i="43"/>
  <c r="G66" i="43"/>
  <c r="G67" i="43"/>
  <c r="G68" i="43"/>
  <c r="G69" i="43"/>
  <c r="G70" i="43"/>
  <c r="G71" i="43"/>
  <c r="G72" i="43"/>
  <c r="G73" i="43"/>
  <c r="P101" i="3"/>
  <c r="P105" i="4"/>
  <c r="P101" i="4"/>
  <c r="O18" i="19"/>
  <c r="P104" i="3"/>
  <c r="F17" i="13"/>
  <c r="D18" i="13" s="1"/>
  <c r="B18" i="13" s="1"/>
  <c r="O17" i="3"/>
  <c r="P103" i="4"/>
  <c r="O20" i="18"/>
  <c r="O19" i="28"/>
  <c r="O19" i="23"/>
  <c r="P103" i="21"/>
  <c r="P101" i="25"/>
  <c r="O21" i="18"/>
  <c r="C28" i="2"/>
  <c r="P100" i="19"/>
  <c r="O19" i="19"/>
  <c r="O20" i="19"/>
  <c r="O23" i="4"/>
  <c r="O20" i="27"/>
  <c r="P102" i="27"/>
  <c r="O21" i="4"/>
  <c r="P100" i="22"/>
  <c r="P100" i="23"/>
  <c r="O17" i="35"/>
  <c r="O25" i="3"/>
  <c r="P104" i="21"/>
  <c r="O17" i="21"/>
  <c r="O21" i="19"/>
  <c r="O18" i="26"/>
  <c r="P103" i="23"/>
  <c r="P103" i="18"/>
  <c r="O19" i="26"/>
  <c r="O19" i="4"/>
  <c r="T12" i="17"/>
  <c r="O17" i="4"/>
  <c r="O17" i="20"/>
  <c r="P102" i="3"/>
  <c r="O19" i="18"/>
  <c r="O18" i="21"/>
  <c r="O17" i="23"/>
  <c r="O18" i="24"/>
  <c r="P104" i="4"/>
  <c r="O24" i="4"/>
  <c r="P102" i="23"/>
  <c r="C101" i="37"/>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B100" i="37"/>
  <c r="P107" i="4"/>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O18" i="18"/>
  <c r="P102" i="18"/>
  <c r="O18" i="22"/>
  <c r="P102" i="22"/>
  <c r="P102" i="25"/>
  <c r="P104" i="28"/>
  <c r="O18" i="29"/>
  <c r="P102" i="4"/>
  <c r="P100" i="27"/>
  <c r="O17" i="24"/>
  <c r="O22" i="3"/>
  <c r="O22" i="4"/>
  <c r="P101" i="22"/>
  <c r="O23" i="18"/>
  <c r="J96" i="41"/>
  <c r="I100" i="41" s="1"/>
  <c r="H100" i="41"/>
  <c r="L100" i="41" s="1"/>
  <c r="M100" i="41" s="1"/>
  <c r="J96" i="42"/>
  <c r="H100" i="42"/>
  <c r="H101" i="42"/>
  <c r="H102" i="42"/>
  <c r="H103" i="42"/>
  <c r="H104" i="42"/>
  <c r="H105" i="42"/>
  <c r="H106" i="42"/>
  <c r="H107" i="42"/>
  <c r="H108" i="42"/>
  <c r="H109" i="42"/>
  <c r="H110" i="42"/>
  <c r="H111" i="42"/>
  <c r="H112" i="42"/>
  <c r="H113" i="42"/>
  <c r="H114" i="42"/>
  <c r="H115" i="42"/>
  <c r="H116" i="42"/>
  <c r="H117" i="42"/>
  <c r="H118" i="42"/>
  <c r="H119" i="42"/>
  <c r="H120" i="42"/>
  <c r="H121" i="42"/>
  <c r="H122" i="42"/>
  <c r="H123" i="42"/>
  <c r="H124" i="42"/>
  <c r="H125" i="42"/>
  <c r="H126" i="42"/>
  <c r="H127" i="42"/>
  <c r="H128" i="42"/>
  <c r="H129" i="42"/>
  <c r="H130" i="42"/>
  <c r="H131" i="42"/>
  <c r="H132" i="42"/>
  <c r="H133" i="42"/>
  <c r="H134" i="42"/>
  <c r="H135" i="42"/>
  <c r="H136" i="42"/>
  <c r="H137" i="42"/>
  <c r="H138" i="42"/>
  <c r="H139" i="42"/>
  <c r="H140" i="42"/>
  <c r="H141" i="42"/>
  <c r="H142" i="42"/>
  <c r="H143" i="42"/>
  <c r="H144" i="42"/>
  <c r="H145" i="42"/>
  <c r="H146" i="42"/>
  <c r="H147" i="42"/>
  <c r="H148" i="42"/>
  <c r="H149" i="42"/>
  <c r="H150" i="42"/>
  <c r="H151" i="42"/>
  <c r="H152" i="42"/>
  <c r="H153" i="42"/>
  <c r="H154" i="42"/>
  <c r="H155" i="42"/>
  <c r="J96" i="40"/>
  <c r="I100" i="40" s="1"/>
  <c r="H100" i="40"/>
  <c r="L100" i="40" s="1"/>
  <c r="M100" i="40" s="1"/>
  <c r="I12" i="21"/>
  <c r="I13" i="21" s="1"/>
  <c r="I12" i="42"/>
  <c r="I13" i="42" s="1"/>
  <c r="I12" i="40"/>
  <c r="I13" i="40" s="1"/>
  <c r="I12" i="41"/>
  <c r="I13" i="41" s="1"/>
  <c r="P103" i="27"/>
  <c r="O17" i="27"/>
  <c r="O18" i="27"/>
  <c r="O19" i="27"/>
  <c r="O21" i="27"/>
  <c r="O21" i="22"/>
  <c r="O24" i="19"/>
  <c r="C60" i="1"/>
  <c r="I12" i="26"/>
  <c r="I13" i="26" s="1"/>
  <c r="O72" i="13"/>
  <c r="O64" i="34"/>
  <c r="O52" i="37"/>
  <c r="O42" i="37"/>
  <c r="O54" i="37"/>
  <c r="D93" i="23"/>
  <c r="I12" i="20"/>
  <c r="I13" i="20" s="1"/>
  <c r="I12" i="39"/>
  <c r="D95" i="4"/>
  <c r="D95" i="23"/>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C128" i="34" s="1"/>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D93" i="18"/>
  <c r="B107" i="18" s="1"/>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C59" i="2"/>
  <c r="C77" i="2"/>
  <c r="C50" i="2"/>
  <c r="C14" i="2"/>
  <c r="O18" i="35"/>
  <c r="O18" i="34"/>
  <c r="O18" i="31"/>
  <c r="O25" i="4"/>
  <c r="B108" i="3"/>
  <c r="D94" i="18"/>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O17" i="37"/>
  <c r="O50" i="19"/>
  <c r="O29" i="19"/>
  <c r="O46" i="35"/>
  <c r="O33" i="21"/>
  <c r="O36" i="35"/>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7" i="1"/>
  <c r="F51" i="1" s="1"/>
  <c r="D95" i="20"/>
  <c r="E100" i="20"/>
  <c r="O30" i="23"/>
  <c r="O52" i="23"/>
  <c r="O54" i="23"/>
  <c r="O66" i="23"/>
  <c r="O28" i="24"/>
  <c r="O62" i="24"/>
  <c r="O72" i="24"/>
  <c r="O24" i="25"/>
  <c r="O26" i="25"/>
  <c r="O28" i="25"/>
  <c r="O30" i="25"/>
  <c r="O36" i="25"/>
  <c r="O38" i="25"/>
  <c r="O44" i="25"/>
  <c r="O64" i="25"/>
  <c r="O66" i="25"/>
  <c r="O68" i="25"/>
  <c r="O70" i="25"/>
  <c r="O23" i="26"/>
  <c r="O25" i="26"/>
  <c r="O41" i="26"/>
  <c r="O43" i="26"/>
  <c r="O53" i="26"/>
  <c r="O48" i="27"/>
  <c r="O21" i="37"/>
  <c r="O27" i="37"/>
  <c r="O73" i="37"/>
  <c r="O69" i="38"/>
  <c r="C49" i="1"/>
  <c r="C72" i="1"/>
  <c r="C75"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5" i="1"/>
  <c r="C28" i="1"/>
  <c r="C78" i="1"/>
  <c r="C58" i="1"/>
  <c r="D94" i="25"/>
  <c r="C100" i="25" s="1"/>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F14" i="1"/>
  <c r="E19" i="1" s="1"/>
  <c r="F19" i="1" s="1"/>
  <c r="C77" i="1"/>
  <c r="C80" i="1"/>
  <c r="C8" i="1"/>
  <c r="F18" i="1"/>
  <c r="C74" i="1"/>
  <c r="C54" i="1"/>
  <c r="C14" i="1"/>
  <c r="C22" i="1"/>
  <c r="C61" i="1"/>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0" i="35"/>
  <c r="O24" i="35"/>
  <c r="O26" i="35"/>
  <c r="O28" i="35"/>
  <c r="P119" i="35"/>
  <c r="P123" i="35"/>
  <c r="P127" i="35"/>
  <c r="P131" i="35"/>
  <c r="P115" i="35"/>
  <c r="P103" i="35"/>
  <c r="P107" i="35"/>
  <c r="P111" i="35"/>
  <c r="P110" i="38"/>
  <c r="P112" i="31"/>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5" i="22"/>
  <c r="O27" i="22"/>
  <c r="O48" i="22"/>
  <c r="O50" i="22"/>
  <c r="O62" i="22"/>
  <c r="O64" i="22"/>
  <c r="O66" i="22"/>
  <c r="O27" i="28"/>
  <c r="O39" i="28"/>
  <c r="O41" i="28"/>
  <c r="O45" i="28"/>
  <c r="O47" i="28"/>
  <c r="O51" i="28"/>
  <c r="O53" i="28"/>
  <c r="O57" i="28"/>
  <c r="O61" i="28"/>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O26" i="38"/>
  <c r="O28" i="38"/>
  <c r="O30" i="38"/>
  <c r="O40" i="38"/>
  <c r="O44" i="38"/>
  <c r="O48" i="38"/>
  <c r="O50" i="38"/>
  <c r="O52" i="38"/>
  <c r="O54" i="38"/>
  <c r="O56" i="38"/>
  <c r="O58" i="38"/>
  <c r="O60" i="38"/>
  <c r="O62" i="38"/>
  <c r="O64" i="38"/>
  <c r="O68" i="38"/>
  <c r="O70" i="38"/>
  <c r="O72" i="38"/>
  <c r="P116" i="21"/>
  <c r="P107" i="21"/>
  <c r="P131" i="31"/>
  <c r="O72" i="3"/>
  <c r="O66" i="3"/>
  <c r="O64" i="3"/>
  <c r="O56" i="3"/>
  <c r="O52" i="3"/>
  <c r="O29"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09" i="24"/>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12"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06" i="29"/>
  <c r="P123" i="31"/>
  <c r="P127" i="31"/>
  <c r="P133" i="31"/>
  <c r="P135" i="31"/>
  <c r="P139" i="31"/>
  <c r="P129" i="13"/>
  <c r="P125" i="13"/>
  <c r="P121" i="13"/>
  <c r="P117" i="13"/>
  <c r="P113" i="13"/>
  <c r="P109" i="13"/>
  <c r="P103" i="13"/>
  <c r="P153" i="21"/>
  <c r="P145" i="21"/>
  <c r="P103" i="29"/>
  <c r="P120" i="31"/>
  <c r="P127" i="37"/>
  <c r="P115" i="3"/>
  <c r="P111" i="3"/>
  <c r="P122" i="31"/>
  <c r="P120" i="13"/>
  <c r="P105" i="34"/>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73" i="18"/>
  <c r="O61" i="18"/>
  <c r="O45" i="18"/>
  <c r="O72" i="20"/>
  <c r="O58" i="20"/>
  <c r="O56" i="20"/>
  <c r="O52" i="20"/>
  <c r="O73" i="21"/>
  <c r="O69" i="21"/>
  <c r="O65" i="21"/>
  <c r="O55" i="21"/>
  <c r="O49" i="21"/>
  <c r="O47" i="21"/>
  <c r="O45" i="21"/>
  <c r="O41" i="21"/>
  <c r="O39" i="21"/>
  <c r="O35" i="21"/>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27" i="35"/>
  <c r="O37" i="35"/>
  <c r="O71" i="35"/>
  <c r="O66" i="38"/>
  <c r="O71" i="3"/>
  <c r="O69" i="3"/>
  <c r="O67" i="3"/>
  <c r="O63" i="3"/>
  <c r="O61" i="3"/>
  <c r="O59" i="3"/>
  <c r="O47" i="3"/>
  <c r="O30" i="3"/>
  <c r="O72" i="19"/>
  <c r="O26" i="31"/>
  <c r="O36" i="31"/>
  <c r="O49" i="31"/>
  <c r="O61" i="31"/>
  <c r="O59" i="35"/>
  <c r="O24" i="38"/>
  <c r="O36" i="38"/>
  <c r="O26" i="18"/>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61" i="21"/>
  <c r="O59" i="21"/>
  <c r="O51" i="21"/>
  <c r="O30" i="21"/>
  <c r="O24" i="22"/>
  <c r="O26" i="22"/>
  <c r="O28" i="22"/>
  <c r="O63" i="22"/>
  <c r="O73" i="22"/>
  <c r="O47" i="24"/>
  <c r="O51" i="24"/>
  <c r="O73" i="24"/>
  <c r="O63" i="25"/>
  <c r="O36" i="26"/>
  <c r="O68" i="26"/>
  <c r="O70" i="26"/>
  <c r="O26" i="28"/>
  <c r="O42" i="28"/>
  <c r="O44" i="28"/>
  <c r="O50" i="28"/>
  <c r="O56" i="31"/>
  <c r="O62" i="31"/>
  <c r="O70" i="31"/>
  <c r="O33" i="18"/>
  <c r="O31" i="18"/>
  <c r="O32" i="23"/>
  <c r="O32" i="29"/>
  <c r="O18" i="37"/>
  <c r="O22" i="37"/>
  <c r="O24" i="37"/>
  <c r="O26" i="37"/>
  <c r="O28" i="37"/>
  <c r="O63" i="24"/>
  <c r="O69" i="24"/>
  <c r="O29" i="25"/>
  <c r="O35" i="25"/>
  <c r="O39" i="25"/>
  <c r="O47" i="25"/>
  <c r="O69" i="25"/>
  <c r="O28" i="26"/>
  <c r="O40" i="26"/>
  <c r="O48" i="28"/>
  <c r="O62" i="28"/>
  <c r="O20" i="38"/>
  <c r="O58" i="4"/>
  <c r="O54" i="4"/>
  <c r="O34" i="4"/>
  <c r="O31" i="4"/>
  <c r="O46" i="21"/>
  <c r="O44" i="21"/>
  <c r="O42" i="21"/>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5" i="24"/>
  <c r="O34" i="25"/>
  <c r="O42" i="25"/>
  <c r="O56" i="25"/>
  <c r="O58" i="25"/>
  <c r="O27" i="26"/>
  <c r="O29" i="26"/>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0" i="34"/>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I12" i="38"/>
  <c r="I13" i="38" s="1"/>
  <c r="I12" i="37"/>
  <c r="I13" i="37" s="1"/>
  <c r="I12" i="28"/>
  <c r="I13" i="28" s="1"/>
  <c r="I12" i="31"/>
  <c r="I13" i="31" s="1"/>
  <c r="I12" i="24"/>
  <c r="I12" i="3"/>
  <c r="I13" i="3" s="1"/>
  <c r="I12" i="27"/>
  <c r="I12" i="22"/>
  <c r="I13" i="22" s="1"/>
  <c r="I12" i="35"/>
  <c r="I13" i="35" s="1"/>
  <c r="I12" i="25"/>
  <c r="I13" i="25" s="1"/>
  <c r="I12" i="4"/>
  <c r="I13" i="4" s="1"/>
  <c r="I12" i="23"/>
  <c r="I13" i="23" s="1"/>
  <c r="I12" i="34"/>
  <c r="I13" i="34" s="1"/>
  <c r="I12" i="29"/>
  <c r="I13" i="29" s="1"/>
  <c r="I12" i="18"/>
  <c r="I13" i="18" s="1"/>
  <c r="I12" i="19"/>
  <c r="I13" i="19" s="1"/>
  <c r="I12" i="13"/>
  <c r="A4" i="1"/>
  <c r="A2" i="1"/>
  <c r="A2" i="2" s="1"/>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24" i="27"/>
  <c r="O57" i="27"/>
  <c r="O72" i="27"/>
  <c r="O43" i="28"/>
  <c r="O52" i="28"/>
  <c r="O56" i="28"/>
  <c r="O65" i="28"/>
  <c r="O67" i="28"/>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B100" i="38"/>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B19" i="35"/>
  <c r="B21" i="25"/>
  <c r="B18" i="37"/>
  <c r="B23" i="27"/>
  <c r="B19" i="31"/>
  <c r="D94" i="22"/>
  <c r="C100" i="22" s="1"/>
  <c r="D95" i="22"/>
  <c r="P100" i="3"/>
  <c r="O17" i="28"/>
  <c r="P101" i="13"/>
  <c r="P120" i="19"/>
  <c r="P108" i="19"/>
  <c r="P103" i="20"/>
  <c r="P146" i="21"/>
  <c r="P142" i="21"/>
  <c r="P104" i="13"/>
  <c r="A9" i="17"/>
  <c r="P131" i="18"/>
  <c r="P127" i="18"/>
  <c r="P119" i="18"/>
  <c r="P115" i="18"/>
  <c r="P155" i="19"/>
  <c r="P151" i="19"/>
  <c r="P147" i="19"/>
  <c r="P143" i="19"/>
  <c r="P139" i="19"/>
  <c r="P135" i="19"/>
  <c r="P131" i="19"/>
  <c r="P115" i="19"/>
  <c r="P151" i="20"/>
  <c r="P115" i="20"/>
  <c r="P114" i="18"/>
  <c r="P110" i="18"/>
  <c r="P150" i="19"/>
  <c r="P146" i="19"/>
  <c r="P142" i="19"/>
  <c r="P130" i="19"/>
  <c r="P106" i="20"/>
  <c r="P133" i="21"/>
  <c r="P12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P110" i="28"/>
  <c r="P130" i="31"/>
  <c r="P134" i="31"/>
  <c r="P146" i="31"/>
  <c r="P128" i="37"/>
  <c r="P101" i="38"/>
  <c r="P147" i="31"/>
  <c r="P155" i="3"/>
  <c r="P143" i="3"/>
  <c r="P139" i="3"/>
  <c r="P135" i="3"/>
  <c r="P131" i="3"/>
  <c r="P154" i="20"/>
  <c r="P142" i="20"/>
  <c r="P138" i="20"/>
  <c r="P134" i="20"/>
  <c r="P130" i="20"/>
  <c r="P126" i="20"/>
  <c r="P122" i="20"/>
  <c r="P118" i="20"/>
  <c r="P114" i="20"/>
  <c r="P110" i="20"/>
  <c r="P122" i="21"/>
  <c r="P118" i="21"/>
  <c r="P106" i="21"/>
  <c r="P108" i="22"/>
  <c r="P112" i="22"/>
  <c r="P116" i="23"/>
  <c r="P120" i="23"/>
  <c r="P124" i="23"/>
  <c r="P128" i="23"/>
  <c r="P107" i="25"/>
  <c r="P111" i="25"/>
  <c r="P115" i="25"/>
  <c r="P111" i="26"/>
  <c r="P115" i="26"/>
  <c r="P119" i="26"/>
  <c r="P127" i="26"/>
  <c r="P131" i="26"/>
  <c r="P105" i="31"/>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26" i="31"/>
  <c r="P150" i="31"/>
  <c r="P154" i="31"/>
  <c r="P105" i="35"/>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12" i="3"/>
  <c r="P155" i="4"/>
  <c r="P151" i="4"/>
  <c r="P147" i="4"/>
  <c r="P143" i="4"/>
  <c r="P139" i="4"/>
  <c r="P135" i="4"/>
  <c r="P131" i="4"/>
  <c r="P127" i="4"/>
  <c r="P123" i="4"/>
  <c r="P119" i="4"/>
  <c r="P115" i="4"/>
  <c r="P111" i="4"/>
  <c r="P147" i="20"/>
  <c r="P143" i="20"/>
  <c r="P127" i="21"/>
  <c r="P115" i="21"/>
  <c r="P106" i="26"/>
  <c r="P118" i="26"/>
  <c r="P108" i="27"/>
  <c r="P126" i="29"/>
  <c r="P119" i="37"/>
  <c r="P116" i="4"/>
  <c r="P152" i="19"/>
  <c r="P148" i="19"/>
  <c r="P140" i="19"/>
  <c r="P136" i="19"/>
  <c r="P128" i="19"/>
  <c r="P116" i="19"/>
  <c r="P144" i="20"/>
  <c r="P106" i="22"/>
  <c r="P114" i="23"/>
  <c r="P122" i="23"/>
  <c r="P126" i="23"/>
  <c r="P130" i="23"/>
  <c r="P110" i="24"/>
  <c r="P109" i="26"/>
  <c r="P113" i="26"/>
  <c r="P125" i="26"/>
  <c r="P131" i="28"/>
  <c r="P107" i="31"/>
  <c r="P111" i="31"/>
  <c r="P116" i="37"/>
  <c r="P120" i="37"/>
  <c r="P108" i="38"/>
  <c r="P112" i="38"/>
  <c r="P124" i="38"/>
  <c r="P128" i="18"/>
  <c r="P124" i="18"/>
  <c r="P120" i="18"/>
  <c r="P116" i="18"/>
  <c r="P112" i="18"/>
  <c r="P108" i="18"/>
  <c r="P127" i="24"/>
  <c r="P143" i="31"/>
  <c r="P121" i="35"/>
  <c r="P124" i="13"/>
  <c r="P116" i="13"/>
  <c r="P108" i="13"/>
  <c r="P111" i="19"/>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14" i="28"/>
  <c r="P107" i="29"/>
  <c r="P148" i="31"/>
  <c r="P152" i="31"/>
  <c r="P142" i="3"/>
  <c r="P118" i="3"/>
  <c r="P149" i="4"/>
  <c r="P113" i="4"/>
  <c r="P102" i="13"/>
  <c r="P153" i="18"/>
  <c r="P149" i="18"/>
  <c r="P129" i="18"/>
  <c r="P121" i="18"/>
  <c r="P117" i="18"/>
  <c r="P137" i="19"/>
  <c r="P133" i="19"/>
  <c r="P129" i="19"/>
  <c r="P125" i="19"/>
  <c r="P113" i="19"/>
  <c r="P129" i="21"/>
  <c r="P117" i="21"/>
  <c r="P108" i="26"/>
  <c r="P116" i="26"/>
  <c r="P119" i="28"/>
  <c r="P128" i="4"/>
  <c r="P121" i="19"/>
  <c r="P110" i="19"/>
  <c r="P154" i="21"/>
  <c r="P147" i="21"/>
  <c r="P143" i="21"/>
  <c r="P131" i="21"/>
  <c r="P113" i="21"/>
  <c r="P109"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02" i="29"/>
  <c r="P115" i="37"/>
  <c r="P126" i="3"/>
  <c r="P122" i="3"/>
  <c r="P114" i="3"/>
  <c r="P153" i="4"/>
  <c r="P145" i="4"/>
  <c r="P141" i="4"/>
  <c r="P137" i="4"/>
  <c r="P133" i="4"/>
  <c r="P125" i="4"/>
  <c r="P109" i="4"/>
  <c r="P151" i="18"/>
  <c r="P147" i="18"/>
  <c r="P143" i="18"/>
  <c r="P139" i="18"/>
  <c r="P135" i="18"/>
  <c r="P138" i="19"/>
  <c r="P118" i="19"/>
  <c r="P121" i="21"/>
  <c r="P128" i="22"/>
  <c r="P108" i="23"/>
  <c r="P112" i="23"/>
  <c r="P105" i="26"/>
  <c r="P126" i="26"/>
  <c r="P111" i="28"/>
  <c r="P115" i="28"/>
  <c r="P111" i="34"/>
  <c r="P115" i="34"/>
  <c r="P127" i="34"/>
  <c r="P131" i="34"/>
  <c r="P124" i="35"/>
  <c r="P128" i="35"/>
  <c r="P104" i="38"/>
  <c r="P117" i="19"/>
  <c r="P116" i="22"/>
  <c r="P120" i="22"/>
  <c r="P124" i="22"/>
  <c r="P117" i="27"/>
  <c r="P124" i="28"/>
  <c r="P104" i="37"/>
  <c r="P108" i="37"/>
  <c r="P112" i="37"/>
  <c r="P107" i="38"/>
  <c r="P111" i="38"/>
  <c r="J96" i="38"/>
  <c r="F18" i="2"/>
  <c r="P121" i="28"/>
  <c r="P145" i="18"/>
  <c r="P137" i="18"/>
  <c r="P133" i="18"/>
  <c r="P113" i="22"/>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D95" i="35"/>
  <c r="D94" i="35"/>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P111" i="23"/>
  <c r="P107" i="22"/>
  <c r="P118" i="23"/>
  <c r="C31" i="17"/>
  <c r="C18" i="17"/>
  <c r="C25" i="17"/>
  <c r="C20" i="17"/>
  <c r="C29" i="17"/>
  <c r="C39" i="17"/>
  <c r="C33" i="17"/>
  <c r="C22" i="17"/>
  <c r="C28" i="17"/>
  <c r="C37" i="17"/>
  <c r="C34" i="17"/>
  <c r="C27" i="17"/>
  <c r="C24" i="17"/>
  <c r="C23" i="17"/>
  <c r="C21" i="17"/>
  <c r="C36" i="17"/>
  <c r="C35" i="17"/>
  <c r="C19" i="17"/>
  <c r="C30" i="17"/>
  <c r="C32" i="17"/>
  <c r="C26" i="17"/>
  <c r="C38" i="17"/>
  <c r="G74" i="43" l="1"/>
  <c r="H17" i="43"/>
  <c r="H18" i="43"/>
  <c r="I18" i="43" s="1"/>
  <c r="H19" i="43"/>
  <c r="H20" i="43"/>
  <c r="I20" i="43" s="1"/>
  <c r="H21" i="43"/>
  <c r="I21" i="43" s="1"/>
  <c r="H22" i="43"/>
  <c r="I22" i="43" s="1"/>
  <c r="H23" i="43"/>
  <c r="I23" i="43" s="1"/>
  <c r="H24" i="43"/>
  <c r="I24" i="43" s="1"/>
  <c r="H25" i="43"/>
  <c r="I25" i="43" s="1"/>
  <c r="H26" i="43"/>
  <c r="I26" i="43" s="1"/>
  <c r="H27" i="43"/>
  <c r="I27" i="43" s="1"/>
  <c r="H28" i="43"/>
  <c r="I28" i="43" s="1"/>
  <c r="H29" i="43"/>
  <c r="I29" i="43" s="1"/>
  <c r="H30" i="43"/>
  <c r="I30" i="43" s="1"/>
  <c r="H31" i="43"/>
  <c r="I31" i="43" s="1"/>
  <c r="H32" i="43"/>
  <c r="I32" i="43" s="1"/>
  <c r="H33" i="43"/>
  <c r="I33" i="43" s="1"/>
  <c r="H34" i="43"/>
  <c r="I34" i="43" s="1"/>
  <c r="H35" i="43"/>
  <c r="I35" i="43" s="1"/>
  <c r="H36" i="43"/>
  <c r="I36" i="43" s="1"/>
  <c r="H37" i="43"/>
  <c r="I37" i="43" s="1"/>
  <c r="H38" i="43"/>
  <c r="I38" i="43" s="1"/>
  <c r="H39" i="43"/>
  <c r="I39" i="43" s="1"/>
  <c r="H40" i="43"/>
  <c r="I40" i="43" s="1"/>
  <c r="H41" i="43"/>
  <c r="I41" i="43" s="1"/>
  <c r="H42" i="43"/>
  <c r="I42" i="43" s="1"/>
  <c r="H43" i="43"/>
  <c r="I43" i="43" s="1"/>
  <c r="H44" i="43"/>
  <c r="I44" i="43" s="1"/>
  <c r="H45" i="43"/>
  <c r="I45" i="43" s="1"/>
  <c r="H46" i="43"/>
  <c r="I46" i="43" s="1"/>
  <c r="H47" i="43"/>
  <c r="I47" i="43" s="1"/>
  <c r="H48" i="43"/>
  <c r="I48" i="43" s="1"/>
  <c r="H49" i="43"/>
  <c r="I49" i="43" s="1"/>
  <c r="H50" i="43"/>
  <c r="I50" i="43" s="1"/>
  <c r="H51" i="43"/>
  <c r="I51" i="43" s="1"/>
  <c r="H52" i="43"/>
  <c r="I52" i="43" s="1"/>
  <c r="H53" i="43"/>
  <c r="I53" i="43" s="1"/>
  <c r="H54" i="43"/>
  <c r="I54" i="43" s="1"/>
  <c r="H55" i="43"/>
  <c r="I55" i="43" s="1"/>
  <c r="H56" i="43"/>
  <c r="I56" i="43" s="1"/>
  <c r="H57" i="43"/>
  <c r="I57" i="43" s="1"/>
  <c r="H58" i="43"/>
  <c r="I58" i="43" s="1"/>
  <c r="H59" i="43"/>
  <c r="I59" i="43" s="1"/>
  <c r="H60" i="43"/>
  <c r="I60" i="43" s="1"/>
  <c r="H61" i="43"/>
  <c r="I61" i="43" s="1"/>
  <c r="H62" i="43"/>
  <c r="I62" i="43" s="1"/>
  <c r="H63" i="43"/>
  <c r="I63" i="43" s="1"/>
  <c r="H64" i="43"/>
  <c r="I64" i="43" s="1"/>
  <c r="H65" i="43"/>
  <c r="I65" i="43" s="1"/>
  <c r="H66" i="43"/>
  <c r="I66" i="43" s="1"/>
  <c r="H67" i="43"/>
  <c r="I67" i="43" s="1"/>
  <c r="H68" i="43"/>
  <c r="I68" i="43" s="1"/>
  <c r="H69" i="43"/>
  <c r="I69" i="43" s="1"/>
  <c r="H70" i="43"/>
  <c r="I70" i="43" s="1"/>
  <c r="H71" i="43"/>
  <c r="I71" i="43" s="1"/>
  <c r="H72" i="43"/>
  <c r="I72" i="43" s="1"/>
  <c r="H73" i="43"/>
  <c r="I73" i="43" s="1"/>
  <c r="E18" i="13"/>
  <c r="F18" i="13" s="1"/>
  <c r="G18" i="13" s="1"/>
  <c r="N100" i="40"/>
  <c r="O100" i="40" s="1"/>
  <c r="P100" i="40" s="1"/>
  <c r="J100" i="40"/>
  <c r="L100" i="42"/>
  <c r="M100" i="42" s="1"/>
  <c r="H156" i="42"/>
  <c r="I100" i="42"/>
  <c r="I101" i="42"/>
  <c r="J101" i="42" s="1"/>
  <c r="I102" i="42"/>
  <c r="J102" i="42" s="1"/>
  <c r="I103" i="42"/>
  <c r="J103" i="42" s="1"/>
  <c r="I104" i="42"/>
  <c r="J104" i="42" s="1"/>
  <c r="I105" i="42"/>
  <c r="J105" i="42" s="1"/>
  <c r="I106" i="42"/>
  <c r="J106" i="42" s="1"/>
  <c r="I107" i="42"/>
  <c r="J107" i="42" s="1"/>
  <c r="I108" i="42"/>
  <c r="J108" i="42" s="1"/>
  <c r="I109" i="42"/>
  <c r="J109" i="42" s="1"/>
  <c r="I110" i="42"/>
  <c r="J110" i="42" s="1"/>
  <c r="I111" i="42"/>
  <c r="J111" i="42" s="1"/>
  <c r="I112" i="42"/>
  <c r="J112" i="42" s="1"/>
  <c r="I113" i="42"/>
  <c r="J113" i="42" s="1"/>
  <c r="I114" i="42"/>
  <c r="J114" i="42" s="1"/>
  <c r="I115" i="42"/>
  <c r="J115" i="42" s="1"/>
  <c r="I116" i="42"/>
  <c r="J116" i="42" s="1"/>
  <c r="I117" i="42"/>
  <c r="J117" i="42" s="1"/>
  <c r="I118" i="42"/>
  <c r="J118" i="42" s="1"/>
  <c r="I119" i="42"/>
  <c r="J119" i="42" s="1"/>
  <c r="I120" i="42"/>
  <c r="J120" i="42" s="1"/>
  <c r="I121" i="42"/>
  <c r="J121" i="42" s="1"/>
  <c r="I122" i="42"/>
  <c r="J122" i="42" s="1"/>
  <c r="I123" i="42"/>
  <c r="J123" i="42" s="1"/>
  <c r="I124" i="42"/>
  <c r="J124" i="42" s="1"/>
  <c r="I125" i="42"/>
  <c r="J125" i="42" s="1"/>
  <c r="I126" i="42"/>
  <c r="J126" i="42" s="1"/>
  <c r="I127" i="42"/>
  <c r="J127" i="42" s="1"/>
  <c r="I128" i="42"/>
  <c r="J128" i="42" s="1"/>
  <c r="I129" i="42"/>
  <c r="J129" i="42" s="1"/>
  <c r="I130" i="42"/>
  <c r="J130" i="42" s="1"/>
  <c r="I131" i="42"/>
  <c r="J131" i="42" s="1"/>
  <c r="I132" i="42"/>
  <c r="I133" i="42"/>
  <c r="I134" i="42"/>
  <c r="I135" i="42"/>
  <c r="I136" i="42"/>
  <c r="I137" i="42"/>
  <c r="I138" i="42"/>
  <c r="I139" i="42"/>
  <c r="I140" i="42"/>
  <c r="I141" i="42"/>
  <c r="I142" i="42"/>
  <c r="I143" i="42"/>
  <c r="I144" i="42"/>
  <c r="I145" i="42"/>
  <c r="I146" i="42"/>
  <c r="I147" i="42"/>
  <c r="I148" i="42"/>
  <c r="I149" i="42"/>
  <c r="I150" i="42"/>
  <c r="I151" i="42"/>
  <c r="I152" i="42"/>
  <c r="I153" i="42"/>
  <c r="I154" i="42"/>
  <c r="I155" i="42"/>
  <c r="N100" i="41"/>
  <c r="O100" i="41" s="1"/>
  <c r="P100" i="41" s="1"/>
  <c r="J100" i="41"/>
  <c r="D96" i="41"/>
  <c r="J97" i="41" s="1"/>
  <c r="D96" i="40"/>
  <c r="J97" i="40" s="1"/>
  <c r="D96" i="42"/>
  <c r="D96" i="27"/>
  <c r="J97" i="27" s="1"/>
  <c r="D96" i="39"/>
  <c r="J97" i="39" s="1"/>
  <c r="F100" i="20"/>
  <c r="D101" i="20" s="1"/>
  <c r="E101" i="20" s="1"/>
  <c r="I13" i="27"/>
  <c r="I13" i="39"/>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D100" i="20"/>
  <c r="B100" i="20" s="1"/>
  <c r="C101" i="22"/>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F20" i="1"/>
  <c r="E25" i="1" s="1"/>
  <c r="E26" i="1" s="1"/>
  <c r="E30" i="1" s="1"/>
  <c r="I13" i="13"/>
  <c r="G17" i="13"/>
  <c r="I13" i="24"/>
  <c r="D96" i="24"/>
  <c r="J97" i="24" s="1"/>
  <c r="D96" i="29"/>
  <c r="J97" i="29" s="1"/>
  <c r="D96" i="23"/>
  <c r="J97" i="23" s="1"/>
  <c r="D96" i="21"/>
  <c r="J97" i="21" s="1"/>
  <c r="D96" i="18"/>
  <c r="J97" i="18" s="1"/>
  <c r="D96" i="20"/>
  <c r="D96" i="38"/>
  <c r="J97" i="38" s="1"/>
  <c r="D96" i="13"/>
  <c r="D96" i="34"/>
  <c r="J97" i="34" s="1"/>
  <c r="E104" i="34" s="1"/>
  <c r="F104" i="34" s="1"/>
  <c r="G104" i="34" s="1"/>
  <c r="H104" i="34" s="1"/>
  <c r="D96" i="22"/>
  <c r="J97" i="22" s="1"/>
  <c r="D96" i="3"/>
  <c r="J97" i="3" s="1"/>
  <c r="D96" i="4"/>
  <c r="J97" i="4" s="1"/>
  <c r="D96" i="31"/>
  <c r="J97" i="31" s="1"/>
  <c r="D96" i="37"/>
  <c r="J97" i="37" s="1"/>
  <c r="D96" i="35"/>
  <c r="J97" i="35" s="1"/>
  <c r="D96" i="26"/>
  <c r="J97" i="26" s="1"/>
  <c r="D96" i="28"/>
  <c r="J97" i="28" s="1"/>
  <c r="D96" i="19"/>
  <c r="J97" i="19" s="1"/>
  <c r="D96" i="25"/>
  <c r="J97" i="25"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D19" i="13" l="1"/>
  <c r="B19" i="13" s="1"/>
  <c r="N6" i="43"/>
  <c r="N7" i="43" s="1"/>
  <c r="I19" i="43"/>
  <c r="I17" i="43"/>
  <c r="H74" i="43"/>
  <c r="I156" i="42"/>
  <c r="J100" i="42"/>
  <c r="J156" i="42" s="1"/>
  <c r="N100" i="42"/>
  <c r="O100" i="42" s="1"/>
  <c r="P100" i="42" s="1"/>
  <c r="E103" i="37"/>
  <c r="E101" i="40"/>
  <c r="F101" i="40" s="1"/>
  <c r="E101" i="39"/>
  <c r="E101" i="41"/>
  <c r="G100" i="20"/>
  <c r="H100" i="20" s="1"/>
  <c r="L100" i="38"/>
  <c r="M100" i="38" s="1"/>
  <c r="N100" i="38"/>
  <c r="O100" i="38" s="1"/>
  <c r="E32" i="1"/>
  <c r="E33" i="1" s="1"/>
  <c r="F52" i="1"/>
  <c r="G100" i="13"/>
  <c r="D101" i="13"/>
  <c r="I18" i="20"/>
  <c r="B20" i="20"/>
  <c r="H19" i="20"/>
  <c r="G19" i="20"/>
  <c r="E20" i="20"/>
  <c r="F20" i="20" s="1"/>
  <c r="H20" i="20" s="1"/>
  <c r="H17" i="13"/>
  <c r="I17" i="13" s="1"/>
  <c r="H18" i="13"/>
  <c r="E19" i="13"/>
  <c r="F19" i="13" s="1"/>
  <c r="B101" i="20"/>
  <c r="F101" i="20"/>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I74" i="43" l="1"/>
  <c r="D103" i="37"/>
  <c r="F103" i="37" s="1"/>
  <c r="G103" i="37" s="1"/>
  <c r="H103" i="37" s="1"/>
  <c r="F101" i="41"/>
  <c r="F101" i="39"/>
  <c r="G101" i="40"/>
  <c r="I101" i="40" s="1"/>
  <c r="H101" i="40"/>
  <c r="D102" i="40"/>
  <c r="M28" i="4"/>
  <c r="N28" i="4" s="1"/>
  <c r="K28" i="4"/>
  <c r="L28" i="4" s="1"/>
  <c r="E36" i="1"/>
  <c r="F53" i="1" s="1"/>
  <c r="F54" i="1" s="1"/>
  <c r="B21" i="20"/>
  <c r="I100" i="20"/>
  <c r="J100" i="20" s="1"/>
  <c r="J100" i="38"/>
  <c r="B101" i="38"/>
  <c r="P100" i="38"/>
  <c r="J104" i="23"/>
  <c r="E101" i="13"/>
  <c r="F101" i="13" s="1"/>
  <c r="B101" i="13"/>
  <c r="H100" i="13"/>
  <c r="I100" i="13"/>
  <c r="I19" i="20"/>
  <c r="G20" i="20"/>
  <c r="I20" i="20" s="1"/>
  <c r="E21" i="20"/>
  <c r="F21" i="20" s="1"/>
  <c r="D20" i="13"/>
  <c r="E20" i="13" s="1"/>
  <c r="F20" i="13" s="1"/>
  <c r="D21" i="13" s="1"/>
  <c r="H19" i="13"/>
  <c r="G19" i="13"/>
  <c r="I18" i="13"/>
  <c r="B23" i="23"/>
  <c r="I22" i="23"/>
  <c r="B104" i="25"/>
  <c r="B108" i="19"/>
  <c r="G101" i="20"/>
  <c r="D102" i="20"/>
  <c r="B102" i="20" s="1"/>
  <c r="B105" i="22"/>
  <c r="B109" i="3"/>
  <c r="O28" i="4" l="1"/>
  <c r="B102" i="40"/>
  <c r="E102" i="40"/>
  <c r="F102" i="40" s="1"/>
  <c r="D102" i="39"/>
  <c r="G101" i="39"/>
  <c r="I101" i="39" s="1"/>
  <c r="N89" i="39" s="1"/>
  <c r="H101" i="39"/>
  <c r="M89" i="39" s="1"/>
  <c r="M90" i="39" s="1"/>
  <c r="E102" i="39"/>
  <c r="J101" i="40"/>
  <c r="D102" i="41"/>
  <c r="H101" i="41"/>
  <c r="G101" i="41"/>
  <c r="I101" i="41" s="1"/>
  <c r="M28" i="3"/>
  <c r="N28" i="3" s="1"/>
  <c r="K28" i="3"/>
  <c r="L28" i="3" s="1"/>
  <c r="M27" i="19"/>
  <c r="N27" i="19" s="1"/>
  <c r="K27" i="19"/>
  <c r="L27" i="19" s="1"/>
  <c r="M27" i="18"/>
  <c r="N27" i="18" s="1"/>
  <c r="K27" i="18"/>
  <c r="L27" i="18" s="1"/>
  <c r="F61" i="1"/>
  <c r="F64" i="1" s="1"/>
  <c r="F66" i="1" s="1"/>
  <c r="F68" i="1" s="1"/>
  <c r="F69" i="1" s="1"/>
  <c r="F70" i="1" s="1"/>
  <c r="F55" i="1" s="1"/>
  <c r="F56" i="1" s="1"/>
  <c r="F58" i="1" s="1"/>
  <c r="F77" i="1" s="1"/>
  <c r="F78" i="1" s="1"/>
  <c r="F80" i="1" s="1"/>
  <c r="F74" i="1"/>
  <c r="F75" i="1" s="1"/>
  <c r="J105" i="23"/>
  <c r="D102" i="13"/>
  <c r="G101" i="13"/>
  <c r="J100" i="13"/>
  <c r="I23" i="23"/>
  <c r="E21" i="13"/>
  <c r="F21" i="13" s="1"/>
  <c r="B21" i="13"/>
  <c r="I19" i="13"/>
  <c r="B20" i="13"/>
  <c r="H20" i="13"/>
  <c r="G20" i="13"/>
  <c r="I26" i="3"/>
  <c r="B27" i="3"/>
  <c r="B22" i="20"/>
  <c r="G21" i="20"/>
  <c r="H21" i="20"/>
  <c r="E22" i="20"/>
  <c r="B108" i="18"/>
  <c r="E102" i="20"/>
  <c r="F102" i="20" s="1"/>
  <c r="G102" i="20" s="1"/>
  <c r="B109" i="4"/>
  <c r="B101" i="37"/>
  <c r="L100" i="37"/>
  <c r="M100" i="37" s="1"/>
  <c r="N100" i="37"/>
  <c r="O100" i="37" s="1"/>
  <c r="B102" i="31"/>
  <c r="B102" i="35"/>
  <c r="B106" i="28"/>
  <c r="B105" i="26"/>
  <c r="I101" i="20"/>
  <c r="H101" i="20"/>
  <c r="B106" i="27"/>
  <c r="J107" i="19"/>
  <c r="B102" i="38"/>
  <c r="B106" i="21"/>
  <c r="B102" i="34"/>
  <c r="B106" i="24"/>
  <c r="J108" i="3"/>
  <c r="D107" i="23"/>
  <c r="E107" i="23"/>
  <c r="J104" i="22"/>
  <c r="N90" i="39" l="1"/>
  <c r="O89" i="39"/>
  <c r="O90" i="39" s="1"/>
  <c r="O28" i="3"/>
  <c r="G102" i="40"/>
  <c r="I102" i="40" s="1"/>
  <c r="D103" i="40"/>
  <c r="B103" i="40" s="1"/>
  <c r="E103" i="40"/>
  <c r="F103" i="40" s="1"/>
  <c r="H102" i="40"/>
  <c r="J101" i="41"/>
  <c r="B102" i="41"/>
  <c r="J101" i="39"/>
  <c r="E102" i="41"/>
  <c r="F102" i="39"/>
  <c r="H102" i="39" s="1"/>
  <c r="B102" i="39"/>
  <c r="O27" i="19"/>
  <c r="O27" i="18"/>
  <c r="N20" i="37"/>
  <c r="O20" i="37" s="1"/>
  <c r="P100" i="37"/>
  <c r="D103" i="20"/>
  <c r="E103" i="20" s="1"/>
  <c r="B24" i="24"/>
  <c r="I23" i="24"/>
  <c r="I101" i="13"/>
  <c r="H101" i="13"/>
  <c r="E102" i="13"/>
  <c r="F102" i="13" s="1"/>
  <c r="B102" i="13"/>
  <c r="H21" i="13"/>
  <c r="D22" i="13"/>
  <c r="E22" i="13" s="1"/>
  <c r="F22" i="13" s="1"/>
  <c r="G21" i="13"/>
  <c r="I20" i="13"/>
  <c r="B20" i="35"/>
  <c r="B19" i="37"/>
  <c r="I25" i="19"/>
  <c r="B24" i="21"/>
  <c r="I19" i="31"/>
  <c r="I23" i="27"/>
  <c r="B22" i="25"/>
  <c r="I22" i="26"/>
  <c r="I22" i="22"/>
  <c r="B26" i="19"/>
  <c r="F22" i="20"/>
  <c r="B18" i="38"/>
  <c r="B27" i="4"/>
  <c r="B24" i="27"/>
  <c r="B26" i="18"/>
  <c r="I23" i="21"/>
  <c r="B23" i="22"/>
  <c r="I21" i="20"/>
  <c r="I26" i="4"/>
  <c r="B23" i="26"/>
  <c r="B20" i="34"/>
  <c r="B24" i="23"/>
  <c r="I17" i="38"/>
  <c r="F24" i="28"/>
  <c r="G24" i="28" s="1"/>
  <c r="I20" i="29"/>
  <c r="I19" i="34"/>
  <c r="I19" i="35"/>
  <c r="B20" i="31"/>
  <c r="I18" i="37"/>
  <c r="I21" i="25"/>
  <c r="I25" i="18"/>
  <c r="J108" i="4"/>
  <c r="J107" i="18"/>
  <c r="J101" i="35"/>
  <c r="J100" i="37"/>
  <c r="J103" i="25"/>
  <c r="J104" i="26"/>
  <c r="J105" i="28"/>
  <c r="B105" i="25"/>
  <c r="J105" i="27"/>
  <c r="J105" i="21"/>
  <c r="J102" i="29"/>
  <c r="D107" i="27"/>
  <c r="E107" i="27"/>
  <c r="J101" i="20"/>
  <c r="J105" i="24"/>
  <c r="J101" i="38"/>
  <c r="D103" i="38"/>
  <c r="J101" i="34"/>
  <c r="B109" i="19"/>
  <c r="B110" i="3"/>
  <c r="B106" i="22"/>
  <c r="H102" i="20"/>
  <c r="I102" i="20"/>
  <c r="F107" i="23"/>
  <c r="F102" i="41" l="1"/>
  <c r="D104" i="40"/>
  <c r="B104" i="40" s="1"/>
  <c r="G103" i="40"/>
  <c r="G102" i="39"/>
  <c r="I102" i="39" s="1"/>
  <c r="J102" i="39" s="1"/>
  <c r="D103" i="39"/>
  <c r="E103" i="39"/>
  <c r="J102" i="40"/>
  <c r="B19" i="39"/>
  <c r="I18" i="39"/>
  <c r="B103" i="20"/>
  <c r="F103" i="20"/>
  <c r="D104" i="20" s="1"/>
  <c r="I24" i="24"/>
  <c r="B22" i="13"/>
  <c r="I21" i="13"/>
  <c r="H24" i="28"/>
  <c r="I24" i="28" s="1"/>
  <c r="B25" i="24"/>
  <c r="J104" i="25"/>
  <c r="G102" i="13"/>
  <c r="D103" i="13"/>
  <c r="B103" i="13" s="1"/>
  <c r="J101" i="13"/>
  <c r="I20" i="34"/>
  <c r="I23" i="22"/>
  <c r="I20" i="31"/>
  <c r="I24" i="21"/>
  <c r="I27" i="4"/>
  <c r="I26" i="18"/>
  <c r="I19" i="37"/>
  <c r="I26" i="19"/>
  <c r="I20" i="35"/>
  <c r="D23" i="13"/>
  <c r="E23" i="13" s="1"/>
  <c r="G22" i="13"/>
  <c r="H22" i="13"/>
  <c r="I27" i="3"/>
  <c r="G22" i="20"/>
  <c r="H22" i="20"/>
  <c r="E23" i="20"/>
  <c r="B23" i="20"/>
  <c r="B28" i="3"/>
  <c r="I21" i="29"/>
  <c r="B110" i="4"/>
  <c r="B109" i="18"/>
  <c r="D105" i="29"/>
  <c r="B103" i="35"/>
  <c r="B107" i="28"/>
  <c r="D106" i="25"/>
  <c r="E106" i="25"/>
  <c r="P101" i="37"/>
  <c r="B106" i="26"/>
  <c r="B102" i="37"/>
  <c r="B103" i="31"/>
  <c r="B103" i="34"/>
  <c r="F107" i="27"/>
  <c r="B107" i="27"/>
  <c r="B103" i="38"/>
  <c r="B107" i="21"/>
  <c r="B107" i="24"/>
  <c r="D110" i="19"/>
  <c r="E110" i="19"/>
  <c r="E103" i="38"/>
  <c r="F103" i="38" s="1"/>
  <c r="J108" i="19"/>
  <c r="J105" i="22"/>
  <c r="J109" i="3"/>
  <c r="J102" i="20"/>
  <c r="J106" i="23"/>
  <c r="D107" i="22"/>
  <c r="E107" i="22"/>
  <c r="G107" i="23"/>
  <c r="D108" i="23"/>
  <c r="E108" i="23"/>
  <c r="D111" i="3"/>
  <c r="E111" i="3"/>
  <c r="I103" i="40" l="1"/>
  <c r="H103" i="40"/>
  <c r="F103" i="39"/>
  <c r="B103" i="39"/>
  <c r="E104" i="40"/>
  <c r="F104" i="40" s="1"/>
  <c r="G102" i="41"/>
  <c r="I102" i="41" s="1"/>
  <c r="D103" i="41"/>
  <c r="B103" i="41" s="1"/>
  <c r="H102" i="41"/>
  <c r="I24" i="23"/>
  <c r="G103" i="20"/>
  <c r="H103" i="20" s="1"/>
  <c r="I18" i="38"/>
  <c r="E103" i="13"/>
  <c r="F103" i="13" s="1"/>
  <c r="D104" i="13" s="1"/>
  <c r="J101" i="37"/>
  <c r="H102" i="13"/>
  <c r="I102" i="13"/>
  <c r="I23" i="26"/>
  <c r="B21" i="34"/>
  <c r="B20" i="37"/>
  <c r="B27" i="18"/>
  <c r="J108" i="18"/>
  <c r="B27" i="19"/>
  <c r="F23" i="20"/>
  <c r="B24" i="26"/>
  <c r="J109" i="4"/>
  <c r="B25" i="21"/>
  <c r="I22" i="20"/>
  <c r="I22" i="13"/>
  <c r="B24" i="22"/>
  <c r="B28" i="4"/>
  <c r="B25" i="23"/>
  <c r="I24" i="27"/>
  <c r="B19" i="38"/>
  <c r="I22" i="25"/>
  <c r="B23" i="25"/>
  <c r="B25" i="27"/>
  <c r="B21" i="31"/>
  <c r="F23" i="13"/>
  <c r="H23" i="13" s="1"/>
  <c r="N6" i="13" s="1"/>
  <c r="B23" i="13"/>
  <c r="B25" i="28"/>
  <c r="B21" i="35"/>
  <c r="E111" i="4"/>
  <c r="D111" i="4"/>
  <c r="E110" i="18"/>
  <c r="D110" i="18"/>
  <c r="D104" i="31"/>
  <c r="E104" i="31"/>
  <c r="J102" i="31"/>
  <c r="J105" i="26"/>
  <c r="E105" i="29"/>
  <c r="F105" i="29" s="1"/>
  <c r="E107" i="26"/>
  <c r="D107" i="26"/>
  <c r="B106" i="25"/>
  <c r="F106" i="25"/>
  <c r="D104" i="35"/>
  <c r="E104" i="35"/>
  <c r="J106" i="28"/>
  <c r="J102" i="35"/>
  <c r="D108" i="21"/>
  <c r="E108" i="21"/>
  <c r="J102" i="38"/>
  <c r="J106" i="27"/>
  <c r="F108" i="23"/>
  <c r="G108" i="23" s="1"/>
  <c r="J106" i="24"/>
  <c r="J102" i="34"/>
  <c r="B110" i="19"/>
  <c r="F110" i="19"/>
  <c r="D108" i="24"/>
  <c r="E108" i="24"/>
  <c r="J106" i="21"/>
  <c r="D104" i="38"/>
  <c r="E104" i="38" s="1"/>
  <c r="G103" i="38"/>
  <c r="G107" i="27"/>
  <c r="D108" i="27"/>
  <c r="E108" i="27"/>
  <c r="J103" i="29"/>
  <c r="B104" i="20"/>
  <c r="E104" i="20"/>
  <c r="F104" i="20" s="1"/>
  <c r="B111" i="3"/>
  <c r="F111" i="3"/>
  <c r="F107" i="22"/>
  <c r="B107" i="22"/>
  <c r="I107" i="23"/>
  <c r="H107" i="23"/>
  <c r="E103" i="41" l="1"/>
  <c r="F103" i="41" s="1"/>
  <c r="G103" i="39"/>
  <c r="I103" i="39" s="1"/>
  <c r="D104" i="39"/>
  <c r="E104" i="39"/>
  <c r="J102" i="41"/>
  <c r="G104" i="40"/>
  <c r="D105" i="40"/>
  <c r="E105" i="40" s="1"/>
  <c r="J103" i="40"/>
  <c r="H103" i="39"/>
  <c r="G103" i="13"/>
  <c r="H103" i="13" s="1"/>
  <c r="I103" i="20"/>
  <c r="J103" i="20" s="1"/>
  <c r="I25" i="24"/>
  <c r="B26" i="24"/>
  <c r="B104" i="13"/>
  <c r="I103" i="13"/>
  <c r="J102" i="13"/>
  <c r="E104" i="13"/>
  <c r="F104" i="13" s="1"/>
  <c r="E109" i="23"/>
  <c r="I19" i="38"/>
  <c r="D109" i="23"/>
  <c r="H23" i="20"/>
  <c r="G23" i="20"/>
  <c r="E24" i="20"/>
  <c r="B24" i="20"/>
  <c r="G23" i="13"/>
  <c r="B29" i="3"/>
  <c r="D24" i="13"/>
  <c r="E24" i="13" s="1"/>
  <c r="I28" i="3"/>
  <c r="F111" i="4"/>
  <c r="B111" i="4"/>
  <c r="F110" i="18"/>
  <c r="B110" i="18"/>
  <c r="G106" i="25"/>
  <c r="D107" i="25"/>
  <c r="E107" i="25"/>
  <c r="B108" i="28"/>
  <c r="B104" i="31"/>
  <c r="F104" i="31"/>
  <c r="B107" i="26"/>
  <c r="F107" i="26"/>
  <c r="B104" i="35"/>
  <c r="F104" i="35"/>
  <c r="B103" i="37"/>
  <c r="J105" i="25"/>
  <c r="B104" i="34"/>
  <c r="F108" i="27"/>
  <c r="B108" i="27"/>
  <c r="G105" i="29"/>
  <c r="D106" i="29"/>
  <c r="E106" i="29"/>
  <c r="H107" i="27"/>
  <c r="I107" i="27"/>
  <c r="H103" i="38"/>
  <c r="I103" i="38"/>
  <c r="B108" i="24"/>
  <c r="F108" i="24"/>
  <c r="J109" i="19"/>
  <c r="F104" i="38"/>
  <c r="B104" i="38"/>
  <c r="D111" i="19"/>
  <c r="G110" i="19"/>
  <c r="E111" i="19"/>
  <c r="J104" i="29"/>
  <c r="B108" i="21"/>
  <c r="F108" i="21"/>
  <c r="D105" i="20"/>
  <c r="G104" i="20"/>
  <c r="H108" i="23"/>
  <c r="I108" i="23"/>
  <c r="J106" i="22"/>
  <c r="J110" i="3"/>
  <c r="J107" i="23"/>
  <c r="D108" i="22"/>
  <c r="G107" i="22"/>
  <c r="E108" i="22"/>
  <c r="D112" i="3"/>
  <c r="E112" i="3"/>
  <c r="G111" i="3"/>
  <c r="I23" i="13" l="1"/>
  <c r="N5" i="13"/>
  <c r="N7" i="13" s="1"/>
  <c r="F104" i="39"/>
  <c r="D105" i="39" s="1"/>
  <c r="B105" i="40"/>
  <c r="F105" i="40"/>
  <c r="H104" i="40"/>
  <c r="I104" i="40"/>
  <c r="J103" i="39"/>
  <c r="G103" i="41"/>
  <c r="D104" i="41"/>
  <c r="B104" i="41" s="1"/>
  <c r="H104" i="39"/>
  <c r="B104" i="39"/>
  <c r="I25" i="27"/>
  <c r="I24" i="22"/>
  <c r="I24" i="26"/>
  <c r="I28" i="4"/>
  <c r="I23" i="25"/>
  <c r="I21" i="34"/>
  <c r="I22" i="29"/>
  <c r="I21" i="31"/>
  <c r="I21" i="35"/>
  <c r="F109" i="23"/>
  <c r="E110" i="23" s="1"/>
  <c r="G104" i="13"/>
  <c r="D105" i="13"/>
  <c r="J103" i="13"/>
  <c r="B22" i="31"/>
  <c r="I27" i="18"/>
  <c r="B28" i="18"/>
  <c r="F24" i="20"/>
  <c r="B26" i="27"/>
  <c r="B25" i="26"/>
  <c r="B28" i="19"/>
  <c r="I23" i="20"/>
  <c r="B22" i="34"/>
  <c r="I20" i="37"/>
  <c r="B24" i="25"/>
  <c r="B26" i="21"/>
  <c r="B20" i="38"/>
  <c r="I27" i="19"/>
  <c r="F24" i="13"/>
  <c r="H24" i="13" s="1"/>
  <c r="B24" i="13"/>
  <c r="B29" i="4"/>
  <c r="I25" i="21"/>
  <c r="B21" i="37"/>
  <c r="B25" i="22"/>
  <c r="B22" i="35"/>
  <c r="J108" i="23"/>
  <c r="J107" i="28"/>
  <c r="D111" i="18"/>
  <c r="E111" i="18"/>
  <c r="G110" i="18"/>
  <c r="E112" i="4"/>
  <c r="D112" i="4"/>
  <c r="G111" i="4"/>
  <c r="J110" i="4"/>
  <c r="J109" i="18"/>
  <c r="E105" i="35"/>
  <c r="D105" i="35"/>
  <c r="G104" i="35"/>
  <c r="H106" i="25"/>
  <c r="I106" i="25"/>
  <c r="J102" i="37"/>
  <c r="J103" i="31"/>
  <c r="E105" i="31"/>
  <c r="D105" i="31"/>
  <c r="G104" i="31"/>
  <c r="J106" i="26"/>
  <c r="J103" i="35"/>
  <c r="D104" i="37"/>
  <c r="E104" i="37"/>
  <c r="E108" i="26"/>
  <c r="G107" i="26"/>
  <c r="D108" i="26"/>
  <c r="B107" i="25"/>
  <c r="F107" i="25"/>
  <c r="F106" i="29"/>
  <c r="E107" i="29" s="1"/>
  <c r="D109" i="21"/>
  <c r="G108" i="21"/>
  <c r="E109" i="21"/>
  <c r="D105" i="38"/>
  <c r="E105" i="38" s="1"/>
  <c r="G104" i="38"/>
  <c r="D105" i="34"/>
  <c r="E105" i="34"/>
  <c r="J107" i="27"/>
  <c r="D109" i="24"/>
  <c r="G108" i="24"/>
  <c r="E109" i="24"/>
  <c r="J103" i="34"/>
  <c r="J103" i="38"/>
  <c r="I105" i="29"/>
  <c r="H105" i="29"/>
  <c r="G108" i="27"/>
  <c r="D109" i="27"/>
  <c r="E109" i="27"/>
  <c r="B111" i="19"/>
  <c r="F111" i="19"/>
  <c r="I110" i="19"/>
  <c r="H110" i="19"/>
  <c r="J107" i="24"/>
  <c r="J107" i="21"/>
  <c r="B108" i="22"/>
  <c r="F108" i="22"/>
  <c r="H104" i="20"/>
  <c r="I104" i="20"/>
  <c r="H111" i="3"/>
  <c r="I111" i="3"/>
  <c r="F112" i="3"/>
  <c r="B112" i="3"/>
  <c r="B105" i="20"/>
  <c r="I107" i="22"/>
  <c r="H107" i="22"/>
  <c r="E105" i="20"/>
  <c r="F105" i="20" s="1"/>
  <c r="E105" i="39" l="1"/>
  <c r="G104" i="39"/>
  <c r="I104" i="39" s="1"/>
  <c r="J104" i="40"/>
  <c r="E104" i="41"/>
  <c r="F104" i="41" s="1"/>
  <c r="F105" i="39"/>
  <c r="D106" i="39" s="1"/>
  <c r="J104" i="39"/>
  <c r="H103" i="41"/>
  <c r="I103" i="41"/>
  <c r="G105" i="40"/>
  <c r="D106" i="40"/>
  <c r="B106" i="40" s="1"/>
  <c r="B105" i="39"/>
  <c r="D110" i="23"/>
  <c r="F110" i="23" s="1"/>
  <c r="D111" i="23" s="1"/>
  <c r="G109" i="23"/>
  <c r="I109" i="23" s="1"/>
  <c r="J106" i="25"/>
  <c r="E105" i="13"/>
  <c r="F105" i="13" s="1"/>
  <c r="B105" i="13"/>
  <c r="I104" i="13"/>
  <c r="H104" i="13"/>
  <c r="G24" i="13"/>
  <c r="I24" i="13" s="1"/>
  <c r="H24" i="20"/>
  <c r="B25" i="20"/>
  <c r="E25" i="20"/>
  <c r="F25" i="20" s="1"/>
  <c r="G24" i="20"/>
  <c r="D25" i="13"/>
  <c r="H110" i="18"/>
  <c r="I110" i="18"/>
  <c r="F112" i="4"/>
  <c r="B112" i="4"/>
  <c r="H111" i="4"/>
  <c r="I111" i="4"/>
  <c r="B111" i="18"/>
  <c r="F111" i="18"/>
  <c r="G107" i="25"/>
  <c r="D108" i="25"/>
  <c r="E108" i="25"/>
  <c r="F108" i="26"/>
  <c r="B108" i="26"/>
  <c r="B109" i="28"/>
  <c r="I107" i="26"/>
  <c r="H107" i="26"/>
  <c r="H104" i="35"/>
  <c r="I104" i="35"/>
  <c r="B104" i="37"/>
  <c r="F104" i="37"/>
  <c r="I104" i="31"/>
  <c r="H104" i="31"/>
  <c r="B105" i="35"/>
  <c r="F105" i="35"/>
  <c r="I103" i="37"/>
  <c r="F105" i="31"/>
  <c r="B105" i="31"/>
  <c r="G106" i="29"/>
  <c r="I106" i="29" s="1"/>
  <c r="D107" i="29"/>
  <c r="F107" i="29" s="1"/>
  <c r="E108" i="29" s="1"/>
  <c r="F109" i="24"/>
  <c r="B109" i="24"/>
  <c r="B105" i="38"/>
  <c r="F105" i="38"/>
  <c r="I104" i="34"/>
  <c r="J110" i="19"/>
  <c r="H108" i="24"/>
  <c r="I108" i="24"/>
  <c r="D112" i="19"/>
  <c r="G111" i="19"/>
  <c r="E112" i="19"/>
  <c r="F109" i="27"/>
  <c r="B109" i="27"/>
  <c r="I108" i="21"/>
  <c r="H108" i="21"/>
  <c r="H104" i="38"/>
  <c r="I104" i="38"/>
  <c r="H108" i="27"/>
  <c r="I108" i="27"/>
  <c r="F109" i="21"/>
  <c r="B109" i="21"/>
  <c r="J105" i="29"/>
  <c r="B105" i="34"/>
  <c r="F105" i="34"/>
  <c r="G105" i="20"/>
  <c r="D106" i="20"/>
  <c r="E106" i="20" s="1"/>
  <c r="J104" i="20"/>
  <c r="D113" i="3"/>
  <c r="G112" i="3"/>
  <c r="E113" i="3"/>
  <c r="G108" i="22"/>
  <c r="D109" i="22"/>
  <c r="E109" i="22"/>
  <c r="J107" i="22"/>
  <c r="J111" i="3"/>
  <c r="E106" i="39" l="1"/>
  <c r="F106" i="39" s="1"/>
  <c r="H106" i="39" s="1"/>
  <c r="H105" i="39"/>
  <c r="G105" i="39"/>
  <c r="I105" i="39" s="1"/>
  <c r="E106" i="40"/>
  <c r="F106" i="40" s="1"/>
  <c r="G106" i="40" s="1"/>
  <c r="I105" i="40"/>
  <c r="H105" i="40"/>
  <c r="G104" i="41"/>
  <c r="D105" i="41"/>
  <c r="J103" i="41"/>
  <c r="B106" i="39"/>
  <c r="H109" i="23"/>
  <c r="J109" i="23" s="1"/>
  <c r="G110" i="23"/>
  <c r="H110" i="23" s="1"/>
  <c r="E111" i="23"/>
  <c r="F111" i="23" s="1"/>
  <c r="D112" i="23" s="1"/>
  <c r="H106" i="29"/>
  <c r="J106" i="29" s="1"/>
  <c r="J104" i="31"/>
  <c r="G107" i="29"/>
  <c r="H107" i="29" s="1"/>
  <c r="J104" i="13"/>
  <c r="D106" i="13"/>
  <c r="G105" i="13"/>
  <c r="J110" i="18"/>
  <c r="J111" i="4"/>
  <c r="B21" i="38"/>
  <c r="B25" i="13"/>
  <c r="E25" i="13"/>
  <c r="F25" i="13" s="1"/>
  <c r="I20" i="38"/>
  <c r="G25" i="20"/>
  <c r="B26" i="20"/>
  <c r="H25" i="20"/>
  <c r="E26" i="20"/>
  <c r="F26" i="20" s="1"/>
  <c r="D108" i="29"/>
  <c r="F108" i="29" s="1"/>
  <c r="I24" i="20"/>
  <c r="J108" i="28"/>
  <c r="J104" i="35"/>
  <c r="D112" i="18"/>
  <c r="E112" i="18"/>
  <c r="G111" i="18"/>
  <c r="E113" i="4"/>
  <c r="D113" i="4"/>
  <c r="G112" i="4"/>
  <c r="D105" i="37"/>
  <c r="E105" i="37"/>
  <c r="G104" i="37"/>
  <c r="G105" i="31"/>
  <c r="D106" i="31"/>
  <c r="E106" i="31"/>
  <c r="J103" i="37"/>
  <c r="E109" i="26"/>
  <c r="G108" i="26"/>
  <c r="D109" i="26"/>
  <c r="G105" i="35"/>
  <c r="E106" i="35"/>
  <c r="D106" i="35"/>
  <c r="J107" i="26"/>
  <c r="B108" i="25"/>
  <c r="F108" i="25"/>
  <c r="H107" i="25"/>
  <c r="I107" i="25"/>
  <c r="J108" i="27"/>
  <c r="G109" i="24"/>
  <c r="D110" i="24"/>
  <c r="E110" i="24"/>
  <c r="I111" i="19"/>
  <c r="H111" i="19"/>
  <c r="D106" i="38"/>
  <c r="G105" i="38"/>
  <c r="B112" i="19"/>
  <c r="F112" i="19"/>
  <c r="D106" i="34"/>
  <c r="G105" i="34"/>
  <c r="E106" i="34"/>
  <c r="G109" i="21"/>
  <c r="D110" i="21"/>
  <c r="E110" i="21"/>
  <c r="J108" i="21"/>
  <c r="J104" i="34"/>
  <c r="J104" i="38"/>
  <c r="G109" i="27"/>
  <c r="D110" i="27"/>
  <c r="E110" i="27"/>
  <c r="J108" i="24"/>
  <c r="H108" i="22"/>
  <c r="I108" i="22"/>
  <c r="I112" i="3"/>
  <c r="H112" i="3"/>
  <c r="F109" i="22"/>
  <c r="B109" i="22"/>
  <c r="F113" i="3"/>
  <c r="B113" i="3"/>
  <c r="F106" i="20"/>
  <c r="B106" i="20"/>
  <c r="I105" i="20"/>
  <c r="H105" i="20"/>
  <c r="D107" i="40" l="1"/>
  <c r="B107" i="40" s="1"/>
  <c r="J105" i="39"/>
  <c r="H106" i="40"/>
  <c r="I106" i="40"/>
  <c r="B105" i="41"/>
  <c r="I104" i="41"/>
  <c r="H104" i="41"/>
  <c r="G106" i="39"/>
  <c r="I106" i="39" s="1"/>
  <c r="J106" i="39" s="1"/>
  <c r="D107" i="39"/>
  <c r="E107" i="39"/>
  <c r="E105" i="41"/>
  <c r="F105" i="41" s="1"/>
  <c r="J105" i="40"/>
  <c r="I110" i="23"/>
  <c r="J110" i="23" s="1"/>
  <c r="G111" i="23"/>
  <c r="H111" i="23" s="1"/>
  <c r="E112" i="23"/>
  <c r="F112" i="23" s="1"/>
  <c r="G112" i="23" s="1"/>
  <c r="I107" i="29"/>
  <c r="J107" i="29" s="1"/>
  <c r="J107" i="25"/>
  <c r="I105" i="13"/>
  <c r="H105" i="13"/>
  <c r="E106" i="13"/>
  <c r="F106" i="13" s="1"/>
  <c r="B106" i="13"/>
  <c r="E109" i="29"/>
  <c r="G108" i="29"/>
  <c r="H108" i="29" s="1"/>
  <c r="D109" i="29"/>
  <c r="I25" i="20"/>
  <c r="D26" i="13"/>
  <c r="E26" i="13" s="1"/>
  <c r="E27" i="20"/>
  <c r="F27" i="20" s="1"/>
  <c r="H26" i="20"/>
  <c r="G26" i="20"/>
  <c r="B27" i="20"/>
  <c r="H25" i="13"/>
  <c r="G25" i="13"/>
  <c r="F113" i="4"/>
  <c r="B113" i="4"/>
  <c r="H111" i="18"/>
  <c r="I111" i="18"/>
  <c r="I112" i="4"/>
  <c r="H112" i="4"/>
  <c r="B112" i="18"/>
  <c r="F112" i="18"/>
  <c r="G108" i="25"/>
  <c r="E109" i="25"/>
  <c r="D109" i="25"/>
  <c r="F106" i="35"/>
  <c r="B106" i="35"/>
  <c r="B106" i="31"/>
  <c r="F106" i="31"/>
  <c r="I105" i="31"/>
  <c r="H105" i="31"/>
  <c r="I105" i="35"/>
  <c r="H105" i="35"/>
  <c r="H104" i="37"/>
  <c r="I104" i="37"/>
  <c r="F109" i="26"/>
  <c r="B109" i="26"/>
  <c r="B110" i="28"/>
  <c r="I108" i="26"/>
  <c r="H108" i="26"/>
  <c r="F105" i="37"/>
  <c r="B105" i="37"/>
  <c r="B110" i="27"/>
  <c r="F110" i="27"/>
  <c r="G112" i="19"/>
  <c r="D113" i="19"/>
  <c r="E113" i="19"/>
  <c r="I109" i="27"/>
  <c r="H109" i="27"/>
  <c r="J111" i="19"/>
  <c r="H109" i="21"/>
  <c r="I109" i="21"/>
  <c r="H105" i="38"/>
  <c r="I105" i="38"/>
  <c r="H105" i="34"/>
  <c r="I105" i="34"/>
  <c r="B106" i="38"/>
  <c r="F110" i="24"/>
  <c r="B110" i="24"/>
  <c r="F110" i="21"/>
  <c r="B110" i="21"/>
  <c r="B106" i="34"/>
  <c r="F106" i="34"/>
  <c r="E106" i="38"/>
  <c r="F106" i="38" s="1"/>
  <c r="I109" i="24"/>
  <c r="H109" i="24"/>
  <c r="J112" i="3"/>
  <c r="G109" i="22"/>
  <c r="D110" i="22"/>
  <c r="E110" i="22"/>
  <c r="J108" i="22"/>
  <c r="G106" i="20"/>
  <c r="D107" i="20"/>
  <c r="E107" i="20" s="1"/>
  <c r="E114" i="3"/>
  <c r="G113" i="3"/>
  <c r="D114" i="3"/>
  <c r="J105" i="20"/>
  <c r="E107" i="40" l="1"/>
  <c r="F107" i="40" s="1"/>
  <c r="J106" i="40"/>
  <c r="F107" i="39"/>
  <c r="G107" i="39" s="1"/>
  <c r="I107" i="39" s="1"/>
  <c r="B107" i="39"/>
  <c r="D106" i="41"/>
  <c r="B106" i="41" s="1"/>
  <c r="G105" i="41"/>
  <c r="J104" i="41"/>
  <c r="I111" i="23"/>
  <c r="J111" i="23" s="1"/>
  <c r="E113" i="23"/>
  <c r="D113" i="23"/>
  <c r="H112" i="23"/>
  <c r="I112" i="23"/>
  <c r="I108" i="29"/>
  <c r="J108" i="29" s="1"/>
  <c r="F109" i="29"/>
  <c r="E110" i="29" s="1"/>
  <c r="J105" i="31"/>
  <c r="G106" i="13"/>
  <c r="D107" i="13"/>
  <c r="J105" i="13"/>
  <c r="I26" i="20"/>
  <c r="B26" i="13"/>
  <c r="F26" i="13"/>
  <c r="G26" i="13" s="1"/>
  <c r="J111" i="18"/>
  <c r="I25" i="13"/>
  <c r="B28" i="20"/>
  <c r="E28" i="20"/>
  <c r="F28" i="20" s="1"/>
  <c r="G27" i="20"/>
  <c r="H27" i="20"/>
  <c r="J104" i="37"/>
  <c r="J112" i="4"/>
  <c r="G112" i="18"/>
  <c r="E113" i="18"/>
  <c r="D113" i="18"/>
  <c r="D114" i="4"/>
  <c r="G113" i="4"/>
  <c r="E114" i="4"/>
  <c r="E110" i="26"/>
  <c r="D110" i="26"/>
  <c r="G109" i="26"/>
  <c r="E107" i="31"/>
  <c r="D107" i="31"/>
  <c r="G106" i="31"/>
  <c r="E106" i="37"/>
  <c r="D106" i="37"/>
  <c r="G105" i="37"/>
  <c r="J108" i="26"/>
  <c r="J105" i="35"/>
  <c r="G106" i="35"/>
  <c r="D107" i="35"/>
  <c r="E107" i="35"/>
  <c r="F109" i="25"/>
  <c r="B109" i="25"/>
  <c r="J109" i="28"/>
  <c r="H108" i="25"/>
  <c r="I108" i="25"/>
  <c r="D107" i="38"/>
  <c r="E107" i="38" s="1"/>
  <c r="G106" i="38"/>
  <c r="J105" i="38"/>
  <c r="J109" i="21"/>
  <c r="J105" i="34"/>
  <c r="D107" i="34"/>
  <c r="G106" i="34"/>
  <c r="E107" i="34"/>
  <c r="J109" i="27"/>
  <c r="F113" i="19"/>
  <c r="B113" i="19"/>
  <c r="H112" i="19"/>
  <c r="I112" i="19"/>
  <c r="J109" i="24"/>
  <c r="D111" i="24"/>
  <c r="G110" i="24"/>
  <c r="E111" i="24"/>
  <c r="D111" i="27"/>
  <c r="G110" i="27"/>
  <c r="E111" i="27"/>
  <c r="G110" i="21"/>
  <c r="D111" i="21"/>
  <c r="E111" i="21"/>
  <c r="H109" i="22"/>
  <c r="I109" i="22"/>
  <c r="I106" i="20"/>
  <c r="H106" i="20"/>
  <c r="B114" i="3"/>
  <c r="F114" i="3"/>
  <c r="F110" i="22"/>
  <c r="B110" i="22"/>
  <c r="F107" i="20"/>
  <c r="B107" i="20"/>
  <c r="H113" i="3"/>
  <c r="I113" i="3"/>
  <c r="D108" i="40" l="1"/>
  <c r="G107" i="40"/>
  <c r="H107" i="39"/>
  <c r="J107" i="39" s="1"/>
  <c r="E108" i="39"/>
  <c r="D108" i="39"/>
  <c r="B108" i="39" s="1"/>
  <c r="H105" i="41"/>
  <c r="I105" i="41"/>
  <c r="E106" i="41"/>
  <c r="F106" i="41" s="1"/>
  <c r="F113" i="23"/>
  <c r="D114" i="23" s="1"/>
  <c r="J112" i="23"/>
  <c r="G109" i="29"/>
  <c r="D110" i="29"/>
  <c r="F110" i="29" s="1"/>
  <c r="G110" i="29" s="1"/>
  <c r="H110" i="29" s="1"/>
  <c r="J113" i="3"/>
  <c r="E107" i="13"/>
  <c r="F107" i="13" s="1"/>
  <c r="B107" i="13"/>
  <c r="I106" i="13"/>
  <c r="H106" i="13"/>
  <c r="I27" i="20"/>
  <c r="H26" i="13"/>
  <c r="I26" i="13" s="1"/>
  <c r="D27" i="13"/>
  <c r="E27" i="13" s="1"/>
  <c r="E29" i="20"/>
  <c r="F29" i="20" s="1"/>
  <c r="H28" i="20"/>
  <c r="G28" i="20"/>
  <c r="B29" i="20"/>
  <c r="I113" i="4"/>
  <c r="H113" i="4"/>
  <c r="B113" i="18"/>
  <c r="F113" i="18"/>
  <c r="I112" i="18"/>
  <c r="H112" i="18"/>
  <c r="B114" i="4"/>
  <c r="F114" i="4"/>
  <c r="B106" i="37"/>
  <c r="F106" i="37"/>
  <c r="D110" i="25"/>
  <c r="G109" i="25"/>
  <c r="E110" i="25"/>
  <c r="J108" i="25"/>
  <c r="H106" i="31"/>
  <c r="I106" i="31"/>
  <c r="F107" i="35"/>
  <c r="B107" i="35"/>
  <c r="B107" i="31"/>
  <c r="F107" i="31"/>
  <c r="H106" i="35"/>
  <c r="I106" i="35"/>
  <c r="I109" i="26"/>
  <c r="H109" i="26"/>
  <c r="B111" i="28"/>
  <c r="F110" i="26"/>
  <c r="B110" i="26"/>
  <c r="H105" i="37"/>
  <c r="I105" i="37"/>
  <c r="H110" i="27"/>
  <c r="I110" i="27"/>
  <c r="B111" i="24"/>
  <c r="F111" i="24"/>
  <c r="I106" i="34"/>
  <c r="H106" i="34"/>
  <c r="B111" i="27"/>
  <c r="F111" i="27"/>
  <c r="B107" i="34"/>
  <c r="F107" i="34"/>
  <c r="J112" i="19"/>
  <c r="D114" i="19"/>
  <c r="G113" i="19"/>
  <c r="E114" i="19"/>
  <c r="J109" i="22"/>
  <c r="H106" i="38"/>
  <c r="I106" i="38"/>
  <c r="B111" i="21"/>
  <c r="F111" i="21"/>
  <c r="H110" i="24"/>
  <c r="I110" i="24"/>
  <c r="H110" i="21"/>
  <c r="I110" i="21"/>
  <c r="B107" i="38"/>
  <c r="F107" i="38"/>
  <c r="G110" i="22"/>
  <c r="D111" i="22"/>
  <c r="E111" i="22"/>
  <c r="E115" i="3"/>
  <c r="G114" i="3"/>
  <c r="D115" i="3"/>
  <c r="G107" i="20"/>
  <c r="D108" i="20"/>
  <c r="E108" i="20" s="1"/>
  <c r="J106" i="20"/>
  <c r="H107" i="40" l="1"/>
  <c r="I107" i="40"/>
  <c r="J107" i="40" s="1"/>
  <c r="B108" i="40"/>
  <c r="E108" i="40"/>
  <c r="F108" i="40" s="1"/>
  <c r="F108" i="39"/>
  <c r="G108" i="39" s="1"/>
  <c r="I108" i="39" s="1"/>
  <c r="H108" i="39"/>
  <c r="J108" i="39" s="1"/>
  <c r="E109" i="39"/>
  <c r="D107" i="41"/>
  <c r="B107" i="41" s="1"/>
  <c r="G106" i="41"/>
  <c r="J105" i="41"/>
  <c r="E114" i="23"/>
  <c r="F114" i="23" s="1"/>
  <c r="E115" i="23" s="1"/>
  <c r="G113" i="23"/>
  <c r="H113" i="23" s="1"/>
  <c r="E111" i="29"/>
  <c r="D111" i="29"/>
  <c r="I110" i="29"/>
  <c r="J110" i="29" s="1"/>
  <c r="I109" i="29"/>
  <c r="H109" i="29"/>
  <c r="J106" i="13"/>
  <c r="J110" i="28"/>
  <c r="J106" i="35"/>
  <c r="D108" i="13"/>
  <c r="G107" i="13"/>
  <c r="I28" i="20"/>
  <c r="B27" i="13"/>
  <c r="F27" i="13"/>
  <c r="H27" i="13" s="1"/>
  <c r="G29" i="20"/>
  <c r="N5" i="20" s="1"/>
  <c r="H29" i="20"/>
  <c r="N6" i="20" s="1"/>
  <c r="N7" i="20" s="1"/>
  <c r="B30" i="20"/>
  <c r="E30" i="20"/>
  <c r="F30" i="20" s="1"/>
  <c r="D115" i="4"/>
  <c r="E115" i="4"/>
  <c r="G114" i="4"/>
  <c r="J112" i="18"/>
  <c r="G113" i="18"/>
  <c r="D114" i="18"/>
  <c r="E114" i="18"/>
  <c r="J109" i="26"/>
  <c r="J113" i="4"/>
  <c r="J106" i="38"/>
  <c r="J105" i="37"/>
  <c r="J106" i="31"/>
  <c r="E108" i="31"/>
  <c r="G107" i="31"/>
  <c r="D108" i="31"/>
  <c r="I109" i="25"/>
  <c r="H109" i="25"/>
  <c r="F110" i="25"/>
  <c r="B110" i="25"/>
  <c r="D111" i="26"/>
  <c r="G110" i="26"/>
  <c r="E111" i="26"/>
  <c r="G106" i="37"/>
  <c r="E107" i="37"/>
  <c r="D107" i="37"/>
  <c r="J110" i="24"/>
  <c r="G107" i="35"/>
  <c r="D108" i="35"/>
  <c r="E108" i="35"/>
  <c r="J110" i="27"/>
  <c r="F114" i="19"/>
  <c r="B114" i="19"/>
  <c r="J106" i="34"/>
  <c r="H113" i="19"/>
  <c r="I113" i="19"/>
  <c r="D108" i="38"/>
  <c r="E108" i="38" s="1"/>
  <c r="G107" i="38"/>
  <c r="G107" i="34"/>
  <c r="D108" i="34"/>
  <c r="E108" i="34"/>
  <c r="G111" i="24"/>
  <c r="D112" i="24"/>
  <c r="E112" i="24"/>
  <c r="D112" i="27"/>
  <c r="G111" i="27"/>
  <c r="E112" i="27"/>
  <c r="D112" i="21"/>
  <c r="G111" i="21"/>
  <c r="E112" i="21"/>
  <c r="J110" i="21"/>
  <c r="I107" i="20"/>
  <c r="H107" i="20"/>
  <c r="F115" i="3"/>
  <c r="B115" i="3"/>
  <c r="H114" i="3"/>
  <c r="I114" i="3"/>
  <c r="B111" i="22"/>
  <c r="F111" i="22"/>
  <c r="B108" i="20"/>
  <c r="F108" i="20"/>
  <c r="I110" i="22"/>
  <c r="H110" i="22"/>
  <c r="F22" i="17"/>
  <c r="E22" i="17"/>
  <c r="D109" i="39" l="1"/>
  <c r="F109" i="39" s="1"/>
  <c r="G22" i="17"/>
  <c r="D109" i="40"/>
  <c r="G108" i="40"/>
  <c r="I108" i="40" s="1"/>
  <c r="H108" i="40"/>
  <c r="B109" i="39"/>
  <c r="E107" i="41"/>
  <c r="F107" i="41" s="1"/>
  <c r="G107" i="41" s="1"/>
  <c r="I106" i="41"/>
  <c r="H106" i="41"/>
  <c r="D115" i="23"/>
  <c r="F115" i="23" s="1"/>
  <c r="G115" i="23" s="1"/>
  <c r="I113" i="23"/>
  <c r="J113" i="23" s="1"/>
  <c r="G114" i="23"/>
  <c r="I114" i="23" s="1"/>
  <c r="F111" i="29"/>
  <c r="G111" i="29" s="1"/>
  <c r="H111" i="29" s="1"/>
  <c r="J109" i="29"/>
  <c r="I107" i="13"/>
  <c r="H107" i="13"/>
  <c r="E108" i="13"/>
  <c r="F108" i="13" s="1"/>
  <c r="B108" i="13"/>
  <c r="I29" i="20"/>
  <c r="D28" i="13"/>
  <c r="G27" i="13"/>
  <c r="I27" i="13" s="1"/>
  <c r="G30" i="20"/>
  <c r="H30" i="20"/>
  <c r="B31" i="20"/>
  <c r="E31" i="20"/>
  <c r="F31" i="20" s="1"/>
  <c r="F115" i="4"/>
  <c r="B115" i="4"/>
  <c r="F114" i="18"/>
  <c r="B114" i="18"/>
  <c r="H113" i="18"/>
  <c r="I113" i="18"/>
  <c r="I114" i="4"/>
  <c r="H114" i="4"/>
  <c r="J109" i="25"/>
  <c r="B112" i="28"/>
  <c r="B108" i="35"/>
  <c r="F108" i="35"/>
  <c r="B108" i="31"/>
  <c r="F108" i="31"/>
  <c r="H107" i="35"/>
  <c r="I107" i="35"/>
  <c r="I107" i="31"/>
  <c r="H107" i="31"/>
  <c r="H110" i="26"/>
  <c r="I110" i="26"/>
  <c r="B111" i="26"/>
  <c r="F111" i="26"/>
  <c r="B107" i="37"/>
  <c r="F107" i="37"/>
  <c r="J113" i="19"/>
  <c r="I106" i="37"/>
  <c r="H106" i="37"/>
  <c r="D111" i="25"/>
  <c r="G110" i="25"/>
  <c r="E111" i="25"/>
  <c r="I111" i="21"/>
  <c r="H111" i="21"/>
  <c r="I107" i="34"/>
  <c r="H107" i="34"/>
  <c r="F108" i="38"/>
  <c r="B108" i="38"/>
  <c r="B112" i="21"/>
  <c r="F112" i="21"/>
  <c r="H111" i="27"/>
  <c r="I111" i="27"/>
  <c r="D115" i="19"/>
  <c r="G114" i="19"/>
  <c r="E115" i="19"/>
  <c r="B112" i="27"/>
  <c r="F112" i="27"/>
  <c r="F112" i="24"/>
  <c r="B112" i="24"/>
  <c r="I111" i="24"/>
  <c r="H111" i="24"/>
  <c r="J114" i="3"/>
  <c r="B108" i="34"/>
  <c r="F108" i="34"/>
  <c r="H107" i="38"/>
  <c r="I107" i="38"/>
  <c r="G111" i="22"/>
  <c r="D112" i="22"/>
  <c r="E112" i="22"/>
  <c r="D116" i="3"/>
  <c r="G115" i="3"/>
  <c r="E116" i="3"/>
  <c r="J107" i="20"/>
  <c r="J110" i="22"/>
  <c r="G108" i="20"/>
  <c r="D109" i="20"/>
  <c r="E109" i="20" s="1"/>
  <c r="H109" i="39" l="1"/>
  <c r="D110" i="39"/>
  <c r="B110" i="39" s="1"/>
  <c r="E110" i="39"/>
  <c r="G109" i="39"/>
  <c r="I109" i="39" s="1"/>
  <c r="J108" i="40"/>
  <c r="E109" i="40"/>
  <c r="F109" i="40"/>
  <c r="B109" i="40"/>
  <c r="D108" i="41"/>
  <c r="E108" i="41" s="1"/>
  <c r="F108" i="41" s="1"/>
  <c r="G108" i="41" s="1"/>
  <c r="I108" i="41" s="1"/>
  <c r="D116" i="23"/>
  <c r="E116" i="23"/>
  <c r="I107" i="41"/>
  <c r="H107" i="41"/>
  <c r="J106" i="41"/>
  <c r="D112" i="29"/>
  <c r="H114" i="23"/>
  <c r="J114" i="23" s="1"/>
  <c r="E112" i="29"/>
  <c r="I111" i="29"/>
  <c r="J111" i="29" s="1"/>
  <c r="D109" i="13"/>
  <c r="G108" i="13"/>
  <c r="J107" i="13"/>
  <c r="I30" i="20"/>
  <c r="J114" i="4"/>
  <c r="J111" i="21"/>
  <c r="B28" i="13"/>
  <c r="E28" i="13"/>
  <c r="F28" i="13" s="1"/>
  <c r="J110" i="26"/>
  <c r="E32" i="20"/>
  <c r="F32" i="20" s="1"/>
  <c r="E33" i="20"/>
  <c r="F33" i="20" s="1"/>
  <c r="B32" i="20"/>
  <c r="H31" i="20"/>
  <c r="G31" i="20"/>
  <c r="J113" i="18"/>
  <c r="J107" i="31"/>
  <c r="D115" i="18"/>
  <c r="E115" i="18"/>
  <c r="G114" i="18"/>
  <c r="E116" i="4"/>
  <c r="G115" i="4"/>
  <c r="D116" i="4"/>
  <c r="D112" i="26"/>
  <c r="G111" i="26"/>
  <c r="E112" i="26"/>
  <c r="G108" i="31"/>
  <c r="E109" i="31"/>
  <c r="D109" i="31"/>
  <c r="H110" i="25"/>
  <c r="I110" i="25"/>
  <c r="B111" i="25"/>
  <c r="F111" i="25"/>
  <c r="J111" i="28"/>
  <c r="J106" i="37"/>
  <c r="D109" i="35"/>
  <c r="E109" i="35"/>
  <c r="G108" i="35"/>
  <c r="G107" i="37"/>
  <c r="D108" i="37"/>
  <c r="E108" i="37"/>
  <c r="J107" i="35"/>
  <c r="J107" i="38"/>
  <c r="J111" i="27"/>
  <c r="J111" i="24"/>
  <c r="F115" i="19"/>
  <c r="B115" i="19"/>
  <c r="D109" i="34"/>
  <c r="G108" i="34"/>
  <c r="E109" i="34"/>
  <c r="D109" i="38"/>
  <c r="E109" i="38" s="1"/>
  <c r="G108" i="38"/>
  <c r="J107" i="34"/>
  <c r="G112" i="24"/>
  <c r="D113" i="24"/>
  <c r="E113" i="24"/>
  <c r="D113" i="27"/>
  <c r="G112" i="27"/>
  <c r="E113" i="27"/>
  <c r="I114" i="19"/>
  <c r="H114" i="19"/>
  <c r="G112" i="21"/>
  <c r="D113" i="21"/>
  <c r="E113" i="21"/>
  <c r="I108" i="20"/>
  <c r="H108" i="20"/>
  <c r="F109" i="20"/>
  <c r="B109" i="20"/>
  <c r="F112" i="22"/>
  <c r="B112" i="22"/>
  <c r="B116" i="3"/>
  <c r="F116" i="3"/>
  <c r="H111" i="22"/>
  <c r="I111" i="22"/>
  <c r="H115" i="23"/>
  <c r="I115" i="23"/>
  <c r="H115" i="3"/>
  <c r="I115" i="3"/>
  <c r="J109" i="39" l="1"/>
  <c r="F110" i="39"/>
  <c r="G110" i="39" s="1"/>
  <c r="I110" i="39" s="1"/>
  <c r="J110" i="39" s="1"/>
  <c r="H110" i="39"/>
  <c r="E111" i="39"/>
  <c r="D111" i="39"/>
  <c r="B111" i="39" s="1"/>
  <c r="B108" i="41"/>
  <c r="D109" i="41"/>
  <c r="E109" i="41" s="1"/>
  <c r="H108" i="41"/>
  <c r="J108" i="41" s="1"/>
  <c r="H109" i="40"/>
  <c r="D110" i="40"/>
  <c r="G109" i="40"/>
  <c r="I109" i="40" s="1"/>
  <c r="F116" i="23"/>
  <c r="G116" i="23" s="1"/>
  <c r="I116" i="23" s="1"/>
  <c r="F112" i="29"/>
  <c r="G112" i="29" s="1"/>
  <c r="I112" i="29" s="1"/>
  <c r="J107" i="41"/>
  <c r="D113" i="29"/>
  <c r="H108" i="13"/>
  <c r="I108" i="13"/>
  <c r="E109" i="13"/>
  <c r="F109" i="13" s="1"/>
  <c r="B109" i="13"/>
  <c r="I31" i="20"/>
  <c r="D29" i="13"/>
  <c r="E29" i="13" s="1"/>
  <c r="H28" i="13"/>
  <c r="G28" i="13"/>
  <c r="E34" i="20"/>
  <c r="F34" i="20" s="1"/>
  <c r="B34" i="20"/>
  <c r="H33" i="20"/>
  <c r="G33" i="20"/>
  <c r="G32" i="20"/>
  <c r="H32" i="20"/>
  <c r="B33" i="20"/>
  <c r="J110" i="25"/>
  <c r="B116" i="4"/>
  <c r="F116" i="4"/>
  <c r="H115" i="4"/>
  <c r="I115" i="4"/>
  <c r="H114" i="18"/>
  <c r="I114" i="18"/>
  <c r="B115" i="18"/>
  <c r="F115" i="18"/>
  <c r="I107" i="37"/>
  <c r="H107" i="37"/>
  <c r="H108" i="35"/>
  <c r="I108" i="35"/>
  <c r="B109" i="31"/>
  <c r="F109" i="31"/>
  <c r="B113" i="28"/>
  <c r="B109" i="35"/>
  <c r="F109" i="35"/>
  <c r="H108" i="31"/>
  <c r="I108" i="31"/>
  <c r="G111" i="25"/>
  <c r="D112" i="25"/>
  <c r="E112" i="25"/>
  <c r="I111" i="26"/>
  <c r="H111" i="26"/>
  <c r="F108" i="37"/>
  <c r="B108" i="37"/>
  <c r="F112" i="26"/>
  <c r="B112" i="26"/>
  <c r="J115" i="3"/>
  <c r="J114" i="19"/>
  <c r="B113" i="24"/>
  <c r="F113" i="24"/>
  <c r="J111" i="22"/>
  <c r="H112" i="24"/>
  <c r="I112" i="24"/>
  <c r="B109" i="38"/>
  <c r="F109" i="38"/>
  <c r="D116" i="19"/>
  <c r="G115" i="19"/>
  <c r="E116" i="19"/>
  <c r="H112" i="27"/>
  <c r="I112" i="27"/>
  <c r="F113" i="27"/>
  <c r="B113" i="27"/>
  <c r="B113" i="21"/>
  <c r="F113" i="21"/>
  <c r="I108" i="34"/>
  <c r="H108" i="34"/>
  <c r="J115" i="23"/>
  <c r="H112" i="21"/>
  <c r="I112" i="21"/>
  <c r="H108" i="38"/>
  <c r="I108" i="38"/>
  <c r="B109" i="34"/>
  <c r="F109" i="34"/>
  <c r="G112" i="22"/>
  <c r="D113" i="22"/>
  <c r="E113" i="22"/>
  <c r="D117" i="3"/>
  <c r="G116" i="3"/>
  <c r="E117" i="3"/>
  <c r="G109" i="20"/>
  <c r="D110" i="20"/>
  <c r="E110" i="20" s="1"/>
  <c r="J108" i="20"/>
  <c r="H116" i="23" l="1"/>
  <c r="E117" i="23"/>
  <c r="F111" i="39"/>
  <c r="G111" i="39" s="1"/>
  <c r="I111" i="39" s="1"/>
  <c r="E112" i="39"/>
  <c r="D117" i="23"/>
  <c r="B109" i="41"/>
  <c r="F109" i="41"/>
  <c r="H109" i="41" s="1"/>
  <c r="J109" i="40"/>
  <c r="E110" i="40"/>
  <c r="F110" i="40" s="1"/>
  <c r="B110" i="40"/>
  <c r="D112" i="39"/>
  <c r="H112" i="29"/>
  <c r="J112" i="29" s="1"/>
  <c r="E113" i="29"/>
  <c r="D110" i="41"/>
  <c r="E110" i="41" s="1"/>
  <c r="F110" i="41" s="1"/>
  <c r="F113" i="29"/>
  <c r="D114" i="29" s="1"/>
  <c r="J108" i="13"/>
  <c r="G109" i="13"/>
  <c r="D110" i="13"/>
  <c r="I33" i="20"/>
  <c r="J108" i="31"/>
  <c r="J114" i="18"/>
  <c r="I28" i="13"/>
  <c r="B35" i="20"/>
  <c r="H34" i="20"/>
  <c r="G34" i="20"/>
  <c r="E35" i="20"/>
  <c r="F35" i="20" s="1"/>
  <c r="J108" i="35"/>
  <c r="J115" i="4"/>
  <c r="I32" i="20"/>
  <c r="B29" i="13"/>
  <c r="F29" i="13"/>
  <c r="H29" i="13" s="1"/>
  <c r="D117" i="4"/>
  <c r="G116" i="4"/>
  <c r="E117" i="4"/>
  <c r="G115" i="18"/>
  <c r="D116" i="18"/>
  <c r="E116" i="18"/>
  <c r="J108" i="38"/>
  <c r="B112" i="25"/>
  <c r="F112" i="25"/>
  <c r="G112" i="26"/>
  <c r="D113" i="26"/>
  <c r="E113" i="26"/>
  <c r="E110" i="31"/>
  <c r="D110" i="31"/>
  <c r="G109" i="31"/>
  <c r="D109" i="37"/>
  <c r="G108" i="37"/>
  <c r="E109" i="37"/>
  <c r="H111" i="25"/>
  <c r="I111" i="25"/>
  <c r="J112" i="28"/>
  <c r="J111" i="26"/>
  <c r="D110" i="35"/>
  <c r="E110" i="35"/>
  <c r="G109" i="35"/>
  <c r="J107" i="37"/>
  <c r="J112" i="27"/>
  <c r="D114" i="21"/>
  <c r="G113" i="21"/>
  <c r="E114" i="21"/>
  <c r="I115" i="19"/>
  <c r="H115" i="19"/>
  <c r="F116" i="19"/>
  <c r="B116" i="19"/>
  <c r="G109" i="34"/>
  <c r="D110" i="34"/>
  <c r="E110" i="34"/>
  <c r="J108" i="34"/>
  <c r="D114" i="27"/>
  <c r="G113" i="27"/>
  <c r="E114" i="27"/>
  <c r="G109" i="38"/>
  <c r="D110" i="38"/>
  <c r="E110" i="38" s="1"/>
  <c r="J112" i="24"/>
  <c r="G113" i="24"/>
  <c r="D114" i="24"/>
  <c r="E114" i="24"/>
  <c r="J116" i="23"/>
  <c r="J112" i="21"/>
  <c r="H116" i="3"/>
  <c r="I116" i="3"/>
  <c r="B110" i="20"/>
  <c r="F110" i="20"/>
  <c r="B113" i="22"/>
  <c r="F113" i="22"/>
  <c r="H109" i="20"/>
  <c r="I109" i="20"/>
  <c r="I112" i="22"/>
  <c r="H112" i="22"/>
  <c r="F117" i="3"/>
  <c r="B117" i="3"/>
  <c r="F117" i="23" l="1"/>
  <c r="E118" i="23" s="1"/>
  <c r="F112" i="39"/>
  <c r="D113" i="39" s="1"/>
  <c r="B113" i="39" s="1"/>
  <c r="H111" i="39"/>
  <c r="J111" i="39" s="1"/>
  <c r="B112" i="39"/>
  <c r="G109" i="41"/>
  <c r="I109" i="41" s="1"/>
  <c r="J109" i="41" s="1"/>
  <c r="H110" i="40"/>
  <c r="G110" i="40"/>
  <c r="I110" i="40" s="1"/>
  <c r="J110" i="40" s="1"/>
  <c r="D111" i="40"/>
  <c r="B111" i="40" s="1"/>
  <c r="E113" i="39"/>
  <c r="F113" i="39" s="1"/>
  <c r="G113" i="39" s="1"/>
  <c r="I113" i="39" s="1"/>
  <c r="G112" i="39"/>
  <c r="I112" i="39" s="1"/>
  <c r="E114" i="29"/>
  <c r="F114" i="29" s="1"/>
  <c r="G110" i="41"/>
  <c r="I110" i="41" s="1"/>
  <c r="D111" i="41"/>
  <c r="E111" i="41" s="1"/>
  <c r="F111" i="41" s="1"/>
  <c r="B110" i="41"/>
  <c r="H110" i="41"/>
  <c r="D118" i="23"/>
  <c r="F118" i="23" s="1"/>
  <c r="D119" i="23" s="1"/>
  <c r="G113" i="29"/>
  <c r="H113" i="29" s="1"/>
  <c r="J115" i="19"/>
  <c r="E110" i="13"/>
  <c r="F110" i="13" s="1"/>
  <c r="B110" i="13"/>
  <c r="I109" i="13"/>
  <c r="H109" i="13"/>
  <c r="G29" i="13"/>
  <c r="I29" i="13" s="1"/>
  <c r="G35" i="20"/>
  <c r="E36" i="20"/>
  <c r="F36" i="20" s="1"/>
  <c r="B36" i="20"/>
  <c r="H35" i="20"/>
  <c r="I34" i="20"/>
  <c r="D30" i="13"/>
  <c r="E30" i="13" s="1"/>
  <c r="B116" i="18"/>
  <c r="F116" i="18"/>
  <c r="H115" i="18"/>
  <c r="I115" i="18"/>
  <c r="H116" i="4"/>
  <c r="I116" i="4"/>
  <c r="F117" i="4"/>
  <c r="B117" i="4"/>
  <c r="B113" i="26"/>
  <c r="F113" i="26"/>
  <c r="H112" i="26"/>
  <c r="I112" i="26"/>
  <c r="I109" i="35"/>
  <c r="H109" i="35"/>
  <c r="I108" i="37"/>
  <c r="H108" i="37"/>
  <c r="F109" i="37"/>
  <c r="B109" i="37"/>
  <c r="B114" i="28"/>
  <c r="F110" i="35"/>
  <c r="B110" i="35"/>
  <c r="H109" i="31"/>
  <c r="I109" i="31"/>
  <c r="B110" i="31"/>
  <c r="F110" i="31"/>
  <c r="G112" i="25"/>
  <c r="D113" i="25"/>
  <c r="E113" i="25"/>
  <c r="J109" i="20"/>
  <c r="J116" i="3"/>
  <c r="J111" i="25"/>
  <c r="B110" i="38"/>
  <c r="F110" i="38"/>
  <c r="H109" i="38"/>
  <c r="I109" i="38"/>
  <c r="F110" i="34"/>
  <c r="B110" i="34"/>
  <c r="B114" i="27"/>
  <c r="F114" i="27"/>
  <c r="H109" i="34"/>
  <c r="I109" i="34"/>
  <c r="H113" i="21"/>
  <c r="I113" i="21"/>
  <c r="H113" i="24"/>
  <c r="I113" i="24"/>
  <c r="B114" i="24"/>
  <c r="F114" i="24"/>
  <c r="H113" i="27"/>
  <c r="I113" i="27"/>
  <c r="D117" i="19"/>
  <c r="G116" i="19"/>
  <c r="E117" i="19"/>
  <c r="F114" i="21"/>
  <c r="B114" i="21"/>
  <c r="J112" i="22"/>
  <c r="D114" i="22"/>
  <c r="G113" i="22"/>
  <c r="E114" i="22"/>
  <c r="D111" i="20"/>
  <c r="E111" i="20" s="1"/>
  <c r="G110" i="20"/>
  <c r="G117" i="3"/>
  <c r="E118" i="3"/>
  <c r="D118" i="3"/>
  <c r="G117" i="23" l="1"/>
  <c r="H117" i="23" s="1"/>
  <c r="H112" i="39"/>
  <c r="J112" i="39" s="1"/>
  <c r="E111" i="40"/>
  <c r="F111" i="40" s="1"/>
  <c r="D112" i="40" s="1"/>
  <c r="H111" i="40"/>
  <c r="E114" i="39"/>
  <c r="F114" i="39" s="1"/>
  <c r="H113" i="39"/>
  <c r="J113" i="39" s="1"/>
  <c r="D114" i="39"/>
  <c r="G114" i="29"/>
  <c r="E115" i="29"/>
  <c r="D115" i="29"/>
  <c r="G111" i="41"/>
  <c r="I111" i="41" s="1"/>
  <c r="D112" i="41"/>
  <c r="E112" i="41" s="1"/>
  <c r="H111" i="41"/>
  <c r="B111" i="41"/>
  <c r="B114" i="39"/>
  <c r="J110" i="41"/>
  <c r="E112" i="40"/>
  <c r="F112" i="40" s="1"/>
  <c r="B112" i="40"/>
  <c r="I113" i="29"/>
  <c r="J113" i="29" s="1"/>
  <c r="I117" i="23"/>
  <c r="J117" i="23" s="1"/>
  <c r="J109" i="13"/>
  <c r="D111" i="13"/>
  <c r="G110" i="13"/>
  <c r="G118" i="23"/>
  <c r="H118" i="23" s="1"/>
  <c r="J116" i="4"/>
  <c r="F30" i="13"/>
  <c r="G30" i="13" s="1"/>
  <c r="B30" i="13"/>
  <c r="I35" i="20"/>
  <c r="J112" i="26"/>
  <c r="J115" i="18"/>
  <c r="H36" i="20"/>
  <c r="E37" i="20"/>
  <c r="F37" i="20" s="1"/>
  <c r="G36" i="20"/>
  <c r="B37" i="20"/>
  <c r="J108" i="37"/>
  <c r="D118" i="4"/>
  <c r="G117" i="4"/>
  <c r="E118" i="4"/>
  <c r="J113" i="28"/>
  <c r="D117" i="18"/>
  <c r="G116" i="18"/>
  <c r="E117" i="18"/>
  <c r="J109" i="31"/>
  <c r="F113" i="25"/>
  <c r="B113" i="25"/>
  <c r="J109" i="38"/>
  <c r="H112" i="25"/>
  <c r="I112" i="25"/>
  <c r="D111" i="35"/>
  <c r="G110" i="35"/>
  <c r="E111" i="35"/>
  <c r="J109" i="35"/>
  <c r="G110" i="31"/>
  <c r="E111" i="31"/>
  <c r="D111" i="31"/>
  <c r="G113" i="26"/>
  <c r="E114" i="26"/>
  <c r="D114" i="26"/>
  <c r="J113" i="21"/>
  <c r="D110" i="37"/>
  <c r="G109" i="37"/>
  <c r="E110" i="37"/>
  <c r="E119" i="23"/>
  <c r="F119" i="23" s="1"/>
  <c r="J109" i="34"/>
  <c r="G114" i="21"/>
  <c r="D115" i="21"/>
  <c r="E115" i="21"/>
  <c r="J113" i="27"/>
  <c r="J113" i="24"/>
  <c r="D115" i="24"/>
  <c r="G114" i="24"/>
  <c r="E115" i="24"/>
  <c r="D115" i="27"/>
  <c r="G114" i="27"/>
  <c r="E115" i="27"/>
  <c r="I116" i="19"/>
  <c r="H116" i="19"/>
  <c r="B117" i="19"/>
  <c r="F117" i="19"/>
  <c r="D111" i="38"/>
  <c r="E111" i="38" s="1"/>
  <c r="G110" i="38"/>
  <c r="G110" i="34"/>
  <c r="D111" i="34"/>
  <c r="E111" i="34"/>
  <c r="H113" i="22"/>
  <c r="I113" i="22"/>
  <c r="H117" i="3"/>
  <c r="I117" i="3"/>
  <c r="B114" i="22"/>
  <c r="F114" i="22"/>
  <c r="B111" i="20"/>
  <c r="F111" i="20"/>
  <c r="I110" i="20"/>
  <c r="H110" i="20"/>
  <c r="F118" i="3"/>
  <c r="B118" i="3"/>
  <c r="G111" i="40" l="1"/>
  <c r="I111" i="40" s="1"/>
  <c r="J111" i="40" s="1"/>
  <c r="F115" i="29"/>
  <c r="G115" i="29" s="1"/>
  <c r="J111" i="41"/>
  <c r="D113" i="40"/>
  <c r="E113" i="40" s="1"/>
  <c r="G112" i="40"/>
  <c r="I112" i="40" s="1"/>
  <c r="H112" i="40"/>
  <c r="H114" i="39"/>
  <c r="G114" i="39"/>
  <c r="I114" i="39" s="1"/>
  <c r="D115" i="39"/>
  <c r="E115" i="39"/>
  <c r="F112" i="41"/>
  <c r="H112" i="41" s="1"/>
  <c r="B112" i="41"/>
  <c r="H114" i="29"/>
  <c r="I114" i="29"/>
  <c r="I118" i="23"/>
  <c r="J118" i="23" s="1"/>
  <c r="D116" i="29"/>
  <c r="J112" i="25"/>
  <c r="I110" i="13"/>
  <c r="H110" i="13"/>
  <c r="E111" i="13"/>
  <c r="F111" i="13" s="1"/>
  <c r="B111" i="13"/>
  <c r="D31" i="13"/>
  <c r="E31" i="13" s="1"/>
  <c r="B38" i="20"/>
  <c r="G37" i="20"/>
  <c r="E38" i="20"/>
  <c r="F38" i="20" s="1"/>
  <c r="H37" i="20"/>
  <c r="I36" i="20"/>
  <c r="H30" i="13"/>
  <c r="I30" i="13" s="1"/>
  <c r="B117" i="18"/>
  <c r="F117" i="18"/>
  <c r="I116" i="18"/>
  <c r="H116" i="18"/>
  <c r="I117" i="4"/>
  <c r="H117" i="4"/>
  <c r="B118" i="4"/>
  <c r="F118" i="4"/>
  <c r="J116" i="19"/>
  <c r="I110" i="35"/>
  <c r="H110" i="35"/>
  <c r="F111" i="35"/>
  <c r="B111" i="35"/>
  <c r="H109" i="37"/>
  <c r="I109" i="37"/>
  <c r="B115" i="28"/>
  <c r="F110" i="37"/>
  <c r="B110" i="37"/>
  <c r="F111" i="31"/>
  <c r="B111" i="31"/>
  <c r="F114" i="26"/>
  <c r="B114" i="26"/>
  <c r="I110" i="31"/>
  <c r="H110" i="31"/>
  <c r="G113" i="25"/>
  <c r="E114" i="25"/>
  <c r="D114" i="25"/>
  <c r="J117" i="3"/>
  <c r="H113" i="26"/>
  <c r="I113" i="26"/>
  <c r="H110" i="34"/>
  <c r="I110" i="34"/>
  <c r="I114" i="24"/>
  <c r="H114" i="24"/>
  <c r="H110" i="38"/>
  <c r="I110" i="38"/>
  <c r="H114" i="27"/>
  <c r="I114" i="27"/>
  <c r="B115" i="24"/>
  <c r="F115" i="24"/>
  <c r="B111" i="38"/>
  <c r="F111" i="38"/>
  <c r="F115" i="27"/>
  <c r="B115" i="27"/>
  <c r="H115" i="29"/>
  <c r="I115" i="29"/>
  <c r="F115" i="21"/>
  <c r="B115" i="21"/>
  <c r="J113" i="22"/>
  <c r="I114" i="21"/>
  <c r="H114" i="21"/>
  <c r="G117" i="19"/>
  <c r="D118" i="19"/>
  <c r="E118" i="19"/>
  <c r="B111" i="34"/>
  <c r="F111" i="34"/>
  <c r="G111" i="20"/>
  <c r="D112" i="20"/>
  <c r="E119" i="3"/>
  <c r="G118" i="3"/>
  <c r="D119" i="3"/>
  <c r="D115" i="22"/>
  <c r="E115" i="22"/>
  <c r="G114" i="22"/>
  <c r="J110" i="20"/>
  <c r="G119" i="23"/>
  <c r="D120" i="23"/>
  <c r="E120" i="23" s="1"/>
  <c r="F115" i="39" l="1"/>
  <c r="D116" i="39" s="1"/>
  <c r="E116" i="29"/>
  <c r="J114" i="39"/>
  <c r="F116" i="29"/>
  <c r="J112" i="40"/>
  <c r="G115" i="39"/>
  <c r="I115" i="39" s="1"/>
  <c r="B115" i="39"/>
  <c r="J114" i="29"/>
  <c r="D113" i="41"/>
  <c r="E113" i="41" s="1"/>
  <c r="G112" i="41"/>
  <c r="I112" i="41" s="1"/>
  <c r="J112" i="41" s="1"/>
  <c r="F113" i="40"/>
  <c r="B113" i="40"/>
  <c r="D112" i="13"/>
  <c r="G111" i="13"/>
  <c r="J110" i="13"/>
  <c r="I37" i="20"/>
  <c r="J117" i="4"/>
  <c r="G38" i="20"/>
  <c r="B39" i="20"/>
  <c r="E39" i="20"/>
  <c r="F39" i="20" s="1"/>
  <c r="H38" i="20"/>
  <c r="J110" i="31"/>
  <c r="J113" i="26"/>
  <c r="J109" i="37"/>
  <c r="F31" i="13"/>
  <c r="G31" i="13" s="1"/>
  <c r="B31" i="13"/>
  <c r="J116" i="18"/>
  <c r="E118" i="18"/>
  <c r="D118" i="18"/>
  <c r="G117" i="18"/>
  <c r="D119" i="4"/>
  <c r="E119" i="4"/>
  <c r="G118" i="4"/>
  <c r="G114" i="26"/>
  <c r="D115" i="26"/>
  <c r="E115" i="26"/>
  <c r="F114" i="25"/>
  <c r="B114" i="25"/>
  <c r="E112" i="31"/>
  <c r="G111" i="31"/>
  <c r="D112" i="31"/>
  <c r="D112" i="35"/>
  <c r="E112" i="35"/>
  <c r="G111" i="35"/>
  <c r="I113" i="25"/>
  <c r="H113" i="25"/>
  <c r="E111" i="37"/>
  <c r="G110" i="37"/>
  <c r="D111" i="37"/>
  <c r="J114" i="28"/>
  <c r="J110" i="38"/>
  <c r="J110" i="35"/>
  <c r="J114" i="27"/>
  <c r="D112" i="34"/>
  <c r="G111" i="34"/>
  <c r="E112" i="34"/>
  <c r="J114" i="21"/>
  <c r="G115" i="21"/>
  <c r="D116" i="21"/>
  <c r="E116" i="21"/>
  <c r="G115" i="27"/>
  <c r="D116" i="27"/>
  <c r="E116" i="27"/>
  <c r="G115" i="24"/>
  <c r="D116" i="24"/>
  <c r="E116" i="24"/>
  <c r="B118" i="19"/>
  <c r="F118" i="19"/>
  <c r="H117" i="19"/>
  <c r="I117" i="19"/>
  <c r="J115" i="29"/>
  <c r="D117" i="29"/>
  <c r="G116" i="29"/>
  <c r="E117" i="29"/>
  <c r="D112" i="38"/>
  <c r="G111" i="38"/>
  <c r="J114" i="24"/>
  <c r="J110" i="34"/>
  <c r="H118" i="3"/>
  <c r="I118" i="3"/>
  <c r="B119" i="3"/>
  <c r="F119" i="3"/>
  <c r="B112" i="20"/>
  <c r="F120" i="23"/>
  <c r="I111" i="20"/>
  <c r="H111" i="20"/>
  <c r="F115" i="22"/>
  <c r="B115" i="22"/>
  <c r="H119" i="23"/>
  <c r="I119" i="23"/>
  <c r="H114" i="22"/>
  <c r="I114" i="22"/>
  <c r="E112" i="20"/>
  <c r="F112" i="20" s="1"/>
  <c r="H115" i="39" l="1"/>
  <c r="J115" i="39" s="1"/>
  <c r="E116" i="39"/>
  <c r="F116" i="39"/>
  <c r="G116" i="39" s="1"/>
  <c r="I116" i="39" s="1"/>
  <c r="B116" i="39"/>
  <c r="F113" i="41"/>
  <c r="H113" i="41" s="1"/>
  <c r="B113" i="41"/>
  <c r="D114" i="40"/>
  <c r="G113" i="40"/>
  <c r="I113" i="40" s="1"/>
  <c r="H113" i="40"/>
  <c r="H111" i="13"/>
  <c r="I111" i="13"/>
  <c r="E112" i="13"/>
  <c r="F112" i="13" s="1"/>
  <c r="B112" i="13"/>
  <c r="I38" i="20"/>
  <c r="J119" i="23"/>
  <c r="E40" i="20"/>
  <c r="F40" i="20" s="1"/>
  <c r="B40" i="20"/>
  <c r="G39" i="20"/>
  <c r="H39" i="20"/>
  <c r="H31" i="13"/>
  <c r="I31" i="13" s="1"/>
  <c r="D32" i="13"/>
  <c r="E32" i="13" s="1"/>
  <c r="I118" i="4"/>
  <c r="H118" i="4"/>
  <c r="I117" i="18"/>
  <c r="H117" i="18"/>
  <c r="B119" i="4"/>
  <c r="F119" i="4"/>
  <c r="B118" i="18"/>
  <c r="F118" i="18"/>
  <c r="B111" i="37"/>
  <c r="F111" i="37"/>
  <c r="B112" i="31"/>
  <c r="F112" i="31"/>
  <c r="I110" i="37"/>
  <c r="H110" i="37"/>
  <c r="H111" i="31"/>
  <c r="I111" i="31"/>
  <c r="B116" i="28"/>
  <c r="J113" i="25"/>
  <c r="G114" i="25"/>
  <c r="D115" i="25"/>
  <c r="E115" i="25"/>
  <c r="H111" i="35"/>
  <c r="I111" i="35"/>
  <c r="B115" i="26"/>
  <c r="F115" i="26"/>
  <c r="J114" i="22"/>
  <c r="B112" i="35"/>
  <c r="F112" i="35"/>
  <c r="H114" i="26"/>
  <c r="I114" i="26"/>
  <c r="J118" i="3"/>
  <c r="J117" i="19"/>
  <c r="F117" i="29"/>
  <c r="D118" i="29" s="1"/>
  <c r="E118" i="29" s="1"/>
  <c r="B112" i="38"/>
  <c r="B116" i="24"/>
  <c r="F116" i="24"/>
  <c r="F116" i="21"/>
  <c r="B116" i="21"/>
  <c r="I115" i="24"/>
  <c r="H115" i="24"/>
  <c r="I115" i="21"/>
  <c r="H115" i="21"/>
  <c r="H111" i="38"/>
  <c r="I111" i="38"/>
  <c r="J111" i="20"/>
  <c r="E119" i="19"/>
  <c r="D119" i="19"/>
  <c r="G118" i="19"/>
  <c r="I115" i="27"/>
  <c r="H115" i="27"/>
  <c r="I111" i="34"/>
  <c r="H111" i="34"/>
  <c r="E112" i="38"/>
  <c r="F112" i="38" s="1"/>
  <c r="I116" i="29"/>
  <c r="H116" i="29"/>
  <c r="F116" i="27"/>
  <c r="B116" i="27"/>
  <c r="F112" i="34"/>
  <c r="B112" i="34"/>
  <c r="D113" i="20"/>
  <c r="E113" i="20" s="1"/>
  <c r="G112" i="20"/>
  <c r="G119" i="3"/>
  <c r="D120" i="3"/>
  <c r="E120" i="3"/>
  <c r="G120" i="23"/>
  <c r="D121" i="23"/>
  <c r="E121" i="23" s="1"/>
  <c r="D116" i="22"/>
  <c r="G115" i="22"/>
  <c r="E116" i="22"/>
  <c r="E117" i="39" l="1"/>
  <c r="D117" i="39"/>
  <c r="F117" i="39" s="1"/>
  <c r="H116" i="39"/>
  <c r="J116" i="39" s="1"/>
  <c r="J113" i="40"/>
  <c r="G113" i="41"/>
  <c r="I113" i="41" s="1"/>
  <c r="J113" i="41" s="1"/>
  <c r="D114" i="41"/>
  <c r="E114" i="41" s="1"/>
  <c r="F114" i="41" s="1"/>
  <c r="B117" i="39"/>
  <c r="E114" i="40"/>
  <c r="F114" i="40" s="1"/>
  <c r="B114" i="40"/>
  <c r="J114" i="26"/>
  <c r="J111" i="13"/>
  <c r="J111" i="38"/>
  <c r="D113" i="13"/>
  <c r="B113" i="13" s="1"/>
  <c r="G112" i="13"/>
  <c r="I39" i="20"/>
  <c r="J111" i="35"/>
  <c r="J115" i="28"/>
  <c r="J111" i="31"/>
  <c r="H40" i="20"/>
  <c r="B41" i="20"/>
  <c r="E41" i="20"/>
  <c r="F41" i="20" s="1"/>
  <c r="G40" i="20"/>
  <c r="F32" i="13"/>
  <c r="H32" i="13" s="1"/>
  <c r="B32" i="13"/>
  <c r="G119" i="4"/>
  <c r="E120" i="4"/>
  <c r="D120" i="4"/>
  <c r="J117" i="18"/>
  <c r="G118" i="18"/>
  <c r="D119" i="18"/>
  <c r="E119" i="18"/>
  <c r="J115" i="21"/>
  <c r="J118" i="4"/>
  <c r="D113" i="35"/>
  <c r="E113" i="35"/>
  <c r="G112" i="35"/>
  <c r="J115" i="24"/>
  <c r="B115" i="25"/>
  <c r="F115" i="25"/>
  <c r="J110" i="37"/>
  <c r="E116" i="26"/>
  <c r="G115" i="26"/>
  <c r="D116" i="26"/>
  <c r="I114" i="25"/>
  <c r="H114" i="25"/>
  <c r="D113" i="31"/>
  <c r="E113" i="31"/>
  <c r="G112" i="31"/>
  <c r="G117" i="29"/>
  <c r="H117" i="29" s="1"/>
  <c r="D112" i="37"/>
  <c r="G111" i="37"/>
  <c r="E112" i="37"/>
  <c r="J115" i="27"/>
  <c r="D113" i="38"/>
  <c r="E113" i="38" s="1"/>
  <c r="G112" i="38"/>
  <c r="G116" i="21"/>
  <c r="D117" i="21"/>
  <c r="E117" i="21"/>
  <c r="G116" i="27"/>
  <c r="D117" i="27"/>
  <c r="E117" i="27"/>
  <c r="H118" i="19"/>
  <c r="I118" i="19"/>
  <c r="G116" i="24"/>
  <c r="D117" i="24"/>
  <c r="E117" i="24"/>
  <c r="F119" i="19"/>
  <c r="B119" i="19"/>
  <c r="F118" i="29"/>
  <c r="J116" i="29"/>
  <c r="J111" i="34"/>
  <c r="D113" i="34"/>
  <c r="G112" i="34"/>
  <c r="E113" i="34"/>
  <c r="H115" i="22"/>
  <c r="I115" i="22"/>
  <c r="H119" i="3"/>
  <c r="I119" i="3"/>
  <c r="F120" i="3"/>
  <c r="B120" i="3"/>
  <c r="B116" i="22"/>
  <c r="F116" i="22"/>
  <c r="F121" i="23"/>
  <c r="H120" i="23"/>
  <c r="I120" i="23"/>
  <c r="H112" i="20"/>
  <c r="I112" i="20"/>
  <c r="B113" i="20"/>
  <c r="F113" i="20"/>
  <c r="G117" i="39" l="1"/>
  <c r="I117" i="39" s="1"/>
  <c r="D118" i="39"/>
  <c r="B118" i="39" s="1"/>
  <c r="H117" i="39"/>
  <c r="J117" i="39" s="1"/>
  <c r="E118" i="39"/>
  <c r="F118" i="39" s="1"/>
  <c r="H118" i="39" s="1"/>
  <c r="G114" i="40"/>
  <c r="I114" i="40" s="1"/>
  <c r="D115" i="40"/>
  <c r="E115" i="40" s="1"/>
  <c r="H114" i="41"/>
  <c r="B114" i="41"/>
  <c r="D115" i="41"/>
  <c r="G114" i="41"/>
  <c r="I114" i="41" s="1"/>
  <c r="J114" i="41" s="1"/>
  <c r="H114" i="40"/>
  <c r="I117" i="29"/>
  <c r="J117" i="29" s="1"/>
  <c r="E113" i="13"/>
  <c r="F113" i="13" s="1"/>
  <c r="H112" i="13"/>
  <c r="I112" i="13"/>
  <c r="D33" i="13"/>
  <c r="G32" i="13"/>
  <c r="I32" i="13" s="1"/>
  <c r="J115" i="22"/>
  <c r="E42" i="20"/>
  <c r="F42" i="20" s="1"/>
  <c r="H41" i="20"/>
  <c r="B42" i="20"/>
  <c r="G41" i="20"/>
  <c r="I40" i="20"/>
  <c r="I118" i="18"/>
  <c r="H118" i="18"/>
  <c r="F120" i="4"/>
  <c r="B120" i="4"/>
  <c r="B119" i="18"/>
  <c r="F119" i="18"/>
  <c r="H119" i="4"/>
  <c r="I119" i="4"/>
  <c r="I112" i="31"/>
  <c r="H112" i="31"/>
  <c r="B117" i="28"/>
  <c r="G115" i="25"/>
  <c r="D116" i="25"/>
  <c r="E116" i="25"/>
  <c r="B113" i="31"/>
  <c r="F113" i="31"/>
  <c r="J114" i="25"/>
  <c r="I112" i="35"/>
  <c r="H112" i="35"/>
  <c r="I111" i="37"/>
  <c r="H111" i="37"/>
  <c r="F116" i="26"/>
  <c r="B116" i="26"/>
  <c r="F112" i="37"/>
  <c r="B112" i="37"/>
  <c r="I115" i="26"/>
  <c r="H115" i="26"/>
  <c r="B113" i="35"/>
  <c r="F113" i="35"/>
  <c r="J120" i="23"/>
  <c r="H112" i="34"/>
  <c r="I112" i="34"/>
  <c r="H112" i="38"/>
  <c r="I112" i="38"/>
  <c r="D119" i="29"/>
  <c r="E119" i="29" s="1"/>
  <c r="G118" i="29"/>
  <c r="B117" i="24"/>
  <c r="F117" i="24"/>
  <c r="B117" i="27"/>
  <c r="F117" i="27"/>
  <c r="H116" i="24"/>
  <c r="I116" i="24"/>
  <c r="I116" i="27"/>
  <c r="H116" i="27"/>
  <c r="B113" i="38"/>
  <c r="F113" i="38"/>
  <c r="B113" i="34"/>
  <c r="F113" i="34"/>
  <c r="J119" i="3"/>
  <c r="F117" i="21"/>
  <c r="B117" i="21"/>
  <c r="D120" i="19"/>
  <c r="G119" i="19"/>
  <c r="E120" i="19"/>
  <c r="J118" i="19"/>
  <c r="H116" i="21"/>
  <c r="I116" i="21"/>
  <c r="G120" i="3"/>
  <c r="D121" i="3"/>
  <c r="E121" i="3"/>
  <c r="D122" i="23"/>
  <c r="E122" i="23" s="1"/>
  <c r="G121" i="23"/>
  <c r="D114" i="20"/>
  <c r="E114" i="20" s="1"/>
  <c r="G113" i="20"/>
  <c r="G116" i="22"/>
  <c r="E117" i="22"/>
  <c r="D117" i="22"/>
  <c r="J112" i="20"/>
  <c r="B115" i="41" l="1"/>
  <c r="F115" i="40"/>
  <c r="B115" i="40"/>
  <c r="G118" i="39"/>
  <c r="I118" i="39" s="1"/>
  <c r="J118" i="39" s="1"/>
  <c r="D119" i="39"/>
  <c r="E119" i="39"/>
  <c r="E115" i="41"/>
  <c r="F115" i="41" s="1"/>
  <c r="J114" i="40"/>
  <c r="J112" i="13"/>
  <c r="J119" i="4"/>
  <c r="D114" i="13"/>
  <c r="G113" i="13"/>
  <c r="I41" i="20"/>
  <c r="B33" i="13"/>
  <c r="G42" i="20"/>
  <c r="E43" i="20"/>
  <c r="F43" i="20" s="1"/>
  <c r="B43" i="20"/>
  <c r="H42" i="20"/>
  <c r="J118" i="18"/>
  <c r="E33" i="13"/>
  <c r="F33" i="13" s="1"/>
  <c r="J111" i="37"/>
  <c r="G119" i="18"/>
  <c r="D120" i="18"/>
  <c r="E120" i="18"/>
  <c r="E121" i="4"/>
  <c r="G120" i="4"/>
  <c r="D121" i="4"/>
  <c r="G113" i="35"/>
  <c r="D114" i="35"/>
  <c r="E114" i="35"/>
  <c r="B116" i="25"/>
  <c r="F116" i="25"/>
  <c r="J116" i="24"/>
  <c r="J115" i="26"/>
  <c r="J112" i="35"/>
  <c r="H115" i="25"/>
  <c r="I115" i="25"/>
  <c r="D113" i="37"/>
  <c r="E113" i="37"/>
  <c r="G112" i="37"/>
  <c r="G113" i="31"/>
  <c r="E114" i="31"/>
  <c r="D114" i="31"/>
  <c r="G116" i="26"/>
  <c r="D117" i="26"/>
  <c r="E117" i="26"/>
  <c r="J116" i="28"/>
  <c r="J112" i="31"/>
  <c r="H119" i="19"/>
  <c r="I119" i="19"/>
  <c r="F120" i="19"/>
  <c r="B120" i="19"/>
  <c r="J116" i="27"/>
  <c r="H118" i="29"/>
  <c r="I118" i="29"/>
  <c r="J112" i="34"/>
  <c r="D118" i="24"/>
  <c r="G117" i="24"/>
  <c r="E118" i="24"/>
  <c r="G117" i="21"/>
  <c r="D118" i="21"/>
  <c r="E118" i="21"/>
  <c r="F119" i="29"/>
  <c r="D114" i="38"/>
  <c r="G113" i="38"/>
  <c r="J116" i="21"/>
  <c r="J112" i="38"/>
  <c r="D114" i="34"/>
  <c r="G113" i="34"/>
  <c r="E114" i="34"/>
  <c r="D118" i="27"/>
  <c r="G117" i="27"/>
  <c r="E118" i="27"/>
  <c r="B121" i="3"/>
  <c r="F121" i="3"/>
  <c r="I113" i="20"/>
  <c r="H113" i="20"/>
  <c r="H120" i="3"/>
  <c r="I120" i="3"/>
  <c r="F122" i="23"/>
  <c r="F117" i="22"/>
  <c r="B117" i="22"/>
  <c r="B114" i="20"/>
  <c r="F114" i="20"/>
  <c r="I116" i="22"/>
  <c r="H116" i="22"/>
  <c r="H121" i="23"/>
  <c r="I121" i="23"/>
  <c r="D116" i="41" l="1"/>
  <c r="G115" i="41"/>
  <c r="I115" i="41" s="1"/>
  <c r="E116" i="41"/>
  <c r="H115" i="41"/>
  <c r="G115" i="40"/>
  <c r="I115" i="40" s="1"/>
  <c r="D116" i="40"/>
  <c r="E116" i="40" s="1"/>
  <c r="H115" i="40"/>
  <c r="B119" i="39"/>
  <c r="F119" i="39"/>
  <c r="H113" i="13"/>
  <c r="I113" i="13"/>
  <c r="J115" i="25"/>
  <c r="E114" i="13"/>
  <c r="F114" i="13" s="1"/>
  <c r="B114" i="13"/>
  <c r="D34" i="13"/>
  <c r="E34" i="13" s="1"/>
  <c r="H33" i="13"/>
  <c r="G33" i="13"/>
  <c r="I42" i="20"/>
  <c r="E44" i="20"/>
  <c r="F44" i="20" s="1"/>
  <c r="B44" i="20"/>
  <c r="H43" i="20"/>
  <c r="G43" i="20"/>
  <c r="F121" i="4"/>
  <c r="B121" i="4"/>
  <c r="J120" i="3"/>
  <c r="F120" i="18"/>
  <c r="B120" i="18"/>
  <c r="I119" i="18"/>
  <c r="H119" i="18"/>
  <c r="H120" i="4"/>
  <c r="I120" i="4"/>
  <c r="F113" i="37"/>
  <c r="B113" i="37"/>
  <c r="B117" i="26"/>
  <c r="F117" i="26"/>
  <c r="B118" i="28"/>
  <c r="D117" i="25"/>
  <c r="E117" i="25"/>
  <c r="G116" i="25"/>
  <c r="H116" i="26"/>
  <c r="I116" i="26"/>
  <c r="B114" i="31"/>
  <c r="F114" i="31"/>
  <c r="B114" i="35"/>
  <c r="F114" i="35"/>
  <c r="H113" i="31"/>
  <c r="I113" i="31"/>
  <c r="H113" i="35"/>
  <c r="I113" i="35"/>
  <c r="I112" i="37"/>
  <c r="H112" i="37"/>
  <c r="H113" i="34"/>
  <c r="I113" i="34"/>
  <c r="F114" i="34"/>
  <c r="B114" i="34"/>
  <c r="D120" i="29"/>
  <c r="E120" i="29" s="1"/>
  <c r="G119" i="29"/>
  <c r="J118" i="29"/>
  <c r="D121" i="19"/>
  <c r="E121" i="19" s="1"/>
  <c r="G120" i="19"/>
  <c r="B114" i="38"/>
  <c r="E114" i="38"/>
  <c r="F114" i="38" s="1"/>
  <c r="B118" i="21"/>
  <c r="F118" i="21"/>
  <c r="I117" i="21"/>
  <c r="H117" i="21"/>
  <c r="H117" i="27"/>
  <c r="I117" i="27"/>
  <c r="B118" i="24"/>
  <c r="F118" i="24"/>
  <c r="J121" i="23"/>
  <c r="F118" i="27"/>
  <c r="B118" i="27"/>
  <c r="H113" i="38"/>
  <c r="I113" i="38"/>
  <c r="H117" i="24"/>
  <c r="I117" i="24"/>
  <c r="J119" i="19"/>
  <c r="D115" i="20"/>
  <c r="G114" i="20"/>
  <c r="J113" i="20"/>
  <c r="E118" i="22"/>
  <c r="G117" i="22"/>
  <c r="D118" i="22"/>
  <c r="J116" i="22"/>
  <c r="D122" i="3"/>
  <c r="G121" i="3"/>
  <c r="G122" i="23"/>
  <c r="D123" i="23"/>
  <c r="G119" i="39" l="1"/>
  <c r="I119" i="39" s="1"/>
  <c r="D120" i="39"/>
  <c r="E120" i="39"/>
  <c r="B116" i="40"/>
  <c r="F116" i="40"/>
  <c r="H116" i="40" s="1"/>
  <c r="J115" i="41"/>
  <c r="H119" i="39"/>
  <c r="J115" i="40"/>
  <c r="F116" i="41"/>
  <c r="H116" i="41" s="1"/>
  <c r="B116" i="41"/>
  <c r="J113" i="13"/>
  <c r="J117" i="27"/>
  <c r="D115" i="13"/>
  <c r="G114" i="13"/>
  <c r="B45" i="20"/>
  <c r="H44" i="20"/>
  <c r="E45" i="20"/>
  <c r="F45" i="20" s="1"/>
  <c r="G44" i="20"/>
  <c r="J113" i="35"/>
  <c r="J119" i="18"/>
  <c r="I33" i="13"/>
  <c r="J113" i="38"/>
  <c r="J113" i="31"/>
  <c r="J116" i="26"/>
  <c r="B34" i="13"/>
  <c r="F34" i="13"/>
  <c r="H34" i="13" s="1"/>
  <c r="J113" i="34"/>
  <c r="I43" i="20"/>
  <c r="J117" i="24"/>
  <c r="G120" i="18"/>
  <c r="D121" i="18"/>
  <c r="B121" i="18" s="1"/>
  <c r="J120" i="4"/>
  <c r="G121" i="4"/>
  <c r="D122" i="4"/>
  <c r="D115" i="31"/>
  <c r="G114" i="31"/>
  <c r="E115" i="31"/>
  <c r="F117" i="25"/>
  <c r="B117" i="25"/>
  <c r="J112" i="37"/>
  <c r="J117" i="28"/>
  <c r="D118" i="26"/>
  <c r="G117" i="26"/>
  <c r="E118" i="26"/>
  <c r="G114" i="35"/>
  <c r="E115" i="35"/>
  <c r="D115" i="35"/>
  <c r="H116" i="25"/>
  <c r="I116" i="25"/>
  <c r="D114" i="37"/>
  <c r="G113" i="37"/>
  <c r="E114" i="37"/>
  <c r="J117" i="21"/>
  <c r="F121" i="19"/>
  <c r="B121" i="19"/>
  <c r="G114" i="34"/>
  <c r="D115" i="34"/>
  <c r="E115" i="34"/>
  <c r="G118" i="27"/>
  <c r="D119" i="27"/>
  <c r="E119" i="27"/>
  <c r="D115" i="38"/>
  <c r="E115" i="38" s="1"/>
  <c r="G114" i="38"/>
  <c r="G118" i="21"/>
  <c r="D119" i="21"/>
  <c r="E119" i="21"/>
  <c r="G118" i="24"/>
  <c r="D119" i="24"/>
  <c r="E119" i="24"/>
  <c r="I120" i="19"/>
  <c r="H120" i="19"/>
  <c r="F120" i="29"/>
  <c r="H119" i="29"/>
  <c r="I119" i="29"/>
  <c r="B118" i="22"/>
  <c r="F118" i="22"/>
  <c r="B122" i="3"/>
  <c r="B115" i="20"/>
  <c r="H122" i="23"/>
  <c r="I122" i="23"/>
  <c r="H121" i="3"/>
  <c r="I121" i="3"/>
  <c r="H114" i="20"/>
  <c r="I114" i="20"/>
  <c r="I117" i="22"/>
  <c r="H117" i="22"/>
  <c r="E123" i="23"/>
  <c r="F123" i="23" s="1"/>
  <c r="E122" i="3"/>
  <c r="F122" i="3" s="1"/>
  <c r="E115" i="20"/>
  <c r="F115" i="20" s="1"/>
  <c r="D117" i="41" l="1"/>
  <c r="E117" i="41" s="1"/>
  <c r="G116" i="41"/>
  <c r="I116" i="41" s="1"/>
  <c r="J116" i="41" s="1"/>
  <c r="F120" i="39"/>
  <c r="B120" i="39"/>
  <c r="D117" i="40"/>
  <c r="G116" i="40"/>
  <c r="I116" i="40" s="1"/>
  <c r="J116" i="40" s="1"/>
  <c r="J119" i="39"/>
  <c r="H114" i="13"/>
  <c r="I114" i="13"/>
  <c r="E115" i="13"/>
  <c r="F115" i="13" s="1"/>
  <c r="B115" i="13"/>
  <c r="G34" i="13"/>
  <c r="I34" i="13" s="1"/>
  <c r="D35" i="13"/>
  <c r="E46" i="20"/>
  <c r="F46" i="20" s="1"/>
  <c r="G45" i="20"/>
  <c r="H45" i="20"/>
  <c r="B46" i="20"/>
  <c r="I44" i="20"/>
  <c r="J122" i="23"/>
  <c r="E122" i="4"/>
  <c r="F122" i="4" s="1"/>
  <c r="B122" i="4"/>
  <c r="H121" i="4"/>
  <c r="I121" i="4"/>
  <c r="J119" i="29"/>
  <c r="E121" i="18"/>
  <c r="F121" i="18" s="1"/>
  <c r="I120" i="18"/>
  <c r="H120" i="18"/>
  <c r="B115" i="35"/>
  <c r="F115" i="35"/>
  <c r="H114" i="35"/>
  <c r="I114" i="35"/>
  <c r="H113" i="37"/>
  <c r="I113" i="37"/>
  <c r="I117" i="26"/>
  <c r="H117" i="26"/>
  <c r="D118" i="25"/>
  <c r="G117" i="25"/>
  <c r="E118" i="25"/>
  <c r="B114" i="37"/>
  <c r="F114" i="37"/>
  <c r="F118" i="26"/>
  <c r="B118" i="26"/>
  <c r="J116" i="25"/>
  <c r="I114" i="31"/>
  <c r="H114" i="31"/>
  <c r="J121" i="3"/>
  <c r="B119" i="28"/>
  <c r="F115" i="31"/>
  <c r="B115" i="31"/>
  <c r="H118" i="24"/>
  <c r="I118" i="24"/>
  <c r="H114" i="38"/>
  <c r="I114" i="38"/>
  <c r="B119" i="21"/>
  <c r="F119" i="21"/>
  <c r="I118" i="21"/>
  <c r="H118" i="21"/>
  <c r="H114" i="34"/>
  <c r="I114" i="34"/>
  <c r="B119" i="24"/>
  <c r="F119" i="24"/>
  <c r="B115" i="34"/>
  <c r="F115" i="34"/>
  <c r="F119" i="27"/>
  <c r="B119" i="27"/>
  <c r="D122" i="19"/>
  <c r="G121" i="19"/>
  <c r="J120" i="19"/>
  <c r="D121" i="29"/>
  <c r="G120" i="29"/>
  <c r="F115" i="38"/>
  <c r="B115" i="38"/>
  <c r="J114" i="20"/>
  <c r="I118" i="27"/>
  <c r="H118" i="27"/>
  <c r="G115" i="20"/>
  <c r="D116" i="20"/>
  <c r="E116" i="20" s="1"/>
  <c r="D123" i="3"/>
  <c r="E123" i="3" s="1"/>
  <c r="G122" i="3"/>
  <c r="G123" i="23"/>
  <c r="D124" i="23"/>
  <c r="E124" i="23" s="1"/>
  <c r="J117" i="22"/>
  <c r="G118" i="22"/>
  <c r="D119" i="22"/>
  <c r="E117" i="40" l="1"/>
  <c r="F117" i="40"/>
  <c r="H117" i="40" s="1"/>
  <c r="B117" i="40"/>
  <c r="G120" i="39"/>
  <c r="I120" i="39" s="1"/>
  <c r="D121" i="39"/>
  <c r="E121" i="39" s="1"/>
  <c r="H120" i="39"/>
  <c r="F117" i="41"/>
  <c r="H117" i="41" s="1"/>
  <c r="B117" i="41"/>
  <c r="J114" i="13"/>
  <c r="G115" i="13"/>
  <c r="D116" i="13"/>
  <c r="J114" i="35"/>
  <c r="J118" i="28"/>
  <c r="I45" i="20"/>
  <c r="J121" i="4"/>
  <c r="J120" i="18"/>
  <c r="B35" i="13"/>
  <c r="E35" i="13"/>
  <c r="F35" i="13" s="1"/>
  <c r="G46" i="20"/>
  <c r="B47" i="20"/>
  <c r="H46" i="20"/>
  <c r="E47" i="20"/>
  <c r="F47" i="20" s="1"/>
  <c r="G121" i="18"/>
  <c r="D122" i="18"/>
  <c r="J114" i="31"/>
  <c r="D123" i="4"/>
  <c r="G122" i="4"/>
  <c r="B120" i="28"/>
  <c r="G114" i="37"/>
  <c r="E115" i="37"/>
  <c r="D115" i="37"/>
  <c r="I117" i="25"/>
  <c r="H117" i="25"/>
  <c r="F118" i="25"/>
  <c r="B118" i="25"/>
  <c r="J117" i="26"/>
  <c r="E116" i="35"/>
  <c r="G115" i="35"/>
  <c r="D116" i="35"/>
  <c r="J114" i="34"/>
  <c r="D116" i="31"/>
  <c r="G115" i="31"/>
  <c r="E116" i="31"/>
  <c r="D119" i="26"/>
  <c r="E119" i="26" s="1"/>
  <c r="G118" i="26"/>
  <c r="J113" i="37"/>
  <c r="G119" i="27"/>
  <c r="D120" i="27"/>
  <c r="E120" i="27" s="1"/>
  <c r="J118" i="21"/>
  <c r="B122" i="19"/>
  <c r="G115" i="34"/>
  <c r="D116" i="34"/>
  <c r="E116" i="34"/>
  <c r="D120" i="21"/>
  <c r="E120" i="21" s="1"/>
  <c r="G119" i="21"/>
  <c r="J118" i="27"/>
  <c r="G115" i="38"/>
  <c r="D116" i="38"/>
  <c r="E116" i="38" s="1"/>
  <c r="E122" i="19"/>
  <c r="F122" i="19" s="1"/>
  <c r="H120" i="29"/>
  <c r="I120" i="29"/>
  <c r="E121" i="29"/>
  <c r="F121" i="29" s="1"/>
  <c r="I121" i="19"/>
  <c r="H121" i="19"/>
  <c r="D120" i="24"/>
  <c r="G119" i="24"/>
  <c r="E120" i="24"/>
  <c r="J114" i="38"/>
  <c r="J118" i="24"/>
  <c r="H122" i="3"/>
  <c r="I122" i="3"/>
  <c r="B123" i="3"/>
  <c r="F123" i="3"/>
  <c r="B119" i="22"/>
  <c r="I118" i="22"/>
  <c r="H118" i="22"/>
  <c r="B116" i="20"/>
  <c r="F116" i="20"/>
  <c r="I123" i="23"/>
  <c r="H123" i="23"/>
  <c r="E119" i="22"/>
  <c r="F119" i="22" s="1"/>
  <c r="F124" i="23"/>
  <c r="I115" i="20"/>
  <c r="H115" i="20"/>
  <c r="F121" i="39" l="1"/>
  <c r="H121" i="39" s="1"/>
  <c r="B121" i="39"/>
  <c r="D118" i="40"/>
  <c r="G117" i="40"/>
  <c r="I117" i="40" s="1"/>
  <c r="J117" i="40" s="1"/>
  <c r="D118" i="41"/>
  <c r="G117" i="41"/>
  <c r="I117" i="41" s="1"/>
  <c r="J117" i="41" s="1"/>
  <c r="E118" i="41"/>
  <c r="F118" i="41" s="1"/>
  <c r="J120" i="39"/>
  <c r="I46" i="20"/>
  <c r="E116" i="13"/>
  <c r="F116" i="13" s="1"/>
  <c r="B116" i="13"/>
  <c r="H115" i="13"/>
  <c r="I115" i="13"/>
  <c r="D36" i="13"/>
  <c r="E36" i="13" s="1"/>
  <c r="G35" i="13"/>
  <c r="H35" i="13"/>
  <c r="H47" i="20"/>
  <c r="E48" i="20"/>
  <c r="F48" i="20" s="1"/>
  <c r="G47" i="20"/>
  <c r="B48" i="20"/>
  <c r="H122" i="4"/>
  <c r="I122" i="4"/>
  <c r="J117" i="25"/>
  <c r="E123" i="4"/>
  <c r="F123" i="4" s="1"/>
  <c r="B123" i="4"/>
  <c r="E122" i="18"/>
  <c r="F122" i="18" s="1"/>
  <c r="B122" i="18"/>
  <c r="H121" i="18"/>
  <c r="I121" i="18"/>
  <c r="F116" i="31"/>
  <c r="B116" i="31"/>
  <c r="B116" i="35"/>
  <c r="F116" i="35"/>
  <c r="B115" i="37"/>
  <c r="F115" i="37"/>
  <c r="H115" i="35"/>
  <c r="I115" i="35"/>
  <c r="H118" i="26"/>
  <c r="I118" i="26"/>
  <c r="I114" i="37"/>
  <c r="H114" i="37"/>
  <c r="B119" i="26"/>
  <c r="F119" i="26"/>
  <c r="H115" i="31"/>
  <c r="I115" i="31"/>
  <c r="G118" i="25"/>
  <c r="D119" i="25"/>
  <c r="E119" i="25" s="1"/>
  <c r="J120" i="29"/>
  <c r="J121" i="19"/>
  <c r="G122" i="19"/>
  <c r="D123" i="19"/>
  <c r="E123" i="19" s="1"/>
  <c r="G121" i="29"/>
  <c r="D122" i="29"/>
  <c r="E122" i="29" s="1"/>
  <c r="F120" i="21"/>
  <c r="B120" i="21"/>
  <c r="H115" i="38"/>
  <c r="I115" i="38"/>
  <c r="I119" i="21"/>
  <c r="H119" i="21"/>
  <c r="H119" i="24"/>
  <c r="I119" i="24"/>
  <c r="B120" i="27"/>
  <c r="F120" i="27"/>
  <c r="F116" i="38"/>
  <c r="B116" i="38"/>
  <c r="J115" i="20"/>
  <c r="J122" i="3"/>
  <c r="B116" i="34"/>
  <c r="F116" i="34"/>
  <c r="H119" i="27"/>
  <c r="I119" i="27"/>
  <c r="B120" i="24"/>
  <c r="F120" i="24"/>
  <c r="I115" i="34"/>
  <c r="H115" i="34"/>
  <c r="G119" i="22"/>
  <c r="D120" i="22"/>
  <c r="E120" i="22" s="1"/>
  <c r="D125" i="23"/>
  <c r="G124" i="23"/>
  <c r="J123" i="23"/>
  <c r="J118" i="22"/>
  <c r="D124" i="3"/>
  <c r="E124" i="3" s="1"/>
  <c r="G123" i="3"/>
  <c r="G116" i="20"/>
  <c r="D117" i="20"/>
  <c r="E118" i="40" l="1"/>
  <c r="B118" i="40"/>
  <c r="F118" i="40"/>
  <c r="H118" i="40"/>
  <c r="H118" i="41"/>
  <c r="B118" i="41"/>
  <c r="D119" i="41"/>
  <c r="G118" i="41"/>
  <c r="I118" i="41" s="1"/>
  <c r="J118" i="41" s="1"/>
  <c r="D122" i="39"/>
  <c r="G121" i="39"/>
  <c r="I121" i="39" s="1"/>
  <c r="J121" i="39" s="1"/>
  <c r="E122" i="39"/>
  <c r="J115" i="35"/>
  <c r="J118" i="26"/>
  <c r="J115" i="31"/>
  <c r="D117" i="13"/>
  <c r="G116" i="13"/>
  <c r="J119" i="28"/>
  <c r="J115" i="13"/>
  <c r="I35" i="13"/>
  <c r="I47" i="20"/>
  <c r="J121" i="18"/>
  <c r="B49" i="20"/>
  <c r="H48" i="20"/>
  <c r="G48" i="20"/>
  <c r="E49" i="20"/>
  <c r="F49" i="20" s="1"/>
  <c r="J122" i="4"/>
  <c r="F36" i="13"/>
  <c r="H36" i="13" s="1"/>
  <c r="B36" i="13"/>
  <c r="D123" i="18"/>
  <c r="G122" i="18"/>
  <c r="G123" i="4"/>
  <c r="D124" i="4"/>
  <c r="B124" i="4" s="1"/>
  <c r="J115" i="38"/>
  <c r="B121" i="28"/>
  <c r="G119" i="26"/>
  <c r="D120" i="26"/>
  <c r="G115" i="37"/>
  <c r="D116" i="37"/>
  <c r="E116" i="37"/>
  <c r="B119" i="25"/>
  <c r="F119" i="25"/>
  <c r="H118" i="25"/>
  <c r="I118" i="25"/>
  <c r="G116" i="35"/>
  <c r="D117" i="35"/>
  <c r="J114" i="37"/>
  <c r="D117" i="31"/>
  <c r="B117" i="31" s="1"/>
  <c r="G116" i="31"/>
  <c r="D121" i="21"/>
  <c r="E121" i="21" s="1"/>
  <c r="G120" i="21"/>
  <c r="D121" i="24"/>
  <c r="E121" i="24" s="1"/>
  <c r="G120" i="24"/>
  <c r="J119" i="27"/>
  <c r="J119" i="24"/>
  <c r="F122" i="29"/>
  <c r="J119" i="21"/>
  <c r="H121" i="29"/>
  <c r="I121" i="29"/>
  <c r="D117" i="34"/>
  <c r="G116" i="34"/>
  <c r="D117" i="38"/>
  <c r="E117" i="38" s="1"/>
  <c r="G116" i="38"/>
  <c r="F123" i="19"/>
  <c r="B123" i="19"/>
  <c r="J115" i="34"/>
  <c r="D121" i="27"/>
  <c r="G120" i="27"/>
  <c r="H122" i="19"/>
  <c r="I122" i="19"/>
  <c r="B117" i="20"/>
  <c r="H119" i="22"/>
  <c r="I119" i="22"/>
  <c r="F120" i="22"/>
  <c r="B120" i="22"/>
  <c r="I116" i="20"/>
  <c r="H116" i="20"/>
  <c r="H123" i="3"/>
  <c r="I123" i="3"/>
  <c r="I124" i="23"/>
  <c r="H124" i="23"/>
  <c r="E117" i="20"/>
  <c r="F117" i="20" s="1"/>
  <c r="B124" i="3"/>
  <c r="F124" i="3"/>
  <c r="E125" i="23"/>
  <c r="F125" i="23" s="1"/>
  <c r="B119" i="41" l="1"/>
  <c r="G118" i="40"/>
  <c r="I118" i="40" s="1"/>
  <c r="J118" i="40" s="1"/>
  <c r="D119" i="40"/>
  <c r="F122" i="39"/>
  <c r="H122" i="39" s="1"/>
  <c r="B122" i="39"/>
  <c r="E119" i="41"/>
  <c r="F119" i="41" s="1"/>
  <c r="I116" i="13"/>
  <c r="H116" i="13"/>
  <c r="E117" i="13"/>
  <c r="F117" i="13" s="1"/>
  <c r="B117" i="13"/>
  <c r="J120" i="28"/>
  <c r="D37" i="13"/>
  <c r="E37" i="13" s="1"/>
  <c r="H49" i="20"/>
  <c r="G49" i="20"/>
  <c r="E50" i="20"/>
  <c r="F50" i="20" s="1"/>
  <c r="B50" i="20"/>
  <c r="I48" i="20"/>
  <c r="G36" i="13"/>
  <c r="I36" i="13" s="1"/>
  <c r="J121" i="29"/>
  <c r="E124" i="4"/>
  <c r="F124" i="4" s="1"/>
  <c r="H123" i="4"/>
  <c r="I123" i="4"/>
  <c r="I122" i="18"/>
  <c r="H122" i="18"/>
  <c r="E117" i="31"/>
  <c r="F117" i="31" s="1"/>
  <c r="D118" i="31" s="1"/>
  <c r="J118" i="25"/>
  <c r="E123" i="18"/>
  <c r="F123" i="18" s="1"/>
  <c r="B123" i="18"/>
  <c r="B116" i="37"/>
  <c r="F116" i="37"/>
  <c r="E117" i="35"/>
  <c r="F117" i="35" s="1"/>
  <c r="B117" i="35"/>
  <c r="I115" i="37"/>
  <c r="H115" i="37"/>
  <c r="I116" i="35"/>
  <c r="H116" i="35"/>
  <c r="E120" i="26"/>
  <c r="F120" i="26" s="1"/>
  <c r="B120" i="26"/>
  <c r="I119" i="26"/>
  <c r="H119" i="26"/>
  <c r="I116" i="31"/>
  <c r="H116" i="31"/>
  <c r="D120" i="25"/>
  <c r="G119" i="25"/>
  <c r="J122" i="19"/>
  <c r="H120" i="24"/>
  <c r="I120" i="24"/>
  <c r="B117" i="34"/>
  <c r="F117" i="38"/>
  <c r="B117" i="38"/>
  <c r="F121" i="24"/>
  <c r="B121" i="24"/>
  <c r="B121" i="27"/>
  <c r="H116" i="38"/>
  <c r="I116" i="38"/>
  <c r="J124" i="23"/>
  <c r="G123" i="19"/>
  <c r="D124" i="19"/>
  <c r="E121" i="27"/>
  <c r="F121" i="27" s="1"/>
  <c r="E117" i="34"/>
  <c r="F117" i="34" s="1"/>
  <c r="G122" i="29"/>
  <c r="D123" i="29"/>
  <c r="E123" i="29" s="1"/>
  <c r="H120" i="21"/>
  <c r="I120" i="21"/>
  <c r="J123" i="3"/>
  <c r="J119" i="22"/>
  <c r="I120" i="27"/>
  <c r="H120" i="27"/>
  <c r="H116" i="34"/>
  <c r="I116" i="34"/>
  <c r="B121" i="21"/>
  <c r="F121" i="21"/>
  <c r="G125" i="23"/>
  <c r="D126" i="23"/>
  <c r="G117" i="20"/>
  <c r="D118" i="20"/>
  <c r="E118" i="20" s="1"/>
  <c r="G120" i="22"/>
  <c r="D121" i="22"/>
  <c r="E121" i="22" s="1"/>
  <c r="J116" i="20"/>
  <c r="G124" i="3"/>
  <c r="D125" i="3"/>
  <c r="E125" i="3" s="1"/>
  <c r="D120" i="41" l="1"/>
  <c r="E120" i="41" s="1"/>
  <c r="F120" i="41" s="1"/>
  <c r="G119" i="41"/>
  <c r="I119" i="41" s="1"/>
  <c r="H119" i="41"/>
  <c r="G122" i="39"/>
  <c r="I122" i="39" s="1"/>
  <c r="J122" i="39" s="1"/>
  <c r="D123" i="39"/>
  <c r="E123" i="39" s="1"/>
  <c r="E119" i="40"/>
  <c r="F119" i="40" s="1"/>
  <c r="B119" i="40"/>
  <c r="G117" i="13"/>
  <c r="D118" i="13"/>
  <c r="B118" i="13" s="1"/>
  <c r="G117" i="31"/>
  <c r="I117" i="31" s="1"/>
  <c r="J116" i="13"/>
  <c r="B37" i="13"/>
  <c r="F37" i="13"/>
  <c r="B51" i="20"/>
  <c r="H50" i="20"/>
  <c r="G50" i="20"/>
  <c r="E51" i="20"/>
  <c r="F51" i="20" s="1"/>
  <c r="J123" i="4"/>
  <c r="I49" i="20"/>
  <c r="J116" i="38"/>
  <c r="J120" i="24"/>
  <c r="J122" i="18"/>
  <c r="G123" i="18"/>
  <c r="D124" i="18"/>
  <c r="E124" i="18" s="1"/>
  <c r="J116" i="35"/>
  <c r="D125" i="4"/>
  <c r="G124" i="4"/>
  <c r="D118" i="35"/>
  <c r="E118" i="35" s="1"/>
  <c r="G117" i="35"/>
  <c r="B122" i="28"/>
  <c r="J119" i="26"/>
  <c r="J115" i="37"/>
  <c r="H119" i="25"/>
  <c r="I119" i="25"/>
  <c r="E118" i="31"/>
  <c r="F118" i="31" s="1"/>
  <c r="B118" i="31"/>
  <c r="E120" i="25"/>
  <c r="F120" i="25" s="1"/>
  <c r="B120" i="25"/>
  <c r="G120" i="26"/>
  <c r="D121" i="26"/>
  <c r="B121" i="26" s="1"/>
  <c r="J120" i="21"/>
  <c r="G116" i="37"/>
  <c r="D117" i="37"/>
  <c r="J116" i="31"/>
  <c r="J116" i="34"/>
  <c r="G121" i="27"/>
  <c r="D122" i="27"/>
  <c r="E122" i="27" s="1"/>
  <c r="G117" i="38"/>
  <c r="D118" i="38"/>
  <c r="E118" i="38" s="1"/>
  <c r="J120" i="27"/>
  <c r="F123" i="29"/>
  <c r="B124" i="19"/>
  <c r="G117" i="34"/>
  <c r="D118" i="34"/>
  <c r="E118" i="34" s="1"/>
  <c r="H122" i="29"/>
  <c r="I122" i="29"/>
  <c r="H123" i="19"/>
  <c r="I123" i="19"/>
  <c r="D122" i="24"/>
  <c r="E122" i="24" s="1"/>
  <c r="G121" i="24"/>
  <c r="D122" i="21"/>
  <c r="E122" i="21" s="1"/>
  <c r="G121" i="21"/>
  <c r="E124" i="19"/>
  <c r="F124" i="19" s="1"/>
  <c r="F121" i="22"/>
  <c r="B121" i="22"/>
  <c r="B125" i="3"/>
  <c r="F125" i="3"/>
  <c r="I120" i="22"/>
  <c r="H120" i="22"/>
  <c r="H125" i="23"/>
  <c r="I125" i="23"/>
  <c r="F118" i="20"/>
  <c r="B118" i="20"/>
  <c r="I117" i="20"/>
  <c r="H117" i="20"/>
  <c r="I124" i="3"/>
  <c r="H124" i="3"/>
  <c r="E126" i="23"/>
  <c r="F126" i="23" s="1"/>
  <c r="F123" i="39" l="1"/>
  <c r="G123" i="39" s="1"/>
  <c r="I123" i="39" s="1"/>
  <c r="G119" i="40"/>
  <c r="I119" i="40" s="1"/>
  <c r="D120" i="40"/>
  <c r="E120" i="40" s="1"/>
  <c r="H119" i="40"/>
  <c r="D121" i="41"/>
  <c r="E121" i="41" s="1"/>
  <c r="G120" i="41"/>
  <c r="I120" i="41" s="1"/>
  <c r="B123" i="39"/>
  <c r="J119" i="41"/>
  <c r="D124" i="39"/>
  <c r="E124" i="39" s="1"/>
  <c r="H120" i="41"/>
  <c r="B120" i="41"/>
  <c r="H117" i="31"/>
  <c r="J117" i="31" s="1"/>
  <c r="E118" i="13"/>
  <c r="F118" i="13" s="1"/>
  <c r="G118" i="13" s="1"/>
  <c r="H118" i="13" s="1"/>
  <c r="J119" i="25"/>
  <c r="I117" i="13"/>
  <c r="H117" i="13"/>
  <c r="D38" i="13"/>
  <c r="E38" i="13" s="1"/>
  <c r="H37" i="13"/>
  <c r="G37" i="13"/>
  <c r="H51" i="20"/>
  <c r="G51" i="20"/>
  <c r="E52" i="20"/>
  <c r="F52" i="20" s="1"/>
  <c r="B52" i="20"/>
  <c r="I50" i="20"/>
  <c r="E125" i="4"/>
  <c r="F125" i="4" s="1"/>
  <c r="B125" i="4"/>
  <c r="J125" i="23"/>
  <c r="H123" i="18"/>
  <c r="I123" i="18"/>
  <c r="F124" i="18"/>
  <c r="B124" i="18"/>
  <c r="J121" i="28"/>
  <c r="H124" i="4"/>
  <c r="I124" i="4"/>
  <c r="D121" i="25"/>
  <c r="E121" i="25" s="1"/>
  <c r="G120" i="25"/>
  <c r="H116" i="37"/>
  <c r="I116" i="37"/>
  <c r="G118" i="31"/>
  <c r="D119" i="31"/>
  <c r="E121" i="26"/>
  <c r="F121" i="26" s="1"/>
  <c r="I120" i="26"/>
  <c r="H120" i="26"/>
  <c r="H117" i="35"/>
  <c r="I117" i="35"/>
  <c r="E117" i="37"/>
  <c r="F117" i="37" s="1"/>
  <c r="B117" i="37"/>
  <c r="F118" i="35"/>
  <c r="B118" i="35"/>
  <c r="G124" i="19"/>
  <c r="D125" i="19"/>
  <c r="F118" i="34"/>
  <c r="B118" i="34"/>
  <c r="F118" i="38"/>
  <c r="B118" i="38"/>
  <c r="H121" i="24"/>
  <c r="I121" i="24"/>
  <c r="I117" i="34"/>
  <c r="H117" i="34"/>
  <c r="H117" i="38"/>
  <c r="I117" i="38"/>
  <c r="H121" i="21"/>
  <c r="I121" i="21"/>
  <c r="F122" i="24"/>
  <c r="B122" i="24"/>
  <c r="F122" i="21"/>
  <c r="B122" i="21"/>
  <c r="J123" i="19"/>
  <c r="B122" i="27"/>
  <c r="F122" i="27"/>
  <c r="G123" i="29"/>
  <c r="D124" i="29"/>
  <c r="J122" i="29"/>
  <c r="H121" i="27"/>
  <c r="I121" i="27"/>
  <c r="J120" i="22"/>
  <c r="J117" i="20"/>
  <c r="D122" i="22"/>
  <c r="G121" i="22"/>
  <c r="D126" i="3"/>
  <c r="E126" i="3" s="1"/>
  <c r="G125" i="3"/>
  <c r="J124" i="3"/>
  <c r="D127" i="23"/>
  <c r="G126" i="23"/>
  <c r="G118" i="20"/>
  <c r="D119" i="20"/>
  <c r="E119" i="20" s="1"/>
  <c r="H123" i="39" l="1"/>
  <c r="J123" i="39"/>
  <c r="J120" i="41"/>
  <c r="B120" i="40"/>
  <c r="F120" i="40"/>
  <c r="B124" i="39"/>
  <c r="F124" i="39"/>
  <c r="H124" i="39" s="1"/>
  <c r="F121" i="41"/>
  <c r="H121" i="41" s="1"/>
  <c r="B121" i="41"/>
  <c r="J119" i="40"/>
  <c r="I118" i="13"/>
  <c r="J118" i="13" s="1"/>
  <c r="D119" i="13"/>
  <c r="J121" i="27"/>
  <c r="J123" i="18"/>
  <c r="J116" i="37"/>
  <c r="J117" i="13"/>
  <c r="J124" i="4"/>
  <c r="E53" i="20"/>
  <c r="F53" i="20" s="1"/>
  <c r="G52" i="20"/>
  <c r="H52" i="20"/>
  <c r="B53" i="20"/>
  <c r="I51" i="20"/>
  <c r="I37" i="13"/>
  <c r="F38" i="13"/>
  <c r="H38" i="13" s="1"/>
  <c r="B38" i="13"/>
  <c r="G124" i="18"/>
  <c r="D125" i="18"/>
  <c r="B125" i="18" s="1"/>
  <c r="G125" i="4"/>
  <c r="D126" i="4"/>
  <c r="J117" i="35"/>
  <c r="D118" i="37"/>
  <c r="G117" i="37"/>
  <c r="G121" i="26"/>
  <c r="D122" i="26"/>
  <c r="E119" i="31"/>
  <c r="F119" i="31" s="1"/>
  <c r="B119" i="31"/>
  <c r="I118" i="31"/>
  <c r="H118" i="31"/>
  <c r="B123" i="28"/>
  <c r="G118" i="35"/>
  <c r="D119" i="35"/>
  <c r="E119" i="35" s="1"/>
  <c r="H120" i="25"/>
  <c r="I120" i="25"/>
  <c r="J117" i="38"/>
  <c r="J120" i="26"/>
  <c r="B121" i="25"/>
  <c r="F121" i="25"/>
  <c r="J121" i="21"/>
  <c r="J121" i="24"/>
  <c r="D119" i="38"/>
  <c r="E119" i="38" s="1"/>
  <c r="G118" i="38"/>
  <c r="B125" i="19"/>
  <c r="G122" i="24"/>
  <c r="D123" i="24"/>
  <c r="J117" i="34"/>
  <c r="D119" i="34"/>
  <c r="E119" i="34" s="1"/>
  <c r="G118" i="34"/>
  <c r="H124" i="19"/>
  <c r="I124" i="19"/>
  <c r="E125" i="19"/>
  <c r="F125" i="19" s="1"/>
  <c r="H123" i="29"/>
  <c r="I123" i="29"/>
  <c r="G122" i="27"/>
  <c r="D123" i="27"/>
  <c r="G122" i="21"/>
  <c r="D123" i="21"/>
  <c r="E123" i="21" s="1"/>
  <c r="E124" i="29"/>
  <c r="F124" i="29" s="1"/>
  <c r="H125" i="3"/>
  <c r="I125" i="3"/>
  <c r="I121" i="22"/>
  <c r="H121" i="22"/>
  <c r="B126" i="3"/>
  <c r="F126" i="3"/>
  <c r="B122" i="22"/>
  <c r="B119" i="20"/>
  <c r="F119" i="20"/>
  <c r="H118" i="20"/>
  <c r="I118" i="20"/>
  <c r="H126" i="23"/>
  <c r="I126" i="23"/>
  <c r="E127" i="23"/>
  <c r="F127" i="23" s="1"/>
  <c r="E122" i="22"/>
  <c r="F122" i="22" s="1"/>
  <c r="D121" i="40" l="1"/>
  <c r="G120" i="40"/>
  <c r="I120" i="40" s="1"/>
  <c r="E121" i="40"/>
  <c r="G124" i="39"/>
  <c r="I124" i="39" s="1"/>
  <c r="J124" i="39" s="1"/>
  <c r="D125" i="39"/>
  <c r="E125" i="39" s="1"/>
  <c r="D122" i="41"/>
  <c r="G121" i="41"/>
  <c r="I121" i="41" s="1"/>
  <c r="J121" i="41" s="1"/>
  <c r="H120" i="40"/>
  <c r="E119" i="13"/>
  <c r="F119" i="13" s="1"/>
  <c r="B119" i="13"/>
  <c r="J118" i="31"/>
  <c r="J124" i="19"/>
  <c r="J126" i="23"/>
  <c r="D39" i="13"/>
  <c r="B54" i="20"/>
  <c r="G53" i="20"/>
  <c r="H53" i="20"/>
  <c r="E54" i="20"/>
  <c r="F54" i="20" s="1"/>
  <c r="G38" i="13"/>
  <c r="I38" i="13" s="1"/>
  <c r="I52" i="20"/>
  <c r="J123" i="29"/>
  <c r="E126" i="4"/>
  <c r="F126" i="4" s="1"/>
  <c r="B126" i="4"/>
  <c r="I125" i="4"/>
  <c r="H125" i="4"/>
  <c r="E125" i="18"/>
  <c r="F125" i="18" s="1"/>
  <c r="J120" i="25"/>
  <c r="I124" i="18"/>
  <c r="H124" i="18"/>
  <c r="J122" i="28"/>
  <c r="D122" i="25"/>
  <c r="E122" i="25" s="1"/>
  <c r="G121" i="25"/>
  <c r="F119" i="35"/>
  <c r="B119" i="35"/>
  <c r="G119" i="31"/>
  <c r="D120" i="31"/>
  <c r="B120" i="31" s="1"/>
  <c r="H118" i="35"/>
  <c r="I118" i="35"/>
  <c r="E122" i="26"/>
  <c r="F122" i="26" s="1"/>
  <c r="B122" i="26"/>
  <c r="H121" i="26"/>
  <c r="I121" i="26"/>
  <c r="H117" i="37"/>
  <c r="I117" i="37"/>
  <c r="E118" i="37"/>
  <c r="F118" i="37" s="1"/>
  <c r="B118" i="37"/>
  <c r="H122" i="27"/>
  <c r="I122" i="27"/>
  <c r="I122" i="24"/>
  <c r="H122" i="24"/>
  <c r="G124" i="29"/>
  <c r="D125" i="29"/>
  <c r="D126" i="19"/>
  <c r="E126" i="19" s="1"/>
  <c r="G125" i="19"/>
  <c r="F119" i="38"/>
  <c r="B119" i="38"/>
  <c r="B123" i="27"/>
  <c r="H118" i="38"/>
  <c r="I118" i="38"/>
  <c r="I118" i="34"/>
  <c r="H118" i="34"/>
  <c r="F119" i="34"/>
  <c r="B119" i="34"/>
  <c r="H122" i="21"/>
  <c r="I122" i="21"/>
  <c r="B123" i="24"/>
  <c r="J118" i="20"/>
  <c r="J125" i="3"/>
  <c r="B123" i="21"/>
  <c r="F123" i="21"/>
  <c r="E123" i="27"/>
  <c r="F123" i="27" s="1"/>
  <c r="E123" i="24"/>
  <c r="F123" i="24" s="1"/>
  <c r="G122" i="22"/>
  <c r="D123" i="22"/>
  <c r="D128" i="23"/>
  <c r="G127" i="23"/>
  <c r="D120" i="20"/>
  <c r="E120" i="20" s="1"/>
  <c r="G119" i="20"/>
  <c r="D127" i="3"/>
  <c r="E127" i="3" s="1"/>
  <c r="G126" i="3"/>
  <c r="J121" i="22"/>
  <c r="F125" i="39" l="1"/>
  <c r="G125" i="39" s="1"/>
  <c r="I125" i="39" s="1"/>
  <c r="B122" i="41"/>
  <c r="D126" i="39"/>
  <c r="E126" i="39" s="1"/>
  <c r="J120" i="40"/>
  <c r="E122" i="41"/>
  <c r="F122" i="41" s="1"/>
  <c r="H125" i="39"/>
  <c r="B125" i="39"/>
  <c r="F121" i="40"/>
  <c r="B121" i="40"/>
  <c r="H121" i="40"/>
  <c r="I53" i="20"/>
  <c r="D120" i="13"/>
  <c r="G119" i="13"/>
  <c r="J118" i="35"/>
  <c r="B55" i="20"/>
  <c r="G54" i="20"/>
  <c r="E55" i="20"/>
  <c r="F55" i="20" s="1"/>
  <c r="H54" i="20"/>
  <c r="B39" i="13"/>
  <c r="J121" i="26"/>
  <c r="E39" i="13"/>
  <c r="F39" i="13" s="1"/>
  <c r="J122" i="27"/>
  <c r="D126" i="18"/>
  <c r="E126" i="18" s="1"/>
  <c r="G125" i="18"/>
  <c r="J118" i="38"/>
  <c r="J117" i="37"/>
  <c r="J125" i="4"/>
  <c r="G126" i="4"/>
  <c r="D127" i="4"/>
  <c r="B127" i="4" s="1"/>
  <c r="J124" i="18"/>
  <c r="G118" i="37"/>
  <c r="D119" i="37"/>
  <c r="E119" i="37" s="1"/>
  <c r="H119" i="31"/>
  <c r="I119" i="31"/>
  <c r="B124" i="28"/>
  <c r="E120" i="31"/>
  <c r="F120" i="31" s="1"/>
  <c r="G122" i="26"/>
  <c r="D123" i="26"/>
  <c r="B123" i="26" s="1"/>
  <c r="D120" i="35"/>
  <c r="B120" i="35" s="1"/>
  <c r="G119" i="35"/>
  <c r="I121" i="25"/>
  <c r="H121" i="25"/>
  <c r="B122" i="25"/>
  <c r="F122" i="25"/>
  <c r="J122" i="21"/>
  <c r="D124" i="24"/>
  <c r="E124" i="24" s="1"/>
  <c r="G123" i="24"/>
  <c r="G123" i="27"/>
  <c r="D124" i="27"/>
  <c r="E124" i="27" s="1"/>
  <c r="I124" i="29"/>
  <c r="H124" i="29"/>
  <c r="D120" i="38"/>
  <c r="G119" i="38"/>
  <c r="H125" i="19"/>
  <c r="I125" i="19"/>
  <c r="J122" i="24"/>
  <c r="J118" i="34"/>
  <c r="F126" i="19"/>
  <c r="B126" i="19"/>
  <c r="D124" i="21"/>
  <c r="E124" i="21" s="1"/>
  <c r="G123" i="21"/>
  <c r="D120" i="34"/>
  <c r="E120" i="34" s="1"/>
  <c r="G119" i="34"/>
  <c r="E125" i="29"/>
  <c r="F125" i="29" s="1"/>
  <c r="H119" i="20"/>
  <c r="I119" i="20"/>
  <c r="B123" i="22"/>
  <c r="F120" i="20"/>
  <c r="B120" i="20"/>
  <c r="H126" i="3"/>
  <c r="I126" i="3"/>
  <c r="I122" i="22"/>
  <c r="H122" i="22"/>
  <c r="E128" i="23"/>
  <c r="F128" i="23" s="1"/>
  <c r="B127" i="3"/>
  <c r="F127" i="3"/>
  <c r="I127" i="23"/>
  <c r="H127" i="23"/>
  <c r="E123" i="22"/>
  <c r="F123" i="22" s="1"/>
  <c r="F126" i="39" l="1"/>
  <c r="H126" i="39" s="1"/>
  <c r="B126" i="39"/>
  <c r="G122" i="41"/>
  <c r="I122" i="41" s="1"/>
  <c r="D123" i="41"/>
  <c r="E123" i="41" s="1"/>
  <c r="F123" i="41" s="1"/>
  <c r="J125" i="39"/>
  <c r="G121" i="40"/>
  <c r="I121" i="40" s="1"/>
  <c r="J121" i="40" s="1"/>
  <c r="D122" i="40"/>
  <c r="H122" i="41"/>
  <c r="H119" i="13"/>
  <c r="I119" i="13"/>
  <c r="E120" i="13"/>
  <c r="F120" i="13" s="1"/>
  <c r="B120" i="13"/>
  <c r="D40" i="13"/>
  <c r="E40" i="13" s="1"/>
  <c r="G39" i="13"/>
  <c r="H39" i="13"/>
  <c r="B56" i="20"/>
  <c r="G55" i="20"/>
  <c r="E56" i="20"/>
  <c r="F56" i="20" s="1"/>
  <c r="H55" i="20"/>
  <c r="J119" i="20"/>
  <c r="I54" i="20"/>
  <c r="E123" i="26"/>
  <c r="F123" i="26" s="1"/>
  <c r="D124" i="26" s="1"/>
  <c r="I126" i="4"/>
  <c r="H126" i="4"/>
  <c r="E120" i="35"/>
  <c r="F120" i="35" s="1"/>
  <c r="D121" i="35" s="1"/>
  <c r="H125" i="18"/>
  <c r="I125" i="18"/>
  <c r="J119" i="31"/>
  <c r="E127" i="4"/>
  <c r="F127" i="4" s="1"/>
  <c r="B126" i="18"/>
  <c r="F126" i="18"/>
  <c r="H119" i="35"/>
  <c r="I119" i="35"/>
  <c r="G122" i="25"/>
  <c r="D123" i="25"/>
  <c r="J123" i="28"/>
  <c r="I122" i="26"/>
  <c r="H122" i="26"/>
  <c r="D121" i="31"/>
  <c r="E121" i="31" s="1"/>
  <c r="G120" i="31"/>
  <c r="B119" i="37"/>
  <c r="F119" i="37"/>
  <c r="J121" i="25"/>
  <c r="H118" i="37"/>
  <c r="I118" i="37"/>
  <c r="H119" i="34"/>
  <c r="I119" i="34"/>
  <c r="G125" i="29"/>
  <c r="D126" i="29"/>
  <c r="E126" i="29" s="1"/>
  <c r="B120" i="34"/>
  <c r="F120" i="34"/>
  <c r="J125" i="19"/>
  <c r="B124" i="27"/>
  <c r="F124" i="27"/>
  <c r="J122" i="22"/>
  <c r="H119" i="38"/>
  <c r="I119" i="38"/>
  <c r="I123" i="27"/>
  <c r="H123" i="27"/>
  <c r="G126" i="19"/>
  <c r="D127" i="19"/>
  <c r="E127" i="19" s="1"/>
  <c r="B120" i="38"/>
  <c r="J127" i="23"/>
  <c r="I123" i="21"/>
  <c r="H123" i="21"/>
  <c r="E120" i="38"/>
  <c r="F120" i="38" s="1"/>
  <c r="J124" i="29"/>
  <c r="I123" i="24"/>
  <c r="H123" i="24"/>
  <c r="J126" i="3"/>
  <c r="F124" i="21"/>
  <c r="B124" i="21"/>
  <c r="F124" i="24"/>
  <c r="B124" i="24"/>
  <c r="D129" i="23"/>
  <c r="E129" i="23" s="1"/>
  <c r="G128" i="23"/>
  <c r="G123" i="22"/>
  <c r="D124" i="22"/>
  <c r="E124" i="22" s="1"/>
  <c r="G127" i="3"/>
  <c r="D128" i="3"/>
  <c r="E128" i="3" s="1"/>
  <c r="G120" i="20"/>
  <c r="D121" i="20"/>
  <c r="J122" i="41" l="1"/>
  <c r="G123" i="41"/>
  <c r="I123" i="41" s="1"/>
  <c r="D124" i="41"/>
  <c r="E124" i="41" s="1"/>
  <c r="F124" i="41" s="1"/>
  <c r="E122" i="40"/>
  <c r="F122" i="40" s="1"/>
  <c r="B122" i="40"/>
  <c r="B123" i="41"/>
  <c r="H123" i="41"/>
  <c r="D127" i="39"/>
  <c r="E127" i="39" s="1"/>
  <c r="G126" i="39"/>
  <c r="I126" i="39" s="1"/>
  <c r="J126" i="39" s="1"/>
  <c r="J119" i="13"/>
  <c r="D121" i="13"/>
  <c r="G120" i="13"/>
  <c r="G120" i="35"/>
  <c r="H120" i="35" s="1"/>
  <c r="I55" i="20"/>
  <c r="I39" i="13"/>
  <c r="J125" i="18"/>
  <c r="G56" i="20"/>
  <c r="B57" i="20"/>
  <c r="E57" i="20"/>
  <c r="F57" i="20" s="1"/>
  <c r="H56" i="20"/>
  <c r="J126" i="4"/>
  <c r="G123" i="26"/>
  <c r="I123" i="26" s="1"/>
  <c r="B40" i="13"/>
  <c r="F40" i="13"/>
  <c r="G40" i="13" s="1"/>
  <c r="G127" i="4"/>
  <c r="D128" i="4"/>
  <c r="B128" i="4" s="1"/>
  <c r="E121" i="35"/>
  <c r="F121" i="35" s="1"/>
  <c r="J119" i="34"/>
  <c r="D127" i="18"/>
  <c r="E127" i="18" s="1"/>
  <c r="G126" i="18"/>
  <c r="J119" i="35"/>
  <c r="J122" i="26"/>
  <c r="D120" i="37"/>
  <c r="G119" i="37"/>
  <c r="B123" i="25"/>
  <c r="B125" i="28"/>
  <c r="I122" i="25"/>
  <c r="H122" i="25"/>
  <c r="I120" i="31"/>
  <c r="H120" i="31"/>
  <c r="E123" i="25"/>
  <c r="F123" i="25" s="1"/>
  <c r="B124" i="26"/>
  <c r="E124" i="26"/>
  <c r="F124" i="26" s="1"/>
  <c r="J118" i="37"/>
  <c r="F121" i="31"/>
  <c r="B121" i="31"/>
  <c r="B121" i="35"/>
  <c r="J123" i="21"/>
  <c r="J123" i="27"/>
  <c r="F126" i="29"/>
  <c r="I125" i="29"/>
  <c r="H125" i="29"/>
  <c r="H126" i="19"/>
  <c r="I126" i="19"/>
  <c r="D125" i="21"/>
  <c r="E125" i="21" s="1"/>
  <c r="G124" i="21"/>
  <c r="J119" i="38"/>
  <c r="G120" i="38"/>
  <c r="D121" i="38"/>
  <c r="D125" i="27"/>
  <c r="E125" i="27" s="1"/>
  <c r="G124" i="27"/>
  <c r="G120" i="34"/>
  <c r="D121" i="34"/>
  <c r="E121" i="34"/>
  <c r="J123" i="24"/>
  <c r="D125" i="24"/>
  <c r="E125" i="24" s="1"/>
  <c r="G124" i="24"/>
  <c r="B127" i="19"/>
  <c r="F127" i="19"/>
  <c r="I123" i="22"/>
  <c r="H123" i="22"/>
  <c r="F129" i="23"/>
  <c r="H128" i="23"/>
  <c r="I128" i="23"/>
  <c r="B121" i="20"/>
  <c r="I120" i="20"/>
  <c r="H120" i="20"/>
  <c r="H127" i="3"/>
  <c r="I127" i="3"/>
  <c r="E121" i="20"/>
  <c r="F121" i="20" s="1"/>
  <c r="B128" i="3"/>
  <c r="F128" i="3"/>
  <c r="B124" i="22"/>
  <c r="F124" i="22"/>
  <c r="F127" i="39" l="1"/>
  <c r="G122" i="40"/>
  <c r="I122" i="40" s="1"/>
  <c r="D123" i="40"/>
  <c r="E123" i="40" s="1"/>
  <c r="H122" i="40"/>
  <c r="D125" i="41"/>
  <c r="G124" i="41"/>
  <c r="I124" i="41" s="1"/>
  <c r="E125" i="41"/>
  <c r="H127" i="39"/>
  <c r="B127" i="39"/>
  <c r="H124" i="41"/>
  <c r="B124" i="41"/>
  <c r="G127" i="39"/>
  <c r="I127" i="39" s="1"/>
  <c r="D128" i="39"/>
  <c r="E128" i="39" s="1"/>
  <c r="J123" i="41"/>
  <c r="I120" i="35"/>
  <c r="J120" i="35" s="1"/>
  <c r="H120" i="13"/>
  <c r="I120" i="13"/>
  <c r="E121" i="13"/>
  <c r="F121" i="13" s="1"/>
  <c r="B121" i="13"/>
  <c r="H123" i="26"/>
  <c r="J123" i="26" s="1"/>
  <c r="H40" i="13"/>
  <c r="I40" i="13" s="1"/>
  <c r="E128" i="4"/>
  <c r="F128" i="4" s="1"/>
  <c r="G128" i="4" s="1"/>
  <c r="I56" i="20"/>
  <c r="E58" i="20"/>
  <c r="F58" i="20" s="1"/>
  <c r="B58" i="20"/>
  <c r="H57" i="20"/>
  <c r="G57" i="20"/>
  <c r="D41" i="13"/>
  <c r="B127" i="18"/>
  <c r="F127" i="18"/>
  <c r="J124" i="28"/>
  <c r="H126" i="18"/>
  <c r="I126" i="18"/>
  <c r="J126" i="19"/>
  <c r="H127" i="4"/>
  <c r="I127" i="4"/>
  <c r="G123" i="25"/>
  <c r="D124" i="25"/>
  <c r="G121" i="31"/>
  <c r="D122" i="31"/>
  <c r="J120" i="31"/>
  <c r="I119" i="37"/>
  <c r="H119" i="37"/>
  <c r="E120" i="37"/>
  <c r="F120" i="37" s="1"/>
  <c r="B120" i="37"/>
  <c r="G121" i="35"/>
  <c r="D122" i="35"/>
  <c r="J122" i="25"/>
  <c r="J127" i="3"/>
  <c r="J128" i="23"/>
  <c r="G124" i="26"/>
  <c r="D125" i="26"/>
  <c r="H124" i="24"/>
  <c r="I124" i="24"/>
  <c r="F121" i="34"/>
  <c r="B121" i="34"/>
  <c r="H120" i="38"/>
  <c r="I120" i="38"/>
  <c r="B121" i="38"/>
  <c r="B125" i="24"/>
  <c r="F125" i="24"/>
  <c r="H120" i="34"/>
  <c r="I120" i="34"/>
  <c r="E121" i="38"/>
  <c r="F121" i="38" s="1"/>
  <c r="I124" i="21"/>
  <c r="H124" i="21"/>
  <c r="F125" i="21"/>
  <c r="B125" i="21"/>
  <c r="J125" i="29"/>
  <c r="D128" i="19"/>
  <c r="E128" i="19" s="1"/>
  <c r="G127" i="19"/>
  <c r="H124" i="27"/>
  <c r="I124" i="27"/>
  <c r="F125" i="27"/>
  <c r="B125" i="27"/>
  <c r="D127" i="29"/>
  <c r="E127" i="29" s="1"/>
  <c r="G126" i="29"/>
  <c r="D122" i="20"/>
  <c r="E122" i="20" s="1"/>
  <c r="G121" i="20"/>
  <c r="D125" i="22"/>
  <c r="E125" i="22" s="1"/>
  <c r="G124" i="22"/>
  <c r="D129" i="3"/>
  <c r="G128" i="3"/>
  <c r="D130" i="23"/>
  <c r="G129" i="23"/>
  <c r="J120" i="20"/>
  <c r="J123" i="22"/>
  <c r="F128" i="39" l="1"/>
  <c r="J127" i="39"/>
  <c r="G128" i="39"/>
  <c r="I128" i="39" s="1"/>
  <c r="D129" i="39"/>
  <c r="E129" i="39" s="1"/>
  <c r="J124" i="41"/>
  <c r="F123" i="40"/>
  <c r="H123" i="40"/>
  <c r="B123" i="40"/>
  <c r="H128" i="39"/>
  <c r="B128" i="39"/>
  <c r="F125" i="41"/>
  <c r="B125" i="41"/>
  <c r="J122" i="40"/>
  <c r="J120" i="13"/>
  <c r="G121" i="13"/>
  <c r="D122" i="13"/>
  <c r="D129" i="4"/>
  <c r="B129" i="4" s="1"/>
  <c r="J124" i="27"/>
  <c r="I57" i="20"/>
  <c r="B41" i="13"/>
  <c r="E41" i="13"/>
  <c r="F41" i="13" s="1"/>
  <c r="J126" i="18"/>
  <c r="G58" i="20"/>
  <c r="H58" i="20"/>
  <c r="E59" i="20"/>
  <c r="F59" i="20" s="1"/>
  <c r="B59" i="20"/>
  <c r="J120" i="34"/>
  <c r="J120" i="38"/>
  <c r="H128" i="4"/>
  <c r="I128" i="4"/>
  <c r="J127" i="4"/>
  <c r="G127" i="18"/>
  <c r="D128" i="18"/>
  <c r="J124" i="24"/>
  <c r="E122" i="35"/>
  <c r="F122" i="35" s="1"/>
  <c r="B122" i="35"/>
  <c r="E122" i="31"/>
  <c r="F122" i="31" s="1"/>
  <c r="B122" i="31"/>
  <c r="H121" i="35"/>
  <c r="I121" i="35"/>
  <c r="I121" i="31"/>
  <c r="H121" i="31"/>
  <c r="B124" i="25"/>
  <c r="E125" i="26"/>
  <c r="F125" i="26" s="1"/>
  <c r="B125" i="26"/>
  <c r="G120" i="37"/>
  <c r="D121" i="37"/>
  <c r="B121" i="37" s="1"/>
  <c r="I123" i="25"/>
  <c r="H123" i="25"/>
  <c r="I124" i="26"/>
  <c r="H124" i="26"/>
  <c r="E124" i="25"/>
  <c r="F124" i="25" s="1"/>
  <c r="J119" i="37"/>
  <c r="B126" i="28"/>
  <c r="H127" i="19"/>
  <c r="I127" i="19"/>
  <c r="J124" i="21"/>
  <c r="B128" i="19"/>
  <c r="F128" i="19"/>
  <c r="G121" i="38"/>
  <c r="D122" i="38"/>
  <c r="E122" i="38" s="1"/>
  <c r="F127" i="29"/>
  <c r="D126" i="24"/>
  <c r="G125" i="24"/>
  <c r="G125" i="27"/>
  <c r="D126" i="27"/>
  <c r="E126" i="27" s="1"/>
  <c r="H126" i="29"/>
  <c r="I126" i="29"/>
  <c r="D126" i="21"/>
  <c r="G125" i="21"/>
  <c r="D122" i="34"/>
  <c r="E122" i="34" s="1"/>
  <c r="G121" i="34"/>
  <c r="H128" i="3"/>
  <c r="I128" i="3"/>
  <c r="B129" i="3"/>
  <c r="H124" i="22"/>
  <c r="I124" i="22"/>
  <c r="E129" i="3"/>
  <c r="F129" i="3" s="1"/>
  <c r="E130" i="23"/>
  <c r="F130" i="23" s="1"/>
  <c r="F125" i="22"/>
  <c r="B125" i="22"/>
  <c r="H121" i="20"/>
  <c r="I121" i="20"/>
  <c r="H129" i="23"/>
  <c r="I129" i="23"/>
  <c r="F122" i="20"/>
  <c r="B122" i="20"/>
  <c r="E129" i="4" l="1"/>
  <c r="F129" i="4" s="1"/>
  <c r="D130" i="4" s="1"/>
  <c r="J128" i="39"/>
  <c r="F129" i="39"/>
  <c r="D130" i="39" s="1"/>
  <c r="G125" i="41"/>
  <c r="I125" i="41" s="1"/>
  <c r="D126" i="41"/>
  <c r="E126" i="41" s="1"/>
  <c r="F126" i="41" s="1"/>
  <c r="B129" i="39"/>
  <c r="D124" i="40"/>
  <c r="E124" i="40" s="1"/>
  <c r="G123" i="40"/>
  <c r="I123" i="40" s="1"/>
  <c r="J123" i="40" s="1"/>
  <c r="H125" i="41"/>
  <c r="E122" i="13"/>
  <c r="F122" i="13" s="1"/>
  <c r="B122" i="13"/>
  <c r="I121" i="13"/>
  <c r="H121" i="13"/>
  <c r="J127" i="19"/>
  <c r="J128" i="3"/>
  <c r="I58" i="20"/>
  <c r="D42" i="13"/>
  <c r="H41" i="13"/>
  <c r="G41" i="13"/>
  <c r="H59" i="20"/>
  <c r="E60" i="20"/>
  <c r="F60" i="20" s="1"/>
  <c r="B60" i="20"/>
  <c r="G59" i="20"/>
  <c r="J125" i="28"/>
  <c r="J128" i="4"/>
  <c r="I127" i="18"/>
  <c r="H127" i="18"/>
  <c r="J121" i="35"/>
  <c r="E128" i="18"/>
  <c r="F128" i="18" s="1"/>
  <c r="B128" i="18"/>
  <c r="G124" i="25"/>
  <c r="D125" i="25"/>
  <c r="J124" i="22"/>
  <c r="I120" i="37"/>
  <c r="H120" i="37"/>
  <c r="D123" i="31"/>
  <c r="G122" i="31"/>
  <c r="G125" i="26"/>
  <c r="D126" i="26"/>
  <c r="J124" i="26"/>
  <c r="J123" i="25"/>
  <c r="D123" i="35"/>
  <c r="E123" i="35" s="1"/>
  <c r="G122" i="35"/>
  <c r="E121" i="37"/>
  <c r="F121" i="37" s="1"/>
  <c r="J121" i="31"/>
  <c r="J129" i="23"/>
  <c r="I125" i="21"/>
  <c r="H125" i="21"/>
  <c r="B126" i="21"/>
  <c r="D129" i="19"/>
  <c r="E129" i="19" s="1"/>
  <c r="G128" i="19"/>
  <c r="B126" i="24"/>
  <c r="B126" i="27"/>
  <c r="F126" i="27"/>
  <c r="H121" i="38"/>
  <c r="I121" i="38"/>
  <c r="F122" i="38"/>
  <c r="B122" i="38"/>
  <c r="I125" i="27"/>
  <c r="H125" i="27"/>
  <c r="H121" i="34"/>
  <c r="I121" i="34"/>
  <c r="B122" i="34"/>
  <c r="F122" i="34"/>
  <c r="E126" i="24"/>
  <c r="F126" i="24" s="1"/>
  <c r="E126" i="21"/>
  <c r="F126" i="21" s="1"/>
  <c r="J126" i="29"/>
  <c r="H125" i="24"/>
  <c r="I125" i="24"/>
  <c r="D128" i="29"/>
  <c r="E128" i="29" s="1"/>
  <c r="G127" i="29"/>
  <c r="G130" i="23"/>
  <c r="D131" i="23"/>
  <c r="G129" i="3"/>
  <c r="D130" i="3"/>
  <c r="E130" i="3" s="1"/>
  <c r="G125" i="22"/>
  <c r="D126" i="22"/>
  <c r="E126" i="22" s="1"/>
  <c r="D123" i="20"/>
  <c r="G122" i="20"/>
  <c r="J121" i="20"/>
  <c r="G129" i="39" l="1"/>
  <c r="I129" i="39" s="1"/>
  <c r="E130" i="39"/>
  <c r="F130" i="39" s="1"/>
  <c r="H129" i="39"/>
  <c r="J129" i="39" s="1"/>
  <c r="G126" i="41"/>
  <c r="I126" i="41" s="1"/>
  <c r="D127" i="41"/>
  <c r="E127" i="41" s="1"/>
  <c r="F127" i="41" s="1"/>
  <c r="J125" i="41"/>
  <c r="B130" i="39"/>
  <c r="B124" i="40"/>
  <c r="F124" i="40"/>
  <c r="H124" i="40" s="1"/>
  <c r="B126" i="41"/>
  <c r="H126" i="41"/>
  <c r="G129" i="4"/>
  <c r="I129" i="4" s="1"/>
  <c r="J121" i="13"/>
  <c r="D123" i="13"/>
  <c r="G122" i="13"/>
  <c r="J121" i="34"/>
  <c r="J121" i="38"/>
  <c r="B61" i="20"/>
  <c r="H60" i="20"/>
  <c r="G60" i="20"/>
  <c r="E61" i="20"/>
  <c r="F61" i="20" s="1"/>
  <c r="I59" i="20"/>
  <c r="I41" i="13"/>
  <c r="J127" i="18"/>
  <c r="B42" i="13"/>
  <c r="E42" i="13"/>
  <c r="F42" i="13" s="1"/>
  <c r="B130" i="4"/>
  <c r="G128" i="18"/>
  <c r="D129" i="18"/>
  <c r="E130" i="4"/>
  <c r="F130" i="4" s="1"/>
  <c r="I125" i="26"/>
  <c r="H125" i="26"/>
  <c r="B123" i="35"/>
  <c r="F123" i="35"/>
  <c r="I122" i="31"/>
  <c r="H122" i="31"/>
  <c r="E123" i="31"/>
  <c r="F123" i="31" s="1"/>
  <c r="B123" i="31"/>
  <c r="B127" i="28"/>
  <c r="J120" i="37"/>
  <c r="G121" i="37"/>
  <c r="D122" i="37"/>
  <c r="B122" i="37" s="1"/>
  <c r="B126" i="26"/>
  <c r="E125" i="25"/>
  <c r="F125" i="25" s="1"/>
  <c r="B125" i="25"/>
  <c r="H122" i="35"/>
  <c r="I122" i="35"/>
  <c r="E126" i="26"/>
  <c r="F126" i="26" s="1"/>
  <c r="H124" i="25"/>
  <c r="I124" i="25"/>
  <c r="D127" i="21"/>
  <c r="E127" i="21" s="1"/>
  <c r="G126" i="21"/>
  <c r="D127" i="24"/>
  <c r="E127" i="24" s="1"/>
  <c r="G126" i="24"/>
  <c r="J125" i="21"/>
  <c r="F129" i="19"/>
  <c r="B129" i="19"/>
  <c r="D127" i="27"/>
  <c r="E127" i="27" s="1"/>
  <c r="G126" i="27"/>
  <c r="H127" i="29"/>
  <c r="I127" i="29"/>
  <c r="J125" i="27"/>
  <c r="I128" i="19"/>
  <c r="H128" i="19"/>
  <c r="F128" i="29"/>
  <c r="J125" i="24"/>
  <c r="D123" i="34"/>
  <c r="E123" i="34" s="1"/>
  <c r="G122" i="34"/>
  <c r="G122" i="38"/>
  <c r="D123" i="38"/>
  <c r="E123" i="38" s="1"/>
  <c r="I122" i="20"/>
  <c r="H122" i="20"/>
  <c r="B123" i="20"/>
  <c r="H129" i="3"/>
  <c r="I129" i="3"/>
  <c r="B130" i="3"/>
  <c r="F130" i="3"/>
  <c r="B126" i="22"/>
  <c r="F126" i="22"/>
  <c r="H125" i="22"/>
  <c r="I125" i="22"/>
  <c r="H130" i="23"/>
  <c r="I130" i="23"/>
  <c r="E123" i="20"/>
  <c r="F123" i="20" s="1"/>
  <c r="E131" i="23"/>
  <c r="F131" i="23" s="1"/>
  <c r="D128" i="41" l="1"/>
  <c r="E128" i="41" s="1"/>
  <c r="G127" i="41"/>
  <c r="I127" i="41" s="1"/>
  <c r="G130" i="39"/>
  <c r="I130" i="39" s="1"/>
  <c r="D131" i="39"/>
  <c r="E131" i="39" s="1"/>
  <c r="H127" i="41"/>
  <c r="B127" i="41"/>
  <c r="D125" i="40"/>
  <c r="E125" i="40" s="1"/>
  <c r="G124" i="40"/>
  <c r="I124" i="40" s="1"/>
  <c r="J124" i="40" s="1"/>
  <c r="H130" i="39"/>
  <c r="J126" i="41"/>
  <c r="H129" i="4"/>
  <c r="J129" i="4" s="1"/>
  <c r="J126" i="28"/>
  <c r="H122" i="13"/>
  <c r="I122" i="13"/>
  <c r="E123" i="13"/>
  <c r="F123" i="13" s="1"/>
  <c r="B123" i="13"/>
  <c r="I60" i="20"/>
  <c r="D43" i="13"/>
  <c r="G42" i="13"/>
  <c r="H42" i="13"/>
  <c r="B62" i="20"/>
  <c r="G61" i="20"/>
  <c r="H61" i="20"/>
  <c r="E62" i="20"/>
  <c r="F62" i="20" s="1"/>
  <c r="E122" i="37"/>
  <c r="F122" i="37" s="1"/>
  <c r="D123" i="37" s="1"/>
  <c r="E123" i="37" s="1"/>
  <c r="D131" i="4"/>
  <c r="E131" i="4" s="1"/>
  <c r="G130" i="4"/>
  <c r="E129" i="18"/>
  <c r="F129" i="18" s="1"/>
  <c r="B129" i="18"/>
  <c r="H128" i="18"/>
  <c r="I128" i="18"/>
  <c r="J130" i="23"/>
  <c r="J124" i="25"/>
  <c r="G123" i="31"/>
  <c r="D124" i="31"/>
  <c r="E124" i="31" s="1"/>
  <c r="J129" i="3"/>
  <c r="I121" i="37"/>
  <c r="H121" i="37"/>
  <c r="G125" i="25"/>
  <c r="D126" i="25"/>
  <c r="J122" i="31"/>
  <c r="G123" i="35"/>
  <c r="D124" i="35"/>
  <c r="E124" i="35" s="1"/>
  <c r="G126" i="26"/>
  <c r="D127" i="26"/>
  <c r="B127" i="26" s="1"/>
  <c r="J125" i="26"/>
  <c r="J122" i="35"/>
  <c r="J125" i="22"/>
  <c r="I122" i="34"/>
  <c r="H122" i="34"/>
  <c r="J127" i="29"/>
  <c r="H126" i="27"/>
  <c r="I126" i="27"/>
  <c r="B127" i="27"/>
  <c r="F127" i="27"/>
  <c r="I126" i="24"/>
  <c r="H126" i="24"/>
  <c r="G129" i="19"/>
  <c r="D130" i="19"/>
  <c r="E130" i="19" s="1"/>
  <c r="B127" i="24"/>
  <c r="F127" i="24"/>
  <c r="B123" i="34"/>
  <c r="F123" i="34"/>
  <c r="F123" i="38"/>
  <c r="B123" i="38"/>
  <c r="H126" i="21"/>
  <c r="I126" i="21"/>
  <c r="G128" i="29"/>
  <c r="D129" i="29"/>
  <c r="E129" i="29" s="1"/>
  <c r="H122" i="38"/>
  <c r="I122" i="38"/>
  <c r="J128" i="19"/>
  <c r="B127" i="21"/>
  <c r="F127" i="21"/>
  <c r="G123" i="20"/>
  <c r="D124" i="20"/>
  <c r="E124" i="20" s="1"/>
  <c r="G126" i="22"/>
  <c r="D127" i="22"/>
  <c r="E127" i="22" s="1"/>
  <c r="D132" i="23"/>
  <c r="G131" i="23"/>
  <c r="D131" i="3"/>
  <c r="E131" i="3" s="1"/>
  <c r="G130" i="3"/>
  <c r="J122" i="20"/>
  <c r="J130" i="39" l="1"/>
  <c r="F131" i="39"/>
  <c r="J127" i="41"/>
  <c r="B125" i="40"/>
  <c r="F125" i="40"/>
  <c r="H131" i="39"/>
  <c r="B131" i="39"/>
  <c r="F128" i="41"/>
  <c r="H128" i="41" s="1"/>
  <c r="B128" i="41"/>
  <c r="G122" i="37"/>
  <c r="I122" i="37" s="1"/>
  <c r="J122" i="13"/>
  <c r="D124" i="13"/>
  <c r="G123" i="13"/>
  <c r="I42" i="13"/>
  <c r="I61" i="20"/>
  <c r="J128" i="18"/>
  <c r="G62" i="20"/>
  <c r="H62" i="20"/>
  <c r="B63" i="20"/>
  <c r="E63" i="20"/>
  <c r="F63" i="20" s="1"/>
  <c r="B43" i="13"/>
  <c r="E43" i="13"/>
  <c r="F43" i="13" s="1"/>
  <c r="E127" i="26"/>
  <c r="F127" i="26" s="1"/>
  <c r="G129" i="18"/>
  <c r="D130" i="18"/>
  <c r="B130" i="18" s="1"/>
  <c r="I130" i="4"/>
  <c r="H130" i="4"/>
  <c r="J122" i="38"/>
  <c r="F131" i="4"/>
  <c r="B131" i="4"/>
  <c r="I126" i="26"/>
  <c r="H126" i="26"/>
  <c r="E126" i="25"/>
  <c r="F126" i="25" s="1"/>
  <c r="B126" i="25"/>
  <c r="H125" i="25"/>
  <c r="I125" i="25"/>
  <c r="B124" i="35"/>
  <c r="F124" i="35"/>
  <c r="J126" i="21"/>
  <c r="H122" i="37"/>
  <c r="H123" i="35"/>
  <c r="I123" i="35"/>
  <c r="J121" i="37"/>
  <c r="B123" i="37"/>
  <c r="F123" i="37"/>
  <c r="B128" i="28"/>
  <c r="B124" i="31"/>
  <c r="F124" i="31"/>
  <c r="H123" i="31"/>
  <c r="I123" i="31"/>
  <c r="J126" i="27"/>
  <c r="D124" i="34"/>
  <c r="E124" i="34" s="1"/>
  <c r="G123" i="34"/>
  <c r="G127" i="24"/>
  <c r="D128" i="24"/>
  <c r="E128" i="24" s="1"/>
  <c r="D124" i="38"/>
  <c r="E124" i="38" s="1"/>
  <c r="G123" i="38"/>
  <c r="F129" i="29"/>
  <c r="J122" i="34"/>
  <c r="I128" i="29"/>
  <c r="H128" i="29"/>
  <c r="B130" i="19"/>
  <c r="F130" i="19"/>
  <c r="J126" i="24"/>
  <c r="I129" i="19"/>
  <c r="H129" i="19"/>
  <c r="D128" i="27"/>
  <c r="E128" i="27" s="1"/>
  <c r="G127" i="27"/>
  <c r="G127" i="21"/>
  <c r="D128" i="21"/>
  <c r="E128" i="21" s="1"/>
  <c r="H126" i="22"/>
  <c r="I126" i="22"/>
  <c r="H131" i="23"/>
  <c r="I131" i="23"/>
  <c r="B127" i="22"/>
  <c r="F127" i="22"/>
  <c r="B124" i="20"/>
  <c r="F124" i="20"/>
  <c r="H130" i="3"/>
  <c r="I130" i="3"/>
  <c r="B131" i="3"/>
  <c r="F131" i="3"/>
  <c r="E132" i="23"/>
  <c r="F132" i="23" s="1"/>
  <c r="H123" i="20"/>
  <c r="I123" i="20"/>
  <c r="D126" i="40" l="1"/>
  <c r="G125" i="40"/>
  <c r="I125" i="40" s="1"/>
  <c r="E126" i="40"/>
  <c r="D132" i="39"/>
  <c r="E132" i="39" s="1"/>
  <c r="G131" i="39"/>
  <c r="I131" i="39" s="1"/>
  <c r="J131" i="39" s="1"/>
  <c r="J156" i="39" s="1"/>
  <c r="G128" i="41"/>
  <c r="I128" i="41" s="1"/>
  <c r="J128" i="41" s="1"/>
  <c r="D129" i="41"/>
  <c r="H125" i="40"/>
  <c r="H123" i="13"/>
  <c r="I123" i="13"/>
  <c r="E124" i="13"/>
  <c r="F124" i="13" s="1"/>
  <c r="B124" i="13"/>
  <c r="J130" i="4"/>
  <c r="I62" i="20"/>
  <c r="D44" i="13"/>
  <c r="E44" i="13" s="1"/>
  <c r="H43" i="13"/>
  <c r="G43" i="13"/>
  <c r="E130" i="18"/>
  <c r="F130" i="18" s="1"/>
  <c r="G130" i="18" s="1"/>
  <c r="G127" i="26"/>
  <c r="D128" i="26"/>
  <c r="J123" i="31"/>
  <c r="G63" i="20"/>
  <c r="B64" i="20"/>
  <c r="H63" i="20"/>
  <c r="E64" i="20"/>
  <c r="F64" i="20" s="1"/>
  <c r="J127" i="28"/>
  <c r="J130" i="3"/>
  <c r="J123" i="35"/>
  <c r="J125" i="25"/>
  <c r="D132" i="4"/>
  <c r="G131" i="4"/>
  <c r="J122" i="37"/>
  <c r="I129" i="18"/>
  <c r="H129" i="18"/>
  <c r="G124" i="31"/>
  <c r="D125" i="31"/>
  <c r="D127" i="25"/>
  <c r="E127" i="25" s="1"/>
  <c r="G126" i="25"/>
  <c r="G123" i="37"/>
  <c r="D124" i="37"/>
  <c r="D125" i="35"/>
  <c r="G124" i="35"/>
  <c r="J126" i="26"/>
  <c r="J129" i="19"/>
  <c r="J128" i="29"/>
  <c r="H123" i="34"/>
  <c r="I123" i="34"/>
  <c r="H123" i="38"/>
  <c r="I123" i="38"/>
  <c r="F124" i="34"/>
  <c r="B124" i="34"/>
  <c r="B124" i="38"/>
  <c r="F124" i="38"/>
  <c r="I127" i="27"/>
  <c r="H127" i="27"/>
  <c r="G129" i="29"/>
  <c r="D130" i="29"/>
  <c r="B128" i="21"/>
  <c r="F128" i="21"/>
  <c r="F128" i="27"/>
  <c r="B128" i="27"/>
  <c r="G130" i="19"/>
  <c r="D131" i="19"/>
  <c r="F128" i="24"/>
  <c r="B128" i="24"/>
  <c r="J131" i="23"/>
  <c r="H127" i="21"/>
  <c r="I127" i="21"/>
  <c r="I127" i="24"/>
  <c r="H127" i="24"/>
  <c r="G131" i="3"/>
  <c r="D132" i="3"/>
  <c r="J123" i="20"/>
  <c r="G132" i="23"/>
  <c r="D133" i="23"/>
  <c r="E133" i="23" s="1"/>
  <c r="D128" i="22"/>
  <c r="G127" i="22"/>
  <c r="D125" i="20"/>
  <c r="E125" i="20" s="1"/>
  <c r="G124" i="20"/>
  <c r="J126" i="22"/>
  <c r="J123" i="13" l="1"/>
  <c r="B129" i="41"/>
  <c r="F132" i="39"/>
  <c r="H132" i="39" s="1"/>
  <c r="B132" i="39"/>
  <c r="J125" i="40"/>
  <c r="E129" i="41"/>
  <c r="F129" i="41" s="1"/>
  <c r="B126" i="40"/>
  <c r="F126" i="40"/>
  <c r="H126" i="40" s="1"/>
  <c r="D131" i="18"/>
  <c r="B131" i="18" s="1"/>
  <c r="G124" i="13"/>
  <c r="D125" i="13"/>
  <c r="B125" i="13" s="1"/>
  <c r="I63" i="20"/>
  <c r="I127" i="26"/>
  <c r="H127" i="26"/>
  <c r="I43" i="13"/>
  <c r="E65" i="20"/>
  <c r="F65" i="20" s="1"/>
  <c r="B65" i="20"/>
  <c r="G64" i="20"/>
  <c r="H64" i="20"/>
  <c r="B128" i="26"/>
  <c r="E128" i="26"/>
  <c r="F128" i="26" s="1"/>
  <c r="B44" i="13"/>
  <c r="F44" i="13"/>
  <c r="G44" i="13" s="1"/>
  <c r="H130" i="18"/>
  <c r="I130" i="18"/>
  <c r="J129" i="18"/>
  <c r="J127" i="21"/>
  <c r="H131" i="4"/>
  <c r="I131" i="4"/>
  <c r="E132" i="4"/>
  <c r="F132" i="4" s="1"/>
  <c r="B132" i="4"/>
  <c r="I126" i="25"/>
  <c r="H126" i="25"/>
  <c r="B127" i="25"/>
  <c r="F127" i="25"/>
  <c r="I124" i="35"/>
  <c r="H124" i="35"/>
  <c r="B129" i="28"/>
  <c r="E125" i="35"/>
  <c r="F125" i="35" s="1"/>
  <c r="B125" i="35"/>
  <c r="E124" i="37"/>
  <c r="F124" i="37" s="1"/>
  <c r="B124" i="37"/>
  <c r="E125" i="31"/>
  <c r="F125" i="31" s="1"/>
  <c r="B125" i="31"/>
  <c r="J123" i="38"/>
  <c r="H123" i="37"/>
  <c r="I123" i="37"/>
  <c r="I124" i="31"/>
  <c r="H124" i="31"/>
  <c r="J127" i="27"/>
  <c r="I129" i="29"/>
  <c r="H129" i="29"/>
  <c r="G128" i="21"/>
  <c r="D129" i="21"/>
  <c r="E129" i="21" s="1"/>
  <c r="G124" i="34"/>
  <c r="D125" i="34"/>
  <c r="E125" i="34" s="1"/>
  <c r="B131" i="19"/>
  <c r="H130" i="19"/>
  <c r="I130" i="19"/>
  <c r="J127" i="24"/>
  <c r="E131" i="19"/>
  <c r="F131" i="19" s="1"/>
  <c r="D125" i="38"/>
  <c r="E125" i="38" s="1"/>
  <c r="G124" i="38"/>
  <c r="J123" i="34"/>
  <c r="D129" i="24"/>
  <c r="E129" i="24" s="1"/>
  <c r="G128" i="24"/>
  <c r="G128" i="27"/>
  <c r="D129" i="27"/>
  <c r="E129" i="27" s="1"/>
  <c r="E130" i="29"/>
  <c r="F130" i="29" s="1"/>
  <c r="B128" i="22"/>
  <c r="F133" i="23"/>
  <c r="H124" i="20"/>
  <c r="I124" i="20"/>
  <c r="H132" i="23"/>
  <c r="I132" i="23"/>
  <c r="B132" i="3"/>
  <c r="I127" i="22"/>
  <c r="H127" i="22"/>
  <c r="E128" i="22"/>
  <c r="F128" i="22" s="1"/>
  <c r="H131" i="3"/>
  <c r="I131" i="3"/>
  <c r="F125" i="20"/>
  <c r="B125" i="20"/>
  <c r="E132" i="3"/>
  <c r="F132" i="3" s="1"/>
  <c r="E131" i="18" l="1"/>
  <c r="F131" i="18" s="1"/>
  <c r="G131" i="18" s="1"/>
  <c r="G129" i="41"/>
  <c r="I129" i="41" s="1"/>
  <c r="D130" i="41"/>
  <c r="E130" i="41"/>
  <c r="F130" i="41" s="1"/>
  <c r="H129" i="41"/>
  <c r="G126" i="40"/>
  <c r="I126" i="40" s="1"/>
  <c r="J126" i="40" s="1"/>
  <c r="D127" i="40"/>
  <c r="D133" i="39"/>
  <c r="G132" i="39"/>
  <c r="I132" i="39" s="1"/>
  <c r="E125" i="13"/>
  <c r="F125" i="13" s="1"/>
  <c r="D126" i="13" s="1"/>
  <c r="E126" i="13" s="1"/>
  <c r="J131" i="3"/>
  <c r="H124" i="13"/>
  <c r="I124" i="13"/>
  <c r="J127" i="26"/>
  <c r="J132" i="23"/>
  <c r="H44" i="13"/>
  <c r="I44" i="13" s="1"/>
  <c r="I64" i="20"/>
  <c r="J130" i="18"/>
  <c r="G65" i="20"/>
  <c r="E66" i="20"/>
  <c r="F66" i="20" s="1"/>
  <c r="B66" i="20"/>
  <c r="H65" i="20"/>
  <c r="D129" i="26"/>
  <c r="G128" i="26"/>
  <c r="J123" i="37"/>
  <c r="D45" i="13"/>
  <c r="E45" i="13" s="1"/>
  <c r="D133" i="4"/>
  <c r="G132" i="4"/>
  <c r="J130" i="19"/>
  <c r="J131" i="4"/>
  <c r="J124" i="31"/>
  <c r="G124" i="37"/>
  <c r="D125" i="37"/>
  <c r="J124" i="35"/>
  <c r="J128" i="28"/>
  <c r="G127" i="25"/>
  <c r="D128" i="25"/>
  <c r="B128" i="25" s="1"/>
  <c r="D126" i="35"/>
  <c r="E126" i="35" s="1"/>
  <c r="G125" i="35"/>
  <c r="G125" i="31"/>
  <c r="D126" i="31"/>
  <c r="J126" i="25"/>
  <c r="J124" i="20"/>
  <c r="D131" i="29"/>
  <c r="E131" i="29" s="1"/>
  <c r="G130" i="29"/>
  <c r="J129" i="29"/>
  <c r="F129" i="27"/>
  <c r="B129" i="27"/>
  <c r="H128" i="27"/>
  <c r="I128" i="27"/>
  <c r="I128" i="24"/>
  <c r="H128" i="24"/>
  <c r="H124" i="38"/>
  <c r="I124" i="38"/>
  <c r="I124" i="34"/>
  <c r="H124" i="34"/>
  <c r="B129" i="24"/>
  <c r="F129" i="24"/>
  <c r="B125" i="38"/>
  <c r="F125" i="38"/>
  <c r="B129" i="21"/>
  <c r="F129" i="21"/>
  <c r="D132" i="19"/>
  <c r="E132" i="19" s="1"/>
  <c r="G131" i="19"/>
  <c r="B125" i="34"/>
  <c r="F125" i="34"/>
  <c r="I128" i="21"/>
  <c r="H128" i="21"/>
  <c r="G128" i="22"/>
  <c r="D129" i="22"/>
  <c r="E129" i="22" s="1"/>
  <c r="D134" i="23"/>
  <c r="G133" i="23"/>
  <c r="J127" i="22"/>
  <c r="G125" i="20"/>
  <c r="D126" i="20"/>
  <c r="D133" i="3"/>
  <c r="E133" i="3" s="1"/>
  <c r="G132" i="3"/>
  <c r="E133" i="39" l="1"/>
  <c r="F133" i="39" s="1"/>
  <c r="H133" i="39" s="1"/>
  <c r="B133" i="39"/>
  <c r="D131" i="41"/>
  <c r="G130" i="41"/>
  <c r="I130" i="41" s="1"/>
  <c r="E127" i="40"/>
  <c r="F127" i="40" s="1"/>
  <c r="B127" i="40"/>
  <c r="H130" i="41"/>
  <c r="B130" i="41"/>
  <c r="J129" i="41"/>
  <c r="B126" i="13"/>
  <c r="F126" i="13"/>
  <c r="G126" i="13" s="1"/>
  <c r="G125" i="13"/>
  <c r="H125" i="13" s="1"/>
  <c r="D132" i="18"/>
  <c r="E132" i="18" s="1"/>
  <c r="J124" i="13"/>
  <c r="J128" i="27"/>
  <c r="I65" i="20"/>
  <c r="H128" i="26"/>
  <c r="I128" i="26"/>
  <c r="E129" i="26"/>
  <c r="F129" i="26" s="1"/>
  <c r="B129" i="26"/>
  <c r="F45" i="13"/>
  <c r="H45" i="13" s="1"/>
  <c r="B45" i="13"/>
  <c r="G66" i="20"/>
  <c r="B67" i="20"/>
  <c r="E67" i="20"/>
  <c r="F67" i="20" s="1"/>
  <c r="H66" i="20"/>
  <c r="E128" i="25"/>
  <c r="F128" i="25" s="1"/>
  <c r="G128" i="25" s="1"/>
  <c r="B133" i="4"/>
  <c r="E133" i="4"/>
  <c r="F133" i="4" s="1"/>
  <c r="H132" i="4"/>
  <c r="I132" i="4"/>
  <c r="H131" i="18"/>
  <c r="I131" i="18"/>
  <c r="I127" i="25"/>
  <c r="H127" i="25"/>
  <c r="E126" i="31"/>
  <c r="F126" i="31" s="1"/>
  <c r="B126" i="31"/>
  <c r="H125" i="31"/>
  <c r="I125" i="31"/>
  <c r="H125" i="35"/>
  <c r="I125" i="35"/>
  <c r="B130" i="28"/>
  <c r="B126" i="35"/>
  <c r="F126" i="35"/>
  <c r="B125" i="37"/>
  <c r="E125" i="37"/>
  <c r="F125" i="37" s="1"/>
  <c r="I124" i="37"/>
  <c r="H124" i="37"/>
  <c r="J124" i="34"/>
  <c r="J124" i="38"/>
  <c r="J128" i="21"/>
  <c r="D130" i="21"/>
  <c r="E130" i="21" s="1"/>
  <c r="G129" i="21"/>
  <c r="I131" i="19"/>
  <c r="H131" i="19"/>
  <c r="G125" i="38"/>
  <c r="D126" i="38"/>
  <c r="E126" i="38" s="1"/>
  <c r="D130" i="24"/>
  <c r="E130" i="24" s="1"/>
  <c r="G129" i="24"/>
  <c r="G129" i="27"/>
  <c r="D130" i="27"/>
  <c r="E130" i="27" s="1"/>
  <c r="F132" i="19"/>
  <c r="B132" i="19"/>
  <c r="H130" i="29"/>
  <c r="I130" i="29"/>
  <c r="G125" i="34"/>
  <c r="D126" i="34"/>
  <c r="E126" i="34" s="1"/>
  <c r="J128" i="24"/>
  <c r="F131" i="29"/>
  <c r="B129" i="22"/>
  <c r="F129" i="22"/>
  <c r="H125" i="20"/>
  <c r="I125" i="20"/>
  <c r="I128" i="22"/>
  <c r="H128" i="22"/>
  <c r="B126" i="20"/>
  <c r="E134" i="23"/>
  <c r="F134" i="23" s="1"/>
  <c r="I132" i="3"/>
  <c r="H132" i="3"/>
  <c r="E126" i="20"/>
  <c r="F126" i="20" s="1"/>
  <c r="F133" i="3"/>
  <c r="B133" i="3"/>
  <c r="H133" i="23"/>
  <c r="I133" i="23"/>
  <c r="D127" i="13" l="1"/>
  <c r="E127" i="13" s="1"/>
  <c r="D128" i="40"/>
  <c r="E128" i="40" s="1"/>
  <c r="G127" i="40"/>
  <c r="I127" i="40" s="1"/>
  <c r="H127" i="40"/>
  <c r="B131" i="41"/>
  <c r="E131" i="41"/>
  <c r="F131" i="41" s="1"/>
  <c r="J130" i="41"/>
  <c r="G133" i="39"/>
  <c r="I133" i="39" s="1"/>
  <c r="D134" i="39"/>
  <c r="E134" i="39" s="1"/>
  <c r="I125" i="13"/>
  <c r="J125" i="13" s="1"/>
  <c r="B132" i="18"/>
  <c r="D129" i="25"/>
  <c r="B129" i="25" s="1"/>
  <c r="F132" i="18"/>
  <c r="G132" i="18" s="1"/>
  <c r="J132" i="4"/>
  <c r="G45" i="13"/>
  <c r="I45" i="13" s="1"/>
  <c r="I66" i="20"/>
  <c r="J131" i="19"/>
  <c r="G67" i="20"/>
  <c r="B68" i="20"/>
  <c r="H67" i="20"/>
  <c r="E68" i="20"/>
  <c r="F68" i="20" s="1"/>
  <c r="J128" i="26"/>
  <c r="J131" i="18"/>
  <c r="D130" i="26"/>
  <c r="G129" i="26"/>
  <c r="D46" i="13"/>
  <c r="E46" i="13" s="1"/>
  <c r="J125" i="31"/>
  <c r="D134" i="4"/>
  <c r="G133" i="4"/>
  <c r="J133" i="23"/>
  <c r="D126" i="37"/>
  <c r="E126" i="37" s="1"/>
  <c r="G125" i="37"/>
  <c r="J130" i="29"/>
  <c r="G126" i="35"/>
  <c r="D127" i="35"/>
  <c r="J125" i="20"/>
  <c r="J124" i="37"/>
  <c r="G126" i="31"/>
  <c r="D127" i="31"/>
  <c r="H128" i="25"/>
  <c r="I128" i="25"/>
  <c r="J129" i="28"/>
  <c r="J125" i="35"/>
  <c r="J127" i="25"/>
  <c r="F130" i="27"/>
  <c r="B130" i="27"/>
  <c r="I129" i="27"/>
  <c r="H129" i="27"/>
  <c r="B126" i="34"/>
  <c r="F126" i="34"/>
  <c r="H125" i="38"/>
  <c r="I125" i="38"/>
  <c r="D132" i="29"/>
  <c r="G131" i="29"/>
  <c r="H125" i="34"/>
  <c r="I125" i="34"/>
  <c r="I129" i="24"/>
  <c r="H129" i="24"/>
  <c r="J128" i="22"/>
  <c r="D133" i="19"/>
  <c r="E133" i="19" s="1"/>
  <c r="G132" i="19"/>
  <c r="B130" i="24"/>
  <c r="F130" i="24"/>
  <c r="H129" i="21"/>
  <c r="I129" i="21"/>
  <c r="B127" i="13"/>
  <c r="F127" i="13"/>
  <c r="F130" i="21"/>
  <c r="B130" i="21"/>
  <c r="H126" i="13"/>
  <c r="I126" i="13"/>
  <c r="B126" i="38"/>
  <c r="F126" i="38"/>
  <c r="G126" i="20"/>
  <c r="D127" i="20"/>
  <c r="E127" i="20" s="1"/>
  <c r="D135" i="23"/>
  <c r="E135" i="23" s="1"/>
  <c r="G134" i="23"/>
  <c r="G133" i="3"/>
  <c r="D134" i="3"/>
  <c r="D130" i="22"/>
  <c r="G129" i="22"/>
  <c r="J132" i="3"/>
  <c r="E129" i="25" l="1"/>
  <c r="F129" i="25" s="1"/>
  <c r="D130" i="25" s="1"/>
  <c r="D132" i="41"/>
  <c r="G131" i="41"/>
  <c r="I131" i="41" s="1"/>
  <c r="E132" i="41"/>
  <c r="F132" i="41" s="1"/>
  <c r="H131" i="41"/>
  <c r="F134" i="39"/>
  <c r="B134" i="39"/>
  <c r="J127" i="40"/>
  <c r="F128" i="40"/>
  <c r="H128" i="40" s="1"/>
  <c r="B128" i="40"/>
  <c r="D133" i="18"/>
  <c r="B133" i="18" s="1"/>
  <c r="J125" i="34"/>
  <c r="H129" i="26"/>
  <c r="I129" i="26"/>
  <c r="E130" i="26"/>
  <c r="F130" i="26" s="1"/>
  <c r="B130" i="26"/>
  <c r="F46" i="13"/>
  <c r="B46" i="13"/>
  <c r="E69" i="20"/>
  <c r="F69" i="20" s="1"/>
  <c r="G68" i="20"/>
  <c r="H68" i="20"/>
  <c r="B69" i="20"/>
  <c r="J125" i="38"/>
  <c r="I67" i="20"/>
  <c r="E134" i="4"/>
  <c r="F134" i="4" s="1"/>
  <c r="B134" i="4"/>
  <c r="H132" i="18"/>
  <c r="I132" i="18"/>
  <c r="I133" i="4"/>
  <c r="H133" i="4"/>
  <c r="E127" i="31"/>
  <c r="F127" i="31" s="1"/>
  <c r="B127" i="31"/>
  <c r="H126" i="35"/>
  <c r="I126" i="35"/>
  <c r="H126" i="31"/>
  <c r="I126" i="31"/>
  <c r="I125" i="37"/>
  <c r="H125" i="37"/>
  <c r="F126" i="37"/>
  <c r="B126" i="37"/>
  <c r="J128" i="25"/>
  <c r="E127" i="35"/>
  <c r="F127" i="35" s="1"/>
  <c r="B127" i="35"/>
  <c r="B131" i="28"/>
  <c r="J129" i="24"/>
  <c r="J129" i="27"/>
  <c r="G127" i="13"/>
  <c r="D128" i="13"/>
  <c r="E128" i="13" s="1"/>
  <c r="I132" i="19"/>
  <c r="H132" i="19"/>
  <c r="B133" i="19"/>
  <c r="F133" i="19"/>
  <c r="D127" i="34"/>
  <c r="G126" i="34"/>
  <c r="D131" i="21"/>
  <c r="G130" i="21"/>
  <c r="J129" i="21"/>
  <c r="D127" i="38"/>
  <c r="E127" i="38" s="1"/>
  <c r="G126" i="38"/>
  <c r="E132" i="29"/>
  <c r="F132" i="29" s="1"/>
  <c r="J126" i="13"/>
  <c r="D131" i="24"/>
  <c r="E131" i="24" s="1"/>
  <c r="G130" i="24"/>
  <c r="I131" i="29"/>
  <c r="H131" i="29"/>
  <c r="G130" i="27"/>
  <c r="D131" i="27"/>
  <c r="H133" i="3"/>
  <c r="I133" i="3"/>
  <c r="B134" i="3"/>
  <c r="I134" i="23"/>
  <c r="H134" i="23"/>
  <c r="F135" i="23"/>
  <c r="B130" i="22"/>
  <c r="I129" i="22"/>
  <c r="H129" i="22"/>
  <c r="F127" i="20"/>
  <c r="B127" i="20"/>
  <c r="E130" i="22"/>
  <c r="F130" i="22" s="1"/>
  <c r="E134" i="3"/>
  <c r="F134" i="3" s="1"/>
  <c r="H126" i="20"/>
  <c r="I126" i="20"/>
  <c r="G129" i="25" l="1"/>
  <c r="I129" i="25" s="1"/>
  <c r="E133" i="18"/>
  <c r="F133" i="18" s="1"/>
  <c r="D134" i="18" s="1"/>
  <c r="G132" i="41"/>
  <c r="I132" i="41" s="1"/>
  <c r="D133" i="41"/>
  <c r="E133" i="41" s="1"/>
  <c r="G134" i="39"/>
  <c r="I134" i="39" s="1"/>
  <c r="D135" i="39"/>
  <c r="E135" i="39" s="1"/>
  <c r="F135" i="39" s="1"/>
  <c r="J131" i="41"/>
  <c r="J156" i="41" s="1"/>
  <c r="D129" i="40"/>
  <c r="G128" i="40"/>
  <c r="I128" i="40" s="1"/>
  <c r="J128" i="40" s="1"/>
  <c r="H134" i="39"/>
  <c r="H132" i="41"/>
  <c r="B132" i="41"/>
  <c r="J126" i="35"/>
  <c r="J126" i="31"/>
  <c r="I68" i="20"/>
  <c r="J132" i="18"/>
  <c r="G130" i="26"/>
  <c r="D131" i="26"/>
  <c r="J133" i="3"/>
  <c r="G69" i="20"/>
  <c r="H69" i="20"/>
  <c r="B70" i="20"/>
  <c r="E70" i="20"/>
  <c r="F70" i="20" s="1"/>
  <c r="D47" i="13"/>
  <c r="E47" i="13" s="1"/>
  <c r="J132" i="19"/>
  <c r="G46" i="13"/>
  <c r="H46" i="13"/>
  <c r="J129" i="26"/>
  <c r="G134" i="4"/>
  <c r="D135" i="4"/>
  <c r="J130" i="28"/>
  <c r="J133" i="4"/>
  <c r="D128" i="35"/>
  <c r="B128" i="35" s="1"/>
  <c r="G127" i="35"/>
  <c r="E130" i="25"/>
  <c r="F130" i="25" s="1"/>
  <c r="B130" i="25"/>
  <c r="G126" i="37"/>
  <c r="D127" i="37"/>
  <c r="J125" i="37"/>
  <c r="D128" i="31"/>
  <c r="G127" i="31"/>
  <c r="G132" i="29"/>
  <c r="D133" i="29"/>
  <c r="E133" i="29" s="1"/>
  <c r="B127" i="34"/>
  <c r="I127" i="13"/>
  <c r="H127" i="13"/>
  <c r="H126" i="34"/>
  <c r="I126" i="34"/>
  <c r="F131" i="24"/>
  <c r="B131" i="24"/>
  <c r="D134" i="19"/>
  <c r="E134" i="19" s="1"/>
  <c r="G133" i="19"/>
  <c r="H130" i="24"/>
  <c r="I130" i="24"/>
  <c r="F127" i="38"/>
  <c r="B127" i="38"/>
  <c r="B131" i="21"/>
  <c r="B128" i="13"/>
  <c r="F128" i="13"/>
  <c r="B131" i="27"/>
  <c r="J131" i="29"/>
  <c r="J156" i="29" s="1"/>
  <c r="E131" i="21"/>
  <c r="F131" i="21" s="1"/>
  <c r="E131" i="27"/>
  <c r="F131" i="27" s="1"/>
  <c r="H126" i="38"/>
  <c r="I126" i="38"/>
  <c r="H130" i="27"/>
  <c r="I130" i="27"/>
  <c r="I130" i="21"/>
  <c r="H130" i="21"/>
  <c r="E127" i="34"/>
  <c r="F127" i="34" s="1"/>
  <c r="G130" i="22"/>
  <c r="D131" i="22"/>
  <c r="D135" i="3"/>
  <c r="E135" i="3" s="1"/>
  <c r="G134" i="3"/>
  <c r="D136" i="23"/>
  <c r="E136" i="23" s="1"/>
  <c r="G135" i="23"/>
  <c r="J134" i="23"/>
  <c r="J129" i="22"/>
  <c r="G127" i="20"/>
  <c r="D128" i="20"/>
  <c r="J126" i="20"/>
  <c r="H129" i="25" l="1"/>
  <c r="G133" i="18"/>
  <c r="H133" i="18" s="1"/>
  <c r="B129" i="40"/>
  <c r="E129" i="40"/>
  <c r="F129" i="40" s="1"/>
  <c r="D136" i="39"/>
  <c r="E136" i="39" s="1"/>
  <c r="F136" i="39" s="1"/>
  <c r="G135" i="39"/>
  <c r="I135" i="39" s="1"/>
  <c r="F133" i="41"/>
  <c r="B133" i="41"/>
  <c r="B135" i="39"/>
  <c r="H135" i="39"/>
  <c r="J126" i="38"/>
  <c r="I69" i="20"/>
  <c r="I46" i="13"/>
  <c r="F47" i="13"/>
  <c r="G47" i="13" s="1"/>
  <c r="B47" i="13"/>
  <c r="E131" i="26"/>
  <c r="F131" i="26" s="1"/>
  <c r="B131" i="26"/>
  <c r="B71" i="20"/>
  <c r="H70" i="20"/>
  <c r="G70" i="20"/>
  <c r="E71" i="20"/>
  <c r="F71" i="20" s="1"/>
  <c r="H130" i="26"/>
  <c r="I130" i="26"/>
  <c r="E135" i="4"/>
  <c r="F135" i="4" s="1"/>
  <c r="B135" i="4"/>
  <c r="I134" i="4"/>
  <c r="H134" i="4"/>
  <c r="I133" i="18"/>
  <c r="E128" i="35"/>
  <c r="F128" i="35" s="1"/>
  <c r="E134" i="18"/>
  <c r="F134" i="18" s="1"/>
  <c r="B134" i="18"/>
  <c r="B128" i="31"/>
  <c r="D131" i="25"/>
  <c r="E131" i="25" s="1"/>
  <c r="G130" i="25"/>
  <c r="J126" i="34"/>
  <c r="B127" i="37"/>
  <c r="E127" i="37"/>
  <c r="F127" i="37" s="1"/>
  <c r="H126" i="37"/>
  <c r="I126" i="37"/>
  <c r="J129" i="25"/>
  <c r="B132" i="28"/>
  <c r="I127" i="31"/>
  <c r="H127" i="31"/>
  <c r="I127" i="35"/>
  <c r="H127" i="35"/>
  <c r="E128" i="31"/>
  <c r="F128" i="31" s="1"/>
  <c r="J130" i="27"/>
  <c r="D128" i="34"/>
  <c r="E128" i="34" s="1"/>
  <c r="G127" i="34"/>
  <c r="D132" i="27"/>
  <c r="E132" i="27" s="1"/>
  <c r="G131" i="27"/>
  <c r="G131" i="21"/>
  <c r="D132" i="21"/>
  <c r="I133" i="19"/>
  <c r="H133" i="19"/>
  <c r="J130" i="21"/>
  <c r="G131" i="24"/>
  <c r="D132" i="24"/>
  <c r="E132" i="24" s="1"/>
  <c r="B134" i="19"/>
  <c r="F134" i="19"/>
  <c r="F133" i="29"/>
  <c r="J127" i="13"/>
  <c r="H132" i="29"/>
  <c r="I132" i="29"/>
  <c r="G127" i="38"/>
  <c r="D128" i="38"/>
  <c r="D129" i="13"/>
  <c r="G128" i="13"/>
  <c r="J130" i="24"/>
  <c r="B135" i="3"/>
  <c r="F135" i="3"/>
  <c r="F136" i="23"/>
  <c r="I134" i="3"/>
  <c r="H134" i="3"/>
  <c r="B128" i="20"/>
  <c r="B131" i="22"/>
  <c r="I127" i="20"/>
  <c r="H127" i="20"/>
  <c r="E131" i="22"/>
  <c r="F131" i="22" s="1"/>
  <c r="E128" i="20"/>
  <c r="F128" i="20" s="1"/>
  <c r="H135" i="23"/>
  <c r="I135" i="23"/>
  <c r="I130" i="22"/>
  <c r="H130" i="22"/>
  <c r="G129" i="40" l="1"/>
  <c r="I129" i="40" s="1"/>
  <c r="D130" i="40"/>
  <c r="H129" i="40"/>
  <c r="G136" i="39"/>
  <c r="I136" i="39" s="1"/>
  <c r="D137" i="39"/>
  <c r="D134" i="41"/>
  <c r="G133" i="41"/>
  <c r="I133" i="41" s="1"/>
  <c r="E134" i="41"/>
  <c r="F134" i="41" s="1"/>
  <c r="H133" i="41"/>
  <c r="B136" i="39"/>
  <c r="H136" i="39"/>
  <c r="H47" i="13"/>
  <c r="I47" i="13" s="1"/>
  <c r="J130" i="26"/>
  <c r="J131" i="28"/>
  <c r="G131" i="26"/>
  <c r="D132" i="26"/>
  <c r="B132" i="26" s="1"/>
  <c r="J133" i="18"/>
  <c r="G71" i="20"/>
  <c r="B72" i="20"/>
  <c r="E72" i="20"/>
  <c r="F72" i="20" s="1"/>
  <c r="H71" i="20"/>
  <c r="D48" i="13"/>
  <c r="E48" i="13" s="1"/>
  <c r="J134" i="4"/>
  <c r="I70" i="20"/>
  <c r="D129" i="35"/>
  <c r="G128" i="35"/>
  <c r="J126" i="37"/>
  <c r="D135" i="18"/>
  <c r="G134" i="18"/>
  <c r="G135" i="4"/>
  <c r="D136" i="4"/>
  <c r="D129" i="31"/>
  <c r="G128" i="31"/>
  <c r="G127" i="37"/>
  <c r="D128" i="37"/>
  <c r="B128" i="37" s="1"/>
  <c r="J127" i="31"/>
  <c r="H130" i="25"/>
  <c r="I130" i="25"/>
  <c r="F131" i="25"/>
  <c r="B131" i="25"/>
  <c r="J127" i="35"/>
  <c r="J127" i="20"/>
  <c r="H131" i="21"/>
  <c r="I131" i="21"/>
  <c r="B129" i="13"/>
  <c r="B128" i="38"/>
  <c r="D134" i="29"/>
  <c r="E134" i="29" s="1"/>
  <c r="G133" i="29"/>
  <c r="E128" i="38"/>
  <c r="F128" i="38" s="1"/>
  <c r="G134" i="19"/>
  <c r="D135" i="19"/>
  <c r="H131" i="27"/>
  <c r="I131" i="27"/>
  <c r="B132" i="21"/>
  <c r="J130" i="22"/>
  <c r="J134" i="3"/>
  <c r="H127" i="38"/>
  <c r="I127" i="38"/>
  <c r="J133" i="19"/>
  <c r="F132" i="27"/>
  <c r="B132" i="27"/>
  <c r="I128" i="13"/>
  <c r="H128" i="13"/>
  <c r="B132" i="24"/>
  <c r="F132" i="24"/>
  <c r="I127" i="34"/>
  <c r="H127" i="34"/>
  <c r="E129" i="13"/>
  <c r="F129" i="13" s="1"/>
  <c r="H131" i="24"/>
  <c r="I131" i="24"/>
  <c r="E132" i="21"/>
  <c r="F132" i="21" s="1"/>
  <c r="F128" i="34"/>
  <c r="B128" i="34"/>
  <c r="G131" i="22"/>
  <c r="D132" i="22"/>
  <c r="G128" i="20"/>
  <c r="D129" i="20"/>
  <c r="J135" i="23"/>
  <c r="D137" i="23"/>
  <c r="G136" i="23"/>
  <c r="D136" i="3"/>
  <c r="G135" i="3"/>
  <c r="B134" i="41" l="1"/>
  <c r="H134" i="41"/>
  <c r="E130" i="40"/>
  <c r="F130" i="40"/>
  <c r="B130" i="40"/>
  <c r="G134" i="41"/>
  <c r="I134" i="41" s="1"/>
  <c r="D135" i="41"/>
  <c r="E137" i="39"/>
  <c r="F137" i="39" s="1"/>
  <c r="H137" i="39" s="1"/>
  <c r="B137" i="39"/>
  <c r="J129" i="40"/>
  <c r="E132" i="26"/>
  <c r="F132" i="26" s="1"/>
  <c r="F48" i="13"/>
  <c r="B48" i="13"/>
  <c r="I71" i="20"/>
  <c r="G72" i="20"/>
  <c r="E73" i="20"/>
  <c r="B73" i="20"/>
  <c r="H72" i="20"/>
  <c r="I131" i="26"/>
  <c r="H131" i="26"/>
  <c r="E136" i="4"/>
  <c r="F136" i="4" s="1"/>
  <c r="B136" i="4"/>
  <c r="I135" i="4"/>
  <c r="H135" i="4"/>
  <c r="J131" i="27"/>
  <c r="H134" i="18"/>
  <c r="I134" i="18"/>
  <c r="E135" i="18"/>
  <c r="F135" i="18" s="1"/>
  <c r="B135" i="18"/>
  <c r="I128" i="35"/>
  <c r="H128" i="35"/>
  <c r="E129" i="35"/>
  <c r="F129" i="35" s="1"/>
  <c r="B129" i="35"/>
  <c r="I127" i="37"/>
  <c r="H127" i="37"/>
  <c r="I128" i="31"/>
  <c r="H128" i="31"/>
  <c r="D132" i="25"/>
  <c r="G131" i="25"/>
  <c r="E129" i="31"/>
  <c r="F129" i="31" s="1"/>
  <c r="B129" i="31"/>
  <c r="E128" i="37"/>
  <c r="F128" i="37" s="1"/>
  <c r="J130" i="25"/>
  <c r="J131" i="21"/>
  <c r="B133" i="28"/>
  <c r="J128" i="13"/>
  <c r="J131" i="24"/>
  <c r="D129" i="38"/>
  <c r="G128" i="38"/>
  <c r="D133" i="21"/>
  <c r="E133" i="21" s="1"/>
  <c r="G132" i="21"/>
  <c r="J127" i="34"/>
  <c r="H134" i="19"/>
  <c r="I134" i="19"/>
  <c r="D130" i="13"/>
  <c r="E130" i="13" s="1"/>
  <c r="G129" i="13"/>
  <c r="B135" i="19"/>
  <c r="D133" i="24"/>
  <c r="E133" i="24" s="1"/>
  <c r="G132" i="24"/>
  <c r="G132" i="27"/>
  <c r="D133" i="27"/>
  <c r="E133" i="27" s="1"/>
  <c r="G128" i="34"/>
  <c r="D129" i="34"/>
  <c r="E129" i="34" s="1"/>
  <c r="H133" i="29"/>
  <c r="I133" i="29"/>
  <c r="J127" i="38"/>
  <c r="E135" i="19"/>
  <c r="F135" i="19" s="1"/>
  <c r="F134" i="29"/>
  <c r="B136" i="3"/>
  <c r="B129" i="20"/>
  <c r="E129" i="20"/>
  <c r="F129" i="20" s="1"/>
  <c r="H128" i="20"/>
  <c r="I128" i="20"/>
  <c r="B132" i="22"/>
  <c r="I135" i="3"/>
  <c r="H135" i="3"/>
  <c r="H136" i="23"/>
  <c r="I136" i="23"/>
  <c r="H131" i="22"/>
  <c r="I131" i="22"/>
  <c r="E136" i="3"/>
  <c r="F136" i="3" s="1"/>
  <c r="E137" i="23"/>
  <c r="F137" i="23" s="1"/>
  <c r="E132" i="22"/>
  <c r="F132" i="22" s="1"/>
  <c r="D131" i="40" l="1"/>
  <c r="G130" i="40"/>
  <c r="I130" i="40" s="1"/>
  <c r="B135" i="41"/>
  <c r="G137" i="39"/>
  <c r="I137" i="39" s="1"/>
  <c r="D138" i="39"/>
  <c r="H130" i="40"/>
  <c r="E135" i="41"/>
  <c r="F135" i="41" s="1"/>
  <c r="G132" i="26"/>
  <c r="D133" i="26"/>
  <c r="B133" i="26" s="1"/>
  <c r="I72" i="20"/>
  <c r="D49" i="13"/>
  <c r="J132" i="28"/>
  <c r="F73" i="20"/>
  <c r="E74" i="20"/>
  <c r="J134" i="18"/>
  <c r="G48" i="13"/>
  <c r="J131" i="26"/>
  <c r="H48" i="13"/>
  <c r="D136" i="18"/>
  <c r="B136" i="18" s="1"/>
  <c r="G135" i="18"/>
  <c r="G136" i="4"/>
  <c r="D137" i="4"/>
  <c r="J128" i="35"/>
  <c r="J135" i="4"/>
  <c r="G129" i="35"/>
  <c r="D130" i="35"/>
  <c r="J136" i="23"/>
  <c r="G129" i="31"/>
  <c r="D130" i="31"/>
  <c r="H131" i="25"/>
  <c r="I131" i="25"/>
  <c r="E132" i="25"/>
  <c r="F132" i="25" s="1"/>
  <c r="B132" i="25"/>
  <c r="J128" i="31"/>
  <c r="G128" i="37"/>
  <c r="D129" i="37"/>
  <c r="J127" i="37"/>
  <c r="G135" i="19"/>
  <c r="D136" i="19"/>
  <c r="J128" i="20"/>
  <c r="F129" i="34"/>
  <c r="B129" i="34"/>
  <c r="I128" i="34"/>
  <c r="H128" i="34"/>
  <c r="I132" i="21"/>
  <c r="H132" i="21"/>
  <c r="F133" i="27"/>
  <c r="B133" i="27"/>
  <c r="I132" i="24"/>
  <c r="H132" i="24"/>
  <c r="I129" i="13"/>
  <c r="H129" i="13"/>
  <c r="B133" i="21"/>
  <c r="F133" i="21"/>
  <c r="H132" i="27"/>
  <c r="I132" i="27"/>
  <c r="B133" i="24"/>
  <c r="F133" i="24"/>
  <c r="B130" i="13"/>
  <c r="F130" i="13"/>
  <c r="J134" i="19"/>
  <c r="H128" i="38"/>
  <c r="I128" i="38"/>
  <c r="B129" i="38"/>
  <c r="G134" i="29"/>
  <c r="D135" i="29"/>
  <c r="E135" i="29" s="1"/>
  <c r="E129" i="38"/>
  <c r="F129" i="38" s="1"/>
  <c r="G132" i="22"/>
  <c r="D133" i="22"/>
  <c r="E133" i="22" s="1"/>
  <c r="G137" i="23"/>
  <c r="D138" i="23"/>
  <c r="E138" i="23" s="1"/>
  <c r="G129" i="20"/>
  <c r="D130" i="20"/>
  <c r="E130" i="20" s="1"/>
  <c r="G136" i="3"/>
  <c r="D137" i="3"/>
  <c r="E137" i="3" s="1"/>
  <c r="J135" i="3"/>
  <c r="J131" i="22"/>
  <c r="G135" i="41" l="1"/>
  <c r="I135" i="41" s="1"/>
  <c r="D136" i="41"/>
  <c r="E136" i="41" s="1"/>
  <c r="F136" i="41" s="1"/>
  <c r="H135" i="41"/>
  <c r="E138" i="39"/>
  <c r="F138" i="39" s="1"/>
  <c r="B138" i="39"/>
  <c r="J130" i="40"/>
  <c r="E131" i="40"/>
  <c r="F131" i="40" s="1"/>
  <c r="B131" i="40"/>
  <c r="E133" i="26"/>
  <c r="F133" i="26" s="1"/>
  <c r="H132" i="26"/>
  <c r="I132" i="26"/>
  <c r="I48" i="13"/>
  <c r="H73" i="20"/>
  <c r="G73" i="20"/>
  <c r="G74" i="20" s="1"/>
  <c r="B49" i="13"/>
  <c r="E49" i="13"/>
  <c r="F49" i="13" s="1"/>
  <c r="J132" i="27"/>
  <c r="E137" i="4"/>
  <c r="F137" i="4" s="1"/>
  <c r="B137" i="4"/>
  <c r="I136" i="4"/>
  <c r="H136" i="4"/>
  <c r="E136" i="18"/>
  <c r="F136" i="18" s="1"/>
  <c r="H135" i="18"/>
  <c r="I135" i="18"/>
  <c r="H129" i="35"/>
  <c r="I129" i="35"/>
  <c r="J131" i="25"/>
  <c r="J156" i="25" s="1"/>
  <c r="E130" i="35"/>
  <c r="F130" i="35" s="1"/>
  <c r="B130" i="35"/>
  <c r="E129" i="37"/>
  <c r="F129" i="37" s="1"/>
  <c r="B129" i="37"/>
  <c r="I128" i="37"/>
  <c r="H128" i="37"/>
  <c r="B134" i="28"/>
  <c r="D133" i="25"/>
  <c r="G132" i="25"/>
  <c r="B130" i="31"/>
  <c r="H129" i="31"/>
  <c r="I129" i="31"/>
  <c r="E130" i="31"/>
  <c r="F130" i="31" s="1"/>
  <c r="D130" i="38"/>
  <c r="E130" i="38" s="1"/>
  <c r="G129" i="38"/>
  <c r="J132" i="21"/>
  <c r="J128" i="34"/>
  <c r="H134" i="29"/>
  <c r="I134" i="29"/>
  <c r="G130" i="13"/>
  <c r="D131" i="13"/>
  <c r="E131" i="13" s="1"/>
  <c r="J129" i="13"/>
  <c r="G133" i="24"/>
  <c r="D134" i="24"/>
  <c r="E134" i="24" s="1"/>
  <c r="G133" i="21"/>
  <c r="D134" i="21"/>
  <c r="E134" i="21" s="1"/>
  <c r="J132" i="24"/>
  <c r="B136" i="19"/>
  <c r="G129" i="34"/>
  <c r="D130" i="34"/>
  <c r="E130" i="34" s="1"/>
  <c r="E136" i="19"/>
  <c r="F136" i="19" s="1"/>
  <c r="F135" i="29"/>
  <c r="J128" i="38"/>
  <c r="G133" i="27"/>
  <c r="D134" i="27"/>
  <c r="E134" i="27" s="1"/>
  <c r="I135" i="19"/>
  <c r="H135" i="19"/>
  <c r="F138" i="23"/>
  <c r="H137" i="23"/>
  <c r="I137" i="23"/>
  <c r="B137" i="3"/>
  <c r="F137" i="3"/>
  <c r="H136" i="3"/>
  <c r="I136" i="3"/>
  <c r="F133" i="22"/>
  <c r="B133" i="22"/>
  <c r="H129" i="20"/>
  <c r="I129" i="20"/>
  <c r="B130" i="20"/>
  <c r="F130" i="20"/>
  <c r="I132" i="22"/>
  <c r="H132" i="22"/>
  <c r="H131" i="40" l="1"/>
  <c r="G131" i="40"/>
  <c r="I131" i="40" s="1"/>
  <c r="D132" i="40"/>
  <c r="D139" i="39"/>
  <c r="G138" i="39"/>
  <c r="I138" i="39" s="1"/>
  <c r="D137" i="41"/>
  <c r="G136" i="41"/>
  <c r="I136" i="41" s="1"/>
  <c r="H138" i="39"/>
  <c r="H136" i="41"/>
  <c r="B136" i="41"/>
  <c r="D134" i="26"/>
  <c r="G133" i="26"/>
  <c r="J132" i="26"/>
  <c r="J133" i="28"/>
  <c r="J129" i="35"/>
  <c r="J137" i="23"/>
  <c r="D50" i="13"/>
  <c r="E50" i="13" s="1"/>
  <c r="H49" i="13"/>
  <c r="G49" i="13"/>
  <c r="J135" i="18"/>
  <c r="J129" i="31"/>
  <c r="I73" i="20"/>
  <c r="I74" i="20" s="1"/>
  <c r="H74" i="20"/>
  <c r="J136" i="3"/>
  <c r="G130" i="35"/>
  <c r="D131" i="35"/>
  <c r="E131" i="35" s="1"/>
  <c r="G136" i="18"/>
  <c r="D137" i="18"/>
  <c r="J136" i="4"/>
  <c r="D138" i="4"/>
  <c r="G137" i="4"/>
  <c r="G130" i="31"/>
  <c r="D131" i="31"/>
  <c r="E131" i="31" s="1"/>
  <c r="H132" i="25"/>
  <c r="I132" i="25"/>
  <c r="J128" i="37"/>
  <c r="E133" i="25"/>
  <c r="F133" i="25" s="1"/>
  <c r="B133" i="25"/>
  <c r="D130" i="37"/>
  <c r="E130" i="37" s="1"/>
  <c r="G129" i="37"/>
  <c r="J132" i="22"/>
  <c r="D137" i="19"/>
  <c r="E137" i="19" s="1"/>
  <c r="G136" i="19"/>
  <c r="H133" i="27"/>
  <c r="I133" i="27"/>
  <c r="B130" i="34"/>
  <c r="F130" i="34"/>
  <c r="J135" i="19"/>
  <c r="G135" i="29"/>
  <c r="D136" i="29"/>
  <c r="E136" i="29" s="1"/>
  <c r="I129" i="34"/>
  <c r="H129" i="34"/>
  <c r="F134" i="24"/>
  <c r="B134" i="24"/>
  <c r="B134" i="21"/>
  <c r="F134" i="21"/>
  <c r="H133" i="24"/>
  <c r="I133" i="24"/>
  <c r="I133" i="21"/>
  <c r="H133" i="21"/>
  <c r="H129" i="38"/>
  <c r="I129" i="38"/>
  <c r="F131" i="13"/>
  <c r="B131" i="13"/>
  <c r="J129" i="20"/>
  <c r="B134" i="27"/>
  <c r="F134" i="27"/>
  <c r="H130" i="13"/>
  <c r="I130" i="13"/>
  <c r="F130" i="38"/>
  <c r="B130" i="38"/>
  <c r="G138" i="23"/>
  <c r="D139" i="23"/>
  <c r="E139" i="23" s="1"/>
  <c r="D131" i="20"/>
  <c r="E131" i="20" s="1"/>
  <c r="G130" i="20"/>
  <c r="G133" i="22"/>
  <c r="D134" i="22"/>
  <c r="E134" i="22" s="1"/>
  <c r="D138" i="3"/>
  <c r="G137" i="3"/>
  <c r="J131" i="40" l="1"/>
  <c r="J156" i="40" s="1"/>
  <c r="B139" i="39"/>
  <c r="B137" i="41"/>
  <c r="E132" i="40"/>
  <c r="F132" i="40" s="1"/>
  <c r="B132" i="40"/>
  <c r="E139" i="39"/>
  <c r="F139" i="39" s="1"/>
  <c r="E137" i="41"/>
  <c r="F137" i="41" s="1"/>
  <c r="I133" i="26"/>
  <c r="H133" i="26"/>
  <c r="E134" i="26"/>
  <c r="F134" i="26" s="1"/>
  <c r="B134" i="26"/>
  <c r="I49" i="13"/>
  <c r="B50" i="13"/>
  <c r="F50" i="13"/>
  <c r="G50" i="13" s="1"/>
  <c r="J133" i="27"/>
  <c r="E137" i="18"/>
  <c r="F137" i="18" s="1"/>
  <c r="B137" i="18"/>
  <c r="H137" i="4"/>
  <c r="I137" i="4"/>
  <c r="I136" i="18"/>
  <c r="H136" i="18"/>
  <c r="E138" i="4"/>
  <c r="F138" i="4" s="1"/>
  <c r="B138" i="4"/>
  <c r="B131" i="35"/>
  <c r="F131" i="35"/>
  <c r="J130" i="13"/>
  <c r="J133" i="24"/>
  <c r="I130" i="35"/>
  <c r="H130" i="35"/>
  <c r="G133" i="25"/>
  <c r="D134" i="25"/>
  <c r="E134" i="25" s="1"/>
  <c r="H129" i="37"/>
  <c r="I129" i="37"/>
  <c r="F130" i="37"/>
  <c r="B130" i="37"/>
  <c r="B131" i="31"/>
  <c r="F131" i="31"/>
  <c r="H130" i="31"/>
  <c r="I130" i="31"/>
  <c r="B135" i="28"/>
  <c r="J129" i="38"/>
  <c r="D131" i="34"/>
  <c r="E131" i="34" s="1"/>
  <c r="G130" i="34"/>
  <c r="G131" i="13"/>
  <c r="D132" i="13"/>
  <c r="E132" i="13" s="1"/>
  <c r="G134" i="21"/>
  <c r="D135" i="21"/>
  <c r="E135" i="21" s="1"/>
  <c r="J129" i="34"/>
  <c r="G134" i="24"/>
  <c r="D135" i="24"/>
  <c r="E135" i="24" s="1"/>
  <c r="H136" i="19"/>
  <c r="I136" i="19"/>
  <c r="D135" i="27"/>
  <c r="G134" i="27"/>
  <c r="G130" i="38"/>
  <c r="D131" i="38"/>
  <c r="E131" i="38" s="1"/>
  <c r="F136" i="29"/>
  <c r="J133" i="21"/>
  <c r="H135" i="29"/>
  <c r="I135" i="29"/>
  <c r="B137" i="19"/>
  <c r="F137" i="19"/>
  <c r="H138" i="23"/>
  <c r="I138" i="23"/>
  <c r="H133" i="22"/>
  <c r="I133" i="22"/>
  <c r="B138" i="3"/>
  <c r="I130" i="20"/>
  <c r="H130" i="20"/>
  <c r="F134" i="22"/>
  <c r="B134" i="22"/>
  <c r="E138" i="3"/>
  <c r="F138" i="3" s="1"/>
  <c r="F131" i="20"/>
  <c r="B131" i="20"/>
  <c r="H137" i="3"/>
  <c r="I137" i="3"/>
  <c r="F139" i="23"/>
  <c r="D133" i="40" l="1"/>
  <c r="G132" i="40"/>
  <c r="I132" i="40" s="1"/>
  <c r="H132" i="40"/>
  <c r="G137" i="41"/>
  <c r="I137" i="41" s="1"/>
  <c r="D138" i="41"/>
  <c r="E138" i="41" s="1"/>
  <c r="F138" i="41" s="1"/>
  <c r="H137" i="41"/>
  <c r="G139" i="39"/>
  <c r="I139" i="39" s="1"/>
  <c r="D140" i="39"/>
  <c r="E140" i="39" s="1"/>
  <c r="F140" i="39" s="1"/>
  <c r="H139" i="39"/>
  <c r="J137" i="4"/>
  <c r="D135" i="26"/>
  <c r="B135" i="26" s="1"/>
  <c r="G134" i="26"/>
  <c r="J133" i="26"/>
  <c r="D51" i="13"/>
  <c r="H50" i="13"/>
  <c r="I50" i="13" s="1"/>
  <c r="J134" i="28"/>
  <c r="J130" i="35"/>
  <c r="J136" i="18"/>
  <c r="J129" i="37"/>
  <c r="D139" i="4"/>
  <c r="B139" i="4" s="1"/>
  <c r="G138" i="4"/>
  <c r="D132" i="35"/>
  <c r="G131" i="35"/>
  <c r="J130" i="31"/>
  <c r="D138" i="18"/>
  <c r="G137" i="18"/>
  <c r="G130" i="37"/>
  <c r="D131" i="37"/>
  <c r="B134" i="25"/>
  <c r="F134" i="25"/>
  <c r="D132" i="31"/>
  <c r="G131" i="31"/>
  <c r="H133" i="25"/>
  <c r="I133" i="25"/>
  <c r="J133" i="22"/>
  <c r="J138" i="23"/>
  <c r="J136" i="19"/>
  <c r="G136" i="29"/>
  <c r="D137" i="29"/>
  <c r="F135" i="24"/>
  <c r="B135" i="24"/>
  <c r="I130" i="34"/>
  <c r="H130" i="34"/>
  <c r="H134" i="24"/>
  <c r="I134" i="24"/>
  <c r="B132" i="13"/>
  <c r="F132" i="13"/>
  <c r="B131" i="34"/>
  <c r="F131" i="34"/>
  <c r="B135" i="27"/>
  <c r="H131" i="13"/>
  <c r="I131" i="13"/>
  <c r="H130" i="38"/>
  <c r="I130" i="38"/>
  <c r="B135" i="21"/>
  <c r="F135" i="21"/>
  <c r="F131" i="38"/>
  <c r="B131" i="38"/>
  <c r="E135" i="27"/>
  <c r="F135" i="27" s="1"/>
  <c r="H134" i="21"/>
  <c r="I134" i="21"/>
  <c r="D138" i="19"/>
  <c r="E138" i="19" s="1"/>
  <c r="G137" i="19"/>
  <c r="J137" i="3"/>
  <c r="H134" i="27"/>
  <c r="I134" i="27"/>
  <c r="G138" i="3"/>
  <c r="D139" i="3"/>
  <c r="E139" i="3" s="1"/>
  <c r="D140" i="23"/>
  <c r="E140" i="23" s="1"/>
  <c r="G139" i="23"/>
  <c r="D135" i="22"/>
  <c r="E135" i="22" s="1"/>
  <c r="G134" i="22"/>
  <c r="D132" i="20"/>
  <c r="G131" i="20"/>
  <c r="J130" i="20"/>
  <c r="G140" i="39" l="1"/>
  <c r="I140" i="39" s="1"/>
  <c r="D141" i="39"/>
  <c r="E141" i="39" s="1"/>
  <c r="F141" i="39" s="1"/>
  <c r="G138" i="41"/>
  <c r="I138" i="41" s="1"/>
  <c r="D139" i="41"/>
  <c r="E139" i="41" s="1"/>
  <c r="F139" i="41" s="1"/>
  <c r="B140" i="39"/>
  <c r="H140" i="39"/>
  <c r="B138" i="41"/>
  <c r="H138" i="41"/>
  <c r="E133" i="40"/>
  <c r="F133" i="40" s="1"/>
  <c r="B133" i="40"/>
  <c r="E135" i="26"/>
  <c r="F135" i="26" s="1"/>
  <c r="J134" i="21"/>
  <c r="I134" i="26"/>
  <c r="H134" i="26"/>
  <c r="B51" i="13"/>
  <c r="E51" i="13"/>
  <c r="F51" i="13" s="1"/>
  <c r="E132" i="35"/>
  <c r="F132" i="35" s="1"/>
  <c r="B132" i="35"/>
  <c r="I138" i="4"/>
  <c r="H138" i="4"/>
  <c r="H137" i="18"/>
  <c r="I137" i="18"/>
  <c r="E138" i="18"/>
  <c r="F138" i="18" s="1"/>
  <c r="B138" i="18"/>
  <c r="J134" i="27"/>
  <c r="H131" i="35"/>
  <c r="I131" i="35"/>
  <c r="E139" i="4"/>
  <c r="F139" i="4" s="1"/>
  <c r="I131" i="31"/>
  <c r="H131" i="31"/>
  <c r="E132" i="31"/>
  <c r="F132" i="31" s="1"/>
  <c r="B132" i="31"/>
  <c r="G134" i="25"/>
  <c r="D135" i="25"/>
  <c r="B136" i="28"/>
  <c r="E131" i="37"/>
  <c r="F131" i="37" s="1"/>
  <c r="B131" i="37"/>
  <c r="H130" i="37"/>
  <c r="I130" i="37"/>
  <c r="J130" i="38"/>
  <c r="J131" i="13"/>
  <c r="J156" i="13" s="1"/>
  <c r="J134" i="24"/>
  <c r="I136" i="29"/>
  <c r="H136" i="29"/>
  <c r="G131" i="38"/>
  <c r="D132" i="38"/>
  <c r="H137" i="19"/>
  <c r="I137" i="19"/>
  <c r="G135" i="27"/>
  <c r="D136" i="27"/>
  <c r="E136" i="27" s="1"/>
  <c r="B138" i="19"/>
  <c r="F138" i="19"/>
  <c r="J130" i="34"/>
  <c r="D132" i="34"/>
  <c r="E132" i="34" s="1"/>
  <c r="G131" i="34"/>
  <c r="G135" i="24"/>
  <c r="D136" i="24"/>
  <c r="E136" i="24" s="1"/>
  <c r="D136" i="21"/>
  <c r="E136" i="21" s="1"/>
  <c r="G135" i="21"/>
  <c r="D133" i="13"/>
  <c r="E133" i="13" s="1"/>
  <c r="G132" i="13"/>
  <c r="E137" i="29"/>
  <c r="F137" i="29" s="1"/>
  <c r="F140" i="23"/>
  <c r="B139" i="3"/>
  <c r="F139" i="3"/>
  <c r="H138" i="3"/>
  <c r="I138" i="3"/>
  <c r="H134" i="22"/>
  <c r="I134" i="22"/>
  <c r="I131" i="20"/>
  <c r="H131" i="20"/>
  <c r="B132" i="20"/>
  <c r="F135" i="22"/>
  <c r="B135" i="22"/>
  <c r="E132" i="20"/>
  <c r="F132" i="20" s="1"/>
  <c r="I139" i="23"/>
  <c r="H139" i="23"/>
  <c r="G133" i="40" l="1"/>
  <c r="I133" i="40" s="1"/>
  <c r="D134" i="40"/>
  <c r="E134" i="40" s="1"/>
  <c r="H133" i="40"/>
  <c r="D142" i="39"/>
  <c r="E142" i="39" s="1"/>
  <c r="G141" i="39"/>
  <c r="I141" i="39" s="1"/>
  <c r="G139" i="41"/>
  <c r="I139" i="41" s="1"/>
  <c r="D140" i="41"/>
  <c r="E140" i="41" s="1"/>
  <c r="F140" i="41" s="1"/>
  <c r="B141" i="39"/>
  <c r="H141" i="39"/>
  <c r="B139" i="41"/>
  <c r="H139" i="41"/>
  <c r="J134" i="26"/>
  <c r="G135" i="26"/>
  <c r="D136" i="26"/>
  <c r="B136" i="26" s="1"/>
  <c r="J137" i="19"/>
  <c r="D52" i="13"/>
  <c r="E52" i="13" s="1"/>
  <c r="H51" i="13"/>
  <c r="G51" i="13"/>
  <c r="J138" i="4"/>
  <c r="D139" i="18"/>
  <c r="B139" i="18" s="1"/>
  <c r="G138" i="18"/>
  <c r="J137" i="18"/>
  <c r="G139" i="4"/>
  <c r="D140" i="4"/>
  <c r="J130" i="37"/>
  <c r="J131" i="35"/>
  <c r="J156" i="35" s="1"/>
  <c r="G132" i="35"/>
  <c r="D133" i="35"/>
  <c r="G131" i="37"/>
  <c r="D132" i="37"/>
  <c r="B135" i="25"/>
  <c r="E135" i="25"/>
  <c r="F135" i="25" s="1"/>
  <c r="H134" i="25"/>
  <c r="I134" i="25"/>
  <c r="D133" i="31"/>
  <c r="E133" i="31" s="1"/>
  <c r="G132" i="31"/>
  <c r="J135" i="28"/>
  <c r="J131" i="31"/>
  <c r="J134" i="22"/>
  <c r="G137" i="29"/>
  <c r="D138" i="29"/>
  <c r="E138" i="29" s="1"/>
  <c r="I131" i="34"/>
  <c r="H131" i="34"/>
  <c r="B132" i="38"/>
  <c r="F132" i="34"/>
  <c r="B132" i="34"/>
  <c r="G138" i="19"/>
  <c r="D139" i="19"/>
  <c r="H131" i="38"/>
  <c r="I131" i="38"/>
  <c r="B133" i="13"/>
  <c r="F133" i="13"/>
  <c r="B136" i="21"/>
  <c r="F136" i="21"/>
  <c r="E132" i="38"/>
  <c r="F132" i="38" s="1"/>
  <c r="I135" i="24"/>
  <c r="H135" i="24"/>
  <c r="H135" i="21"/>
  <c r="I135" i="21"/>
  <c r="F136" i="27"/>
  <c r="B136" i="27"/>
  <c r="I132" i="13"/>
  <c r="H132" i="13"/>
  <c r="F136" i="24"/>
  <c r="B136" i="24"/>
  <c r="H135" i="27"/>
  <c r="I135" i="27"/>
  <c r="G132" i="20"/>
  <c r="D133" i="20"/>
  <c r="E133" i="20" s="1"/>
  <c r="G139" i="3"/>
  <c r="D140" i="3"/>
  <c r="J139" i="23"/>
  <c r="J131" i="20"/>
  <c r="G135" i="22"/>
  <c r="D136" i="22"/>
  <c r="J138" i="3"/>
  <c r="D141" i="23"/>
  <c r="E141" i="23" s="1"/>
  <c r="G140" i="23"/>
  <c r="D141" i="41" l="1"/>
  <c r="E141" i="41" s="1"/>
  <c r="G140" i="41"/>
  <c r="I140" i="41" s="1"/>
  <c r="F134" i="40"/>
  <c r="B134" i="40"/>
  <c r="H140" i="41"/>
  <c r="B140" i="41"/>
  <c r="B142" i="39"/>
  <c r="F142" i="39"/>
  <c r="E136" i="26"/>
  <c r="F136" i="26" s="1"/>
  <c r="H135" i="26"/>
  <c r="I135" i="26"/>
  <c r="E139" i="18"/>
  <c r="F139" i="18" s="1"/>
  <c r="J131" i="38"/>
  <c r="J156" i="38" s="1"/>
  <c r="I51" i="13"/>
  <c r="B52" i="13"/>
  <c r="F52" i="13"/>
  <c r="G52" i="13" s="1"/>
  <c r="B140" i="4"/>
  <c r="E140" i="4"/>
  <c r="F140" i="4" s="1"/>
  <c r="H139" i="4"/>
  <c r="I139" i="4"/>
  <c r="J135" i="24"/>
  <c r="E133" i="35"/>
  <c r="F133" i="35" s="1"/>
  <c r="B133" i="35"/>
  <c r="H138" i="18"/>
  <c r="I138" i="18"/>
  <c r="H132" i="35"/>
  <c r="I132" i="35"/>
  <c r="G135" i="25"/>
  <c r="D136" i="25"/>
  <c r="B132" i="37"/>
  <c r="H132" i="31"/>
  <c r="I132" i="31"/>
  <c r="E132" i="37"/>
  <c r="F132" i="37" s="1"/>
  <c r="H131" i="37"/>
  <c r="I131" i="37"/>
  <c r="B133" i="31"/>
  <c r="F133" i="31"/>
  <c r="B137" i="28"/>
  <c r="J131" i="34"/>
  <c r="J156" i="34" s="1"/>
  <c r="J135" i="27"/>
  <c r="D133" i="38"/>
  <c r="E133" i="38" s="1"/>
  <c r="G132" i="38"/>
  <c r="B139" i="19"/>
  <c r="F138" i="29"/>
  <c r="D137" i="27"/>
  <c r="G136" i="27"/>
  <c r="D137" i="21"/>
  <c r="E137" i="21" s="1"/>
  <c r="G136" i="21"/>
  <c r="E139" i="19"/>
  <c r="F139" i="19" s="1"/>
  <c r="H137" i="29"/>
  <c r="I137" i="29"/>
  <c r="H138" i="19"/>
  <c r="I138" i="19"/>
  <c r="G136" i="24"/>
  <c r="D137" i="24"/>
  <c r="E137" i="24" s="1"/>
  <c r="G133" i="13"/>
  <c r="D134" i="13"/>
  <c r="E134" i="13" s="1"/>
  <c r="D133" i="34"/>
  <c r="G132" i="34"/>
  <c r="J135" i="21"/>
  <c r="B140" i="3"/>
  <c r="B133" i="20"/>
  <c r="F133" i="20"/>
  <c r="H132" i="20"/>
  <c r="I132" i="20"/>
  <c r="H139" i="3"/>
  <c r="I139" i="3"/>
  <c r="B136" i="22"/>
  <c r="I135" i="22"/>
  <c r="H135" i="22"/>
  <c r="H140" i="23"/>
  <c r="I140" i="23"/>
  <c r="F141" i="23"/>
  <c r="E140" i="3"/>
  <c r="F140" i="3" s="1"/>
  <c r="E136" i="22"/>
  <c r="F136" i="22" s="1"/>
  <c r="G134" i="40" l="1"/>
  <c r="I134" i="40" s="1"/>
  <c r="D135" i="40"/>
  <c r="G142" i="39"/>
  <c r="I142" i="39" s="1"/>
  <c r="D143" i="39"/>
  <c r="H142" i="39"/>
  <c r="H134" i="40"/>
  <c r="F141" i="41"/>
  <c r="B141" i="41"/>
  <c r="J135" i="26"/>
  <c r="D137" i="26"/>
  <c r="G136" i="26"/>
  <c r="J132" i="20"/>
  <c r="G139" i="18"/>
  <c r="D140" i="18"/>
  <c r="J132" i="31"/>
  <c r="D53" i="13"/>
  <c r="E53" i="13" s="1"/>
  <c r="H52" i="13"/>
  <c r="I52" i="13" s="1"/>
  <c r="J139" i="4"/>
  <c r="D134" i="35"/>
  <c r="G133" i="35"/>
  <c r="J140" i="23"/>
  <c r="J139" i="3"/>
  <c r="J136" i="28"/>
  <c r="D141" i="4"/>
  <c r="G140" i="4"/>
  <c r="J138" i="18"/>
  <c r="G132" i="37"/>
  <c r="D133" i="37"/>
  <c r="E133" i="37" s="1"/>
  <c r="D134" i="31"/>
  <c r="G133" i="31"/>
  <c r="J138" i="19"/>
  <c r="E136" i="25"/>
  <c r="F136" i="25" s="1"/>
  <c r="B136" i="25"/>
  <c r="J131" i="37"/>
  <c r="J156" i="37" s="1"/>
  <c r="H135" i="25"/>
  <c r="I135" i="25"/>
  <c r="F137" i="24"/>
  <c r="B137" i="24"/>
  <c r="B137" i="27"/>
  <c r="H136" i="27"/>
  <c r="I136" i="27"/>
  <c r="H133" i="13"/>
  <c r="I133" i="13"/>
  <c r="H136" i="24"/>
  <c r="I136" i="24"/>
  <c r="B133" i="34"/>
  <c r="D139" i="29"/>
  <c r="E139" i="29" s="1"/>
  <c r="G138" i="29"/>
  <c r="I136" i="21"/>
  <c r="H136" i="21"/>
  <c r="F134" i="13"/>
  <c r="B134" i="13"/>
  <c r="E133" i="34"/>
  <c r="F133" i="34" s="1"/>
  <c r="B137" i="21"/>
  <c r="F137" i="21"/>
  <c r="H132" i="38"/>
  <c r="I132" i="38"/>
  <c r="G139" i="19"/>
  <c r="D140" i="19"/>
  <c r="H132" i="34"/>
  <c r="I132" i="34"/>
  <c r="E137" i="27"/>
  <c r="F137" i="27" s="1"/>
  <c r="F133" i="38"/>
  <c r="B133" i="38"/>
  <c r="G140" i="3"/>
  <c r="D141" i="3"/>
  <c r="E141" i="3" s="1"/>
  <c r="D142" i="23"/>
  <c r="E142" i="23" s="1"/>
  <c r="G141" i="23"/>
  <c r="G136" i="22"/>
  <c r="D137" i="22"/>
  <c r="E137" i="22" s="1"/>
  <c r="D134" i="20"/>
  <c r="G133" i="20"/>
  <c r="J135" i="22"/>
  <c r="D142" i="41" l="1"/>
  <c r="E142" i="41" s="1"/>
  <c r="F142" i="41" s="1"/>
  <c r="G141" i="41"/>
  <c r="I141" i="41" s="1"/>
  <c r="B143" i="39"/>
  <c r="H141" i="41"/>
  <c r="E135" i="40"/>
  <c r="F135" i="40" s="1"/>
  <c r="B135" i="40"/>
  <c r="E143" i="39"/>
  <c r="F143" i="39" s="1"/>
  <c r="I136" i="26"/>
  <c r="H136" i="26"/>
  <c r="E137" i="26"/>
  <c r="F137" i="26" s="1"/>
  <c r="B137" i="26"/>
  <c r="B140" i="18"/>
  <c r="E140" i="18"/>
  <c r="F140" i="18" s="1"/>
  <c r="H139" i="18"/>
  <c r="I139" i="18"/>
  <c r="F53" i="13"/>
  <c r="G53" i="13" s="1"/>
  <c r="B53" i="13"/>
  <c r="H140" i="4"/>
  <c r="I140" i="4"/>
  <c r="B141" i="4"/>
  <c r="E141" i="4"/>
  <c r="F141" i="4" s="1"/>
  <c r="I133" i="35"/>
  <c r="H133" i="35"/>
  <c r="J136" i="24"/>
  <c r="E134" i="35"/>
  <c r="F134" i="35" s="1"/>
  <c r="B134" i="35"/>
  <c r="J136" i="27"/>
  <c r="I133" i="31"/>
  <c r="H133" i="31"/>
  <c r="E134" i="31"/>
  <c r="F134" i="31" s="1"/>
  <c r="B134" i="31"/>
  <c r="B138" i="28"/>
  <c r="G136" i="25"/>
  <c r="D137" i="25"/>
  <c r="B133" i="37"/>
  <c r="F133" i="37"/>
  <c r="H132" i="37"/>
  <c r="I132" i="37"/>
  <c r="G133" i="34"/>
  <c r="D134" i="34"/>
  <c r="E134" i="34" s="1"/>
  <c r="G137" i="27"/>
  <c r="D138" i="27"/>
  <c r="E138" i="27" s="1"/>
  <c r="H139" i="19"/>
  <c r="I139" i="19"/>
  <c r="J136" i="21"/>
  <c r="G137" i="24"/>
  <c r="D138" i="24"/>
  <c r="E138" i="24" s="1"/>
  <c r="B140" i="19"/>
  <c r="E140" i="19"/>
  <c r="F140" i="19" s="1"/>
  <c r="D138" i="21"/>
  <c r="E138" i="21" s="1"/>
  <c r="G137" i="21"/>
  <c r="H138" i="29"/>
  <c r="I138" i="29"/>
  <c r="G133" i="38"/>
  <c r="D134" i="38"/>
  <c r="F139" i="29"/>
  <c r="D135" i="13"/>
  <c r="E135" i="13" s="1"/>
  <c r="G134" i="13"/>
  <c r="B134" i="20"/>
  <c r="H136" i="22"/>
  <c r="I136" i="22"/>
  <c r="F137" i="22"/>
  <c r="B137" i="22"/>
  <c r="H133" i="20"/>
  <c r="I133" i="20"/>
  <c r="B141" i="3"/>
  <c r="F141" i="3"/>
  <c r="H141" i="23"/>
  <c r="I141" i="23"/>
  <c r="F142" i="23"/>
  <c r="E134" i="20"/>
  <c r="F134" i="20" s="1"/>
  <c r="H140" i="3"/>
  <c r="I140" i="3"/>
  <c r="G135" i="40" l="1"/>
  <c r="I135" i="40" s="1"/>
  <c r="D136" i="40"/>
  <c r="H135" i="40"/>
  <c r="D144" i="39"/>
  <c r="G143" i="39"/>
  <c r="I143" i="39" s="1"/>
  <c r="G142" i="41"/>
  <c r="I142" i="41" s="1"/>
  <c r="D143" i="41"/>
  <c r="H143" i="39"/>
  <c r="B142" i="41"/>
  <c r="H142" i="41"/>
  <c r="D138" i="26"/>
  <c r="G137" i="26"/>
  <c r="J136" i="26"/>
  <c r="J140" i="4"/>
  <c r="J139" i="18"/>
  <c r="D141" i="18"/>
  <c r="G140" i="18"/>
  <c r="D54" i="13"/>
  <c r="H53" i="13"/>
  <c r="I53" i="13" s="1"/>
  <c r="J139" i="19"/>
  <c r="G134" i="35"/>
  <c r="D135" i="35"/>
  <c r="D142" i="4"/>
  <c r="G141" i="4"/>
  <c r="J137" i="28"/>
  <c r="J141" i="23"/>
  <c r="D134" i="37"/>
  <c r="G133" i="37"/>
  <c r="G134" i="31"/>
  <c r="D135" i="31"/>
  <c r="E137" i="25"/>
  <c r="F137" i="25" s="1"/>
  <c r="B137" i="25"/>
  <c r="H136" i="25"/>
  <c r="I136" i="25"/>
  <c r="J133" i="31"/>
  <c r="D141" i="19"/>
  <c r="E141" i="19" s="1"/>
  <c r="G140" i="19"/>
  <c r="H134" i="13"/>
  <c r="I134" i="13"/>
  <c r="B138" i="24"/>
  <c r="F138" i="24"/>
  <c r="J136" i="22"/>
  <c r="B135" i="13"/>
  <c r="F135" i="13"/>
  <c r="I137" i="24"/>
  <c r="H137" i="24"/>
  <c r="F138" i="27"/>
  <c r="B138" i="27"/>
  <c r="G139" i="29"/>
  <c r="D140" i="29"/>
  <c r="E140" i="29" s="1"/>
  <c r="J133" i="20"/>
  <c r="B134" i="38"/>
  <c r="H137" i="27"/>
  <c r="I137" i="27"/>
  <c r="H133" i="38"/>
  <c r="I133" i="38"/>
  <c r="E134" i="38"/>
  <c r="F134" i="38" s="1"/>
  <c r="H137" i="21"/>
  <c r="I137" i="21"/>
  <c r="B134" i="34"/>
  <c r="F134" i="34"/>
  <c r="B138" i="21"/>
  <c r="F138" i="21"/>
  <c r="H133" i="34"/>
  <c r="I133" i="34"/>
  <c r="G134" i="20"/>
  <c r="D135" i="20"/>
  <c r="E135" i="20" s="1"/>
  <c r="D143" i="23"/>
  <c r="E143" i="23" s="1"/>
  <c r="G142" i="23"/>
  <c r="G141" i="3"/>
  <c r="D142" i="3"/>
  <c r="J140" i="3"/>
  <c r="D138" i="22"/>
  <c r="E138" i="22" s="1"/>
  <c r="G137" i="22"/>
  <c r="B143" i="41" l="1"/>
  <c r="B144" i="39"/>
  <c r="E144" i="39"/>
  <c r="F144" i="39" s="1"/>
  <c r="H144" i="39" s="1"/>
  <c r="E136" i="40"/>
  <c r="F136" i="40" s="1"/>
  <c r="B136" i="40"/>
  <c r="E143" i="41"/>
  <c r="F143" i="41" s="1"/>
  <c r="H143" i="41" s="1"/>
  <c r="I137" i="26"/>
  <c r="H137" i="26"/>
  <c r="E138" i="26"/>
  <c r="F138" i="26" s="1"/>
  <c r="B138" i="26"/>
  <c r="I140" i="18"/>
  <c r="H140" i="18"/>
  <c r="E141" i="18"/>
  <c r="F141" i="18" s="1"/>
  <c r="B141" i="18"/>
  <c r="B54" i="13"/>
  <c r="E54" i="13"/>
  <c r="F54" i="13" s="1"/>
  <c r="I141" i="4"/>
  <c r="H141" i="4"/>
  <c r="B142" i="4"/>
  <c r="E142" i="4"/>
  <c r="F142" i="4" s="1"/>
  <c r="E135" i="35"/>
  <c r="F135" i="35" s="1"/>
  <c r="B135" i="35"/>
  <c r="H134" i="35"/>
  <c r="I134" i="35"/>
  <c r="G137" i="25"/>
  <c r="D138" i="25"/>
  <c r="B139" i="28"/>
  <c r="E135" i="31"/>
  <c r="F135" i="31" s="1"/>
  <c r="B135" i="31"/>
  <c r="H134" i="31"/>
  <c r="I134" i="31"/>
  <c r="H133" i="37"/>
  <c r="I133" i="37"/>
  <c r="E134" i="37"/>
  <c r="F134" i="37" s="1"/>
  <c r="B134" i="37"/>
  <c r="D135" i="34"/>
  <c r="E135" i="34" s="1"/>
  <c r="G134" i="34"/>
  <c r="D139" i="27"/>
  <c r="E139" i="27" s="1"/>
  <c r="G138" i="27"/>
  <c r="D136" i="13"/>
  <c r="E136" i="13" s="1"/>
  <c r="G135" i="13"/>
  <c r="G138" i="21"/>
  <c r="D139" i="21"/>
  <c r="E139" i="21" s="1"/>
  <c r="G134" i="38"/>
  <c r="D135" i="38"/>
  <c r="E135" i="38" s="1"/>
  <c r="H140" i="19"/>
  <c r="I140" i="19"/>
  <c r="J137" i="24"/>
  <c r="D139" i="24"/>
  <c r="E139" i="24" s="1"/>
  <c r="G138" i="24"/>
  <c r="H139" i="29"/>
  <c r="I139" i="29"/>
  <c r="J137" i="21"/>
  <c r="J137" i="27"/>
  <c r="F140" i="29"/>
  <c r="B141" i="19"/>
  <c r="F141" i="19"/>
  <c r="B135" i="20"/>
  <c r="F135" i="20"/>
  <c r="I141" i="3"/>
  <c r="H141" i="3"/>
  <c r="H142" i="23"/>
  <c r="I142" i="23"/>
  <c r="H134" i="20"/>
  <c r="I134" i="20"/>
  <c r="B142" i="3"/>
  <c r="E142" i="3"/>
  <c r="F142" i="3" s="1"/>
  <c r="F143" i="23"/>
  <c r="H137" i="22"/>
  <c r="I137" i="22"/>
  <c r="B138" i="22"/>
  <c r="F138" i="22"/>
  <c r="H136" i="40" l="1"/>
  <c r="D137" i="40"/>
  <c r="G136" i="40"/>
  <c r="I136" i="40" s="1"/>
  <c r="E137" i="40"/>
  <c r="D144" i="41"/>
  <c r="E144" i="41" s="1"/>
  <c r="F144" i="41" s="1"/>
  <c r="G143" i="41"/>
  <c r="I143" i="41" s="1"/>
  <c r="G144" i="39"/>
  <c r="I144" i="39" s="1"/>
  <c r="D145" i="39"/>
  <c r="E145" i="39" s="1"/>
  <c r="F145" i="39" s="1"/>
  <c r="J137" i="26"/>
  <c r="G138" i="26"/>
  <c r="D139" i="26"/>
  <c r="B139" i="26" s="1"/>
  <c r="J138" i="28"/>
  <c r="J134" i="31"/>
  <c r="G141" i="18"/>
  <c r="D142" i="18"/>
  <c r="J140" i="18"/>
  <c r="D55" i="13"/>
  <c r="H54" i="13"/>
  <c r="G54" i="13"/>
  <c r="J134" i="20"/>
  <c r="J137" i="22"/>
  <c r="D136" i="35"/>
  <c r="E136" i="35" s="1"/>
  <c r="G135" i="35"/>
  <c r="D143" i="4"/>
  <c r="G142" i="4"/>
  <c r="J142" i="23"/>
  <c r="J141" i="4"/>
  <c r="D135" i="37"/>
  <c r="G134" i="37"/>
  <c r="D136" i="31"/>
  <c r="G135" i="31"/>
  <c r="E138" i="25"/>
  <c r="F138" i="25" s="1"/>
  <c r="B138" i="25"/>
  <c r="H137" i="25"/>
  <c r="I137" i="25"/>
  <c r="J140" i="19"/>
  <c r="H134" i="38"/>
  <c r="I134" i="38"/>
  <c r="F136" i="13"/>
  <c r="B136" i="13"/>
  <c r="H134" i="34"/>
  <c r="I134" i="34"/>
  <c r="B135" i="34"/>
  <c r="F135" i="34"/>
  <c r="D142" i="19"/>
  <c r="E142" i="19" s="1"/>
  <c r="G141" i="19"/>
  <c r="G140" i="29"/>
  <c r="D141" i="29"/>
  <c r="E141" i="29" s="1"/>
  <c r="B139" i="21"/>
  <c r="F139" i="21"/>
  <c r="H138" i="24"/>
  <c r="I138" i="24"/>
  <c r="I138" i="21"/>
  <c r="H138" i="21"/>
  <c r="F139" i="27"/>
  <c r="B139" i="27"/>
  <c r="B139" i="24"/>
  <c r="F139" i="24"/>
  <c r="B135" i="38"/>
  <c r="F135" i="38"/>
  <c r="H135" i="13"/>
  <c r="I135" i="13"/>
  <c r="I138" i="27"/>
  <c r="H138" i="27"/>
  <c r="J141" i="3"/>
  <c r="G142" i="3"/>
  <c r="D143" i="3"/>
  <c r="G135" i="20"/>
  <c r="D136" i="20"/>
  <c r="E136" i="20" s="1"/>
  <c r="G143" i="23"/>
  <c r="D144" i="23"/>
  <c r="E144" i="23" s="1"/>
  <c r="G138" i="22"/>
  <c r="D139" i="22"/>
  <c r="D146" i="39" l="1"/>
  <c r="G145" i="39"/>
  <c r="I145" i="39" s="1"/>
  <c r="E146" i="39"/>
  <c r="F146" i="39" s="1"/>
  <c r="G144" i="41"/>
  <c r="I144" i="41" s="1"/>
  <c r="D145" i="41"/>
  <c r="E145" i="41" s="1"/>
  <c r="B137" i="40"/>
  <c r="F137" i="40"/>
  <c r="H137" i="40" s="1"/>
  <c r="H145" i="39"/>
  <c r="B145" i="39"/>
  <c r="H144" i="41"/>
  <c r="B144" i="41"/>
  <c r="E139" i="26"/>
  <c r="F139" i="26" s="1"/>
  <c r="H138" i="26"/>
  <c r="I138" i="26"/>
  <c r="E142" i="18"/>
  <c r="F142" i="18" s="1"/>
  <c r="B142" i="18"/>
  <c r="H141" i="18"/>
  <c r="I141" i="18"/>
  <c r="I54" i="13"/>
  <c r="B55" i="13"/>
  <c r="E55" i="13"/>
  <c r="F55" i="13" s="1"/>
  <c r="B143" i="4"/>
  <c r="E143" i="4"/>
  <c r="F143" i="4" s="1"/>
  <c r="I135" i="35"/>
  <c r="H135" i="35"/>
  <c r="I142" i="4"/>
  <c r="H142" i="4"/>
  <c r="F136" i="35"/>
  <c r="B136" i="35"/>
  <c r="B140" i="28"/>
  <c r="I135" i="31"/>
  <c r="H135" i="31"/>
  <c r="G138" i="25"/>
  <c r="D139" i="25"/>
  <c r="E139" i="25" s="1"/>
  <c r="E136" i="31"/>
  <c r="F136" i="31" s="1"/>
  <c r="B136" i="31"/>
  <c r="J138" i="24"/>
  <c r="H134" i="37"/>
  <c r="I134" i="37"/>
  <c r="E135" i="37"/>
  <c r="F135" i="37" s="1"/>
  <c r="B135" i="37"/>
  <c r="J138" i="21"/>
  <c r="J138" i="27"/>
  <c r="F141" i="29"/>
  <c r="D136" i="34"/>
  <c r="E136" i="34" s="1"/>
  <c r="G135" i="34"/>
  <c r="G135" i="38"/>
  <c r="D136" i="38"/>
  <c r="E136" i="38" s="1"/>
  <c r="I140" i="29"/>
  <c r="H140" i="29"/>
  <c r="D137" i="13"/>
  <c r="G136" i="13"/>
  <c r="G139" i="21"/>
  <c r="D140" i="21"/>
  <c r="E140" i="21" s="1"/>
  <c r="H141" i="19"/>
  <c r="I141" i="19"/>
  <c r="D140" i="24"/>
  <c r="E140" i="24" s="1"/>
  <c r="G139" i="24"/>
  <c r="G139" i="27"/>
  <c r="D140" i="27"/>
  <c r="E140" i="27" s="1"/>
  <c r="F142" i="19"/>
  <c r="B142" i="19"/>
  <c r="H142" i="3"/>
  <c r="I142" i="3"/>
  <c r="F136" i="20"/>
  <c r="B136" i="20"/>
  <c r="F144" i="23"/>
  <c r="B139" i="22"/>
  <c r="I135" i="20"/>
  <c r="H135" i="20"/>
  <c r="H143" i="23"/>
  <c r="I143" i="23"/>
  <c r="H138" i="22"/>
  <c r="I138" i="22"/>
  <c r="B143" i="3"/>
  <c r="E139" i="22"/>
  <c r="F139" i="22" s="1"/>
  <c r="E143" i="3"/>
  <c r="F143" i="3" s="1"/>
  <c r="G146" i="39" l="1"/>
  <c r="I146" i="39" s="1"/>
  <c r="D147" i="39"/>
  <c r="E147" i="39" s="1"/>
  <c r="F147" i="39" s="1"/>
  <c r="G137" i="40"/>
  <c r="I137" i="40" s="1"/>
  <c r="D138" i="40"/>
  <c r="F145" i="41"/>
  <c r="H145" i="41" s="1"/>
  <c r="B145" i="41"/>
  <c r="B146" i="39"/>
  <c r="H146" i="39"/>
  <c r="J138" i="26"/>
  <c r="G139" i="26"/>
  <c r="D140" i="26"/>
  <c r="J139" i="28"/>
  <c r="J141" i="18"/>
  <c r="G142" i="18"/>
  <c r="D143" i="18"/>
  <c r="D56" i="13"/>
  <c r="G55" i="13"/>
  <c r="H55" i="13"/>
  <c r="D137" i="35"/>
  <c r="G136" i="35"/>
  <c r="J142" i="4"/>
  <c r="J142" i="3"/>
  <c r="G143" i="4"/>
  <c r="D144" i="4"/>
  <c r="G135" i="37"/>
  <c r="D136" i="37"/>
  <c r="B136" i="37" s="1"/>
  <c r="J135" i="31"/>
  <c r="J141" i="19"/>
  <c r="G136" i="31"/>
  <c r="D137" i="31"/>
  <c r="B139" i="25"/>
  <c r="F139" i="25"/>
  <c r="I138" i="25"/>
  <c r="H138" i="25"/>
  <c r="B137" i="13"/>
  <c r="F136" i="38"/>
  <c r="B136" i="38"/>
  <c r="E137" i="13"/>
  <c r="F137" i="13" s="1"/>
  <c r="H135" i="38"/>
  <c r="I135" i="38"/>
  <c r="H136" i="13"/>
  <c r="I136" i="13"/>
  <c r="H135" i="34"/>
  <c r="I135" i="34"/>
  <c r="I139" i="27"/>
  <c r="H139" i="27"/>
  <c r="G142" i="19"/>
  <c r="D143" i="19"/>
  <c r="E143" i="19" s="1"/>
  <c r="I139" i="24"/>
  <c r="H139" i="24"/>
  <c r="B136" i="34"/>
  <c r="F136" i="34"/>
  <c r="F140" i="24"/>
  <c r="B140" i="24"/>
  <c r="B140" i="21"/>
  <c r="F140" i="21"/>
  <c r="G141" i="29"/>
  <c r="D142" i="29"/>
  <c r="F140" i="27"/>
  <c r="B140" i="27"/>
  <c r="I139" i="21"/>
  <c r="H139" i="21"/>
  <c r="D144" i="3"/>
  <c r="E144" i="3" s="1"/>
  <c r="G143" i="3"/>
  <c r="G139" i="22"/>
  <c r="D140" i="22"/>
  <c r="E140" i="22" s="1"/>
  <c r="D137" i="20"/>
  <c r="E137" i="20" s="1"/>
  <c r="G136" i="20"/>
  <c r="J135" i="20"/>
  <c r="J138" i="22"/>
  <c r="J143" i="23"/>
  <c r="G144" i="23"/>
  <c r="D145" i="23"/>
  <c r="E145" i="23" s="1"/>
  <c r="G147" i="39" l="1"/>
  <c r="I147" i="39" s="1"/>
  <c r="D148" i="39"/>
  <c r="E148" i="39" s="1"/>
  <c r="F148" i="39" s="1"/>
  <c r="G145" i="41"/>
  <c r="I145" i="41" s="1"/>
  <c r="D146" i="41"/>
  <c r="E146" i="41" s="1"/>
  <c r="F146" i="41" s="1"/>
  <c r="H147" i="39"/>
  <c r="B147" i="39"/>
  <c r="E138" i="40"/>
  <c r="F138" i="40" s="1"/>
  <c r="H138" i="40" s="1"/>
  <c r="B138" i="40"/>
  <c r="E140" i="26"/>
  <c r="F140" i="26" s="1"/>
  <c r="B140" i="26"/>
  <c r="H139" i="26"/>
  <c r="I139" i="26"/>
  <c r="I55" i="13"/>
  <c r="E143" i="18"/>
  <c r="F143" i="18" s="1"/>
  <c r="B143" i="18"/>
  <c r="I142" i="18"/>
  <c r="H142" i="18"/>
  <c r="B56" i="13"/>
  <c r="E56" i="13"/>
  <c r="F56" i="13" s="1"/>
  <c r="I143" i="4"/>
  <c r="H143" i="4"/>
  <c r="H136" i="35"/>
  <c r="I136" i="35"/>
  <c r="E144" i="4"/>
  <c r="F144" i="4" s="1"/>
  <c r="B144" i="4"/>
  <c r="E136" i="37"/>
  <c r="F136" i="37" s="1"/>
  <c r="E137" i="35"/>
  <c r="F137" i="35" s="1"/>
  <c r="B137" i="35"/>
  <c r="E137" i="31"/>
  <c r="F137" i="31" s="1"/>
  <c r="B137" i="31"/>
  <c r="H136" i="31"/>
  <c r="I136" i="31"/>
  <c r="D140" i="25"/>
  <c r="G139" i="25"/>
  <c r="B141" i="28"/>
  <c r="H135" i="37"/>
  <c r="I135" i="37"/>
  <c r="J139" i="27"/>
  <c r="J139" i="24"/>
  <c r="J139" i="21"/>
  <c r="I141" i="29"/>
  <c r="H141" i="29"/>
  <c r="D138" i="13"/>
  <c r="E138" i="13" s="1"/>
  <c r="G137" i="13"/>
  <c r="G140" i="27"/>
  <c r="D141" i="27"/>
  <c r="E141" i="27" s="1"/>
  <c r="D137" i="34"/>
  <c r="G136" i="34"/>
  <c r="I142" i="19"/>
  <c r="H142" i="19"/>
  <c r="G140" i="21"/>
  <c r="D141" i="21"/>
  <c r="E141" i="21" s="1"/>
  <c r="E142" i="29"/>
  <c r="F142" i="29" s="1"/>
  <c r="G140" i="24"/>
  <c r="D141" i="24"/>
  <c r="E141" i="24" s="1"/>
  <c r="F143" i="19"/>
  <c r="B143" i="19"/>
  <c r="G136" i="38"/>
  <c r="D137" i="38"/>
  <c r="E137" i="38" s="1"/>
  <c r="I136" i="20"/>
  <c r="H136" i="20"/>
  <c r="I139" i="22"/>
  <c r="H139" i="22"/>
  <c r="H144" i="23"/>
  <c r="I144" i="23"/>
  <c r="F145" i="23"/>
  <c r="F137" i="20"/>
  <c r="B137" i="20"/>
  <c r="H143" i="3"/>
  <c r="I143" i="3"/>
  <c r="F140" i="22"/>
  <c r="B140" i="22"/>
  <c r="B144" i="3"/>
  <c r="F144" i="3"/>
  <c r="G148" i="39" l="1"/>
  <c r="I148" i="39" s="1"/>
  <c r="D149" i="39"/>
  <c r="E149" i="39" s="1"/>
  <c r="G138" i="40"/>
  <c r="I138" i="40" s="1"/>
  <c r="D139" i="40"/>
  <c r="G146" i="41"/>
  <c r="I146" i="41" s="1"/>
  <c r="D147" i="41"/>
  <c r="E147" i="41" s="1"/>
  <c r="F147" i="41" s="1"/>
  <c r="H148" i="39"/>
  <c r="B148" i="39"/>
  <c r="B146" i="41"/>
  <c r="H146" i="41"/>
  <c r="D141" i="26"/>
  <c r="G140" i="26"/>
  <c r="J139" i="26"/>
  <c r="J136" i="31"/>
  <c r="J140" i="28"/>
  <c r="G143" i="18"/>
  <c r="D144" i="18"/>
  <c r="B144" i="18" s="1"/>
  <c r="J142" i="18"/>
  <c r="D57" i="13"/>
  <c r="E57" i="13" s="1"/>
  <c r="H56" i="13"/>
  <c r="G56" i="13"/>
  <c r="G144" i="4"/>
  <c r="D145" i="4"/>
  <c r="D137" i="37"/>
  <c r="G136" i="37"/>
  <c r="G137" i="35"/>
  <c r="D138" i="35"/>
  <c r="E138" i="35" s="1"/>
  <c r="J143" i="4"/>
  <c r="E140" i="25"/>
  <c r="F140" i="25" s="1"/>
  <c r="B140" i="25"/>
  <c r="G137" i="31"/>
  <c r="D138" i="31"/>
  <c r="E138" i="31" s="1"/>
  <c r="I139" i="25"/>
  <c r="H139" i="25"/>
  <c r="G142" i="29"/>
  <c r="D143" i="29"/>
  <c r="E143" i="29" s="1"/>
  <c r="B137" i="34"/>
  <c r="H137" i="13"/>
  <c r="I137" i="13"/>
  <c r="H136" i="38"/>
  <c r="I136" i="38"/>
  <c r="F141" i="21"/>
  <c r="B141" i="21"/>
  <c r="B141" i="27"/>
  <c r="F141" i="27"/>
  <c r="F138" i="13"/>
  <c r="B138" i="13"/>
  <c r="I140" i="21"/>
  <c r="H140" i="21"/>
  <c r="H140" i="27"/>
  <c r="I140" i="27"/>
  <c r="B137" i="38"/>
  <c r="F137" i="38"/>
  <c r="G143" i="19"/>
  <c r="D144" i="19"/>
  <c r="E144" i="19" s="1"/>
  <c r="J143" i="3"/>
  <c r="J142" i="19"/>
  <c r="B141" i="24"/>
  <c r="F141" i="24"/>
  <c r="E137" i="34"/>
  <c r="F137" i="34" s="1"/>
  <c r="J144" i="23"/>
  <c r="I140" i="24"/>
  <c r="H140" i="24"/>
  <c r="H136" i="34"/>
  <c r="I136" i="34"/>
  <c r="J139" i="22"/>
  <c r="G140" i="22"/>
  <c r="D141" i="22"/>
  <c r="E141" i="22" s="1"/>
  <c r="J136" i="20"/>
  <c r="G137" i="20"/>
  <c r="D138" i="20"/>
  <c r="E138" i="20" s="1"/>
  <c r="G144" i="3"/>
  <c r="D145" i="3"/>
  <c r="E145" i="3" s="1"/>
  <c r="G145" i="23"/>
  <c r="D146" i="23"/>
  <c r="E146" i="23" s="1"/>
  <c r="B147" i="41" l="1"/>
  <c r="H147" i="41"/>
  <c r="B149" i="39"/>
  <c r="F149" i="39"/>
  <c r="D148" i="41"/>
  <c r="E148" i="41" s="1"/>
  <c r="F148" i="41" s="1"/>
  <c r="G147" i="41"/>
  <c r="I147" i="41" s="1"/>
  <c r="E139" i="40"/>
  <c r="F139" i="40" s="1"/>
  <c r="H139" i="40" s="1"/>
  <c r="B139" i="40"/>
  <c r="H140" i="26"/>
  <c r="I140" i="26"/>
  <c r="E141" i="26"/>
  <c r="F141" i="26" s="1"/>
  <c r="B141" i="26"/>
  <c r="E144" i="18"/>
  <c r="F144" i="18" s="1"/>
  <c r="I143" i="18"/>
  <c r="H143" i="18"/>
  <c r="I56" i="13"/>
  <c r="B57" i="13"/>
  <c r="F57" i="13"/>
  <c r="F138" i="35"/>
  <c r="B138" i="35"/>
  <c r="H136" i="37"/>
  <c r="I136" i="37"/>
  <c r="I137" i="35"/>
  <c r="H137" i="35"/>
  <c r="B137" i="37"/>
  <c r="E137" i="37"/>
  <c r="F137" i="37" s="1"/>
  <c r="B145" i="4"/>
  <c r="E145" i="4"/>
  <c r="F145" i="4" s="1"/>
  <c r="H144" i="4"/>
  <c r="I144" i="4"/>
  <c r="B142" i="28"/>
  <c r="F138" i="31"/>
  <c r="B138" i="31"/>
  <c r="I137" i="31"/>
  <c r="H137" i="31"/>
  <c r="D141" i="25"/>
  <c r="G140" i="25"/>
  <c r="J140" i="21"/>
  <c r="D138" i="34"/>
  <c r="E138" i="34" s="1"/>
  <c r="G137" i="34"/>
  <c r="G141" i="24"/>
  <c r="D142" i="24"/>
  <c r="E142" i="24" s="1"/>
  <c r="H143" i="19"/>
  <c r="I143" i="19"/>
  <c r="B144" i="19"/>
  <c r="F144" i="19"/>
  <c r="D142" i="21"/>
  <c r="G141" i="21"/>
  <c r="D142" i="27"/>
  <c r="E142" i="27" s="1"/>
  <c r="G141" i="27"/>
  <c r="D138" i="38"/>
  <c r="E138" i="38" s="1"/>
  <c r="G137" i="38"/>
  <c r="J140" i="27"/>
  <c r="F143" i="29"/>
  <c r="J140" i="24"/>
  <c r="G138" i="13"/>
  <c r="D139" i="13"/>
  <c r="I142" i="29"/>
  <c r="H142" i="29"/>
  <c r="H144" i="3"/>
  <c r="I144" i="3"/>
  <c r="H145" i="23"/>
  <c r="I145" i="23"/>
  <c r="H137" i="20"/>
  <c r="I137" i="20"/>
  <c r="F138" i="20"/>
  <c r="B138" i="20"/>
  <c r="I140" i="22"/>
  <c r="H140" i="22"/>
  <c r="F146" i="23"/>
  <c r="B145" i="3"/>
  <c r="F145" i="3"/>
  <c r="B141" i="22"/>
  <c r="F141" i="22"/>
  <c r="D150" i="39" l="1"/>
  <c r="E150" i="39" s="1"/>
  <c r="G149" i="39"/>
  <c r="I149" i="39" s="1"/>
  <c r="B148" i="41"/>
  <c r="H148" i="41"/>
  <c r="D149" i="41"/>
  <c r="G148" i="41"/>
  <c r="I148" i="41" s="1"/>
  <c r="E149" i="41"/>
  <c r="G139" i="40"/>
  <c r="I139" i="40" s="1"/>
  <c r="D140" i="40"/>
  <c r="H149" i="39"/>
  <c r="J143" i="18"/>
  <c r="J140" i="26"/>
  <c r="J137" i="20"/>
  <c r="D142" i="26"/>
  <c r="G141" i="26"/>
  <c r="J143" i="19"/>
  <c r="G144" i="18"/>
  <c r="D145" i="18"/>
  <c r="J144" i="4"/>
  <c r="D58" i="13"/>
  <c r="E58" i="13" s="1"/>
  <c r="G57" i="13"/>
  <c r="H57" i="13"/>
  <c r="J144" i="3"/>
  <c r="G137" i="37"/>
  <c r="D138" i="37"/>
  <c r="B138" i="37" s="1"/>
  <c r="J145" i="23"/>
  <c r="J141" i="28"/>
  <c r="J137" i="31"/>
  <c r="D139" i="35"/>
  <c r="G138" i="35"/>
  <c r="G145" i="4"/>
  <c r="D146" i="4"/>
  <c r="G138" i="31"/>
  <c r="D139" i="31"/>
  <c r="I140" i="25"/>
  <c r="H140" i="25"/>
  <c r="E141" i="25"/>
  <c r="F141" i="25" s="1"/>
  <c r="B141" i="25"/>
  <c r="D144" i="29"/>
  <c r="E144" i="29" s="1"/>
  <c r="G143" i="29"/>
  <c r="F138" i="38"/>
  <c r="B138" i="38"/>
  <c r="H137" i="38"/>
  <c r="I137" i="38"/>
  <c r="D145" i="19"/>
  <c r="E145" i="19" s="1"/>
  <c r="G144" i="19"/>
  <c r="B142" i="24"/>
  <c r="F142" i="24"/>
  <c r="B142" i="21"/>
  <c r="B139" i="13"/>
  <c r="H141" i="24"/>
  <c r="I141" i="24"/>
  <c r="E139" i="13"/>
  <c r="F139" i="13" s="1"/>
  <c r="H141" i="27"/>
  <c r="I141" i="27"/>
  <c r="E142" i="21"/>
  <c r="F142" i="21" s="1"/>
  <c r="H137" i="34"/>
  <c r="I137" i="34"/>
  <c r="I138" i="13"/>
  <c r="H138" i="13"/>
  <c r="B142" i="27"/>
  <c r="F142" i="27"/>
  <c r="H141" i="21"/>
  <c r="I141" i="21"/>
  <c r="B138" i="34"/>
  <c r="F138" i="34"/>
  <c r="D142" i="22"/>
  <c r="G141" i="22"/>
  <c r="G145" i="3"/>
  <c r="D146" i="3"/>
  <c r="E146" i="3" s="1"/>
  <c r="D139" i="20"/>
  <c r="E139" i="20" s="1"/>
  <c r="G138" i="20"/>
  <c r="G146" i="23"/>
  <c r="D147" i="23"/>
  <c r="J140" i="22"/>
  <c r="E140" i="40" l="1"/>
  <c r="F140" i="40" s="1"/>
  <c r="B140" i="40"/>
  <c r="F149" i="41"/>
  <c r="B149" i="41"/>
  <c r="F150" i="39"/>
  <c r="B150" i="39"/>
  <c r="I141" i="26"/>
  <c r="H141" i="26"/>
  <c r="E142" i="26"/>
  <c r="F142" i="26" s="1"/>
  <c r="B142" i="26"/>
  <c r="J141" i="27"/>
  <c r="E145" i="18"/>
  <c r="F145" i="18" s="1"/>
  <c r="B145" i="18"/>
  <c r="I144" i="18"/>
  <c r="H144" i="18"/>
  <c r="J141" i="21"/>
  <c r="I57" i="13"/>
  <c r="B58" i="13"/>
  <c r="F58" i="13"/>
  <c r="H138" i="35"/>
  <c r="I138" i="35"/>
  <c r="E139" i="35"/>
  <c r="F139" i="35" s="1"/>
  <c r="B139" i="35"/>
  <c r="E138" i="37"/>
  <c r="F138" i="37" s="1"/>
  <c r="E146" i="4"/>
  <c r="F146" i="4" s="1"/>
  <c r="B146" i="4"/>
  <c r="I145" i="4"/>
  <c r="H145" i="4"/>
  <c r="I137" i="37"/>
  <c r="H137" i="37"/>
  <c r="G141" i="25"/>
  <c r="D142" i="25"/>
  <c r="B143" i="28"/>
  <c r="E139" i="31"/>
  <c r="F139" i="31" s="1"/>
  <c r="B139" i="31"/>
  <c r="H138" i="31"/>
  <c r="I138" i="31"/>
  <c r="D140" i="13"/>
  <c r="E140" i="13" s="1"/>
  <c r="G139" i="13"/>
  <c r="G142" i="21"/>
  <c r="D143" i="21"/>
  <c r="E143" i="21" s="1"/>
  <c r="B145" i="19"/>
  <c r="F145" i="19"/>
  <c r="G142" i="27"/>
  <c r="D143" i="27"/>
  <c r="E143" i="27" s="1"/>
  <c r="G142" i="24"/>
  <c r="D143" i="24"/>
  <c r="E143" i="24" s="1"/>
  <c r="G138" i="38"/>
  <c r="D139" i="38"/>
  <c r="E139" i="38" s="1"/>
  <c r="D139" i="34"/>
  <c r="E139" i="34" s="1"/>
  <c r="G138" i="34"/>
  <c r="J141" i="24"/>
  <c r="H143" i="29"/>
  <c r="I143" i="29"/>
  <c r="F144" i="29"/>
  <c r="H144" i="19"/>
  <c r="I144" i="19"/>
  <c r="I145" i="3"/>
  <c r="H145" i="3"/>
  <c r="B146" i="3"/>
  <c r="F146" i="3"/>
  <c r="E147" i="23"/>
  <c r="F147" i="23" s="1"/>
  <c r="H141" i="22"/>
  <c r="I141" i="22"/>
  <c r="H146" i="23"/>
  <c r="I146" i="23"/>
  <c r="B142" i="22"/>
  <c r="F139" i="20"/>
  <c r="B139" i="20"/>
  <c r="I138" i="20"/>
  <c r="H138" i="20"/>
  <c r="E142" i="22"/>
  <c r="F142" i="22" s="1"/>
  <c r="D150" i="41" l="1"/>
  <c r="E150" i="41" s="1"/>
  <c r="F150" i="41" s="1"/>
  <c r="G149" i="41"/>
  <c r="I149" i="41" s="1"/>
  <c r="H149" i="41"/>
  <c r="H140" i="40"/>
  <c r="G140" i="40"/>
  <c r="I140" i="40" s="1"/>
  <c r="D141" i="40"/>
  <c r="G150" i="39"/>
  <c r="I150" i="39" s="1"/>
  <c r="D151" i="39"/>
  <c r="E151" i="39" s="1"/>
  <c r="H150" i="39"/>
  <c r="D143" i="26"/>
  <c r="G142" i="26"/>
  <c r="J141" i="26"/>
  <c r="J144" i="18"/>
  <c r="D146" i="18"/>
  <c r="G145" i="18"/>
  <c r="D59" i="13"/>
  <c r="E59" i="13" s="1"/>
  <c r="G58" i="13"/>
  <c r="H58" i="13"/>
  <c r="D140" i="35"/>
  <c r="G139" i="35"/>
  <c r="J138" i="31"/>
  <c r="D147" i="4"/>
  <c r="G146" i="4"/>
  <c r="G138" i="37"/>
  <c r="D139" i="37"/>
  <c r="E139" i="37" s="1"/>
  <c r="J145" i="4"/>
  <c r="G139" i="31"/>
  <c r="D140" i="31"/>
  <c r="J142" i="28"/>
  <c r="E142" i="25"/>
  <c r="F142" i="25" s="1"/>
  <c r="B142" i="25"/>
  <c r="J141" i="22"/>
  <c r="H141" i="25"/>
  <c r="I141" i="25"/>
  <c r="J146" i="23"/>
  <c r="J138" i="20"/>
  <c r="B139" i="38"/>
  <c r="F139" i="38"/>
  <c r="G144" i="29"/>
  <c r="D145" i="29"/>
  <c r="E145" i="29" s="1"/>
  <c r="F143" i="21"/>
  <c r="B143" i="21"/>
  <c r="H138" i="38"/>
  <c r="I138" i="38"/>
  <c r="F143" i="27"/>
  <c r="B143" i="27"/>
  <c r="I142" i="21"/>
  <c r="H142" i="21"/>
  <c r="H142" i="27"/>
  <c r="I142" i="27"/>
  <c r="H139" i="13"/>
  <c r="I139" i="13"/>
  <c r="H138" i="34"/>
  <c r="I138" i="34"/>
  <c r="B143" i="24"/>
  <c r="F143" i="24"/>
  <c r="G145" i="19"/>
  <c r="D146" i="19"/>
  <c r="J144" i="19"/>
  <c r="F139" i="34"/>
  <c r="B139" i="34"/>
  <c r="I142" i="24"/>
  <c r="H142" i="24"/>
  <c r="F140" i="13"/>
  <c r="B140" i="13"/>
  <c r="D148" i="23"/>
  <c r="E148" i="23" s="1"/>
  <c r="G147" i="23"/>
  <c r="D143" i="22"/>
  <c r="E143" i="22" s="1"/>
  <c r="G142" i="22"/>
  <c r="G146" i="3"/>
  <c r="D147" i="3"/>
  <c r="D140" i="20"/>
  <c r="E140" i="20" s="1"/>
  <c r="G139" i="20"/>
  <c r="J145" i="3"/>
  <c r="E141" i="40" l="1"/>
  <c r="F141" i="40" s="1"/>
  <c r="H141" i="40" s="1"/>
  <c r="B141" i="40"/>
  <c r="G150" i="41"/>
  <c r="I150" i="41" s="1"/>
  <c r="D151" i="41"/>
  <c r="E151" i="41" s="1"/>
  <c r="F151" i="41" s="1"/>
  <c r="F151" i="39"/>
  <c r="B151" i="39"/>
  <c r="B150" i="41"/>
  <c r="H150" i="41"/>
  <c r="H142" i="26"/>
  <c r="I142" i="26"/>
  <c r="E143" i="26"/>
  <c r="F143" i="26" s="1"/>
  <c r="B143" i="26"/>
  <c r="J142" i="27"/>
  <c r="H145" i="18"/>
  <c r="I145" i="18"/>
  <c r="E146" i="18"/>
  <c r="F146" i="18" s="1"/>
  <c r="B146" i="18"/>
  <c r="B59" i="13"/>
  <c r="F59" i="13"/>
  <c r="H59" i="13" s="1"/>
  <c r="I58" i="13"/>
  <c r="B139" i="37"/>
  <c r="F139" i="37"/>
  <c r="I138" i="37"/>
  <c r="H138" i="37"/>
  <c r="I146" i="4"/>
  <c r="H146" i="4"/>
  <c r="B147" i="4"/>
  <c r="E147" i="4"/>
  <c r="F147" i="4" s="1"/>
  <c r="H139" i="35"/>
  <c r="I139" i="35"/>
  <c r="E140" i="35"/>
  <c r="F140" i="35" s="1"/>
  <c r="B140" i="35"/>
  <c r="G142" i="25"/>
  <c r="D143" i="25"/>
  <c r="B144" i="28"/>
  <c r="B140" i="31"/>
  <c r="I139" i="31"/>
  <c r="H139" i="31"/>
  <c r="E140" i="31"/>
  <c r="F140" i="31" s="1"/>
  <c r="B146" i="19"/>
  <c r="H145" i="19"/>
  <c r="I145" i="19"/>
  <c r="J142" i="21"/>
  <c r="D140" i="38"/>
  <c r="E140" i="38" s="1"/>
  <c r="G139" i="38"/>
  <c r="G143" i="24"/>
  <c r="D144" i="24"/>
  <c r="E144" i="24" s="1"/>
  <c r="F145" i="29"/>
  <c r="G143" i="27"/>
  <c r="D144" i="27"/>
  <c r="E144" i="27" s="1"/>
  <c r="I144" i="29"/>
  <c r="H144" i="29"/>
  <c r="J142" i="24"/>
  <c r="G143" i="21"/>
  <c r="D144" i="21"/>
  <c r="E144" i="21" s="1"/>
  <c r="D141" i="13"/>
  <c r="E141" i="13" s="1"/>
  <c r="G140" i="13"/>
  <c r="D140" i="34"/>
  <c r="G139" i="34"/>
  <c r="E146" i="19"/>
  <c r="F146" i="19" s="1"/>
  <c r="I142" i="22"/>
  <c r="H142" i="22"/>
  <c r="B147" i="3"/>
  <c r="H146" i="3"/>
  <c r="I146" i="3"/>
  <c r="H139" i="20"/>
  <c r="I139" i="20"/>
  <c r="B143" i="22"/>
  <c r="F143" i="22"/>
  <c r="I147" i="23"/>
  <c r="H147" i="23"/>
  <c r="E147" i="3"/>
  <c r="F147" i="3" s="1"/>
  <c r="B140" i="20"/>
  <c r="F140" i="20"/>
  <c r="F148" i="23"/>
  <c r="D152" i="39" l="1"/>
  <c r="E152" i="39" s="1"/>
  <c r="G151" i="39"/>
  <c r="I151" i="39" s="1"/>
  <c r="G141" i="40"/>
  <c r="I141" i="40" s="1"/>
  <c r="D142" i="40"/>
  <c r="H151" i="39"/>
  <c r="B151" i="41"/>
  <c r="H151" i="41"/>
  <c r="D152" i="41"/>
  <c r="E152" i="41" s="1"/>
  <c r="F152" i="41" s="1"/>
  <c r="G151" i="41"/>
  <c r="I151" i="41" s="1"/>
  <c r="J142" i="26"/>
  <c r="D144" i="26"/>
  <c r="G143" i="26"/>
  <c r="J145" i="18"/>
  <c r="D147" i="18"/>
  <c r="G146" i="18"/>
  <c r="J146" i="3"/>
  <c r="J139" i="31"/>
  <c r="D60" i="13"/>
  <c r="E60" i="13" s="1"/>
  <c r="G59" i="13"/>
  <c r="I59" i="13" s="1"/>
  <c r="D148" i="4"/>
  <c r="G147" i="4"/>
  <c r="J146" i="4"/>
  <c r="D141" i="35"/>
  <c r="G140" i="35"/>
  <c r="D140" i="37"/>
  <c r="E140" i="37" s="1"/>
  <c r="G139" i="37"/>
  <c r="J143" i="28"/>
  <c r="B145" i="28"/>
  <c r="D141" i="31"/>
  <c r="G140" i="31"/>
  <c r="E143" i="25"/>
  <c r="F143" i="25" s="1"/>
  <c r="B143" i="25"/>
  <c r="J139" i="20"/>
  <c r="J145" i="19"/>
  <c r="H142" i="25"/>
  <c r="I142" i="25"/>
  <c r="G146" i="19"/>
  <c r="D147" i="19"/>
  <c r="B140" i="34"/>
  <c r="G145" i="29"/>
  <c r="D146" i="29"/>
  <c r="E146" i="29" s="1"/>
  <c r="B144" i="21"/>
  <c r="F144" i="21"/>
  <c r="I143" i="21"/>
  <c r="H143" i="21"/>
  <c r="F144" i="24"/>
  <c r="B144" i="24"/>
  <c r="H139" i="34"/>
  <c r="I139" i="34"/>
  <c r="I143" i="24"/>
  <c r="H143" i="24"/>
  <c r="I140" i="13"/>
  <c r="H140" i="13"/>
  <c r="F144" i="27"/>
  <c r="B144" i="27"/>
  <c r="F140" i="38"/>
  <c r="B140" i="38"/>
  <c r="E140" i="34"/>
  <c r="F140" i="34" s="1"/>
  <c r="B141" i="13"/>
  <c r="F141" i="13"/>
  <c r="I143" i="27"/>
  <c r="H143" i="27"/>
  <c r="H139" i="38"/>
  <c r="I139" i="38"/>
  <c r="G148" i="23"/>
  <c r="D149" i="23"/>
  <c r="J147" i="23"/>
  <c r="D144" i="22"/>
  <c r="E144" i="22" s="1"/>
  <c r="G143" i="22"/>
  <c r="D148" i="3"/>
  <c r="E148" i="3" s="1"/>
  <c r="G147" i="3"/>
  <c r="G140" i="20"/>
  <c r="D141" i="20"/>
  <c r="E141" i="20" s="1"/>
  <c r="J142" i="22"/>
  <c r="D153" i="41" l="1"/>
  <c r="E153" i="41" s="1"/>
  <c r="G152" i="41"/>
  <c r="I152" i="41" s="1"/>
  <c r="B152" i="41"/>
  <c r="H152" i="41"/>
  <c r="E142" i="40"/>
  <c r="F142" i="40" s="1"/>
  <c r="B142" i="40"/>
  <c r="B152" i="39"/>
  <c r="F152" i="39"/>
  <c r="H152" i="39" s="1"/>
  <c r="I143" i="26"/>
  <c r="H143" i="26"/>
  <c r="E144" i="26"/>
  <c r="F144" i="26" s="1"/>
  <c r="B144" i="26"/>
  <c r="I146" i="18"/>
  <c r="H146" i="18"/>
  <c r="E147" i="18"/>
  <c r="F147" i="18" s="1"/>
  <c r="B147" i="18"/>
  <c r="F60" i="13"/>
  <c r="G60" i="13" s="1"/>
  <c r="B60" i="13"/>
  <c r="F140" i="37"/>
  <c r="B140" i="37"/>
  <c r="I140" i="35"/>
  <c r="H140" i="35"/>
  <c r="B141" i="35"/>
  <c r="E141" i="35"/>
  <c r="F141" i="35" s="1"/>
  <c r="I147" i="4"/>
  <c r="H147" i="4"/>
  <c r="I139" i="37"/>
  <c r="H139" i="37"/>
  <c r="E148" i="4"/>
  <c r="F148" i="4" s="1"/>
  <c r="B148" i="4"/>
  <c r="G143" i="25"/>
  <c r="D144" i="25"/>
  <c r="B144" i="25" s="1"/>
  <c r="H140" i="31"/>
  <c r="I140" i="31"/>
  <c r="E141" i="31"/>
  <c r="F141" i="31" s="1"/>
  <c r="B141" i="31"/>
  <c r="D145" i="21"/>
  <c r="E145" i="21" s="1"/>
  <c r="G144" i="21"/>
  <c r="J143" i="24"/>
  <c r="G140" i="34"/>
  <c r="D141" i="34"/>
  <c r="E141" i="34" s="1"/>
  <c r="G144" i="24"/>
  <c r="D145" i="24"/>
  <c r="J143" i="21"/>
  <c r="D141" i="38"/>
  <c r="E141" i="38" s="1"/>
  <c r="G140" i="38"/>
  <c r="D145" i="27"/>
  <c r="E145" i="27" s="1"/>
  <c r="G144" i="27"/>
  <c r="F146" i="29"/>
  <c r="B147" i="19"/>
  <c r="J143" i="27"/>
  <c r="I145" i="29"/>
  <c r="H145" i="29"/>
  <c r="E147" i="19"/>
  <c r="F147" i="19" s="1"/>
  <c r="D142" i="13"/>
  <c r="E142" i="13" s="1"/>
  <c r="G141" i="13"/>
  <c r="H146" i="19"/>
  <c r="I146" i="19"/>
  <c r="F144" i="22"/>
  <c r="B144" i="22"/>
  <c r="H143" i="22"/>
  <c r="I143" i="22"/>
  <c r="I140" i="20"/>
  <c r="H140" i="20"/>
  <c r="I147" i="3"/>
  <c r="H147" i="3"/>
  <c r="H148" i="23"/>
  <c r="I148" i="23"/>
  <c r="E149" i="23"/>
  <c r="F149" i="23" s="1"/>
  <c r="B141" i="20"/>
  <c r="F141" i="20"/>
  <c r="B148" i="3"/>
  <c r="F148" i="3"/>
  <c r="D143" i="40" l="1"/>
  <c r="G142" i="40"/>
  <c r="I142" i="40" s="1"/>
  <c r="G152" i="39"/>
  <c r="I152" i="39" s="1"/>
  <c r="D153" i="39"/>
  <c r="H142" i="40"/>
  <c r="F153" i="41"/>
  <c r="B153" i="41"/>
  <c r="B146" i="28"/>
  <c r="D145" i="26"/>
  <c r="G144" i="26"/>
  <c r="J143" i="26"/>
  <c r="E144" i="25"/>
  <c r="F144" i="25" s="1"/>
  <c r="D145" i="25" s="1"/>
  <c r="E145" i="25" s="1"/>
  <c r="G147" i="18"/>
  <c r="D148" i="18"/>
  <c r="J144" i="28"/>
  <c r="J146" i="18"/>
  <c r="J147" i="4"/>
  <c r="D61" i="13"/>
  <c r="E61" i="13" s="1"/>
  <c r="J140" i="31"/>
  <c r="H60" i="13"/>
  <c r="I60" i="13" s="1"/>
  <c r="G141" i="35"/>
  <c r="D142" i="35"/>
  <c r="B142" i="35" s="1"/>
  <c r="G148" i="4"/>
  <c r="D149" i="4"/>
  <c r="J146" i="19"/>
  <c r="D141" i="37"/>
  <c r="G140" i="37"/>
  <c r="D142" i="31"/>
  <c r="E142" i="31" s="1"/>
  <c r="G141" i="31"/>
  <c r="H143" i="25"/>
  <c r="I143" i="25"/>
  <c r="D148" i="19"/>
  <c r="G147" i="19"/>
  <c r="I144" i="24"/>
  <c r="H144" i="24"/>
  <c r="H141" i="13"/>
  <c r="I141" i="13"/>
  <c r="F142" i="13"/>
  <c r="B142" i="13"/>
  <c r="I144" i="27"/>
  <c r="H144" i="27"/>
  <c r="F141" i="34"/>
  <c r="B141" i="34"/>
  <c r="J140" i="20"/>
  <c r="B145" i="27"/>
  <c r="F145" i="27"/>
  <c r="H140" i="34"/>
  <c r="I140" i="34"/>
  <c r="H144" i="21"/>
  <c r="I144" i="21"/>
  <c r="B145" i="24"/>
  <c r="J143" i="22"/>
  <c r="H140" i="38"/>
  <c r="I140" i="38"/>
  <c r="B145" i="21"/>
  <c r="F145" i="21"/>
  <c r="J148" i="23"/>
  <c r="G146" i="29"/>
  <c r="D147" i="29"/>
  <c r="E147" i="29" s="1"/>
  <c r="F141" i="38"/>
  <c r="B141" i="38"/>
  <c r="E145" i="24"/>
  <c r="F145" i="24" s="1"/>
  <c r="G149" i="23"/>
  <c r="D150" i="23"/>
  <c r="G144" i="22"/>
  <c r="D145" i="22"/>
  <c r="E145" i="22" s="1"/>
  <c r="J147" i="3"/>
  <c r="G148" i="3"/>
  <c r="D149" i="3"/>
  <c r="E149" i="3" s="1"/>
  <c r="D142" i="20"/>
  <c r="E142" i="20" s="1"/>
  <c r="G141" i="20"/>
  <c r="B153" i="39" l="1"/>
  <c r="G153" i="41"/>
  <c r="I153" i="41" s="1"/>
  <c r="D154" i="41"/>
  <c r="H153" i="41"/>
  <c r="E153" i="39"/>
  <c r="F153" i="39" s="1"/>
  <c r="E143" i="40"/>
  <c r="F143" i="40" s="1"/>
  <c r="B143" i="40"/>
  <c r="J145" i="28"/>
  <c r="G144" i="25"/>
  <c r="I144" i="25" s="1"/>
  <c r="F145" i="25"/>
  <c r="D146" i="25" s="1"/>
  <c r="B145" i="25"/>
  <c r="I144" i="26"/>
  <c r="H144" i="26"/>
  <c r="E145" i="26"/>
  <c r="F145" i="26" s="1"/>
  <c r="B145" i="26"/>
  <c r="E148" i="18"/>
  <c r="F148" i="18" s="1"/>
  <c r="B148" i="18"/>
  <c r="I147" i="18"/>
  <c r="H147" i="18"/>
  <c r="E142" i="35"/>
  <c r="F142" i="35" s="1"/>
  <c r="F61" i="13"/>
  <c r="H61" i="13" s="1"/>
  <c r="B61" i="13"/>
  <c r="E141" i="37"/>
  <c r="F141" i="37" s="1"/>
  <c r="B141" i="37"/>
  <c r="H140" i="37"/>
  <c r="I140" i="37"/>
  <c r="E149" i="4"/>
  <c r="F149" i="4" s="1"/>
  <c r="B149" i="4"/>
  <c r="H148" i="4"/>
  <c r="I148" i="4"/>
  <c r="H141" i="35"/>
  <c r="I141" i="35"/>
  <c r="J144" i="21"/>
  <c r="H141" i="31"/>
  <c r="I141" i="31"/>
  <c r="B142" i="31"/>
  <c r="F142" i="31"/>
  <c r="G145" i="24"/>
  <c r="D146" i="24"/>
  <c r="E146" i="24" s="1"/>
  <c r="D143" i="13"/>
  <c r="E143" i="13" s="1"/>
  <c r="G142" i="13"/>
  <c r="J144" i="24"/>
  <c r="I147" i="19"/>
  <c r="H147" i="19"/>
  <c r="B148" i="19"/>
  <c r="B147" i="28"/>
  <c r="G141" i="34"/>
  <c r="D142" i="34"/>
  <c r="E142" i="34" s="1"/>
  <c r="E148" i="19"/>
  <c r="F148" i="19" s="1"/>
  <c r="H146" i="29"/>
  <c r="I146" i="29"/>
  <c r="G141" i="38"/>
  <c r="D142" i="38"/>
  <c r="E142" i="38" s="1"/>
  <c r="D146" i="27"/>
  <c r="E146" i="27" s="1"/>
  <c r="G145" i="27"/>
  <c r="J144" i="27"/>
  <c r="F147" i="29"/>
  <c r="G145" i="21"/>
  <c r="D146" i="21"/>
  <c r="E146" i="21" s="1"/>
  <c r="B149" i="3"/>
  <c r="F149" i="3"/>
  <c r="H148" i="3"/>
  <c r="I148" i="3"/>
  <c r="E150" i="23"/>
  <c r="F150" i="23" s="1"/>
  <c r="H144" i="22"/>
  <c r="I144" i="22"/>
  <c r="I141" i="20"/>
  <c r="H141" i="20"/>
  <c r="F142" i="20"/>
  <c r="B142" i="20"/>
  <c r="B145" i="22"/>
  <c r="F145" i="22"/>
  <c r="I149" i="23"/>
  <c r="H149" i="23"/>
  <c r="G143" i="40" l="1"/>
  <c r="I143" i="40" s="1"/>
  <c r="D144" i="40"/>
  <c r="E144" i="40" s="1"/>
  <c r="H143" i="40"/>
  <c r="G153" i="39"/>
  <c r="I153" i="39" s="1"/>
  <c r="D154" i="39"/>
  <c r="H153" i="39"/>
  <c r="B154" i="41"/>
  <c r="E154" i="41"/>
  <c r="F154" i="41" s="1"/>
  <c r="G145" i="25"/>
  <c r="H144" i="25"/>
  <c r="J147" i="18"/>
  <c r="G145" i="26"/>
  <c r="D146" i="26"/>
  <c r="J148" i="4"/>
  <c r="J144" i="26"/>
  <c r="J146" i="28"/>
  <c r="D149" i="18"/>
  <c r="G148" i="18"/>
  <c r="D62" i="13"/>
  <c r="E62" i="13" s="1"/>
  <c r="D143" i="35"/>
  <c r="G142" i="35"/>
  <c r="G61" i="13"/>
  <c r="I61" i="13" s="1"/>
  <c r="J141" i="31"/>
  <c r="D142" i="37"/>
  <c r="G141" i="37"/>
  <c r="G149" i="4"/>
  <c r="D150" i="4"/>
  <c r="D143" i="31"/>
  <c r="G142" i="31"/>
  <c r="J147" i="19"/>
  <c r="J148" i="3"/>
  <c r="D149" i="19"/>
  <c r="G148" i="19"/>
  <c r="B142" i="38"/>
  <c r="F142" i="38"/>
  <c r="B146" i="21"/>
  <c r="F146" i="21"/>
  <c r="H141" i="38"/>
  <c r="I141" i="38"/>
  <c r="H142" i="13"/>
  <c r="I142" i="13"/>
  <c r="I145" i="21"/>
  <c r="H145" i="21"/>
  <c r="G147" i="29"/>
  <c r="D148" i="29"/>
  <c r="E148" i="29" s="1"/>
  <c r="B143" i="13"/>
  <c r="F143" i="13"/>
  <c r="I141" i="34"/>
  <c r="H141" i="34"/>
  <c r="B146" i="25"/>
  <c r="I145" i="25"/>
  <c r="H145" i="25"/>
  <c r="H145" i="27"/>
  <c r="I145" i="27"/>
  <c r="B146" i="24"/>
  <c r="F146" i="24"/>
  <c r="J149" i="23"/>
  <c r="J144" i="22"/>
  <c r="E146" i="25"/>
  <c r="F146" i="25" s="1"/>
  <c r="F146" i="27"/>
  <c r="B146" i="27"/>
  <c r="B142" i="34"/>
  <c r="F142" i="34"/>
  <c r="H145" i="24"/>
  <c r="I145" i="24"/>
  <c r="G149" i="3"/>
  <c r="D150" i="3"/>
  <c r="E150" i="3" s="1"/>
  <c r="D151" i="23"/>
  <c r="E151" i="23" s="1"/>
  <c r="G150" i="23"/>
  <c r="J141" i="20"/>
  <c r="G145" i="22"/>
  <c r="D146" i="22"/>
  <c r="E146" i="22" s="1"/>
  <c r="D143" i="20"/>
  <c r="E143" i="20" s="1"/>
  <c r="G142" i="20"/>
  <c r="G154" i="41" l="1"/>
  <c r="I154" i="41" s="1"/>
  <c r="D155" i="41"/>
  <c r="E155" i="41" s="1"/>
  <c r="E154" i="39"/>
  <c r="F154" i="39" s="1"/>
  <c r="B154" i="39"/>
  <c r="B144" i="40"/>
  <c r="F144" i="40"/>
  <c r="H154" i="41"/>
  <c r="E146" i="26"/>
  <c r="F146" i="26" s="1"/>
  <c r="B146" i="26"/>
  <c r="H145" i="26"/>
  <c r="I145" i="26"/>
  <c r="I148" i="18"/>
  <c r="H148" i="18"/>
  <c r="B149" i="18"/>
  <c r="E149" i="18"/>
  <c r="F149" i="18" s="1"/>
  <c r="H142" i="35"/>
  <c r="I142" i="35"/>
  <c r="B62" i="13"/>
  <c r="F62" i="13"/>
  <c r="E143" i="35"/>
  <c r="F143" i="35" s="1"/>
  <c r="B143" i="35"/>
  <c r="E150" i="4"/>
  <c r="F150" i="4" s="1"/>
  <c r="B150" i="4"/>
  <c r="I149" i="4"/>
  <c r="H149" i="4"/>
  <c r="H141" i="37"/>
  <c r="I141" i="37"/>
  <c r="E142" i="37"/>
  <c r="F142" i="37" s="1"/>
  <c r="B142" i="37"/>
  <c r="H142" i="31"/>
  <c r="I142" i="31"/>
  <c r="E143" i="31"/>
  <c r="F143" i="31" s="1"/>
  <c r="B143" i="31"/>
  <c r="J145" i="24"/>
  <c r="G146" i="25"/>
  <c r="D147" i="25"/>
  <c r="D143" i="34"/>
  <c r="E143" i="34" s="1"/>
  <c r="G142" i="34"/>
  <c r="D144" i="13"/>
  <c r="G143" i="13"/>
  <c r="B149" i="19"/>
  <c r="D147" i="21"/>
  <c r="E147" i="21" s="1"/>
  <c r="G146" i="21"/>
  <c r="F148" i="29"/>
  <c r="D147" i="24"/>
  <c r="E147" i="24" s="1"/>
  <c r="G146" i="24"/>
  <c r="H147" i="29"/>
  <c r="I147" i="29"/>
  <c r="G146" i="27"/>
  <c r="D147" i="27"/>
  <c r="E147" i="27" s="1"/>
  <c r="E149" i="19"/>
  <c r="F149" i="19" s="1"/>
  <c r="B148" i="28"/>
  <c r="D143" i="38"/>
  <c r="G142" i="38"/>
  <c r="J145" i="27"/>
  <c r="J145" i="21"/>
  <c r="H148" i="19"/>
  <c r="I148" i="19"/>
  <c r="H142" i="20"/>
  <c r="I142" i="20"/>
  <c r="B143" i="20"/>
  <c r="F143" i="20"/>
  <c r="F146" i="22"/>
  <c r="B146" i="22"/>
  <c r="H149" i="3"/>
  <c r="I149" i="3"/>
  <c r="B150" i="3"/>
  <c r="F150" i="3"/>
  <c r="F151" i="23"/>
  <c r="H145" i="22"/>
  <c r="I145" i="22"/>
  <c r="I150" i="23"/>
  <c r="H150" i="23"/>
  <c r="D145" i="40" l="1"/>
  <c r="E145" i="40" s="1"/>
  <c r="G144" i="40"/>
  <c r="I144" i="40" s="1"/>
  <c r="F155" i="41"/>
  <c r="G155" i="41" s="1"/>
  <c r="I155" i="41" s="1"/>
  <c r="I156" i="41" s="1"/>
  <c r="E156" i="41"/>
  <c r="B155" i="41"/>
  <c r="D155" i="39"/>
  <c r="E155" i="39" s="1"/>
  <c r="E156" i="39" s="1"/>
  <c r="G154" i="39"/>
  <c r="I154" i="39" s="1"/>
  <c r="H144" i="40"/>
  <c r="H154" i="39"/>
  <c r="J145" i="26"/>
  <c r="D147" i="26"/>
  <c r="G146" i="26"/>
  <c r="G149" i="18"/>
  <c r="D150" i="18"/>
  <c r="J148" i="18"/>
  <c r="J142" i="31"/>
  <c r="G143" i="35"/>
  <c r="D144" i="35"/>
  <c r="D63" i="13"/>
  <c r="H62" i="13"/>
  <c r="G62" i="13"/>
  <c r="G142" i="37"/>
  <c r="D143" i="37"/>
  <c r="J149" i="4"/>
  <c r="G150" i="4"/>
  <c r="D151" i="4"/>
  <c r="J149" i="3"/>
  <c r="J148" i="19"/>
  <c r="G143" i="31"/>
  <c r="D144" i="31"/>
  <c r="J147" i="28"/>
  <c r="G149" i="19"/>
  <c r="D150" i="19"/>
  <c r="B143" i="38"/>
  <c r="H143" i="13"/>
  <c r="I143" i="13"/>
  <c r="E143" i="38"/>
  <c r="F143" i="38" s="1"/>
  <c r="H146" i="21"/>
  <c r="I146" i="21"/>
  <c r="B144" i="13"/>
  <c r="J142" i="20"/>
  <c r="I146" i="24"/>
  <c r="H146" i="24"/>
  <c r="I142" i="34"/>
  <c r="H142" i="34"/>
  <c r="F147" i="24"/>
  <c r="B147" i="24"/>
  <c r="B143" i="34"/>
  <c r="F143" i="34"/>
  <c r="G148" i="29"/>
  <c r="D149" i="29"/>
  <c r="E149" i="29" s="1"/>
  <c r="B147" i="25"/>
  <c r="F147" i="27"/>
  <c r="B147" i="27"/>
  <c r="E147" i="25"/>
  <c r="F147" i="25" s="1"/>
  <c r="B147" i="21"/>
  <c r="F147" i="21"/>
  <c r="H142" i="38"/>
  <c r="I142" i="38"/>
  <c r="H146" i="27"/>
  <c r="I146" i="27"/>
  <c r="E144" i="13"/>
  <c r="F144" i="13" s="1"/>
  <c r="H146" i="25"/>
  <c r="I146" i="25"/>
  <c r="G146" i="22"/>
  <c r="D147" i="22"/>
  <c r="J150" i="23"/>
  <c r="G143" i="20"/>
  <c r="D144" i="20"/>
  <c r="E144" i="20" s="1"/>
  <c r="G151" i="23"/>
  <c r="D152" i="23"/>
  <c r="E152" i="23" s="1"/>
  <c r="D151" i="3"/>
  <c r="E151" i="3" s="1"/>
  <c r="G150" i="3"/>
  <c r="J145" i="22"/>
  <c r="H155" i="41" l="1"/>
  <c r="H156" i="41" s="1"/>
  <c r="B155" i="39"/>
  <c r="F155" i="39"/>
  <c r="G155" i="39" s="1"/>
  <c r="I155" i="39" s="1"/>
  <c r="I156" i="39" s="1"/>
  <c r="B145" i="40"/>
  <c r="F145" i="40"/>
  <c r="H146" i="26"/>
  <c r="I146" i="26"/>
  <c r="E147" i="26"/>
  <c r="F147" i="26" s="1"/>
  <c r="B147" i="26"/>
  <c r="E150" i="18"/>
  <c r="F150" i="18" s="1"/>
  <c r="B150" i="18"/>
  <c r="H149" i="18"/>
  <c r="I149" i="18"/>
  <c r="I62" i="13"/>
  <c r="B63" i="13"/>
  <c r="E144" i="35"/>
  <c r="F144" i="35" s="1"/>
  <c r="B144" i="35"/>
  <c r="E63" i="13"/>
  <c r="F63" i="13" s="1"/>
  <c r="H143" i="35"/>
  <c r="I143" i="35"/>
  <c r="B151" i="4"/>
  <c r="E151" i="4"/>
  <c r="F151" i="4" s="1"/>
  <c r="I150" i="4"/>
  <c r="H150" i="4"/>
  <c r="B143" i="37"/>
  <c r="H142" i="37"/>
  <c r="I142" i="37"/>
  <c r="E143" i="37"/>
  <c r="F143" i="37" s="1"/>
  <c r="E144" i="31"/>
  <c r="F144" i="31" s="1"/>
  <c r="B144" i="31"/>
  <c r="I143" i="31"/>
  <c r="H143" i="31"/>
  <c r="J146" i="24"/>
  <c r="G147" i="25"/>
  <c r="D148" i="25"/>
  <c r="G143" i="38"/>
  <c r="D144" i="38"/>
  <c r="E144" i="38" s="1"/>
  <c r="D145" i="13"/>
  <c r="E145" i="13" s="1"/>
  <c r="G144" i="13"/>
  <c r="D148" i="21"/>
  <c r="E148" i="21" s="1"/>
  <c r="G147" i="21"/>
  <c r="G143" i="34"/>
  <c r="D144" i="34"/>
  <c r="F149" i="29"/>
  <c r="G147" i="24"/>
  <c r="D148" i="24"/>
  <c r="E148" i="24" s="1"/>
  <c r="D148" i="27"/>
  <c r="G147" i="27"/>
  <c r="H148" i="29"/>
  <c r="I148" i="29"/>
  <c r="B149" i="28"/>
  <c r="B150" i="19"/>
  <c r="J146" i="27"/>
  <c r="J146" i="21"/>
  <c r="E150" i="19"/>
  <c r="F150" i="19" s="1"/>
  <c r="I149" i="19"/>
  <c r="H149" i="19"/>
  <c r="H150" i="3"/>
  <c r="I150" i="3"/>
  <c r="B147" i="22"/>
  <c r="F152" i="23"/>
  <c r="H151" i="23"/>
  <c r="I151" i="23"/>
  <c r="F144" i="20"/>
  <c r="B144" i="20"/>
  <c r="I146" i="22"/>
  <c r="H146" i="22"/>
  <c r="F151" i="3"/>
  <c r="B151" i="3"/>
  <c r="I143" i="20"/>
  <c r="H143" i="20"/>
  <c r="E147" i="22"/>
  <c r="F147" i="22" s="1"/>
  <c r="H155" i="39" l="1"/>
  <c r="H156" i="39" s="1"/>
  <c r="H145" i="40"/>
  <c r="G145" i="40"/>
  <c r="I145" i="40" s="1"/>
  <c r="D146" i="40"/>
  <c r="J146" i="26"/>
  <c r="G147" i="26"/>
  <c r="D148" i="26"/>
  <c r="G150" i="18"/>
  <c r="D151" i="18"/>
  <c r="J149" i="18"/>
  <c r="D64" i="13"/>
  <c r="H63" i="13"/>
  <c r="G63" i="13"/>
  <c r="D145" i="35"/>
  <c r="G144" i="35"/>
  <c r="G143" i="37"/>
  <c r="D144" i="37"/>
  <c r="B144" i="37" s="1"/>
  <c r="J150" i="4"/>
  <c r="D152" i="4"/>
  <c r="G151" i="4"/>
  <c r="J151" i="23"/>
  <c r="J143" i="31"/>
  <c r="G144" i="31"/>
  <c r="D145" i="31"/>
  <c r="E145" i="31" s="1"/>
  <c r="J148" i="28"/>
  <c r="G150" i="19"/>
  <c r="D151" i="19"/>
  <c r="B148" i="27"/>
  <c r="B144" i="34"/>
  <c r="H143" i="34"/>
  <c r="I143" i="34"/>
  <c r="F145" i="13"/>
  <c r="B145" i="13"/>
  <c r="J150" i="3"/>
  <c r="I147" i="24"/>
  <c r="H147" i="24"/>
  <c r="B144" i="38"/>
  <c r="F144" i="38"/>
  <c r="B148" i="24"/>
  <c r="F148" i="24"/>
  <c r="J149" i="19"/>
  <c r="D150" i="29"/>
  <c r="E150" i="29" s="1"/>
  <c r="G149" i="29"/>
  <c r="H143" i="38"/>
  <c r="I143" i="38"/>
  <c r="H147" i="21"/>
  <c r="I147" i="21"/>
  <c r="B148" i="25"/>
  <c r="E148" i="27"/>
  <c r="F148" i="27" s="1"/>
  <c r="F148" i="21"/>
  <c r="B148" i="21"/>
  <c r="E148" i="25"/>
  <c r="F148" i="25" s="1"/>
  <c r="H147" i="27"/>
  <c r="I147" i="27"/>
  <c r="E144" i="34"/>
  <c r="F144" i="34" s="1"/>
  <c r="I144" i="13"/>
  <c r="H144" i="13"/>
  <c r="H147" i="25"/>
  <c r="I147" i="25"/>
  <c r="G151" i="3"/>
  <c r="D152" i="3"/>
  <c r="G152" i="23"/>
  <c r="D153" i="23"/>
  <c r="G144" i="20"/>
  <c r="D145" i="20"/>
  <c r="E145" i="20" s="1"/>
  <c r="J143" i="20"/>
  <c r="G147" i="22"/>
  <c r="D148" i="22"/>
  <c r="J146" i="22"/>
  <c r="B146" i="40" l="1"/>
  <c r="E146" i="40"/>
  <c r="F146" i="40" s="1"/>
  <c r="E148" i="26"/>
  <c r="F148" i="26" s="1"/>
  <c r="B148" i="26"/>
  <c r="H147" i="26"/>
  <c r="I147" i="26"/>
  <c r="E151" i="18"/>
  <c r="F151" i="18" s="1"/>
  <c r="B151" i="18"/>
  <c r="I150" i="18"/>
  <c r="H150" i="18"/>
  <c r="H144" i="35"/>
  <c r="I144" i="35"/>
  <c r="E145" i="35"/>
  <c r="F145" i="35" s="1"/>
  <c r="B145" i="35"/>
  <c r="I63" i="13"/>
  <c r="B64" i="13"/>
  <c r="E64" i="13"/>
  <c r="F64" i="13" s="1"/>
  <c r="B152" i="4"/>
  <c r="E152" i="4"/>
  <c r="F152" i="4" s="1"/>
  <c r="H151" i="4"/>
  <c r="I151" i="4"/>
  <c r="H143" i="37"/>
  <c r="I143" i="37"/>
  <c r="J147" i="21"/>
  <c r="E144" i="37"/>
  <c r="F144" i="37" s="1"/>
  <c r="B145" i="31"/>
  <c r="F145" i="31"/>
  <c r="H144" i="31"/>
  <c r="I144" i="31"/>
  <c r="G144" i="34"/>
  <c r="D145" i="34"/>
  <c r="E145" i="34" s="1"/>
  <c r="G148" i="27"/>
  <c r="D149" i="27"/>
  <c r="E149" i="27" s="1"/>
  <c r="H149" i="29"/>
  <c r="I149" i="29"/>
  <c r="D145" i="38"/>
  <c r="E145" i="38" s="1"/>
  <c r="G144" i="38"/>
  <c r="B151" i="19"/>
  <c r="D146" i="13"/>
  <c r="G145" i="13"/>
  <c r="F150" i="29"/>
  <c r="E151" i="19"/>
  <c r="F151" i="19" s="1"/>
  <c r="I150" i="19"/>
  <c r="H150" i="19"/>
  <c r="J147" i="24"/>
  <c r="B150" i="28"/>
  <c r="G148" i="24"/>
  <c r="D149" i="24"/>
  <c r="E149" i="24" s="1"/>
  <c r="G148" i="25"/>
  <c r="D149" i="25"/>
  <c r="E149" i="25" s="1"/>
  <c r="J147" i="27"/>
  <c r="D149" i="21"/>
  <c r="E149" i="21" s="1"/>
  <c r="G148" i="21"/>
  <c r="H152" i="23"/>
  <c r="I152" i="23"/>
  <c r="H147" i="22"/>
  <c r="I147" i="22"/>
  <c r="B152" i="3"/>
  <c r="B148" i="22"/>
  <c r="H151" i="3"/>
  <c r="I151" i="3"/>
  <c r="E148" i="22"/>
  <c r="F148" i="22" s="1"/>
  <c r="B145" i="20"/>
  <c r="F145" i="20"/>
  <c r="I144" i="20"/>
  <c r="H144" i="20"/>
  <c r="E153" i="23"/>
  <c r="F153" i="23" s="1"/>
  <c r="E152" i="3"/>
  <c r="F152" i="3" s="1"/>
  <c r="G146" i="40" l="1"/>
  <c r="I146" i="40" s="1"/>
  <c r="D147" i="40"/>
  <c r="H146" i="40"/>
  <c r="J147" i="26"/>
  <c r="G148" i="26"/>
  <c r="D149" i="26"/>
  <c r="J150" i="18"/>
  <c r="D152" i="18"/>
  <c r="G151" i="18"/>
  <c r="J147" i="22"/>
  <c r="J152" i="23"/>
  <c r="D65" i="13"/>
  <c r="G64" i="13"/>
  <c r="H64" i="13"/>
  <c r="G145" i="35"/>
  <c r="D146" i="35"/>
  <c r="J151" i="3"/>
  <c r="J144" i="31"/>
  <c r="J151" i="4"/>
  <c r="D145" i="37"/>
  <c r="G144" i="37"/>
  <c r="D153" i="4"/>
  <c r="G152" i="4"/>
  <c r="D146" i="31"/>
  <c r="G145" i="31"/>
  <c r="J150" i="19"/>
  <c r="D152" i="19"/>
  <c r="E152" i="19" s="1"/>
  <c r="G151" i="19"/>
  <c r="B149" i="24"/>
  <c r="F149" i="24"/>
  <c r="G150" i="29"/>
  <c r="D151" i="29"/>
  <c r="E151" i="29" s="1"/>
  <c r="B145" i="38"/>
  <c r="F145" i="38"/>
  <c r="I148" i="21"/>
  <c r="H148" i="21"/>
  <c r="H148" i="24"/>
  <c r="I148" i="24"/>
  <c r="H145" i="13"/>
  <c r="I145" i="13"/>
  <c r="B146" i="13"/>
  <c r="B149" i="27"/>
  <c r="F149" i="27"/>
  <c r="B149" i="21"/>
  <c r="F149" i="21"/>
  <c r="E146" i="13"/>
  <c r="F146" i="13" s="1"/>
  <c r="H148" i="27"/>
  <c r="I148" i="27"/>
  <c r="B149" i="25"/>
  <c r="F149" i="25"/>
  <c r="B145" i="34"/>
  <c r="F145" i="34"/>
  <c r="H148" i="25"/>
  <c r="I148" i="25"/>
  <c r="J149" i="28"/>
  <c r="H144" i="38"/>
  <c r="I144" i="38"/>
  <c r="I144" i="34"/>
  <c r="H144" i="34"/>
  <c r="D149" i="22"/>
  <c r="G148" i="22"/>
  <c r="D154" i="23"/>
  <c r="G153" i="23"/>
  <c r="J144" i="20"/>
  <c r="G152" i="3"/>
  <c r="D153" i="3"/>
  <c r="E153" i="3" s="1"/>
  <c r="D146" i="20"/>
  <c r="E146" i="20" s="1"/>
  <c r="G145" i="20"/>
  <c r="E147" i="40" l="1"/>
  <c r="F147" i="40" s="1"/>
  <c r="H147" i="40" s="1"/>
  <c r="B147" i="40"/>
  <c r="E149" i="26"/>
  <c r="F149" i="26" s="1"/>
  <c r="B149" i="26"/>
  <c r="H148" i="26"/>
  <c r="I148" i="26"/>
  <c r="I151" i="18"/>
  <c r="H151" i="18"/>
  <c r="E152" i="18"/>
  <c r="F152" i="18" s="1"/>
  <c r="B152" i="18"/>
  <c r="I64" i="13"/>
  <c r="E146" i="35"/>
  <c r="F146" i="35" s="1"/>
  <c r="B146" i="35"/>
  <c r="I145" i="35"/>
  <c r="H145" i="35"/>
  <c r="B65" i="13"/>
  <c r="E65" i="13"/>
  <c r="F65" i="13" s="1"/>
  <c r="H152" i="4"/>
  <c r="I152" i="4"/>
  <c r="B153" i="4"/>
  <c r="E153" i="4"/>
  <c r="F153" i="4" s="1"/>
  <c r="I144" i="37"/>
  <c r="H144" i="37"/>
  <c r="J148" i="24"/>
  <c r="E145" i="37"/>
  <c r="F145" i="37" s="1"/>
  <c r="B145" i="37"/>
  <c r="H145" i="31"/>
  <c r="I145" i="31"/>
  <c r="E146" i="31"/>
  <c r="F146" i="31" s="1"/>
  <c r="B146" i="31"/>
  <c r="G146" i="13"/>
  <c r="D147" i="13"/>
  <c r="E147" i="13" s="1"/>
  <c r="G149" i="25"/>
  <c r="D150" i="25"/>
  <c r="D150" i="21"/>
  <c r="G149" i="21"/>
  <c r="I151" i="19"/>
  <c r="H151" i="19"/>
  <c r="J148" i="27"/>
  <c r="D150" i="27"/>
  <c r="E150" i="27" s="1"/>
  <c r="G149" i="27"/>
  <c r="G145" i="38"/>
  <c r="D146" i="38"/>
  <c r="D150" i="24"/>
  <c r="E150" i="24" s="1"/>
  <c r="G149" i="24"/>
  <c r="G145" i="34"/>
  <c r="D146" i="34"/>
  <c r="E146" i="34" s="1"/>
  <c r="B152" i="19"/>
  <c r="F152" i="19"/>
  <c r="B151" i="28"/>
  <c r="F151" i="29"/>
  <c r="J148" i="21"/>
  <c r="I150" i="29"/>
  <c r="H150" i="29"/>
  <c r="H152" i="3"/>
  <c r="I152" i="3"/>
  <c r="I148" i="22"/>
  <c r="H148" i="22"/>
  <c r="F153" i="3"/>
  <c r="B153" i="3"/>
  <c r="E154" i="23"/>
  <c r="F154" i="23" s="1"/>
  <c r="B149" i="22"/>
  <c r="I153" i="23"/>
  <c r="H153" i="23"/>
  <c r="I145" i="20"/>
  <c r="H145" i="20"/>
  <c r="F146" i="20"/>
  <c r="B146" i="20"/>
  <c r="E149" i="22"/>
  <c r="F149" i="22" s="1"/>
  <c r="G147" i="40" l="1"/>
  <c r="I147" i="40" s="1"/>
  <c r="D148" i="40"/>
  <c r="E148" i="40" s="1"/>
  <c r="D150" i="26"/>
  <c r="G149" i="26"/>
  <c r="J148" i="26"/>
  <c r="J145" i="31"/>
  <c r="D153" i="18"/>
  <c r="G152" i="18"/>
  <c r="J151" i="18"/>
  <c r="D66" i="13"/>
  <c r="E66" i="13" s="1"/>
  <c r="H65" i="13"/>
  <c r="G65" i="13"/>
  <c r="D147" i="35"/>
  <c r="G146" i="35"/>
  <c r="J152" i="4"/>
  <c r="G145" i="37"/>
  <c r="D146" i="37"/>
  <c r="G153" i="4"/>
  <c r="D154" i="4"/>
  <c r="J152" i="3"/>
  <c r="D147" i="31"/>
  <c r="G146" i="31"/>
  <c r="J151" i="19"/>
  <c r="G151" i="29"/>
  <c r="D152" i="29"/>
  <c r="E152" i="29" s="1"/>
  <c r="B146" i="38"/>
  <c r="I149" i="21"/>
  <c r="H149" i="21"/>
  <c r="H145" i="38"/>
  <c r="I145" i="38"/>
  <c r="B150" i="21"/>
  <c r="B150" i="25"/>
  <c r="H145" i="34"/>
  <c r="I145" i="34"/>
  <c r="I149" i="25"/>
  <c r="H149" i="25"/>
  <c r="F146" i="34"/>
  <c r="B146" i="34"/>
  <c r="I149" i="27"/>
  <c r="H149" i="27"/>
  <c r="E150" i="25"/>
  <c r="F150" i="25" s="1"/>
  <c r="J150" i="28"/>
  <c r="H149" i="24"/>
  <c r="I149" i="24"/>
  <c r="B150" i="27"/>
  <c r="F150" i="27"/>
  <c r="F147" i="13"/>
  <c r="B147" i="13"/>
  <c r="F150" i="24"/>
  <c r="B150" i="24"/>
  <c r="G152" i="19"/>
  <c r="D153" i="19"/>
  <c r="E146" i="38"/>
  <c r="F146" i="38" s="1"/>
  <c r="E150" i="21"/>
  <c r="F150" i="21" s="1"/>
  <c r="H146" i="13"/>
  <c r="I146" i="13"/>
  <c r="D155" i="23"/>
  <c r="G154" i="23"/>
  <c r="D150" i="22"/>
  <c r="E150" i="22" s="1"/>
  <c r="G149" i="22"/>
  <c r="G146" i="20"/>
  <c r="D147" i="20"/>
  <c r="J145" i="20"/>
  <c r="G153" i="3"/>
  <c r="D154" i="3"/>
  <c r="J153" i="23"/>
  <c r="J148" i="22"/>
  <c r="F148" i="40" l="1"/>
  <c r="B148" i="40"/>
  <c r="H148" i="40"/>
  <c r="H149" i="26"/>
  <c r="I149" i="26"/>
  <c r="E150" i="26"/>
  <c r="F150" i="26" s="1"/>
  <c r="B150" i="26"/>
  <c r="I152" i="18"/>
  <c r="H152" i="18"/>
  <c r="E153" i="18"/>
  <c r="F153" i="18" s="1"/>
  <c r="B153" i="18"/>
  <c r="I146" i="35"/>
  <c r="H146" i="35"/>
  <c r="E147" i="35"/>
  <c r="F147" i="35" s="1"/>
  <c r="B147" i="35"/>
  <c r="I65" i="13"/>
  <c r="B66" i="13"/>
  <c r="F66" i="13"/>
  <c r="H66" i="13" s="1"/>
  <c r="H153" i="4"/>
  <c r="I153" i="4"/>
  <c r="E146" i="37"/>
  <c r="F146" i="37" s="1"/>
  <c r="B146" i="37"/>
  <c r="B154" i="4"/>
  <c r="E154" i="4"/>
  <c r="F154" i="4" s="1"/>
  <c r="I145" i="37"/>
  <c r="H145" i="37"/>
  <c r="H146" i="31"/>
  <c r="I146" i="31"/>
  <c r="B147" i="31"/>
  <c r="E147" i="31"/>
  <c r="F147" i="31" s="1"/>
  <c r="G150" i="25"/>
  <c r="D151" i="25"/>
  <c r="D151" i="21"/>
  <c r="E151" i="21" s="1"/>
  <c r="G150" i="21"/>
  <c r="D147" i="38"/>
  <c r="E147" i="38" s="1"/>
  <c r="G146" i="38"/>
  <c r="G150" i="24"/>
  <c r="D151" i="24"/>
  <c r="E151" i="24" s="1"/>
  <c r="D148" i="13"/>
  <c r="E148" i="13" s="1"/>
  <c r="G147" i="13"/>
  <c r="F152" i="29"/>
  <c r="B153" i="19"/>
  <c r="J149" i="27"/>
  <c r="B152" i="28"/>
  <c r="I151" i="29"/>
  <c r="H151" i="29"/>
  <c r="H152" i="19"/>
  <c r="I152" i="19"/>
  <c r="G150" i="27"/>
  <c r="D151" i="27"/>
  <c r="E151" i="27" s="1"/>
  <c r="E153" i="19"/>
  <c r="F153" i="19" s="1"/>
  <c r="G146" i="34"/>
  <c r="D147" i="34"/>
  <c r="E147" i="34" s="1"/>
  <c r="J149" i="24"/>
  <c r="J149" i="21"/>
  <c r="B154" i="3"/>
  <c r="I154" i="23"/>
  <c r="H154" i="23"/>
  <c r="E155" i="23"/>
  <c r="E156" i="23" s="1"/>
  <c r="B147" i="20"/>
  <c r="E147" i="20"/>
  <c r="F147" i="20" s="1"/>
  <c r="E154" i="3"/>
  <c r="F154" i="3" s="1"/>
  <c r="F150" i="22"/>
  <c r="B150" i="22"/>
  <c r="H153" i="3"/>
  <c r="I153" i="3"/>
  <c r="I146" i="20"/>
  <c r="H146" i="20"/>
  <c r="H149" i="22"/>
  <c r="I149" i="22"/>
  <c r="D149" i="40" l="1"/>
  <c r="G148" i="40"/>
  <c r="I148" i="40" s="1"/>
  <c r="E149" i="40"/>
  <c r="J149" i="26"/>
  <c r="G150" i="26"/>
  <c r="D151" i="26"/>
  <c r="B151" i="26" s="1"/>
  <c r="G153" i="18"/>
  <c r="D154" i="18"/>
  <c r="B154" i="18" s="1"/>
  <c r="J146" i="31"/>
  <c r="J152" i="18"/>
  <c r="J153" i="4"/>
  <c r="D67" i="13"/>
  <c r="E67" i="13" s="1"/>
  <c r="G147" i="35"/>
  <c r="D148" i="35"/>
  <c r="G66" i="13"/>
  <c r="I66" i="13" s="1"/>
  <c r="D155" i="4"/>
  <c r="G154" i="4"/>
  <c r="G146" i="37"/>
  <c r="D147" i="37"/>
  <c r="J152" i="19"/>
  <c r="G147" i="31"/>
  <c r="D148" i="31"/>
  <c r="J153" i="3"/>
  <c r="G153" i="19"/>
  <c r="D154" i="19"/>
  <c r="J151" i="28"/>
  <c r="F147" i="38"/>
  <c r="B147" i="38"/>
  <c r="H147" i="13"/>
  <c r="I147" i="13"/>
  <c r="G152" i="29"/>
  <c r="D153" i="29"/>
  <c r="B151" i="27"/>
  <c r="F151" i="27"/>
  <c r="B148" i="13"/>
  <c r="F148" i="13"/>
  <c r="H150" i="21"/>
  <c r="I150" i="21"/>
  <c r="H150" i="27"/>
  <c r="I150" i="27"/>
  <c r="B151" i="21"/>
  <c r="F151" i="21"/>
  <c r="F151" i="24"/>
  <c r="B151" i="24"/>
  <c r="B151" i="25"/>
  <c r="H146" i="34"/>
  <c r="I146" i="34"/>
  <c r="H150" i="24"/>
  <c r="I150" i="24"/>
  <c r="H150" i="25"/>
  <c r="I150" i="25"/>
  <c r="F147" i="34"/>
  <c r="B147" i="34"/>
  <c r="H146" i="38"/>
  <c r="I146" i="38"/>
  <c r="E151" i="25"/>
  <c r="F151" i="25" s="1"/>
  <c r="J154" i="23"/>
  <c r="D155" i="3"/>
  <c r="G154" i="3"/>
  <c r="G150" i="22"/>
  <c r="D151" i="22"/>
  <c r="G147" i="20"/>
  <c r="D148" i="20"/>
  <c r="J146" i="20"/>
  <c r="J149" i="22"/>
  <c r="F155" i="23"/>
  <c r="G155" i="23" s="1"/>
  <c r="B149" i="40" l="1"/>
  <c r="F149" i="40"/>
  <c r="H149" i="40"/>
  <c r="E154" i="18"/>
  <c r="F154" i="18" s="1"/>
  <c r="G154" i="18" s="1"/>
  <c r="H154" i="18" s="1"/>
  <c r="E151" i="26"/>
  <c r="F151" i="26" s="1"/>
  <c r="H150" i="26"/>
  <c r="I150" i="26"/>
  <c r="J150" i="27"/>
  <c r="H153" i="18"/>
  <c r="I153" i="18"/>
  <c r="B148" i="35"/>
  <c r="E148" i="35"/>
  <c r="F148" i="35" s="1"/>
  <c r="H147" i="35"/>
  <c r="I147" i="35"/>
  <c r="J150" i="21"/>
  <c r="B67" i="13"/>
  <c r="F67" i="13"/>
  <c r="G67" i="13" s="1"/>
  <c r="E147" i="37"/>
  <c r="F147" i="37" s="1"/>
  <c r="B147" i="37"/>
  <c r="H146" i="37"/>
  <c r="I146" i="37"/>
  <c r="I154" i="4"/>
  <c r="H154" i="4"/>
  <c r="E155" i="4"/>
  <c r="E156" i="4" s="1"/>
  <c r="B155" i="4"/>
  <c r="E148" i="31"/>
  <c r="F148" i="31" s="1"/>
  <c r="B148" i="31"/>
  <c r="J150" i="24"/>
  <c r="H147" i="31"/>
  <c r="I147" i="31"/>
  <c r="G151" i="25"/>
  <c r="D152" i="25"/>
  <c r="E152" i="25" s="1"/>
  <c r="B153" i="28"/>
  <c r="D152" i="24"/>
  <c r="E152" i="24" s="1"/>
  <c r="G151" i="24"/>
  <c r="G151" i="27"/>
  <c r="D152" i="27"/>
  <c r="E152" i="27" s="1"/>
  <c r="G147" i="38"/>
  <c r="D148" i="38"/>
  <c r="E148" i="38" s="1"/>
  <c r="B154" i="19"/>
  <c r="H152" i="29"/>
  <c r="I152" i="29"/>
  <c r="D152" i="21"/>
  <c r="G151" i="21"/>
  <c r="I153" i="19"/>
  <c r="H153" i="19"/>
  <c r="G148" i="13"/>
  <c r="D149" i="13"/>
  <c r="D148" i="34"/>
  <c r="G147" i="34"/>
  <c r="E153" i="29"/>
  <c r="F153" i="29" s="1"/>
  <c r="E154" i="19"/>
  <c r="F154" i="19" s="1"/>
  <c r="B155" i="3"/>
  <c r="E155" i="3"/>
  <c r="E156" i="3" s="1"/>
  <c r="B151" i="22"/>
  <c r="B148" i="20"/>
  <c r="H147" i="20"/>
  <c r="I147" i="20"/>
  <c r="H150" i="22"/>
  <c r="I150" i="22"/>
  <c r="I155" i="23"/>
  <c r="H155" i="23"/>
  <c r="H156" i="23" s="1"/>
  <c r="E148" i="20"/>
  <c r="F148" i="20" s="1"/>
  <c r="E151" i="22"/>
  <c r="F151" i="22" s="1"/>
  <c r="I154" i="3"/>
  <c r="H154" i="3"/>
  <c r="G149" i="40" l="1"/>
  <c r="I149" i="40" s="1"/>
  <c r="D150" i="40"/>
  <c r="E150" i="40" s="1"/>
  <c r="J153" i="18"/>
  <c r="J147" i="31"/>
  <c r="D155" i="18"/>
  <c r="B155" i="18" s="1"/>
  <c r="I154" i="18"/>
  <c r="J154" i="18" s="1"/>
  <c r="J150" i="26"/>
  <c r="D152" i="26"/>
  <c r="G151" i="26"/>
  <c r="J150" i="22"/>
  <c r="D68" i="13"/>
  <c r="E68" i="13" s="1"/>
  <c r="H67" i="13"/>
  <c r="I67" i="13" s="1"/>
  <c r="D149" i="35"/>
  <c r="G148" i="35"/>
  <c r="J154" i="4"/>
  <c r="F155" i="4"/>
  <c r="G155" i="4" s="1"/>
  <c r="D148" i="37"/>
  <c r="G147" i="37"/>
  <c r="G148" i="31"/>
  <c r="D149" i="31"/>
  <c r="J153" i="19"/>
  <c r="G154" i="19"/>
  <c r="D155" i="19"/>
  <c r="E155" i="19" s="1"/>
  <c r="E156" i="19" s="1"/>
  <c r="G153" i="29"/>
  <c r="D154" i="29"/>
  <c r="B152" i="21"/>
  <c r="B149" i="13"/>
  <c r="B152" i="24"/>
  <c r="F152" i="24"/>
  <c r="B148" i="34"/>
  <c r="H148" i="13"/>
  <c r="I148" i="13"/>
  <c r="J152" i="28"/>
  <c r="H147" i="34"/>
  <c r="I147" i="34"/>
  <c r="E149" i="13"/>
  <c r="F149" i="13" s="1"/>
  <c r="B152" i="27"/>
  <c r="F152" i="27"/>
  <c r="B148" i="38"/>
  <c r="F148" i="38"/>
  <c r="H147" i="38"/>
  <c r="I147" i="38"/>
  <c r="H151" i="27"/>
  <c r="I151" i="27"/>
  <c r="F152" i="25"/>
  <c r="B152" i="25"/>
  <c r="H151" i="21"/>
  <c r="I151" i="21"/>
  <c r="I151" i="24"/>
  <c r="H151" i="24"/>
  <c r="E148" i="34"/>
  <c r="F148" i="34" s="1"/>
  <c r="E152" i="21"/>
  <c r="F152" i="21" s="1"/>
  <c r="H151" i="25"/>
  <c r="I151" i="25"/>
  <c r="G151" i="22"/>
  <c r="D152" i="22"/>
  <c r="J155" i="23"/>
  <c r="J156" i="23" s="1"/>
  <c r="I156" i="23"/>
  <c r="J154" i="3"/>
  <c r="D149" i="20"/>
  <c r="G148" i="20"/>
  <c r="J147" i="20"/>
  <c r="F155" i="3"/>
  <c r="G155" i="3" s="1"/>
  <c r="B150" i="40" l="1"/>
  <c r="F150" i="40"/>
  <c r="H150" i="40" s="1"/>
  <c r="E155" i="18"/>
  <c r="E156" i="18" s="1"/>
  <c r="I151" i="26"/>
  <c r="H151" i="26"/>
  <c r="E152" i="26"/>
  <c r="F152" i="26" s="1"/>
  <c r="B152" i="26"/>
  <c r="I148" i="35"/>
  <c r="H148" i="35"/>
  <c r="E149" i="35"/>
  <c r="F149" i="35" s="1"/>
  <c r="B149" i="35"/>
  <c r="B68" i="13"/>
  <c r="F68" i="13"/>
  <c r="H68" i="13" s="1"/>
  <c r="H147" i="37"/>
  <c r="I147" i="37"/>
  <c r="E148" i="37"/>
  <c r="F148" i="37" s="1"/>
  <c r="B148" i="37"/>
  <c r="J151" i="24"/>
  <c r="H155" i="4"/>
  <c r="H156" i="4" s="1"/>
  <c r="I155" i="4"/>
  <c r="J151" i="21"/>
  <c r="E149" i="31"/>
  <c r="F149" i="31" s="1"/>
  <c r="B149" i="31"/>
  <c r="H148" i="31"/>
  <c r="I148" i="31"/>
  <c r="J151" i="27"/>
  <c r="G149" i="13"/>
  <c r="D150" i="13"/>
  <c r="D149" i="34"/>
  <c r="E149" i="34" s="1"/>
  <c r="G148" i="34"/>
  <c r="G152" i="25"/>
  <c r="D153" i="25"/>
  <c r="G152" i="24"/>
  <c r="D153" i="24"/>
  <c r="E153" i="24" s="1"/>
  <c r="I153" i="29"/>
  <c r="H153" i="29"/>
  <c r="F155" i="19"/>
  <c r="G155" i="19" s="1"/>
  <c r="B155" i="19"/>
  <c r="B154" i="28"/>
  <c r="D153" i="27"/>
  <c r="E153" i="27" s="1"/>
  <c r="G152" i="27"/>
  <c r="I154" i="19"/>
  <c r="H154" i="19"/>
  <c r="G152" i="21"/>
  <c r="D153" i="21"/>
  <c r="D149" i="38"/>
  <c r="G148" i="38"/>
  <c r="E154" i="29"/>
  <c r="F154" i="29" s="1"/>
  <c r="H148" i="20"/>
  <c r="I148" i="20"/>
  <c r="B152" i="22"/>
  <c r="I151" i="22"/>
  <c r="H151" i="22"/>
  <c r="B149" i="20"/>
  <c r="H155" i="3"/>
  <c r="H156" i="3" s="1"/>
  <c r="I155" i="3"/>
  <c r="E149" i="20"/>
  <c r="F149" i="20" s="1"/>
  <c r="E152" i="22"/>
  <c r="F152" i="22" s="1"/>
  <c r="D151" i="40" l="1"/>
  <c r="G150" i="40"/>
  <c r="I150" i="40" s="1"/>
  <c r="E151" i="40"/>
  <c r="F155" i="18"/>
  <c r="G155" i="18" s="1"/>
  <c r="H155" i="18" s="1"/>
  <c r="H156" i="18" s="1"/>
  <c r="G152" i="26"/>
  <c r="D153" i="26"/>
  <c r="J151" i="26"/>
  <c r="D150" i="35"/>
  <c r="G149" i="35"/>
  <c r="D69" i="13"/>
  <c r="E69" i="13" s="1"/>
  <c r="G68" i="13"/>
  <c r="I68" i="13" s="1"/>
  <c r="J148" i="31"/>
  <c r="G148" i="37"/>
  <c r="D149" i="37"/>
  <c r="J155" i="4"/>
  <c r="J156" i="4" s="1"/>
  <c r="I156" i="4"/>
  <c r="J154" i="19"/>
  <c r="J148" i="20"/>
  <c r="G149" i="31"/>
  <c r="D150" i="31"/>
  <c r="E150" i="31" s="1"/>
  <c r="J153" i="28"/>
  <c r="G154" i="29"/>
  <c r="D155" i="29"/>
  <c r="E155" i="29" s="1"/>
  <c r="E156" i="29" s="1"/>
  <c r="B153" i="21"/>
  <c r="H148" i="38"/>
  <c r="I148" i="38"/>
  <c r="I155" i="19"/>
  <c r="H155" i="19"/>
  <c r="H156" i="19" s="1"/>
  <c r="B153" i="24"/>
  <c r="F153" i="24"/>
  <c r="I152" i="25"/>
  <c r="H152" i="25"/>
  <c r="B149" i="38"/>
  <c r="I152" i="24"/>
  <c r="H152" i="24"/>
  <c r="H148" i="34"/>
  <c r="I148" i="34"/>
  <c r="E149" i="38"/>
  <c r="F149" i="38" s="1"/>
  <c r="B149" i="34"/>
  <c r="F149" i="34"/>
  <c r="I152" i="21"/>
  <c r="H152" i="21"/>
  <c r="H152" i="27"/>
  <c r="I152" i="27"/>
  <c r="B150" i="13"/>
  <c r="E156" i="28"/>
  <c r="F153" i="27"/>
  <c r="B153" i="27"/>
  <c r="B153" i="25"/>
  <c r="H149" i="13"/>
  <c r="I149" i="13"/>
  <c r="E153" i="21"/>
  <c r="F153" i="21" s="1"/>
  <c r="E153" i="25"/>
  <c r="F153" i="25" s="1"/>
  <c r="E150" i="13"/>
  <c r="F150" i="13" s="1"/>
  <c r="G152" i="22"/>
  <c r="D153" i="22"/>
  <c r="E153" i="22" s="1"/>
  <c r="G149" i="20"/>
  <c r="D150" i="20"/>
  <c r="J151" i="22"/>
  <c r="J155" i="3"/>
  <c r="J156" i="3" s="1"/>
  <c r="I156" i="3"/>
  <c r="B151" i="40" l="1"/>
  <c r="F151" i="40"/>
  <c r="H151" i="40" s="1"/>
  <c r="I155" i="18"/>
  <c r="E153" i="26"/>
  <c r="F153" i="26" s="1"/>
  <c r="B153" i="26"/>
  <c r="I152" i="26"/>
  <c r="H152" i="26"/>
  <c r="H149" i="35"/>
  <c r="I149" i="35"/>
  <c r="E150" i="35"/>
  <c r="F150" i="35" s="1"/>
  <c r="B150" i="35"/>
  <c r="B69" i="13"/>
  <c r="F69" i="13"/>
  <c r="H69" i="13" s="1"/>
  <c r="E149" i="37"/>
  <c r="F149" i="37" s="1"/>
  <c r="B149" i="37"/>
  <c r="H148" i="37"/>
  <c r="I148" i="37"/>
  <c r="J152" i="24"/>
  <c r="F150" i="31"/>
  <c r="B150" i="31"/>
  <c r="I149" i="31"/>
  <c r="H149" i="31"/>
  <c r="J152" i="27"/>
  <c r="D154" i="21"/>
  <c r="E154" i="21" s="1"/>
  <c r="G153" i="21"/>
  <c r="D154" i="25"/>
  <c r="E154" i="25" s="1"/>
  <c r="G153" i="25"/>
  <c r="G150" i="13"/>
  <c r="D151" i="13"/>
  <c r="E151" i="13" s="1"/>
  <c r="J152" i="21"/>
  <c r="G153" i="27"/>
  <c r="D154" i="27"/>
  <c r="E154" i="27" s="1"/>
  <c r="G149" i="34"/>
  <c r="D150" i="34"/>
  <c r="D150" i="38"/>
  <c r="E150" i="38" s="1"/>
  <c r="G149" i="38"/>
  <c r="B155" i="28"/>
  <c r="G153" i="24"/>
  <c r="D154" i="24"/>
  <c r="E154" i="24" s="1"/>
  <c r="F155" i="29"/>
  <c r="G155" i="29" s="1"/>
  <c r="J155" i="19"/>
  <c r="J156" i="19" s="1"/>
  <c r="I156" i="19"/>
  <c r="I154" i="29"/>
  <c r="H154" i="29"/>
  <c r="H149" i="20"/>
  <c r="I149" i="20"/>
  <c r="B150" i="20"/>
  <c r="E150" i="20"/>
  <c r="F150" i="20" s="1"/>
  <c r="B153" i="22"/>
  <c r="F153" i="22"/>
  <c r="H152" i="22"/>
  <c r="I152" i="22"/>
  <c r="G151" i="40" l="1"/>
  <c r="I151" i="40" s="1"/>
  <c r="D152" i="40"/>
  <c r="I156" i="18"/>
  <c r="J155" i="18"/>
  <c r="J156" i="18" s="1"/>
  <c r="J152" i="26"/>
  <c r="D154" i="26"/>
  <c r="G153" i="26"/>
  <c r="D70" i="13"/>
  <c r="E70" i="13" s="1"/>
  <c r="G69" i="13"/>
  <c r="I69" i="13" s="1"/>
  <c r="D151" i="35"/>
  <c r="G150" i="35"/>
  <c r="D150" i="37"/>
  <c r="G149" i="37"/>
  <c r="J149" i="31"/>
  <c r="G150" i="31"/>
  <c r="D151" i="31"/>
  <c r="J154" i="28"/>
  <c r="B150" i="34"/>
  <c r="H149" i="34"/>
  <c r="I149" i="34"/>
  <c r="I153" i="25"/>
  <c r="H153" i="25"/>
  <c r="E150" i="34"/>
  <c r="F150" i="34" s="1"/>
  <c r="H150" i="13"/>
  <c r="I150" i="13"/>
  <c r="H156" i="28"/>
  <c r="B154" i="27"/>
  <c r="F154" i="27"/>
  <c r="F154" i="25"/>
  <c r="B154" i="25"/>
  <c r="F154" i="24"/>
  <c r="B154" i="24"/>
  <c r="H149" i="38"/>
  <c r="I149" i="38"/>
  <c r="H153" i="27"/>
  <c r="I153" i="27"/>
  <c r="J149" i="20"/>
  <c r="H153" i="24"/>
  <c r="I153" i="24"/>
  <c r="I153" i="21"/>
  <c r="H153" i="21"/>
  <c r="I155" i="29"/>
  <c r="I156" i="29" s="1"/>
  <c r="H155" i="29"/>
  <c r="H156" i="29" s="1"/>
  <c r="B150" i="38"/>
  <c r="F150" i="38"/>
  <c r="B151" i="13"/>
  <c r="F151" i="13"/>
  <c r="B154" i="21"/>
  <c r="F154" i="21"/>
  <c r="G150" i="20"/>
  <c r="D151" i="20"/>
  <c r="D154" i="22"/>
  <c r="E154" i="22" s="1"/>
  <c r="G153" i="22"/>
  <c r="J152" i="22"/>
  <c r="E152" i="40" l="1"/>
  <c r="F152" i="40" s="1"/>
  <c r="B152" i="40"/>
  <c r="I153" i="26"/>
  <c r="H153" i="26"/>
  <c r="B154" i="26"/>
  <c r="E154" i="26"/>
  <c r="F154" i="26" s="1"/>
  <c r="H150" i="35"/>
  <c r="I150" i="35"/>
  <c r="E151" i="35"/>
  <c r="F151" i="35" s="1"/>
  <c r="B151" i="35"/>
  <c r="B70" i="13"/>
  <c r="F70" i="13"/>
  <c r="G70" i="13" s="1"/>
  <c r="I149" i="37"/>
  <c r="H149" i="37"/>
  <c r="E150" i="37"/>
  <c r="F150" i="37" s="1"/>
  <c r="B150" i="37"/>
  <c r="B151" i="31"/>
  <c r="H150" i="31"/>
  <c r="I150" i="31"/>
  <c r="E151" i="31"/>
  <c r="F151" i="31" s="1"/>
  <c r="J153" i="24"/>
  <c r="G150" i="34"/>
  <c r="D151" i="34"/>
  <c r="E151" i="34" s="1"/>
  <c r="D155" i="21"/>
  <c r="E155" i="21" s="1"/>
  <c r="E156" i="21" s="1"/>
  <c r="G154" i="21"/>
  <c r="J153" i="27"/>
  <c r="G154" i="25"/>
  <c r="D155" i="25"/>
  <c r="E155" i="25" s="1"/>
  <c r="E156" i="25" s="1"/>
  <c r="D155" i="27"/>
  <c r="E155" i="27" s="1"/>
  <c r="E156" i="27" s="1"/>
  <c r="G154" i="27"/>
  <c r="D151" i="38"/>
  <c r="E151" i="38" s="1"/>
  <c r="G150" i="38"/>
  <c r="J153" i="21"/>
  <c r="G154" i="24"/>
  <c r="D155" i="24"/>
  <c r="E155" i="24" s="1"/>
  <c r="E156" i="24" s="1"/>
  <c r="G151" i="13"/>
  <c r="D152" i="13"/>
  <c r="J155" i="28"/>
  <c r="J156" i="28" s="1"/>
  <c r="I156" i="28"/>
  <c r="B154" i="22"/>
  <c r="F154" i="22"/>
  <c r="I150" i="20"/>
  <c r="H150" i="20"/>
  <c r="I153" i="22"/>
  <c r="H153" i="22"/>
  <c r="B151" i="20"/>
  <c r="E151" i="20"/>
  <c r="F151" i="20" s="1"/>
  <c r="D153" i="40" l="1"/>
  <c r="G152" i="40"/>
  <c r="I152" i="40" s="1"/>
  <c r="H152" i="40"/>
  <c r="D155" i="26"/>
  <c r="G154" i="26"/>
  <c r="J153" i="26"/>
  <c r="J150" i="31"/>
  <c r="H70" i="13"/>
  <c r="I70" i="13" s="1"/>
  <c r="D152" i="35"/>
  <c r="G151" i="35"/>
  <c r="D71" i="13"/>
  <c r="E71" i="13" s="1"/>
  <c r="D151" i="37"/>
  <c r="G150" i="37"/>
  <c r="D152" i="31"/>
  <c r="E152" i="31" s="1"/>
  <c r="G151" i="31"/>
  <c r="H150" i="38"/>
  <c r="I150" i="38"/>
  <c r="I154" i="24"/>
  <c r="H154" i="24"/>
  <c r="I154" i="25"/>
  <c r="H154" i="25"/>
  <c r="H154" i="21"/>
  <c r="I154" i="21"/>
  <c r="F155" i="24"/>
  <c r="G155" i="24" s="1"/>
  <c r="B155" i="24"/>
  <c r="F155" i="21"/>
  <c r="G155" i="21" s="1"/>
  <c r="B155" i="21"/>
  <c r="F151" i="38"/>
  <c r="B151" i="38"/>
  <c r="H151" i="13"/>
  <c r="I151" i="13"/>
  <c r="H154" i="27"/>
  <c r="I154" i="27"/>
  <c r="F151" i="34"/>
  <c r="B151" i="34"/>
  <c r="B155" i="25"/>
  <c r="F155" i="25"/>
  <c r="G155" i="25" s="1"/>
  <c r="B152" i="13"/>
  <c r="E152" i="13"/>
  <c r="F152" i="13" s="1"/>
  <c r="F155" i="27"/>
  <c r="G155" i="27" s="1"/>
  <c r="B155" i="27"/>
  <c r="H150" i="34"/>
  <c r="I150" i="34"/>
  <c r="G151" i="20"/>
  <c r="D152" i="20"/>
  <c r="D155" i="22"/>
  <c r="E155" i="22" s="1"/>
  <c r="E156" i="22" s="1"/>
  <c r="G154" i="22"/>
  <c r="J153" i="22"/>
  <c r="J150" i="20"/>
  <c r="E153" i="40" l="1"/>
  <c r="B153" i="40"/>
  <c r="F153" i="40"/>
  <c r="I154" i="26"/>
  <c r="H154" i="26"/>
  <c r="E155" i="26"/>
  <c r="E156" i="26" s="1"/>
  <c r="B155" i="26"/>
  <c r="J154" i="21"/>
  <c r="H151" i="35"/>
  <c r="I151" i="35"/>
  <c r="F71" i="13"/>
  <c r="H71" i="13" s="1"/>
  <c r="B71" i="13"/>
  <c r="E152" i="35"/>
  <c r="F152" i="35" s="1"/>
  <c r="B152" i="35"/>
  <c r="I150" i="37"/>
  <c r="H150" i="37"/>
  <c r="E151" i="37"/>
  <c r="F151" i="37" s="1"/>
  <c r="B151" i="37"/>
  <c r="H151" i="31"/>
  <c r="I151" i="31"/>
  <c r="B152" i="31"/>
  <c r="F152" i="31"/>
  <c r="J154" i="24"/>
  <c r="J154" i="27"/>
  <c r="G152" i="13"/>
  <c r="D153" i="13"/>
  <c r="E153" i="13" s="1"/>
  <c r="G151" i="34"/>
  <c r="D152" i="34"/>
  <c r="H155" i="25"/>
  <c r="H156" i="25" s="1"/>
  <c r="I155" i="25"/>
  <c r="I156" i="25" s="1"/>
  <c r="H155" i="27"/>
  <c r="H156" i="27" s="1"/>
  <c r="I155" i="27"/>
  <c r="G151" i="38"/>
  <c r="D152" i="38"/>
  <c r="E152" i="38" s="1"/>
  <c r="H155" i="21"/>
  <c r="H156" i="21" s="1"/>
  <c r="I155" i="21"/>
  <c r="I155" i="24"/>
  <c r="H155" i="24"/>
  <c r="H156" i="24" s="1"/>
  <c r="H154" i="22"/>
  <c r="I154" i="22"/>
  <c r="B152" i="20"/>
  <c r="F155" i="22"/>
  <c r="G155" i="22" s="1"/>
  <c r="B155" i="22"/>
  <c r="E152" i="20"/>
  <c r="F152" i="20" s="1"/>
  <c r="H151" i="20"/>
  <c r="I151" i="20"/>
  <c r="J151" i="31" l="1"/>
  <c r="H153" i="40"/>
  <c r="G153" i="40"/>
  <c r="I153" i="40" s="1"/>
  <c r="D154" i="40"/>
  <c r="F155" i="26"/>
  <c r="G155" i="26" s="1"/>
  <c r="J154" i="26"/>
  <c r="J154" i="22"/>
  <c r="G71" i="13"/>
  <c r="I71" i="13" s="1"/>
  <c r="G152" i="35"/>
  <c r="D153" i="35"/>
  <c r="D72" i="13"/>
  <c r="G151" i="37"/>
  <c r="D152" i="37"/>
  <c r="D153" i="31"/>
  <c r="B153" i="31" s="1"/>
  <c r="G152" i="31"/>
  <c r="B152" i="34"/>
  <c r="J155" i="21"/>
  <c r="J156" i="21" s="1"/>
  <c r="I156" i="21"/>
  <c r="J155" i="27"/>
  <c r="J156" i="27" s="1"/>
  <c r="I156" i="27"/>
  <c r="I151" i="34"/>
  <c r="H151" i="34"/>
  <c r="J155" i="24"/>
  <c r="J156" i="24" s="1"/>
  <c r="I156" i="24"/>
  <c r="B152" i="38"/>
  <c r="F152" i="38"/>
  <c r="H151" i="38"/>
  <c r="I151" i="38"/>
  <c r="B153" i="13"/>
  <c r="F153" i="13"/>
  <c r="E152" i="34"/>
  <c r="F152" i="34" s="1"/>
  <c r="H152" i="13"/>
  <c r="I152" i="13"/>
  <c r="G152" i="20"/>
  <c r="D153" i="20"/>
  <c r="I155" i="22"/>
  <c r="H155" i="22"/>
  <c r="H156" i="22" s="1"/>
  <c r="J151" i="20"/>
  <c r="E154" i="40" l="1"/>
  <c r="F154" i="40" s="1"/>
  <c r="H154" i="40" s="1"/>
  <c r="B154" i="40"/>
  <c r="H155" i="26"/>
  <c r="H156" i="26" s="1"/>
  <c r="I155" i="26"/>
  <c r="E153" i="31"/>
  <c r="F153" i="31" s="1"/>
  <c r="G153" i="31" s="1"/>
  <c r="I153" i="31" s="1"/>
  <c r="E72" i="13"/>
  <c r="F72" i="13" s="1"/>
  <c r="I152" i="35"/>
  <c r="H152" i="35"/>
  <c r="E153" i="35"/>
  <c r="F153" i="35" s="1"/>
  <c r="B153" i="35"/>
  <c r="E152" i="37"/>
  <c r="F152" i="37" s="1"/>
  <c r="B152" i="37"/>
  <c r="H151" i="37"/>
  <c r="I151" i="37"/>
  <c r="I152" i="31"/>
  <c r="H152" i="31"/>
  <c r="G152" i="34"/>
  <c r="D153" i="34"/>
  <c r="E153" i="34" s="1"/>
  <c r="D154" i="13"/>
  <c r="E154" i="13" s="1"/>
  <c r="G153" i="13"/>
  <c r="G152" i="38"/>
  <c r="D153" i="38"/>
  <c r="E153" i="38" s="1"/>
  <c r="J155" i="22"/>
  <c r="J156" i="22" s="1"/>
  <c r="I156" i="22"/>
  <c r="H152" i="20"/>
  <c r="I152" i="20"/>
  <c r="B153" i="20"/>
  <c r="E153" i="20"/>
  <c r="F153" i="20" s="1"/>
  <c r="G154" i="40" l="1"/>
  <c r="I154" i="40" s="1"/>
  <c r="D155" i="40"/>
  <c r="H153" i="31"/>
  <c r="J153" i="31" s="1"/>
  <c r="D154" i="31"/>
  <c r="E154" i="31" s="1"/>
  <c r="I156" i="26"/>
  <c r="J155" i="26"/>
  <c r="J156" i="26" s="1"/>
  <c r="D73" i="13"/>
  <c r="G72" i="13"/>
  <c r="H72" i="13"/>
  <c r="D154" i="35"/>
  <c r="G153" i="35"/>
  <c r="G152" i="37"/>
  <c r="D153" i="37"/>
  <c r="J152" i="31"/>
  <c r="H152" i="38"/>
  <c r="I152" i="38"/>
  <c r="H153" i="13"/>
  <c r="I153" i="13"/>
  <c r="B154" i="13"/>
  <c r="F154" i="13"/>
  <c r="J152" i="20"/>
  <c r="F153" i="34"/>
  <c r="B153" i="34"/>
  <c r="F153" i="38"/>
  <c r="B153" i="38"/>
  <c r="H152" i="34"/>
  <c r="I152" i="34"/>
  <c r="D154" i="20"/>
  <c r="G153" i="20"/>
  <c r="E155" i="40" l="1"/>
  <c r="E156" i="40" s="1"/>
  <c r="B155" i="40"/>
  <c r="F155" i="40"/>
  <c r="G155" i="40" s="1"/>
  <c r="I155" i="40" s="1"/>
  <c r="I156" i="40" s="1"/>
  <c r="H155" i="40"/>
  <c r="H156" i="40" s="1"/>
  <c r="B154" i="31"/>
  <c r="F154" i="31"/>
  <c r="G154" i="31" s="1"/>
  <c r="H154" i="31" s="1"/>
  <c r="I72" i="13"/>
  <c r="I153" i="35"/>
  <c r="H153" i="35"/>
  <c r="B73" i="13"/>
  <c r="E154" i="35"/>
  <c r="F154" i="35" s="1"/>
  <c r="B154" i="35"/>
  <c r="E73" i="13"/>
  <c r="E74" i="13" s="1"/>
  <c r="E153" i="37"/>
  <c r="F153" i="37" s="1"/>
  <c r="B153" i="37"/>
  <c r="H152" i="37"/>
  <c r="I152" i="37"/>
  <c r="G153" i="38"/>
  <c r="D154" i="38"/>
  <c r="E154" i="38" s="1"/>
  <c r="D155" i="13"/>
  <c r="G154" i="13"/>
  <c r="D154" i="34"/>
  <c r="E154" i="34" s="1"/>
  <c r="G153" i="34"/>
  <c r="B154" i="20"/>
  <c r="H153" i="20"/>
  <c r="I153" i="20"/>
  <c r="E154" i="20"/>
  <c r="F154" i="20" s="1"/>
  <c r="I154" i="31" l="1"/>
  <c r="J154" i="31" s="1"/>
  <c r="D155" i="31"/>
  <c r="E155" i="31" s="1"/>
  <c r="E156" i="31" s="1"/>
  <c r="D155" i="35"/>
  <c r="G154" i="35"/>
  <c r="F73" i="13"/>
  <c r="G153" i="37"/>
  <c r="D154" i="37"/>
  <c r="B154" i="37" s="1"/>
  <c r="B155" i="13"/>
  <c r="H154" i="13"/>
  <c r="I154" i="13"/>
  <c r="H153" i="34"/>
  <c r="I153" i="34"/>
  <c r="F154" i="38"/>
  <c r="B154" i="38"/>
  <c r="B154" i="34"/>
  <c r="F154" i="34"/>
  <c r="H153" i="38"/>
  <c r="I153" i="38"/>
  <c r="J153" i="20"/>
  <c r="E155" i="13"/>
  <c r="E156" i="13" s="1"/>
  <c r="D155" i="20"/>
  <c r="E155" i="20" s="1"/>
  <c r="E156" i="20" s="1"/>
  <c r="G154" i="20"/>
  <c r="F155" i="31" l="1"/>
  <c r="G155" i="31" s="1"/>
  <c r="H155" i="31" s="1"/>
  <c r="H156" i="31" s="1"/>
  <c r="B155" i="31"/>
  <c r="E154" i="37"/>
  <c r="F154" i="37" s="1"/>
  <c r="H73" i="13"/>
  <c r="G73" i="13"/>
  <c r="G74" i="13" s="1"/>
  <c r="H154" i="35"/>
  <c r="I154" i="35"/>
  <c r="E155" i="35"/>
  <c r="E156" i="35" s="1"/>
  <c r="B155" i="35"/>
  <c r="I153" i="37"/>
  <c r="H153" i="37"/>
  <c r="D155" i="34"/>
  <c r="E155" i="34" s="1"/>
  <c r="E156" i="34" s="1"/>
  <c r="G154" i="34"/>
  <c r="G154" i="38"/>
  <c r="D155" i="38"/>
  <c r="E155" i="38" s="1"/>
  <c r="E156" i="38" s="1"/>
  <c r="F155" i="13"/>
  <c r="G155" i="13" s="1"/>
  <c r="I154" i="20"/>
  <c r="H154" i="20"/>
  <c r="B155" i="20"/>
  <c r="F155" i="20"/>
  <c r="G155" i="20" s="1"/>
  <c r="I155" i="31" l="1"/>
  <c r="F155" i="35"/>
  <c r="G155" i="35" s="1"/>
  <c r="H155" i="35" s="1"/>
  <c r="H156" i="35" s="1"/>
  <c r="D155" i="37"/>
  <c r="G154" i="37"/>
  <c r="I73" i="13"/>
  <c r="I74" i="13" s="1"/>
  <c r="H74" i="13"/>
  <c r="B155" i="38"/>
  <c r="F155" i="38"/>
  <c r="G155" i="38" s="1"/>
  <c r="H154" i="38"/>
  <c r="I154" i="38"/>
  <c r="J155" i="31"/>
  <c r="J156" i="31" s="1"/>
  <c r="I156" i="31"/>
  <c r="H154" i="34"/>
  <c r="I154" i="34"/>
  <c r="H155" i="13"/>
  <c r="H156" i="13" s="1"/>
  <c r="I155" i="13"/>
  <c r="I156" i="13" s="1"/>
  <c r="B155" i="34"/>
  <c r="F155" i="34"/>
  <c r="G155" i="34" s="1"/>
  <c r="H155" i="20"/>
  <c r="H156" i="20" s="1"/>
  <c r="I155" i="20"/>
  <c r="J154" i="20"/>
  <c r="I155" i="35" l="1"/>
  <c r="I156" i="35" s="1"/>
  <c r="H154" i="37"/>
  <c r="I154" i="37"/>
  <c r="E155" i="37"/>
  <c r="B155" i="37"/>
  <c r="I155" i="34"/>
  <c r="I156" i="34" s="1"/>
  <c r="H155" i="34"/>
  <c r="H156" i="34" s="1"/>
  <c r="H155" i="38"/>
  <c r="H156" i="38" s="1"/>
  <c r="I155" i="38"/>
  <c r="I156" i="38" s="1"/>
  <c r="J155" i="20"/>
  <c r="J156" i="20" s="1"/>
  <c r="I156" i="20"/>
  <c r="E156" i="37" l="1"/>
  <c r="F155" i="37"/>
  <c r="G155" i="37" s="1"/>
  <c r="H155" i="37" l="1"/>
  <c r="H156" i="37" s="1"/>
  <c r="I155" i="37"/>
  <c r="I156" i="37" s="1"/>
  <c r="J93" i="3" l="1"/>
  <c r="M89" i="3" s="1"/>
  <c r="L87" i="3" l="1"/>
  <c r="N89" i="3"/>
  <c r="J93" i="38"/>
  <c r="N88" i="38" s="1"/>
  <c r="J93" i="24"/>
  <c r="J93" i="13"/>
  <c r="M19" i="2"/>
  <c r="A4" i="2"/>
  <c r="J93" i="18"/>
  <c r="J93" i="19"/>
  <c r="J93" i="23"/>
  <c r="J93" i="25"/>
  <c r="J93" i="27"/>
  <c r="J93" i="26"/>
  <c r="J93" i="28"/>
  <c r="J93" i="35"/>
  <c r="J93" i="34"/>
  <c r="J93" i="37"/>
  <c r="J93" i="20"/>
  <c r="J93" i="31"/>
  <c r="J93" i="29"/>
  <c r="J93" i="22"/>
  <c r="J93" i="21"/>
  <c r="J93" i="4"/>
  <c r="L87" i="4" l="1"/>
  <c r="N89" i="4"/>
  <c r="M89" i="4"/>
  <c r="L87" i="31"/>
  <c r="N89" i="31"/>
  <c r="M89" i="31"/>
  <c r="M88" i="20"/>
  <c r="L87" i="20"/>
  <c r="N88" i="20"/>
  <c r="N89" i="20"/>
  <c r="M89" i="20"/>
  <c r="N89" i="23"/>
  <c r="L87" i="23"/>
  <c r="M89" i="23"/>
  <c r="N89" i="22"/>
  <c r="L87" i="22"/>
  <c r="M89" i="22"/>
  <c r="L87" i="26"/>
  <c r="N89" i="26"/>
  <c r="M89" i="26"/>
  <c r="L87" i="13"/>
  <c r="N88" i="13"/>
  <c r="M89" i="13"/>
  <c r="N89" i="13"/>
  <c r="M88" i="13"/>
  <c r="M88" i="35"/>
  <c r="L87" i="35"/>
  <c r="N88" i="35"/>
  <c r="N89" i="35"/>
  <c r="M89" i="35"/>
  <c r="N89" i="21"/>
  <c r="L87" i="21"/>
  <c r="M89" i="21"/>
  <c r="N89" i="28"/>
  <c r="L87" i="28"/>
  <c r="M89" i="28"/>
  <c r="M88" i="37"/>
  <c r="L87" i="37"/>
  <c r="N89" i="37"/>
  <c r="N88" i="37"/>
  <c r="M89" i="37"/>
  <c r="L87" i="19"/>
  <c r="N89" i="19"/>
  <c r="M89" i="19"/>
  <c r="L87" i="29"/>
  <c r="N89" i="29"/>
  <c r="M89" i="29"/>
  <c r="N88" i="34"/>
  <c r="N89" i="34"/>
  <c r="L87" i="34"/>
  <c r="M88" i="34"/>
  <c r="M89" i="34"/>
  <c r="L87" i="27"/>
  <c r="N89" i="27"/>
  <c r="M89" i="27"/>
  <c r="L87" i="18"/>
  <c r="N89" i="18"/>
  <c r="M89" i="18"/>
  <c r="N89" i="24"/>
  <c r="M89" i="24"/>
  <c r="L87" i="24"/>
  <c r="O89" i="3"/>
  <c r="N89" i="25"/>
  <c r="L87" i="25"/>
  <c r="M89" i="25"/>
  <c r="M88" i="38"/>
  <c r="O88" i="38" s="1"/>
  <c r="M89" i="38"/>
  <c r="L87" i="38"/>
  <c r="N89" i="38"/>
  <c r="M90" i="20" l="1"/>
  <c r="M90" i="35"/>
  <c r="O88" i="35"/>
  <c r="M90" i="38"/>
  <c r="M90" i="34"/>
  <c r="O88" i="34"/>
  <c r="M90" i="37"/>
  <c r="O88" i="37"/>
  <c r="M90" i="13"/>
  <c r="O88" i="20"/>
  <c r="O88" i="13"/>
  <c r="O89" i="25"/>
  <c r="O89" i="24"/>
  <c r="O89" i="28"/>
  <c r="O89" i="21"/>
  <c r="O89" i="23"/>
  <c r="N18" i="2"/>
  <c r="O89" i="18"/>
  <c r="O89" i="27"/>
  <c r="N90" i="37"/>
  <c r="O89" i="37"/>
  <c r="O89" i="31"/>
  <c r="O89" i="38"/>
  <c r="O90" i="38" s="1"/>
  <c r="N90" i="38"/>
  <c r="O89" i="29"/>
  <c r="O89" i="13"/>
  <c r="N90" i="13"/>
  <c r="O18" i="2"/>
  <c r="O89" i="34"/>
  <c r="N90" i="34"/>
  <c r="O89" i="19"/>
  <c r="N90" i="35"/>
  <c r="O89" i="35"/>
  <c r="O89" i="26"/>
  <c r="O89" i="22"/>
  <c r="O89" i="20"/>
  <c r="N90" i="20"/>
  <c r="O89" i="4"/>
  <c r="O90" i="34" l="1"/>
  <c r="V22" i="17"/>
  <c r="O90" i="35"/>
  <c r="N28" i="2"/>
  <c r="N29" i="2" s="1"/>
  <c r="O90" i="37"/>
  <c r="O90" i="20"/>
  <c r="O90" i="13"/>
  <c r="P18" i="2"/>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L35" i="17" l="1"/>
  <c r="V35" i="17" s="1"/>
  <c r="L18" i="17"/>
  <c r="V18" i="17" s="1"/>
  <c r="L21" i="17"/>
  <c r="L30" i="17" l="1"/>
  <c r="L36" i="17"/>
  <c r="V36" i="17" s="1"/>
  <c r="L31" i="17"/>
  <c r="L20" i="17"/>
  <c r="L26" i="17"/>
  <c r="L33" i="17"/>
  <c r="V33" i="17" s="1"/>
  <c r="L28" i="17"/>
  <c r="L19" i="17"/>
  <c r="L23" i="17"/>
  <c r="L24" i="17"/>
  <c r="L27" i="17"/>
  <c r="L29" i="17"/>
  <c r="L25" i="17"/>
  <c r="L32" i="17"/>
  <c r="L34" i="17"/>
  <c r="V34" i="17" s="1"/>
  <c r="L42" i="17" l="1"/>
  <c r="D18" i="17"/>
  <c r="D20" i="17"/>
  <c r="D32" i="17"/>
  <c r="D31" i="17"/>
  <c r="D23" i="17"/>
  <c r="D21" i="17"/>
  <c r="D30" i="17"/>
  <c r="D33" i="17"/>
  <c r="D22" i="17"/>
  <c r="D26" i="17"/>
  <c r="D35" i="17"/>
  <c r="D24" i="17"/>
  <c r="D28" i="17"/>
  <c r="D29" i="17"/>
  <c r="D34" i="17"/>
  <c r="D25" i="17"/>
  <c r="D27" i="17"/>
  <c r="D19" i="17"/>
  <c r="F83" i="1" l="1"/>
  <c r="F84" i="1"/>
  <c r="F85" i="1" l="1"/>
  <c r="F86" i="1" s="1"/>
  <c r="F88" i="1" s="1"/>
  <c r="F89" i="1" s="1"/>
  <c r="F90" i="1" s="1"/>
  <c r="D13" i="42" l="1"/>
  <c r="D13" i="43"/>
  <c r="C73" i="43" s="1"/>
  <c r="D13" i="3"/>
  <c r="C33" i="3" s="1"/>
  <c r="C34" i="3" s="1"/>
  <c r="C35" i="3" s="1"/>
  <c r="C36" i="3" s="1"/>
  <c r="C37" i="3" s="1"/>
  <c r="C38" i="3" s="1"/>
  <c r="C39" i="3" s="1"/>
  <c r="C40" i="3" s="1"/>
  <c r="C41" i="3" s="1"/>
  <c r="C42" i="3" s="1"/>
  <c r="C43" i="3" s="1"/>
  <c r="C44" i="3" s="1"/>
  <c r="C45" i="3" s="1"/>
  <c r="D13" i="19"/>
  <c r="C33" i="19" s="1"/>
  <c r="C34" i="19" s="1"/>
  <c r="C35" i="19" s="1"/>
  <c r="C36" i="19" s="1"/>
  <c r="C37" i="19" s="1"/>
  <c r="C38" i="19" s="1"/>
  <c r="C39" i="19" s="1"/>
  <c r="C40" i="19" s="1"/>
  <c r="C41" i="19" s="1"/>
  <c r="C42" i="19" s="1"/>
  <c r="C43" i="19" s="1"/>
  <c r="C44" i="19" s="1"/>
  <c r="C45" i="19" s="1"/>
  <c r="D13" i="29"/>
  <c r="C33" i="29" s="1"/>
  <c r="C34" i="29" s="1"/>
  <c r="C35" i="29" s="1"/>
  <c r="C36" i="29" s="1"/>
  <c r="C37" i="29" s="1"/>
  <c r="C38" i="29" s="1"/>
  <c r="C39" i="29" s="1"/>
  <c r="C40" i="29" s="1"/>
  <c r="C41" i="29" s="1"/>
  <c r="C42" i="29" s="1"/>
  <c r="C43" i="29" s="1"/>
  <c r="C44" i="29" s="1"/>
  <c r="C45" i="29" s="1"/>
  <c r="D13" i="13"/>
  <c r="C73" i="13" s="1"/>
  <c r="D13" i="4"/>
  <c r="I14" i="4" s="1"/>
  <c r="D13" i="21"/>
  <c r="I14" i="21" s="1"/>
  <c r="D13" i="28"/>
  <c r="D13" i="39"/>
  <c r="I14" i="39" s="1"/>
  <c r="D13" i="31"/>
  <c r="C33" i="31" s="1"/>
  <c r="C34" i="31" s="1"/>
  <c r="C35" i="31" s="1"/>
  <c r="C36" i="31" s="1"/>
  <c r="C37" i="31" s="1"/>
  <c r="C38" i="31" s="1"/>
  <c r="C39" i="31" s="1"/>
  <c r="C40" i="31" s="1"/>
  <c r="C41" i="31" s="1"/>
  <c r="C42" i="31" s="1"/>
  <c r="C43" i="31" s="1"/>
  <c r="C44" i="31" s="1"/>
  <c r="C45" i="31" s="1"/>
  <c r="D13" i="27"/>
  <c r="I14" i="27" s="1"/>
  <c r="D13" i="40"/>
  <c r="C73" i="40" s="1"/>
  <c r="D13" i="24"/>
  <c r="I14" i="24" s="1"/>
  <c r="D13" i="34"/>
  <c r="I14" i="34" s="1"/>
  <c r="D13" i="37"/>
  <c r="I14" i="37" s="1"/>
  <c r="D13" i="20"/>
  <c r="D13" i="26"/>
  <c r="I14" i="26" s="1"/>
  <c r="D13" i="41"/>
  <c r="I14" i="41" s="1"/>
  <c r="D13" i="18"/>
  <c r="C33" i="18" s="1"/>
  <c r="C34" i="18" s="1"/>
  <c r="C35" i="18" s="1"/>
  <c r="C36" i="18" s="1"/>
  <c r="C37" i="18" s="1"/>
  <c r="C38" i="18" s="1"/>
  <c r="C39" i="18" s="1"/>
  <c r="C40" i="18" s="1"/>
  <c r="C41" i="18" s="1"/>
  <c r="C42" i="18" s="1"/>
  <c r="C43" i="18" s="1"/>
  <c r="C44" i="18" s="1"/>
  <c r="C45" i="18" s="1"/>
  <c r="D13" i="23"/>
  <c r="I14" i="23" s="1"/>
  <c r="D13" i="22"/>
  <c r="I14" i="22" s="1"/>
  <c r="D13" i="25"/>
  <c r="I14" i="25" s="1"/>
  <c r="D13" i="38"/>
  <c r="C73" i="38" s="1"/>
  <c r="D13" i="35"/>
  <c r="I14" i="28"/>
  <c r="C33" i="28"/>
  <c r="C34" i="28" s="1"/>
  <c r="C35" i="28" s="1"/>
  <c r="C36" i="28" s="1"/>
  <c r="C37" i="28" s="1"/>
  <c r="C38" i="28" s="1"/>
  <c r="C39" i="28" s="1"/>
  <c r="C40" i="28" s="1"/>
  <c r="C41" i="28" s="1"/>
  <c r="C42" i="28" s="1"/>
  <c r="C43" i="28" s="1"/>
  <c r="C44" i="28" s="1"/>
  <c r="C45" i="28" s="1"/>
  <c r="I14" i="3"/>
  <c r="I14" i="19"/>
  <c r="C73" i="35"/>
  <c r="I14" i="35"/>
  <c r="I14" i="42"/>
  <c r="C73" i="42"/>
  <c r="C33" i="21" l="1"/>
  <c r="C34" i="21" s="1"/>
  <c r="C35" i="21" s="1"/>
  <c r="C36" i="21" s="1"/>
  <c r="C37" i="21" s="1"/>
  <c r="C38" i="21" s="1"/>
  <c r="C39" i="21" s="1"/>
  <c r="C40" i="21" s="1"/>
  <c r="C41" i="21" s="1"/>
  <c r="C42" i="21" s="1"/>
  <c r="C43" i="21" s="1"/>
  <c r="C44" i="21" s="1"/>
  <c r="C45" i="21" s="1"/>
  <c r="I14" i="29"/>
  <c r="I14" i="40"/>
  <c r="C33" i="27"/>
  <c r="C34" i="27" s="1"/>
  <c r="C35" i="27" s="1"/>
  <c r="C36" i="27" s="1"/>
  <c r="C37" i="27" s="1"/>
  <c r="C38" i="27" s="1"/>
  <c r="C39" i="27" s="1"/>
  <c r="C40" i="27" s="1"/>
  <c r="C41" i="27" s="1"/>
  <c r="C42" i="27" s="1"/>
  <c r="C43" i="27" s="1"/>
  <c r="C44" i="27" s="1"/>
  <c r="C45" i="27" s="1"/>
  <c r="M88" i="27" s="1"/>
  <c r="M90" i="27" s="1"/>
  <c r="I14" i="18"/>
  <c r="C73" i="37"/>
  <c r="I14" i="38"/>
  <c r="C33" i="23"/>
  <c r="C34" i="23" s="1"/>
  <c r="C35" i="23" s="1"/>
  <c r="C36" i="23" s="1"/>
  <c r="C37" i="23" s="1"/>
  <c r="C38" i="23" s="1"/>
  <c r="C39" i="23" s="1"/>
  <c r="C40" i="23" s="1"/>
  <c r="C41" i="23" s="1"/>
  <c r="C42" i="23" s="1"/>
  <c r="C43" i="23" s="1"/>
  <c r="C44" i="23" s="1"/>
  <c r="C45" i="23" s="1"/>
  <c r="M88" i="23" s="1"/>
  <c r="M90" i="23" s="1"/>
  <c r="C33" i="26"/>
  <c r="C34" i="26" s="1"/>
  <c r="C35" i="26" s="1"/>
  <c r="C36" i="26" s="1"/>
  <c r="C37" i="26" s="1"/>
  <c r="C38" i="26" s="1"/>
  <c r="C39" i="26" s="1"/>
  <c r="C40" i="26" s="1"/>
  <c r="C41" i="26" s="1"/>
  <c r="C42" i="26" s="1"/>
  <c r="C43" i="26" s="1"/>
  <c r="C44" i="26" s="1"/>
  <c r="C45" i="26" s="1"/>
  <c r="M88" i="26" s="1"/>
  <c r="M90" i="26" s="1"/>
  <c r="C73" i="39"/>
  <c r="C33" i="4"/>
  <c r="C34" i="4" s="1"/>
  <c r="C35" i="4" s="1"/>
  <c r="C36" i="4" s="1"/>
  <c r="C37" i="4" s="1"/>
  <c r="C38" i="4" s="1"/>
  <c r="C39" i="4" s="1"/>
  <c r="C40" i="4" s="1"/>
  <c r="C41" i="4" s="1"/>
  <c r="C42" i="4" s="1"/>
  <c r="C43" i="4" s="1"/>
  <c r="C44" i="4" s="1"/>
  <c r="C45" i="4" s="1"/>
  <c r="N88" i="4" s="1"/>
  <c r="C73" i="41"/>
  <c r="I14" i="31"/>
  <c r="C73" i="34"/>
  <c r="C33" i="24"/>
  <c r="C34" i="24" s="1"/>
  <c r="C35" i="24" s="1"/>
  <c r="C36" i="24" s="1"/>
  <c r="C37" i="24" s="1"/>
  <c r="C38" i="24" s="1"/>
  <c r="C39" i="24" s="1"/>
  <c r="C40" i="24" s="1"/>
  <c r="C41" i="24" s="1"/>
  <c r="C42" i="24" s="1"/>
  <c r="C43" i="24" s="1"/>
  <c r="C44" i="24" s="1"/>
  <c r="C45" i="24" s="1"/>
  <c r="N88" i="24" s="1"/>
  <c r="C33" i="22"/>
  <c r="C34" i="22" s="1"/>
  <c r="C35" i="22" s="1"/>
  <c r="C36" i="22" s="1"/>
  <c r="C37" i="22" s="1"/>
  <c r="C38" i="22" s="1"/>
  <c r="C39" i="22" s="1"/>
  <c r="C40" i="22" s="1"/>
  <c r="C41" i="22" s="1"/>
  <c r="C42" i="22" s="1"/>
  <c r="C43" i="22" s="1"/>
  <c r="C44" i="22" s="1"/>
  <c r="C45" i="22" s="1"/>
  <c r="N88" i="22" s="1"/>
  <c r="C33" i="25"/>
  <c r="C34" i="25" s="1"/>
  <c r="C35" i="25" s="1"/>
  <c r="C36" i="25" s="1"/>
  <c r="C37" i="25" s="1"/>
  <c r="C38" i="25" s="1"/>
  <c r="C39" i="25" s="1"/>
  <c r="C40" i="25" s="1"/>
  <c r="C41" i="25" s="1"/>
  <c r="C42" i="25" s="1"/>
  <c r="C43" i="25" s="1"/>
  <c r="C44" i="25" s="1"/>
  <c r="C45" i="25" s="1"/>
  <c r="N88" i="25" s="1"/>
  <c r="E27" i="27"/>
  <c r="C46" i="2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M88" i="21"/>
  <c r="M90" i="21" s="1"/>
  <c r="N88" i="21"/>
  <c r="N88" i="3"/>
  <c r="M88" i="3"/>
  <c r="C46" i="3"/>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46" i="26"/>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N88" i="28"/>
  <c r="M88" i="28"/>
  <c r="M90" i="28" s="1"/>
  <c r="C46" i="28"/>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N88" i="27"/>
  <c r="E17" i="42"/>
  <c r="F17" i="42" s="1"/>
  <c r="E25" i="28"/>
  <c r="F25" i="28" s="1"/>
  <c r="E23" i="28"/>
  <c r="F23" i="28" s="1"/>
  <c r="M88" i="18"/>
  <c r="M90" i="18" s="1"/>
  <c r="C46" i="18"/>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N88" i="18"/>
  <c r="M88" i="4"/>
  <c r="M90" i="4" s="1"/>
  <c r="C46" i="19"/>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M88" i="19"/>
  <c r="M90" i="19" s="1"/>
  <c r="N88" i="19"/>
  <c r="M88" i="31"/>
  <c r="M90" i="31" s="1"/>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N88" i="31"/>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M88" i="29"/>
  <c r="M90" i="29" s="1"/>
  <c r="N88" i="29"/>
  <c r="C46" i="23" l="1"/>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C46" i="27"/>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N88" i="23"/>
  <c r="N90" i="23" s="1"/>
  <c r="N88" i="26"/>
  <c r="O88" i="26" s="1"/>
  <c r="O90" i="26" s="1"/>
  <c r="C46" i="4"/>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M88" i="25"/>
  <c r="M90" i="25" s="1"/>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C46" i="24"/>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M88" i="22"/>
  <c r="M90" i="22" s="1"/>
  <c r="C46" i="22"/>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M88" i="24"/>
  <c r="M90" i="24" s="1"/>
  <c r="V21" i="17"/>
  <c r="V27" i="17"/>
  <c r="V32" i="17"/>
  <c r="V31" i="17"/>
  <c r="V19" i="17"/>
  <c r="V20" i="17"/>
  <c r="V25" i="17"/>
  <c r="V29" i="17"/>
  <c r="V24" i="17"/>
  <c r="V30" i="17"/>
  <c r="V23" i="17"/>
  <c r="V26" i="17"/>
  <c r="V28" i="17"/>
  <c r="H23" i="28"/>
  <c r="B24" i="28"/>
  <c r="G23" i="28"/>
  <c r="N90" i="31"/>
  <c r="O88" i="31"/>
  <c r="O90" i="31" s="1"/>
  <c r="O88" i="19"/>
  <c r="O90" i="19" s="1"/>
  <c r="N90" i="19"/>
  <c r="O88" i="29"/>
  <c r="O90" i="29" s="1"/>
  <c r="N90" i="29"/>
  <c r="O88" i="23"/>
  <c r="O90" i="23" s="1"/>
  <c r="B26" i="28"/>
  <c r="H25" i="28"/>
  <c r="G25" i="28"/>
  <c r="E26" i="28"/>
  <c r="F26" i="28" s="1"/>
  <c r="N90" i="24"/>
  <c r="N90" i="4"/>
  <c r="O88" i="4"/>
  <c r="O90" i="4" s="1"/>
  <c r="O88" i="18"/>
  <c r="O90" i="18" s="1"/>
  <c r="N90" i="18"/>
  <c r="N90" i="3"/>
  <c r="O88" i="3"/>
  <c r="O90" i="3" s="1"/>
  <c r="O17" i="2"/>
  <c r="N90" i="25"/>
  <c r="O88" i="25"/>
  <c r="O90" i="25" s="1"/>
  <c r="O88" i="28"/>
  <c r="O90" i="28" s="1"/>
  <c r="N90" i="28"/>
  <c r="D27" i="27"/>
  <c r="H17" i="42"/>
  <c r="G17" i="42"/>
  <c r="D18" i="42"/>
  <c r="E18" i="42" s="1"/>
  <c r="N90" i="27"/>
  <c r="O88" i="27"/>
  <c r="O90" i="27" s="1"/>
  <c r="N90" i="22"/>
  <c r="M90" i="3"/>
  <c r="O88" i="21"/>
  <c r="O90" i="21" s="1"/>
  <c r="N90" i="21"/>
  <c r="N90" i="26" l="1"/>
  <c r="O88" i="22"/>
  <c r="O90" i="22" s="1"/>
  <c r="N17" i="2"/>
  <c r="N19" i="2" s="1"/>
  <c r="N20" i="2" s="1"/>
  <c r="O88" i="24"/>
  <c r="O90" i="24" s="1"/>
  <c r="I25" i="28"/>
  <c r="I42" i="17"/>
  <c r="V42" i="17"/>
  <c r="Q18" i="17" s="1"/>
  <c r="B22" i="38"/>
  <c r="I29" i="4"/>
  <c r="B26" i="23"/>
  <c r="B27" i="24"/>
  <c r="O19" i="2"/>
  <c r="O20" i="2" s="1"/>
  <c r="I21" i="38"/>
  <c r="I24" i="25"/>
  <c r="I26" i="21"/>
  <c r="B26" i="26"/>
  <c r="H26" i="28"/>
  <c r="B27" i="28"/>
  <c r="G26" i="28"/>
  <c r="E27" i="28"/>
  <c r="F27" i="28" s="1"/>
  <c r="I23" i="28"/>
  <c r="I22" i="35"/>
  <c r="B23" i="31"/>
  <c r="I26" i="27"/>
  <c r="I21" i="37"/>
  <c r="B23" i="35"/>
  <c r="I22" i="31"/>
  <c r="I28" i="18"/>
  <c r="I17" i="42"/>
  <c r="B18" i="40"/>
  <c r="B20" i="39"/>
  <c r="B25" i="25"/>
  <c r="I29" i="3"/>
  <c r="I23" i="29"/>
  <c r="B18" i="41"/>
  <c r="B26" i="22"/>
  <c r="I25" i="26"/>
  <c r="B23" i="34"/>
  <c r="I25" i="23"/>
  <c r="I26" i="24"/>
  <c r="I28" i="19"/>
  <c r="F18" i="42"/>
  <c r="G18" i="42" s="1"/>
  <c r="N5" i="42" s="1"/>
  <c r="B18" i="42"/>
  <c r="B29" i="18"/>
  <c r="B27" i="21"/>
  <c r="I17" i="41"/>
  <c r="B27" i="27"/>
  <c r="F27" i="27"/>
  <c r="H27" i="27" s="1"/>
  <c r="N6" i="27" s="1"/>
  <c r="I17" i="40"/>
  <c r="I19" i="39"/>
  <c r="B30" i="3"/>
  <c r="I25" i="22"/>
  <c r="B30" i="4"/>
  <c r="B22" i="37"/>
  <c r="I22" i="34"/>
  <c r="B29" i="19"/>
  <c r="E40" i="17"/>
  <c r="Q20" i="17" l="1"/>
  <c r="R20" i="17" s="1"/>
  <c r="Q40" i="17"/>
  <c r="R40" i="17" s="1"/>
  <c r="P17" i="2"/>
  <c r="P19" i="2" s="1"/>
  <c r="P20" i="2" s="1"/>
  <c r="Q21" i="17"/>
  <c r="R21" i="17" s="1"/>
  <c r="Q24" i="17"/>
  <c r="R24" i="17" s="1"/>
  <c r="Q28" i="17"/>
  <c r="R28" i="17" s="1"/>
  <c r="Q29" i="17"/>
  <c r="R29" i="17" s="1"/>
  <c r="Q30" i="17"/>
  <c r="R30" i="17" s="1"/>
  <c r="R19" i="17"/>
  <c r="Q27" i="17"/>
  <c r="R27" i="17" s="1"/>
  <c r="Q26" i="17"/>
  <c r="R26" i="17" s="1"/>
  <c r="D23" i="38"/>
  <c r="E23" i="38"/>
  <c r="R18" i="17"/>
  <c r="Q39" i="17"/>
  <c r="R39" i="17" s="1"/>
  <c r="Q37" i="17"/>
  <c r="R37" i="17" s="1"/>
  <c r="Q38" i="17"/>
  <c r="R38" i="17" s="1"/>
  <c r="Q35" i="17"/>
  <c r="R35" i="17" s="1"/>
  <c r="Q22" i="17"/>
  <c r="R22" i="17" s="1"/>
  <c r="T22" i="17" s="1"/>
  <c r="Q36" i="17"/>
  <c r="R36" i="17" s="1"/>
  <c r="Q34" i="17"/>
  <c r="R34" i="17" s="1"/>
  <c r="Q33" i="17"/>
  <c r="R33" i="17" s="1"/>
  <c r="D19" i="41"/>
  <c r="E19" i="41"/>
  <c r="D24" i="31"/>
  <c r="E24" i="31"/>
  <c r="I26" i="28"/>
  <c r="D27" i="22"/>
  <c r="E27" i="22"/>
  <c r="D26" i="25"/>
  <c r="E26" i="25"/>
  <c r="D21" i="39"/>
  <c r="E21" i="39"/>
  <c r="D19" i="40"/>
  <c r="E19" i="40"/>
  <c r="Q32" i="17"/>
  <c r="R32" i="17" s="1"/>
  <c r="G27" i="28"/>
  <c r="N5" i="28" s="1"/>
  <c r="H27" i="28"/>
  <c r="N6" i="28" s="1"/>
  <c r="D28" i="24"/>
  <c r="E28" i="24"/>
  <c r="D27" i="23"/>
  <c r="E27" i="23"/>
  <c r="D27" i="26"/>
  <c r="E27" i="26"/>
  <c r="D23" i="37"/>
  <c r="E23" i="37"/>
  <c r="D31" i="4"/>
  <c r="E31" i="4"/>
  <c r="D30" i="18"/>
  <c r="E30" i="18"/>
  <c r="H18" i="42"/>
  <c r="N6" i="42" s="1"/>
  <c r="N7" i="42" s="1"/>
  <c r="D19" i="42"/>
  <c r="E19" i="42" s="1"/>
  <c r="D24" i="34"/>
  <c r="E24" i="34"/>
  <c r="Q25" i="17"/>
  <c r="R25" i="17" s="1"/>
  <c r="Q31" i="17"/>
  <c r="R31" i="17" s="1"/>
  <c r="D28" i="21"/>
  <c r="E28" i="21"/>
  <c r="D30" i="19"/>
  <c r="E30" i="19"/>
  <c r="D25" i="29"/>
  <c r="E25" i="29"/>
  <c r="D31" i="3"/>
  <c r="E31" i="3"/>
  <c r="G27" i="27"/>
  <c r="D28" i="27"/>
  <c r="E28" i="27"/>
  <c r="D24" i="35"/>
  <c r="E24" i="35"/>
  <c r="Q23" i="17"/>
  <c r="R23" i="17" s="1"/>
  <c r="F40" i="17"/>
  <c r="E30" i="17"/>
  <c r="I27" i="27" l="1"/>
  <c r="N5" i="27"/>
  <c r="G40" i="17"/>
  <c r="T40" i="17" s="1"/>
  <c r="N7" i="28"/>
  <c r="I23" i="34"/>
  <c r="I29" i="18"/>
  <c r="I18" i="40"/>
  <c r="I30" i="3"/>
  <c r="I29" i="19"/>
  <c r="I24" i="29"/>
  <c r="I22" i="38"/>
  <c r="F28" i="21"/>
  <c r="B28" i="21"/>
  <c r="F23" i="38"/>
  <c r="G23" i="38" s="1"/>
  <c r="N5" i="38" s="1"/>
  <c r="B23" i="38"/>
  <c r="I26" i="23"/>
  <c r="F24" i="34"/>
  <c r="G24" i="34" s="1"/>
  <c r="N5" i="34" s="1"/>
  <c r="B24" i="34"/>
  <c r="I30" i="4"/>
  <c r="B28" i="28"/>
  <c r="I23" i="35"/>
  <c r="F31" i="3"/>
  <c r="B31" i="3"/>
  <c r="I20" i="39"/>
  <c r="I27" i="24"/>
  <c r="F28" i="27"/>
  <c r="G28" i="27" s="1"/>
  <c r="B28" i="27"/>
  <c r="I18" i="41"/>
  <c r="F30" i="18"/>
  <c r="B30" i="18"/>
  <c r="F23" i="37"/>
  <c r="B23" i="37"/>
  <c r="B27" i="26"/>
  <c r="F27" i="26"/>
  <c r="H27" i="26" s="1"/>
  <c r="N6" i="26" s="1"/>
  <c r="B27" i="23"/>
  <c r="F27" i="23"/>
  <c r="H27" i="23" s="1"/>
  <c r="N6" i="23" s="1"/>
  <c r="F19" i="40"/>
  <c r="H19" i="40" s="1"/>
  <c r="N6" i="40" s="1"/>
  <c r="B19" i="40"/>
  <c r="B24" i="31"/>
  <c r="F24" i="31"/>
  <c r="G24" i="31" s="1"/>
  <c r="N5" i="31" s="1"/>
  <c r="R42" i="17"/>
  <c r="I27" i="21"/>
  <c r="B31" i="4"/>
  <c r="F31" i="4"/>
  <c r="H31" i="4" s="1"/>
  <c r="N6" i="4" s="1"/>
  <c r="B28" i="24"/>
  <c r="F28" i="24"/>
  <c r="G28" i="24" s="1"/>
  <c r="N5" i="24" s="1"/>
  <c r="F21" i="39"/>
  <c r="H21" i="39" s="1"/>
  <c r="N6" i="39" s="1"/>
  <c r="B21" i="39"/>
  <c r="F19" i="41"/>
  <c r="G19" i="41" s="1"/>
  <c r="N5" i="41" s="1"/>
  <c r="B19" i="41"/>
  <c r="I22" i="37"/>
  <c r="I26" i="26"/>
  <c r="B24" i="35"/>
  <c r="F24" i="35"/>
  <c r="H24" i="35" s="1"/>
  <c r="N6" i="35" s="1"/>
  <c r="I26" i="22"/>
  <c r="F25" i="29"/>
  <c r="G25" i="29" s="1"/>
  <c r="N5" i="29" s="1"/>
  <c r="F30" i="19"/>
  <c r="H30" i="19" s="1"/>
  <c r="N6" i="19" s="1"/>
  <c r="B30" i="19"/>
  <c r="B19" i="42"/>
  <c r="F19" i="42"/>
  <c r="H19" i="42" s="1"/>
  <c r="I18" i="42"/>
  <c r="I27" i="28"/>
  <c r="I23" i="31"/>
  <c r="B26" i="25"/>
  <c r="F26" i="25"/>
  <c r="G26" i="25" s="1"/>
  <c r="N5" i="25" s="1"/>
  <c r="B27" i="22"/>
  <c r="F27" i="22"/>
  <c r="H27" i="22" s="1"/>
  <c r="N6" i="22" s="1"/>
  <c r="I25" i="25"/>
  <c r="E29" i="17"/>
  <c r="F30" i="17"/>
  <c r="E26" i="17"/>
  <c r="E32" i="17"/>
  <c r="E31" i="17"/>
  <c r="E36" i="17"/>
  <c r="E39" i="17"/>
  <c r="E33" i="17"/>
  <c r="E27" i="17"/>
  <c r="N7" i="27" l="1"/>
  <c r="G30" i="17"/>
  <c r="T30" i="17" s="1"/>
  <c r="G27" i="22"/>
  <c r="G31" i="4"/>
  <c r="G19" i="40"/>
  <c r="G27" i="23"/>
  <c r="H24" i="34"/>
  <c r="G19" i="42"/>
  <c r="I19" i="42" s="1"/>
  <c r="G27" i="26"/>
  <c r="D28" i="26"/>
  <c r="E28" i="26"/>
  <c r="H23" i="37"/>
  <c r="N6" i="37" s="1"/>
  <c r="D24" i="37"/>
  <c r="E24" i="37"/>
  <c r="D31" i="18"/>
  <c r="E31" i="18"/>
  <c r="D32" i="3"/>
  <c r="D33" i="3"/>
  <c r="E32" i="3"/>
  <c r="E33" i="3"/>
  <c r="D29" i="27"/>
  <c r="E29" i="27"/>
  <c r="G28" i="21"/>
  <c r="N5" i="21" s="1"/>
  <c r="D29" i="21"/>
  <c r="E29" i="21"/>
  <c r="D31" i="19"/>
  <c r="E31" i="19"/>
  <c r="D29" i="24"/>
  <c r="E29" i="24"/>
  <c r="D25" i="31"/>
  <c r="E25" i="31"/>
  <c r="H26" i="25"/>
  <c r="D27" i="25"/>
  <c r="E27" i="25"/>
  <c r="G30" i="19"/>
  <c r="D32" i="4"/>
  <c r="E32" i="4"/>
  <c r="E33" i="4"/>
  <c r="D20" i="40"/>
  <c r="E20" i="40"/>
  <c r="D28" i="23"/>
  <c r="E28" i="23"/>
  <c r="G30" i="18"/>
  <c r="N5" i="18" s="1"/>
  <c r="H28" i="27"/>
  <c r="H31" i="3"/>
  <c r="N6" i="3" s="1"/>
  <c r="H28" i="21"/>
  <c r="N6" i="21" s="1"/>
  <c r="H19" i="41"/>
  <c r="N6" i="41" s="1"/>
  <c r="N7" i="41" s="1"/>
  <c r="D20" i="41"/>
  <c r="E20" i="41"/>
  <c r="H23" i="38"/>
  <c r="D24" i="38"/>
  <c r="E24" i="38"/>
  <c r="D28" i="22"/>
  <c r="E28" i="22"/>
  <c r="D20" i="42"/>
  <c r="E20" i="42" s="1"/>
  <c r="H25" i="29"/>
  <c r="D26" i="29"/>
  <c r="E26" i="29"/>
  <c r="G24" i="35"/>
  <c r="D25" i="35"/>
  <c r="E25" i="35"/>
  <c r="G21" i="39"/>
  <c r="D22" i="39"/>
  <c r="E22" i="39"/>
  <c r="H28" i="24"/>
  <c r="H24" i="31"/>
  <c r="N6" i="31" s="1"/>
  <c r="N7" i="31" s="1"/>
  <c r="G23" i="37"/>
  <c r="N5" i="37" s="1"/>
  <c r="H30" i="18"/>
  <c r="N6" i="18" s="1"/>
  <c r="N7" i="18" s="1"/>
  <c r="G31" i="3"/>
  <c r="N5" i="3" s="1"/>
  <c r="D25" i="34"/>
  <c r="E25" i="34"/>
  <c r="F20" i="17"/>
  <c r="F29" i="17"/>
  <c r="E35" i="17"/>
  <c r="E20" i="17"/>
  <c r="F32" i="17"/>
  <c r="F39" i="17"/>
  <c r="E18" i="17"/>
  <c r="E23" i="17"/>
  <c r="N7" i="21" l="1"/>
  <c r="G39" i="17"/>
  <c r="T39" i="17" s="1"/>
  <c r="G32" i="17"/>
  <c r="T32" i="17" s="1"/>
  <c r="G20" i="17"/>
  <c r="T20" i="17" s="1"/>
  <c r="G29" i="17"/>
  <c r="T29" i="17" s="1"/>
  <c r="I24" i="34"/>
  <c r="N6" i="34"/>
  <c r="N7" i="34" s="1"/>
  <c r="I27" i="23"/>
  <c r="N5" i="23"/>
  <c r="I19" i="40"/>
  <c r="N5" i="40"/>
  <c r="I21" i="39"/>
  <c r="N5" i="39"/>
  <c r="N7" i="37"/>
  <c r="I31" i="4"/>
  <c r="N5" i="4"/>
  <c r="I30" i="19"/>
  <c r="N5" i="19"/>
  <c r="I27" i="22"/>
  <c r="N5" i="22"/>
  <c r="N7" i="3"/>
  <c r="I24" i="35"/>
  <c r="N5" i="35"/>
  <c r="I23" i="38"/>
  <c r="N6" i="38"/>
  <c r="N7" i="38" s="1"/>
  <c r="I27" i="26"/>
  <c r="N5" i="26"/>
  <c r="I28" i="24"/>
  <c r="N6" i="24"/>
  <c r="N7" i="24" s="1"/>
  <c r="I25" i="29"/>
  <c r="N6" i="29"/>
  <c r="N7" i="29" s="1"/>
  <c r="I26" i="25"/>
  <c r="N6" i="25"/>
  <c r="N7" i="25" s="1"/>
  <c r="I23" i="37"/>
  <c r="F28" i="23"/>
  <c r="G28" i="23" s="1"/>
  <c r="B28" i="23"/>
  <c r="I28" i="28"/>
  <c r="F20" i="42"/>
  <c r="B20" i="42"/>
  <c r="F20" i="41"/>
  <c r="B20" i="41"/>
  <c r="I28" i="27"/>
  <c r="B32" i="4"/>
  <c r="F32" i="4"/>
  <c r="D33" i="4" s="1"/>
  <c r="F29" i="24"/>
  <c r="H29" i="24" s="1"/>
  <c r="B29" i="24"/>
  <c r="F31" i="19"/>
  <c r="G31" i="19" s="1"/>
  <c r="B31" i="19"/>
  <c r="F33" i="3"/>
  <c r="G33" i="3" s="1"/>
  <c r="B33" i="3"/>
  <c r="F28" i="26"/>
  <c r="G28" i="26" s="1"/>
  <c r="B28" i="26"/>
  <c r="B22" i="39"/>
  <c r="F22" i="39"/>
  <c r="G22" i="39" s="1"/>
  <c r="F27" i="25"/>
  <c r="B27" i="25"/>
  <c r="F31" i="18"/>
  <c r="G31" i="18" s="1"/>
  <c r="B31" i="18"/>
  <c r="I24" i="31"/>
  <c r="I28" i="21"/>
  <c r="F32" i="3"/>
  <c r="H32" i="3" s="1"/>
  <c r="B24" i="37"/>
  <c r="F24" i="37"/>
  <c r="G24" i="37" s="1"/>
  <c r="F25" i="34"/>
  <c r="B25" i="34"/>
  <c r="I30" i="18"/>
  <c r="I31" i="3"/>
  <c r="F29" i="21"/>
  <c r="G29" i="21" s="1"/>
  <c r="B29" i="21"/>
  <c r="F24" i="38"/>
  <c r="G24" i="38" s="1"/>
  <c r="B24" i="38"/>
  <c r="F26" i="29"/>
  <c r="H26" i="29" s="1"/>
  <c r="I19" i="41"/>
  <c r="B20" i="40"/>
  <c r="F20" i="40"/>
  <c r="H20" i="40" s="1"/>
  <c r="B29" i="28"/>
  <c r="B25" i="35"/>
  <c r="F25" i="35"/>
  <c r="H25" i="35" s="1"/>
  <c r="F28" i="22"/>
  <c r="H28" i="22" s="1"/>
  <c r="B28" i="22"/>
  <c r="F25" i="31"/>
  <c r="H25" i="31" s="1"/>
  <c r="B25" i="31"/>
  <c r="B29" i="27"/>
  <c r="F29" i="27"/>
  <c r="G29" i="27" s="1"/>
  <c r="E37" i="17"/>
  <c r="E38" i="17"/>
  <c r="F26" i="17"/>
  <c r="F31" i="17"/>
  <c r="F35" i="17"/>
  <c r="F36" i="17"/>
  <c r="F23" i="17"/>
  <c r="E19" i="17"/>
  <c r="E28" i="17"/>
  <c r="E34" i="17"/>
  <c r="F33" i="17"/>
  <c r="E24" i="17"/>
  <c r="E25" i="17"/>
  <c r="E21" i="17"/>
  <c r="F18" i="17"/>
  <c r="F27" i="17"/>
  <c r="G23" i="17" l="1"/>
  <c r="T23" i="17" s="1"/>
  <c r="G26" i="17"/>
  <c r="T26" i="17" s="1"/>
  <c r="G36" i="17"/>
  <c r="T36" i="17" s="1"/>
  <c r="E42" i="17"/>
  <c r="G31" i="17"/>
  <c r="T31" i="17" s="1"/>
  <c r="G33" i="17"/>
  <c r="T33" i="17" s="1"/>
  <c r="G35" i="17"/>
  <c r="T35" i="17" s="1"/>
  <c r="G27" i="17"/>
  <c r="T27" i="17" s="1"/>
  <c r="G18" i="17"/>
  <c r="T18" i="17" s="1"/>
  <c r="N7" i="26"/>
  <c r="N7" i="40"/>
  <c r="N7" i="19"/>
  <c r="N7" i="23"/>
  <c r="N7" i="4"/>
  <c r="N7" i="35"/>
  <c r="N7" i="39"/>
  <c r="M19" i="1"/>
  <c r="N7" i="22"/>
  <c r="N19" i="1"/>
  <c r="G29" i="24"/>
  <c r="I29" i="24" s="1"/>
  <c r="H28" i="23"/>
  <c r="I28" i="23" s="1"/>
  <c r="I29" i="28"/>
  <c r="H24" i="37"/>
  <c r="I24" i="37" s="1"/>
  <c r="H31" i="19"/>
  <c r="I31" i="19" s="1"/>
  <c r="H32" i="4"/>
  <c r="F33" i="4"/>
  <c r="H33" i="4" s="1"/>
  <c r="B33" i="4"/>
  <c r="D21" i="41"/>
  <c r="E21" i="41"/>
  <c r="D21" i="42"/>
  <c r="E21" i="42" s="1"/>
  <c r="D30" i="27"/>
  <c r="E30" i="27"/>
  <c r="G25" i="35"/>
  <c r="I25" i="35" s="1"/>
  <c r="D26" i="35"/>
  <c r="E26" i="35"/>
  <c r="D25" i="38"/>
  <c r="E25" i="38"/>
  <c r="D30" i="21"/>
  <c r="E30" i="21"/>
  <c r="H31" i="18"/>
  <c r="I31" i="18" s="1"/>
  <c r="D32" i="18"/>
  <c r="E32" i="18"/>
  <c r="E33" i="18"/>
  <c r="D32" i="19"/>
  <c r="E33" i="19"/>
  <c r="E32" i="19"/>
  <c r="D30" i="24"/>
  <c r="E30" i="24"/>
  <c r="G32" i="4"/>
  <c r="H20" i="41"/>
  <c r="H20" i="42"/>
  <c r="D26" i="31"/>
  <c r="E26" i="31"/>
  <c r="D21" i="40"/>
  <c r="E21" i="40"/>
  <c r="B30" i="28"/>
  <c r="G25" i="31"/>
  <c r="I25" i="31" s="1"/>
  <c r="G26" i="29"/>
  <c r="I26" i="29" s="1"/>
  <c r="D27" i="29"/>
  <c r="E27" i="29"/>
  <c r="G25" i="34"/>
  <c r="D26" i="34"/>
  <c r="E26" i="34"/>
  <c r="H27" i="25"/>
  <c r="D28" i="25"/>
  <c r="E28" i="25"/>
  <c r="H33" i="3"/>
  <c r="I33" i="3" s="1"/>
  <c r="D34" i="3"/>
  <c r="E34" i="3"/>
  <c r="H29" i="27"/>
  <c r="I29" i="27" s="1"/>
  <c r="G28" i="22"/>
  <c r="I28" i="22" s="1"/>
  <c r="D29" i="22"/>
  <c r="E29" i="22"/>
  <c r="G20" i="40"/>
  <c r="I20" i="40" s="1"/>
  <c r="H24" i="38"/>
  <c r="I24" i="38" s="1"/>
  <c r="H29" i="21"/>
  <c r="H25" i="34"/>
  <c r="D25" i="37"/>
  <c r="E25" i="37"/>
  <c r="G32" i="3"/>
  <c r="I32" i="3" s="1"/>
  <c r="G27" i="25"/>
  <c r="H22" i="39"/>
  <c r="D23" i="39"/>
  <c r="E23" i="39"/>
  <c r="H28" i="26"/>
  <c r="I28" i="26" s="1"/>
  <c r="D29" i="26"/>
  <c r="E29" i="26"/>
  <c r="G20" i="41"/>
  <c r="G20" i="42"/>
  <c r="D29" i="23"/>
  <c r="E29" i="23"/>
  <c r="F24" i="17"/>
  <c r="F34" i="17"/>
  <c r="F38" i="17"/>
  <c r="F37" i="17"/>
  <c r="F19" i="17"/>
  <c r="F28" i="17"/>
  <c r="F25" i="17"/>
  <c r="F21" i="17"/>
  <c r="I25" i="34" l="1"/>
  <c r="G37" i="17"/>
  <c r="T37" i="17" s="1"/>
  <c r="G34" i="17"/>
  <c r="T34" i="17" s="1"/>
  <c r="G19" i="17"/>
  <c r="F42" i="17"/>
  <c r="G25" i="17"/>
  <c r="T25" i="17" s="1"/>
  <c r="G21" i="17"/>
  <c r="T21" i="17" s="1"/>
  <c r="G38" i="17"/>
  <c r="T38" i="17" s="1"/>
  <c r="G24" i="17"/>
  <c r="T24" i="17" s="1"/>
  <c r="G28" i="17"/>
  <c r="T28" i="17" s="1"/>
  <c r="N20" i="1"/>
  <c r="R130" i="1"/>
  <c r="O19" i="1"/>
  <c r="R129" i="1"/>
  <c r="M20" i="1"/>
  <c r="I32" i="4"/>
  <c r="I27" i="25"/>
  <c r="F26" i="34"/>
  <c r="B26" i="34"/>
  <c r="F23" i="39"/>
  <c r="B23" i="39"/>
  <c r="B28" i="25"/>
  <c r="F28" i="25"/>
  <c r="F26" i="31"/>
  <c r="B26" i="31"/>
  <c r="B32" i="19"/>
  <c r="F32" i="19"/>
  <c r="D33" i="19" s="1"/>
  <c r="F32" i="18"/>
  <c r="D33" i="18" s="1"/>
  <c r="B32" i="18"/>
  <c r="F30" i="27"/>
  <c r="G30" i="27" s="1"/>
  <c r="B30" i="27"/>
  <c r="F21" i="42"/>
  <c r="H21" i="42" s="1"/>
  <c r="B21" i="42"/>
  <c r="B25" i="38"/>
  <c r="F25" i="38"/>
  <c r="F29" i="23"/>
  <c r="B29" i="23"/>
  <c r="F29" i="26"/>
  <c r="H29" i="26" s="1"/>
  <c r="B29" i="26"/>
  <c r="I29" i="21"/>
  <c r="B29" i="22"/>
  <c r="F29" i="22"/>
  <c r="H29" i="22" s="1"/>
  <c r="F34" i="3"/>
  <c r="B34" i="3"/>
  <c r="I20" i="42"/>
  <c r="B30" i="24"/>
  <c r="F30" i="24"/>
  <c r="H30" i="24" s="1"/>
  <c r="I22" i="39"/>
  <c r="F30" i="21"/>
  <c r="G30" i="21" s="1"/>
  <c r="B30" i="21"/>
  <c r="B26" i="35"/>
  <c r="F26" i="35"/>
  <c r="H26" i="35" s="1"/>
  <c r="G33" i="4"/>
  <c r="I33" i="4" s="1"/>
  <c r="D34" i="4"/>
  <c r="E34" i="4"/>
  <c r="F25" i="37"/>
  <c r="B25" i="37"/>
  <c r="F27" i="29"/>
  <c r="I30" i="28"/>
  <c r="F21" i="40"/>
  <c r="B21" i="40"/>
  <c r="I20" i="41"/>
  <c r="B21" i="41"/>
  <c r="F21" i="41"/>
  <c r="H21" i="41" s="1"/>
  <c r="O20" i="1" l="1"/>
  <c r="R131" i="1"/>
  <c r="F43" i="17"/>
  <c r="T19" i="17"/>
  <c r="T42" i="17" s="1"/>
  <c r="G42" i="17"/>
  <c r="G32" i="19"/>
  <c r="G30" i="24"/>
  <c r="I30" i="24" s="1"/>
  <c r="G32" i="18"/>
  <c r="D28" i="29"/>
  <c r="E28" i="29"/>
  <c r="G25" i="37"/>
  <c r="D26" i="37"/>
  <c r="E26" i="37"/>
  <c r="B31" i="28"/>
  <c r="D26" i="38"/>
  <c r="E26" i="38"/>
  <c r="D29" i="25"/>
  <c r="E29" i="25"/>
  <c r="D24" i="39"/>
  <c r="E24" i="39"/>
  <c r="G27" i="29"/>
  <c r="H29" i="23"/>
  <c r="D30" i="23"/>
  <c r="E30" i="23"/>
  <c r="B33" i="19"/>
  <c r="F33" i="19"/>
  <c r="G33" i="19" s="1"/>
  <c r="H26" i="31"/>
  <c r="D27" i="31"/>
  <c r="E27" i="31"/>
  <c r="G23" i="39"/>
  <c r="D27" i="34"/>
  <c r="E27" i="34"/>
  <c r="H21" i="40"/>
  <c r="D22" i="40"/>
  <c r="E22" i="40"/>
  <c r="G26" i="35"/>
  <c r="I26" i="35" s="1"/>
  <c r="D27" i="35"/>
  <c r="E27" i="35"/>
  <c r="D35" i="3"/>
  <c r="E35" i="3"/>
  <c r="H25" i="37"/>
  <c r="F34" i="4"/>
  <c r="H34" i="4" s="1"/>
  <c r="B34" i="4"/>
  <c r="D31" i="21"/>
  <c r="E31" i="21"/>
  <c r="H34" i="3"/>
  <c r="G29" i="26"/>
  <c r="I29" i="26" s="1"/>
  <c r="D30" i="26"/>
  <c r="E30" i="26"/>
  <c r="G25" i="38"/>
  <c r="D22" i="42"/>
  <c r="E22" i="42" s="1"/>
  <c r="D31" i="27"/>
  <c r="E31" i="27"/>
  <c r="F33" i="18"/>
  <c r="B33" i="18"/>
  <c r="G28" i="25"/>
  <c r="G26" i="34"/>
  <c r="G21" i="41"/>
  <c r="I21" i="41" s="1"/>
  <c r="D22" i="41"/>
  <c r="E22" i="41"/>
  <c r="G21" i="40"/>
  <c r="H27" i="29"/>
  <c r="H30" i="21"/>
  <c r="I30" i="21" s="1"/>
  <c r="D31" i="24"/>
  <c r="E31" i="24"/>
  <c r="G34" i="3"/>
  <c r="G29" i="22"/>
  <c r="I29" i="22" s="1"/>
  <c r="D30" i="22"/>
  <c r="E30" i="22"/>
  <c r="G29" i="23"/>
  <c r="H25" i="38"/>
  <c r="G21" i="42"/>
  <c r="I21" i="42" s="1"/>
  <c r="H30" i="27"/>
  <c r="I30" i="27" s="1"/>
  <c r="H32" i="18"/>
  <c r="H32" i="19"/>
  <c r="G26" i="31"/>
  <c r="H28" i="25"/>
  <c r="H23" i="39"/>
  <c r="H26" i="34"/>
  <c r="I21" i="40" l="1"/>
  <c r="I32" i="18"/>
  <c r="I26" i="31"/>
  <c r="I29" i="23"/>
  <c r="G34" i="4"/>
  <c r="I34" i="4" s="1"/>
  <c r="H33" i="19"/>
  <c r="I33" i="19" s="1"/>
  <c r="I31" i="28"/>
  <c r="B30" i="26"/>
  <c r="F30" i="26"/>
  <c r="G30" i="26" s="1"/>
  <c r="B26" i="38"/>
  <c r="F26" i="38"/>
  <c r="H26" i="38" s="1"/>
  <c r="B27" i="35"/>
  <c r="F27" i="35"/>
  <c r="H27" i="35" s="1"/>
  <c r="B30" i="23"/>
  <c r="F30" i="23"/>
  <c r="H30" i="23" s="1"/>
  <c r="B29" i="25"/>
  <c r="F29" i="25"/>
  <c r="G29" i="25" s="1"/>
  <c r="B30" i="22"/>
  <c r="F30" i="22"/>
  <c r="F22" i="40"/>
  <c r="B22" i="40"/>
  <c r="F26" i="37"/>
  <c r="B26" i="37"/>
  <c r="I32" i="19"/>
  <c r="D34" i="18"/>
  <c r="E34" i="18"/>
  <c r="I23" i="39"/>
  <c r="F22" i="41"/>
  <c r="H22" i="41" s="1"/>
  <c r="B22" i="41"/>
  <c r="G33" i="18"/>
  <c r="I25" i="38"/>
  <c r="F27" i="31"/>
  <c r="B27" i="31"/>
  <c r="D34" i="19"/>
  <c r="E34" i="19"/>
  <c r="B31" i="24"/>
  <c r="F31" i="24"/>
  <c r="G31" i="24" s="1"/>
  <c r="I34" i="3"/>
  <c r="I25" i="37"/>
  <c r="I26" i="34"/>
  <c r="F22" i="42"/>
  <c r="G22" i="42" s="1"/>
  <c r="B22" i="42"/>
  <c r="I28" i="25"/>
  <c r="I27" i="29"/>
  <c r="H33" i="18"/>
  <c r="F31" i="27"/>
  <c r="B31" i="27"/>
  <c r="F31" i="21"/>
  <c r="G31" i="21" s="1"/>
  <c r="B31" i="21"/>
  <c r="D35" i="4"/>
  <c r="E35" i="4"/>
  <c r="F35" i="3"/>
  <c r="G35" i="3" s="1"/>
  <c r="B35" i="3"/>
  <c r="B27" i="34"/>
  <c r="F27" i="34"/>
  <c r="H27" i="34" s="1"/>
  <c r="F24" i="39"/>
  <c r="B24" i="39"/>
  <c r="F28" i="29"/>
  <c r="H28" i="29" s="1"/>
  <c r="G27" i="35" l="1"/>
  <c r="I27" i="35" s="1"/>
  <c r="G26" i="38"/>
  <c r="I26" i="38" s="1"/>
  <c r="I33" i="18"/>
  <c r="B32" i="28"/>
  <c r="D31" i="22"/>
  <c r="E31" i="22"/>
  <c r="D28" i="34"/>
  <c r="E28" i="34"/>
  <c r="G27" i="31"/>
  <c r="D28" i="31"/>
  <c r="E28" i="31"/>
  <c r="D27" i="37"/>
  <c r="E27" i="37"/>
  <c r="D23" i="40"/>
  <c r="E23" i="40"/>
  <c r="B35" i="4"/>
  <c r="F35" i="4"/>
  <c r="D32" i="27"/>
  <c r="E32" i="27"/>
  <c r="G31" i="27"/>
  <c r="D36" i="3"/>
  <c r="E36" i="3"/>
  <c r="H31" i="27"/>
  <c r="H31" i="24"/>
  <c r="I31" i="24" s="1"/>
  <c r="D32" i="24"/>
  <c r="E32" i="24"/>
  <c r="B34" i="19"/>
  <c r="F34" i="19"/>
  <c r="H34" i="19" s="1"/>
  <c r="G22" i="41"/>
  <c r="I22" i="41" s="1"/>
  <c r="D23" i="41"/>
  <c r="E23" i="41"/>
  <c r="G26" i="37"/>
  <c r="G22" i="40"/>
  <c r="H30" i="22"/>
  <c r="G30" i="23"/>
  <c r="I30" i="23" s="1"/>
  <c r="D31" i="23"/>
  <c r="E31" i="23"/>
  <c r="H30" i="26"/>
  <c r="I30" i="26" s="1"/>
  <c r="D31" i="26"/>
  <c r="E31" i="26"/>
  <c r="D32" i="21"/>
  <c r="E32" i="21"/>
  <c r="E33" i="21"/>
  <c r="G24" i="39"/>
  <c r="D25" i="39"/>
  <c r="E25" i="39"/>
  <c r="H31" i="21"/>
  <c r="I31" i="21" s="1"/>
  <c r="G28" i="29"/>
  <c r="I28" i="29" s="1"/>
  <c r="D29" i="29"/>
  <c r="E29" i="29"/>
  <c r="H24" i="39"/>
  <c r="G27" i="34"/>
  <c r="I27" i="34" s="1"/>
  <c r="H35" i="3"/>
  <c r="I35" i="3" s="1"/>
  <c r="H22" i="42"/>
  <c r="I22" i="42" s="1"/>
  <c r="D23" i="42"/>
  <c r="E23" i="42" s="1"/>
  <c r="H27" i="31"/>
  <c r="I27" i="31" s="1"/>
  <c r="B34" i="18"/>
  <c r="F34" i="18"/>
  <c r="H26" i="37"/>
  <c r="H22" i="40"/>
  <c r="G30" i="22"/>
  <c r="H29" i="25"/>
  <c r="I29" i="25" s="1"/>
  <c r="D30" i="25"/>
  <c r="E30" i="25"/>
  <c r="D28" i="35"/>
  <c r="E28" i="35"/>
  <c r="D27" i="38"/>
  <c r="E27" i="38"/>
  <c r="I22" i="40" l="1"/>
  <c r="G34" i="19"/>
  <c r="I34" i="19" s="1"/>
  <c r="I24" i="39"/>
  <c r="I31" i="27"/>
  <c r="I32" i="28"/>
  <c r="B25" i="39"/>
  <c r="F25" i="39"/>
  <c r="H25" i="39" s="1"/>
  <c r="H35" i="4"/>
  <c r="D36" i="4"/>
  <c r="E36" i="4"/>
  <c r="F28" i="31"/>
  <c r="H28" i="31" s="1"/>
  <c r="B28" i="31"/>
  <c r="F30" i="25"/>
  <c r="B30" i="25"/>
  <c r="I26" i="37"/>
  <c r="F23" i="42"/>
  <c r="B23" i="42"/>
  <c r="F32" i="24"/>
  <c r="B32" i="24"/>
  <c r="B36" i="3"/>
  <c r="F36" i="3"/>
  <c r="H36" i="3" s="1"/>
  <c r="D35" i="18"/>
  <c r="E35" i="18"/>
  <c r="B28" i="34"/>
  <c r="F28" i="34"/>
  <c r="I30" i="22"/>
  <c r="F23" i="41"/>
  <c r="G23" i="41" s="1"/>
  <c r="B23" i="41"/>
  <c r="D35" i="19"/>
  <c r="E35" i="19"/>
  <c r="F32" i="27"/>
  <c r="B32" i="27"/>
  <c r="F27" i="37"/>
  <c r="B27" i="37"/>
  <c r="F32" i="21"/>
  <c r="D33" i="21" s="1"/>
  <c r="B32" i="21"/>
  <c r="B23" i="40"/>
  <c r="F23" i="40"/>
  <c r="G23" i="40" s="1"/>
  <c r="B27" i="38"/>
  <c r="F27" i="38"/>
  <c r="G34" i="18"/>
  <c r="B28" i="35"/>
  <c r="F28" i="35"/>
  <c r="H34" i="18"/>
  <c r="F29" i="29"/>
  <c r="G29" i="29" s="1"/>
  <c r="F31" i="26"/>
  <c r="H31" i="26" s="1"/>
  <c r="B31" i="26"/>
  <c r="B31" i="23"/>
  <c r="F31" i="23"/>
  <c r="G31" i="23" s="1"/>
  <c r="G35" i="4"/>
  <c r="F31" i="22"/>
  <c r="B31" i="22"/>
  <c r="G25" i="39" l="1"/>
  <c r="I35" i="4"/>
  <c r="H31" i="22"/>
  <c r="D32" i="22"/>
  <c r="E32" i="22"/>
  <c r="E33" i="22"/>
  <c r="G32" i="27"/>
  <c r="D33" i="27"/>
  <c r="E33" i="27"/>
  <c r="D29" i="34"/>
  <c r="E29" i="34"/>
  <c r="B33" i="28"/>
  <c r="G36" i="3"/>
  <c r="I36" i="3" s="1"/>
  <c r="D37" i="3"/>
  <c r="E37" i="3"/>
  <c r="G32" i="24"/>
  <c r="D33" i="24"/>
  <c r="E33" i="24"/>
  <c r="D24" i="42"/>
  <c r="E24" i="42" s="1"/>
  <c r="H30" i="25"/>
  <c r="D31" i="25"/>
  <c r="E31" i="25"/>
  <c r="I25" i="39"/>
  <c r="G27" i="38"/>
  <c r="D28" i="38"/>
  <c r="E28" i="38"/>
  <c r="D28" i="37"/>
  <c r="E28" i="37"/>
  <c r="I34" i="18"/>
  <c r="G32" i="21"/>
  <c r="G27" i="37"/>
  <c r="H32" i="27"/>
  <c r="B35" i="19"/>
  <c r="F35" i="19"/>
  <c r="G35" i="19" s="1"/>
  <c r="D24" i="41"/>
  <c r="E24" i="41"/>
  <c r="H28" i="34"/>
  <c r="G23" i="42"/>
  <c r="F36" i="4"/>
  <c r="G36" i="4" s="1"/>
  <c r="B36" i="4"/>
  <c r="D26" i="39"/>
  <c r="E26" i="39"/>
  <c r="H28" i="35"/>
  <c r="D29" i="35"/>
  <c r="E29" i="35"/>
  <c r="D24" i="40"/>
  <c r="E24" i="40"/>
  <c r="G28" i="31"/>
  <c r="I28" i="31" s="1"/>
  <c r="D29" i="31"/>
  <c r="E29" i="31"/>
  <c r="H29" i="29"/>
  <c r="I29" i="29" s="1"/>
  <c r="D30" i="29"/>
  <c r="E30" i="29"/>
  <c r="F33" i="21"/>
  <c r="G33" i="21" s="1"/>
  <c r="B33" i="21"/>
  <c r="G31" i="22"/>
  <c r="H31" i="23"/>
  <c r="I31" i="23" s="1"/>
  <c r="D32" i="23"/>
  <c r="E32" i="23"/>
  <c r="G31" i="26"/>
  <c r="I31" i="26" s="1"/>
  <c r="D32" i="26"/>
  <c r="E32" i="26"/>
  <c r="G28" i="35"/>
  <c r="H27" i="38"/>
  <c r="H23" i="40"/>
  <c r="I23" i="40" s="1"/>
  <c r="H32" i="21"/>
  <c r="H27" i="37"/>
  <c r="H23" i="41"/>
  <c r="I23" i="41" s="1"/>
  <c r="G28" i="34"/>
  <c r="F35" i="18"/>
  <c r="G35" i="18" s="1"/>
  <c r="B35" i="18"/>
  <c r="H32" i="24"/>
  <c r="I32" i="24" s="1"/>
  <c r="H23" i="42"/>
  <c r="G30" i="25"/>
  <c r="I28" i="35" l="1"/>
  <c r="I32" i="27"/>
  <c r="I30" i="25"/>
  <c r="I32" i="21"/>
  <c r="I27" i="38"/>
  <c r="H36" i="4"/>
  <c r="I36" i="4" s="1"/>
  <c r="F29" i="35"/>
  <c r="G29" i="35" s="1"/>
  <c r="B29" i="35"/>
  <c r="B28" i="37"/>
  <c r="F28" i="37"/>
  <c r="I27" i="37"/>
  <c r="F29" i="31"/>
  <c r="H29" i="31" s="1"/>
  <c r="B29" i="31"/>
  <c r="I28" i="34"/>
  <c r="H35" i="19"/>
  <c r="I35" i="19" s="1"/>
  <c r="D36" i="19"/>
  <c r="E36" i="19"/>
  <c r="F31" i="25"/>
  <c r="H31" i="25" s="1"/>
  <c r="B31" i="25"/>
  <c r="F37" i="3"/>
  <c r="G37" i="3" s="1"/>
  <c r="B37" i="3"/>
  <c r="F33" i="27"/>
  <c r="H33" i="27" s="1"/>
  <c r="B33" i="27"/>
  <c r="F32" i="22"/>
  <c r="D33" i="22" s="1"/>
  <c r="B32" i="22"/>
  <c r="I23" i="42"/>
  <c r="H35" i="18"/>
  <c r="I35" i="18" s="1"/>
  <c r="D36" i="18"/>
  <c r="E36" i="18"/>
  <c r="B32" i="23"/>
  <c r="F32" i="23"/>
  <c r="G32" i="23" s="1"/>
  <c r="F30" i="29"/>
  <c r="F24" i="40"/>
  <c r="G24" i="40" s="1"/>
  <c r="B24" i="40"/>
  <c r="F33" i="24"/>
  <c r="G33" i="24" s="1"/>
  <c r="B33" i="24"/>
  <c r="I31" i="22"/>
  <c r="H33" i="21"/>
  <c r="I33" i="21" s="1"/>
  <c r="D34" i="21"/>
  <c r="E34" i="21"/>
  <c r="B34" i="28"/>
  <c r="B28" i="38"/>
  <c r="F28" i="38"/>
  <c r="H28" i="38" s="1"/>
  <c r="F24" i="42"/>
  <c r="G24" i="42" s="1"/>
  <c r="B24" i="42"/>
  <c r="F32" i="26"/>
  <c r="G32" i="26" s="1"/>
  <c r="B32" i="26"/>
  <c r="F26" i="39"/>
  <c r="G26" i="39" s="1"/>
  <c r="B26" i="39"/>
  <c r="D37" i="4"/>
  <c r="E37" i="4"/>
  <c r="F24" i="41"/>
  <c r="B24" i="41"/>
  <c r="I33" i="28"/>
  <c r="B29" i="34"/>
  <c r="F29" i="34"/>
  <c r="G31" i="25" l="1"/>
  <c r="I31" i="25" s="1"/>
  <c r="H37" i="3"/>
  <c r="I37" i="3" s="1"/>
  <c r="H26" i="39"/>
  <c r="I26" i="39" s="1"/>
  <c r="H24" i="42"/>
  <c r="I24" i="42" s="1"/>
  <c r="H32" i="23"/>
  <c r="I32" i="23" s="1"/>
  <c r="D30" i="34"/>
  <c r="E30" i="34"/>
  <c r="G28" i="38"/>
  <c r="I28" i="38" s="1"/>
  <c r="D29" i="38"/>
  <c r="E29" i="38"/>
  <c r="G32" i="22"/>
  <c r="B36" i="19"/>
  <c r="F36" i="19"/>
  <c r="G30" i="29"/>
  <c r="D31" i="29"/>
  <c r="E31" i="29"/>
  <c r="F33" i="22"/>
  <c r="B33" i="22"/>
  <c r="D30" i="31"/>
  <c r="E30" i="31"/>
  <c r="D29" i="37"/>
  <c r="E29" i="37"/>
  <c r="H24" i="41"/>
  <c r="D25" i="41"/>
  <c r="E25" i="41"/>
  <c r="H29" i="34"/>
  <c r="D34" i="24"/>
  <c r="E34" i="24"/>
  <c r="D25" i="40"/>
  <c r="E25" i="40"/>
  <c r="B36" i="18"/>
  <c r="F36" i="18"/>
  <c r="G36" i="18" s="1"/>
  <c r="H32" i="22"/>
  <c r="G29" i="31"/>
  <c r="I29" i="31" s="1"/>
  <c r="G28" i="37"/>
  <c r="D30" i="35"/>
  <c r="E30" i="35"/>
  <c r="G29" i="34"/>
  <c r="G24" i="41"/>
  <c r="B37" i="4"/>
  <c r="F37" i="4"/>
  <c r="H37" i="4" s="1"/>
  <c r="D27" i="39"/>
  <c r="E27" i="39"/>
  <c r="H32" i="26"/>
  <c r="I32" i="26" s="1"/>
  <c r="D33" i="26"/>
  <c r="E33" i="26"/>
  <c r="D25" i="42"/>
  <c r="E25" i="42" s="1"/>
  <c r="B34" i="21"/>
  <c r="F34" i="21"/>
  <c r="H34" i="21" s="1"/>
  <c r="H33" i="24"/>
  <c r="I33" i="24" s="1"/>
  <c r="H24" i="40"/>
  <c r="I24" i="40" s="1"/>
  <c r="H30" i="29"/>
  <c r="D33" i="23"/>
  <c r="E33" i="23"/>
  <c r="G33" i="27"/>
  <c r="I33" i="27" s="1"/>
  <c r="D34" i="27"/>
  <c r="E34" i="27"/>
  <c r="D38" i="3"/>
  <c r="E38" i="3"/>
  <c r="D32" i="25"/>
  <c r="E32" i="25"/>
  <c r="H28" i="37"/>
  <c r="H29" i="35"/>
  <c r="I29" i="35" s="1"/>
  <c r="I30" i="29" l="1"/>
  <c r="G37" i="4"/>
  <c r="I37" i="4" s="1"/>
  <c r="I34" i="28"/>
  <c r="I24" i="41"/>
  <c r="F29" i="37"/>
  <c r="G29" i="37" s="1"/>
  <c r="B29" i="37"/>
  <c r="F25" i="41"/>
  <c r="H25" i="41" s="1"/>
  <c r="B25" i="41"/>
  <c r="D34" i="22"/>
  <c r="E34" i="22"/>
  <c r="B35" i="28"/>
  <c r="F25" i="40"/>
  <c r="H25" i="40" s="1"/>
  <c r="B25" i="40"/>
  <c r="H36" i="19"/>
  <c r="D37" i="19"/>
  <c r="E37" i="19"/>
  <c r="D37" i="18"/>
  <c r="E37" i="18"/>
  <c r="F34" i="27"/>
  <c r="H34" i="27" s="1"/>
  <c r="B34" i="27"/>
  <c r="D35" i="21"/>
  <c r="E35" i="21"/>
  <c r="F25" i="42"/>
  <c r="G25" i="42" s="1"/>
  <c r="B25" i="42"/>
  <c r="D38" i="4"/>
  <c r="E38" i="4"/>
  <c r="I32" i="22"/>
  <c r="F34" i="24"/>
  <c r="G34" i="24" s="1"/>
  <c r="B34" i="24"/>
  <c r="B30" i="31"/>
  <c r="F30" i="31"/>
  <c r="G30" i="31" s="1"/>
  <c r="H33" i="22"/>
  <c r="F29" i="38"/>
  <c r="H29" i="38" s="1"/>
  <c r="B29" i="38"/>
  <c r="B30" i="34"/>
  <c r="F30" i="34"/>
  <c r="H30" i="34" s="1"/>
  <c r="B38" i="3"/>
  <c r="F38" i="3"/>
  <c r="H38" i="3" s="1"/>
  <c r="B33" i="26"/>
  <c r="F33" i="26"/>
  <c r="H33" i="26" s="1"/>
  <c r="I28" i="37"/>
  <c r="F31" i="29"/>
  <c r="G31" i="29" s="1"/>
  <c r="F33" i="23"/>
  <c r="H33" i="23" s="1"/>
  <c r="B33" i="23"/>
  <c r="F32" i="25"/>
  <c r="B32" i="25"/>
  <c r="G34" i="21"/>
  <c r="I34" i="21" s="1"/>
  <c r="B27" i="39"/>
  <c r="F27" i="39"/>
  <c r="H27" i="39" s="1"/>
  <c r="F30" i="35"/>
  <c r="B30" i="35"/>
  <c r="H36" i="18"/>
  <c r="I36" i="18" s="1"/>
  <c r="I29" i="34"/>
  <c r="G33" i="22"/>
  <c r="G36" i="19"/>
  <c r="G38" i="3" l="1"/>
  <c r="H25" i="42"/>
  <c r="G29" i="38"/>
  <c r="I29" i="38" s="1"/>
  <c r="H29" i="37"/>
  <c r="I29" i="37" s="1"/>
  <c r="I36" i="19"/>
  <c r="G33" i="26"/>
  <c r="I33" i="26" s="1"/>
  <c r="H30" i="31"/>
  <c r="I30" i="31" s="1"/>
  <c r="I25" i="42"/>
  <c r="H31" i="29"/>
  <c r="G30" i="34"/>
  <c r="I30" i="34" s="1"/>
  <c r="G30" i="35"/>
  <c r="D31" i="35"/>
  <c r="E31" i="35"/>
  <c r="D33" i="25"/>
  <c r="E33" i="25"/>
  <c r="I38" i="3"/>
  <c r="F37" i="19"/>
  <c r="H37" i="19" s="1"/>
  <c r="B37" i="19"/>
  <c r="G27" i="39"/>
  <c r="I27" i="39" s="1"/>
  <c r="D28" i="39"/>
  <c r="E28" i="39"/>
  <c r="H32" i="25"/>
  <c r="D34" i="26"/>
  <c r="E34" i="26"/>
  <c r="H34" i="24"/>
  <c r="I34" i="24" s="1"/>
  <c r="F35" i="21"/>
  <c r="H35" i="21" s="1"/>
  <c r="B35" i="21"/>
  <c r="G25" i="40"/>
  <c r="I25" i="40" s="1"/>
  <c r="G32" i="25"/>
  <c r="D39" i="3"/>
  <c r="E39" i="3"/>
  <c r="D31" i="34"/>
  <c r="E31" i="34"/>
  <c r="F37" i="18"/>
  <c r="B37" i="18"/>
  <c r="B34" i="22"/>
  <c r="F34" i="22"/>
  <c r="H34" i="22" s="1"/>
  <c r="D26" i="41"/>
  <c r="E26" i="41"/>
  <c r="I31" i="29"/>
  <c r="D35" i="24"/>
  <c r="E35" i="24"/>
  <c r="G34" i="27"/>
  <c r="I34" i="27" s="1"/>
  <c r="D35" i="27"/>
  <c r="E35" i="27"/>
  <c r="D26" i="40"/>
  <c r="E26" i="40"/>
  <c r="H30" i="35"/>
  <c r="D32" i="29"/>
  <c r="E32" i="29"/>
  <c r="I33" i="22"/>
  <c r="G33" i="23"/>
  <c r="I33" i="23" s="1"/>
  <c r="D34" i="23"/>
  <c r="E34" i="23"/>
  <c r="D30" i="38"/>
  <c r="E30" i="38"/>
  <c r="D31" i="31"/>
  <c r="E31" i="31"/>
  <c r="B38" i="4"/>
  <c r="F38" i="4"/>
  <c r="H38" i="4" s="1"/>
  <c r="D26" i="42"/>
  <c r="E26" i="42" s="1"/>
  <c r="G25" i="41"/>
  <c r="I25" i="41" s="1"/>
  <c r="D30" i="37"/>
  <c r="E30" i="37"/>
  <c r="G34" i="22" l="1"/>
  <c r="I34" i="22" s="1"/>
  <c r="I30" i="35"/>
  <c r="B34" i="23"/>
  <c r="F34" i="23"/>
  <c r="G34" i="23" s="1"/>
  <c r="F39" i="3"/>
  <c r="G39" i="3" s="1"/>
  <c r="B39" i="3"/>
  <c r="B35" i="24"/>
  <c r="F35" i="24"/>
  <c r="G35" i="24" s="1"/>
  <c r="I32" i="25"/>
  <c r="B31" i="31"/>
  <c r="F31" i="31"/>
  <c r="H31" i="31" s="1"/>
  <c r="F26" i="40"/>
  <c r="G26" i="40" s="1"/>
  <c r="B26" i="40"/>
  <c r="B26" i="41"/>
  <c r="F26" i="41"/>
  <c r="G26" i="41" s="1"/>
  <c r="H37" i="18"/>
  <c r="D38" i="18"/>
  <c r="E38" i="18"/>
  <c r="B31" i="35"/>
  <c r="F31" i="35"/>
  <c r="H31" i="35" s="1"/>
  <c r="D39" i="4"/>
  <c r="E39" i="4"/>
  <c r="I35" i="28"/>
  <c r="F26" i="42"/>
  <c r="G26" i="42" s="1"/>
  <c r="B26" i="42"/>
  <c r="B30" i="38"/>
  <c r="F30" i="38"/>
  <c r="H30" i="38" s="1"/>
  <c r="B35" i="27"/>
  <c r="F35" i="27"/>
  <c r="H35" i="27" s="1"/>
  <c r="G37" i="18"/>
  <c r="F31" i="34"/>
  <c r="G31" i="34" s="1"/>
  <c r="B31" i="34"/>
  <c r="D36" i="21"/>
  <c r="E36" i="21"/>
  <c r="F33" i="25"/>
  <c r="H33" i="25" s="1"/>
  <c r="B33" i="25"/>
  <c r="F32" i="29"/>
  <c r="F30" i="37"/>
  <c r="H30" i="37" s="1"/>
  <c r="B30" i="37"/>
  <c r="G38" i="4"/>
  <c r="I38" i="4" s="1"/>
  <c r="D35" i="22"/>
  <c r="E35" i="22"/>
  <c r="G35" i="21"/>
  <c r="I35" i="21" s="1"/>
  <c r="F34" i="26"/>
  <c r="H34" i="26" s="1"/>
  <c r="B34" i="26"/>
  <c r="F28" i="39"/>
  <c r="H28" i="39" s="1"/>
  <c r="B28" i="39"/>
  <c r="B36" i="28"/>
  <c r="G37" i="19"/>
  <c r="I37" i="19" s="1"/>
  <c r="D38" i="19"/>
  <c r="E38" i="19"/>
  <c r="G35" i="27" l="1"/>
  <c r="I37" i="18"/>
  <c r="H31" i="34"/>
  <c r="I31" i="34" s="1"/>
  <c r="G30" i="38"/>
  <c r="I30" i="38" s="1"/>
  <c r="G33" i="25"/>
  <c r="I33" i="25" s="1"/>
  <c r="H35" i="24"/>
  <c r="I35" i="24" s="1"/>
  <c r="B38" i="19"/>
  <c r="F38" i="19"/>
  <c r="H38" i="19" s="1"/>
  <c r="F35" i="22"/>
  <c r="H35" i="22" s="1"/>
  <c r="B35" i="22"/>
  <c r="D34" i="25"/>
  <c r="E34" i="25"/>
  <c r="I35" i="27"/>
  <c r="D32" i="35"/>
  <c r="E32" i="35"/>
  <c r="G31" i="31"/>
  <c r="I31" i="31" s="1"/>
  <c r="D32" i="31"/>
  <c r="E32" i="31"/>
  <c r="F38" i="18"/>
  <c r="B38" i="18"/>
  <c r="D40" i="3"/>
  <c r="E40" i="3"/>
  <c r="D31" i="38"/>
  <c r="E31" i="38"/>
  <c r="F39" i="4"/>
  <c r="B39" i="4"/>
  <c r="D36" i="24"/>
  <c r="E36" i="24"/>
  <c r="H39" i="3"/>
  <c r="I39" i="3" s="1"/>
  <c r="H34" i="23"/>
  <c r="I34" i="23" s="1"/>
  <c r="D35" i="23"/>
  <c r="E35" i="23"/>
  <c r="H32" i="29"/>
  <c r="D33" i="29"/>
  <c r="E33" i="29"/>
  <c r="D29" i="39"/>
  <c r="E29" i="39"/>
  <c r="D35" i="26"/>
  <c r="E35" i="26"/>
  <c r="D31" i="37"/>
  <c r="E31" i="37"/>
  <c r="I36" i="28"/>
  <c r="G28" i="39"/>
  <c r="I28" i="39" s="1"/>
  <c r="G34" i="26"/>
  <c r="I34" i="26" s="1"/>
  <c r="G30" i="37"/>
  <c r="I30" i="37" s="1"/>
  <c r="G32" i="29"/>
  <c r="B36" i="21"/>
  <c r="F36" i="21"/>
  <c r="H36" i="21" s="1"/>
  <c r="D32" i="34"/>
  <c r="E32" i="34"/>
  <c r="D36" i="27"/>
  <c r="E36" i="27"/>
  <c r="H26" i="42"/>
  <c r="I26" i="42" s="1"/>
  <c r="D27" i="42"/>
  <c r="E27" i="42" s="1"/>
  <c r="G31" i="35"/>
  <c r="I31" i="35" s="1"/>
  <c r="H26" i="41"/>
  <c r="I26" i="41" s="1"/>
  <c r="D27" i="41"/>
  <c r="E27" i="41"/>
  <c r="H26" i="40"/>
  <c r="I26" i="40" s="1"/>
  <c r="D27" i="40"/>
  <c r="E27" i="40"/>
  <c r="G36" i="21" l="1"/>
  <c r="I36" i="21" s="1"/>
  <c r="G38" i="19"/>
  <c r="I38" i="19" s="1"/>
  <c r="B35" i="23"/>
  <c r="F35" i="23"/>
  <c r="H35" i="23" s="1"/>
  <c r="D39" i="18"/>
  <c r="E39" i="18"/>
  <c r="F32" i="31"/>
  <c r="H32" i="31" s="1"/>
  <c r="B32" i="31"/>
  <c r="B32" i="35"/>
  <c r="F32" i="35"/>
  <c r="H32" i="35" s="1"/>
  <c r="F34" i="25"/>
  <c r="G34" i="25" s="1"/>
  <c r="B34" i="25"/>
  <c r="D36" i="22"/>
  <c r="E36" i="22"/>
  <c r="F27" i="40"/>
  <c r="H27" i="40" s="1"/>
  <c r="B27" i="40"/>
  <c r="F40" i="3"/>
  <c r="H40" i="3" s="1"/>
  <c r="B40" i="3"/>
  <c r="F35" i="26"/>
  <c r="G35" i="26" s="1"/>
  <c r="B35" i="26"/>
  <c r="B36" i="24"/>
  <c r="F36" i="24"/>
  <c r="G36" i="24" s="1"/>
  <c r="G39" i="4"/>
  <c r="D40" i="4"/>
  <c r="E40" i="4"/>
  <c r="F36" i="27"/>
  <c r="H36" i="27" s="1"/>
  <c r="B36" i="27"/>
  <c r="I32" i="29"/>
  <c r="B37" i="28"/>
  <c r="G38" i="18"/>
  <c r="G35" i="22"/>
  <c r="I35" i="22" s="1"/>
  <c r="F32" i="34"/>
  <c r="H32" i="34" s="1"/>
  <c r="B32" i="34"/>
  <c r="F33" i="29"/>
  <c r="G33" i="29" s="1"/>
  <c r="B27" i="41"/>
  <c r="F27" i="41"/>
  <c r="F27" i="42"/>
  <c r="H27" i="42" s="1"/>
  <c r="B27" i="42"/>
  <c r="D37" i="21"/>
  <c r="E37" i="21"/>
  <c r="F31" i="37"/>
  <c r="B31" i="37"/>
  <c r="F29" i="39"/>
  <c r="G29" i="39" s="1"/>
  <c r="B29" i="39"/>
  <c r="H39" i="4"/>
  <c r="F31" i="38"/>
  <c r="B31" i="38"/>
  <c r="H38" i="18"/>
  <c r="D39" i="19"/>
  <c r="E39" i="19"/>
  <c r="G32" i="34" l="1"/>
  <c r="I39" i="4"/>
  <c r="G36" i="27"/>
  <c r="I36" i="27" s="1"/>
  <c r="I32" i="34"/>
  <c r="F39" i="19"/>
  <c r="B39" i="19"/>
  <c r="H31" i="38"/>
  <c r="D32" i="38"/>
  <c r="E32" i="38"/>
  <c r="H27" i="41"/>
  <c r="D28" i="41"/>
  <c r="E28" i="41"/>
  <c r="F40" i="4"/>
  <c r="B40" i="4"/>
  <c r="F36" i="22"/>
  <c r="B36" i="22"/>
  <c r="F39" i="18"/>
  <c r="B39" i="18"/>
  <c r="D30" i="39"/>
  <c r="E30" i="39"/>
  <c r="D32" i="37"/>
  <c r="E32" i="37"/>
  <c r="H34" i="25"/>
  <c r="I34" i="25" s="1"/>
  <c r="G31" i="38"/>
  <c r="H29" i="39"/>
  <c r="I29" i="39" s="1"/>
  <c r="H31" i="37"/>
  <c r="G27" i="42"/>
  <c r="I27" i="42" s="1"/>
  <c r="D28" i="42"/>
  <c r="E28" i="42" s="1"/>
  <c r="D37" i="27"/>
  <c r="E37" i="27"/>
  <c r="G27" i="40"/>
  <c r="I27" i="40" s="1"/>
  <c r="D28" i="40"/>
  <c r="E28" i="40"/>
  <c r="G32" i="35"/>
  <c r="I32" i="35" s="1"/>
  <c r="D33" i="35"/>
  <c r="E33" i="35"/>
  <c r="G32" i="31"/>
  <c r="I32" i="31" s="1"/>
  <c r="D33" i="31"/>
  <c r="E33" i="31"/>
  <c r="G35" i="23"/>
  <c r="I35" i="23" s="1"/>
  <c r="D36" i="23"/>
  <c r="E36" i="23"/>
  <c r="D36" i="26"/>
  <c r="E36" i="26"/>
  <c r="D35" i="25"/>
  <c r="E35" i="25"/>
  <c r="I38" i="18"/>
  <c r="G31" i="37"/>
  <c r="F37" i="21"/>
  <c r="G37" i="21" s="1"/>
  <c r="B37" i="21"/>
  <c r="G27" i="41"/>
  <c r="H33" i="29"/>
  <c r="I33" i="29" s="1"/>
  <c r="D34" i="29"/>
  <c r="E34" i="29"/>
  <c r="D33" i="34"/>
  <c r="E33" i="34"/>
  <c r="I37" i="28"/>
  <c r="H36" i="24"/>
  <c r="I36" i="24" s="1"/>
  <c r="D37" i="24"/>
  <c r="E37" i="24"/>
  <c r="H35" i="26"/>
  <c r="I35" i="26" s="1"/>
  <c r="G40" i="3"/>
  <c r="I40" i="3" s="1"/>
  <c r="D41" i="3"/>
  <c r="E41" i="3"/>
  <c r="H37" i="21" l="1"/>
  <c r="I37" i="21" s="1"/>
  <c r="F33" i="31"/>
  <c r="G33" i="31" s="1"/>
  <c r="B33" i="31"/>
  <c r="D40" i="19"/>
  <c r="E40" i="19"/>
  <c r="F34" i="29"/>
  <c r="H34" i="29" s="1"/>
  <c r="B36" i="26"/>
  <c r="F36" i="26"/>
  <c r="H36" i="26" s="1"/>
  <c r="B36" i="23"/>
  <c r="F36" i="23"/>
  <c r="G36" i="23" s="1"/>
  <c r="B37" i="27"/>
  <c r="F37" i="27"/>
  <c r="H37" i="27" s="1"/>
  <c r="I31" i="37"/>
  <c r="F30" i="39"/>
  <c r="G30" i="39" s="1"/>
  <c r="B30" i="39"/>
  <c r="D40" i="18"/>
  <c r="E40" i="18"/>
  <c r="D37" i="22"/>
  <c r="E37" i="22"/>
  <c r="D41" i="4"/>
  <c r="E41" i="4"/>
  <c r="H39" i="19"/>
  <c r="B41" i="3"/>
  <c r="F41" i="3"/>
  <c r="G41" i="3" s="1"/>
  <c r="B37" i="24"/>
  <c r="F37" i="24"/>
  <c r="G37" i="24" s="1"/>
  <c r="B35" i="25"/>
  <c r="F35" i="25"/>
  <c r="H35" i="25" s="1"/>
  <c r="B28" i="40"/>
  <c r="F28" i="40"/>
  <c r="G39" i="18"/>
  <c r="H36" i="22"/>
  <c r="G40" i="4"/>
  <c r="G39" i="19"/>
  <c r="F33" i="34"/>
  <c r="B33" i="34"/>
  <c r="I27" i="41"/>
  <c r="D38" i="21"/>
  <c r="E38" i="21"/>
  <c r="B38" i="28"/>
  <c r="F33" i="35"/>
  <c r="H33" i="35" s="1"/>
  <c r="B33" i="35"/>
  <c r="B28" i="42"/>
  <c r="F28" i="42"/>
  <c r="H28" i="42" s="1"/>
  <c r="I31" i="38"/>
  <c r="B32" i="37"/>
  <c r="F32" i="37"/>
  <c r="G32" i="37" s="1"/>
  <c r="H39" i="18"/>
  <c r="G36" i="22"/>
  <c r="H40" i="4"/>
  <c r="F28" i="41"/>
  <c r="G28" i="41" s="1"/>
  <c r="B28" i="41"/>
  <c r="B32" i="38"/>
  <c r="F32" i="38"/>
  <c r="G32" i="38" s="1"/>
  <c r="H33" i="31" l="1"/>
  <c r="H41" i="3"/>
  <c r="H32" i="38"/>
  <c r="I32" i="38" s="1"/>
  <c r="H37" i="24"/>
  <c r="I37" i="24" s="1"/>
  <c r="G33" i="35"/>
  <c r="I33" i="35" s="1"/>
  <c r="G28" i="42"/>
  <c r="I28" i="42" s="1"/>
  <c r="G35" i="25"/>
  <c r="I35" i="25" s="1"/>
  <c r="I36" i="22"/>
  <c r="G37" i="27"/>
  <c r="I37" i="27" s="1"/>
  <c r="H36" i="23"/>
  <c r="I36" i="23" s="1"/>
  <c r="G36" i="26"/>
  <c r="I36" i="26" s="1"/>
  <c r="I38" i="28"/>
  <c r="F38" i="21"/>
  <c r="H38" i="21" s="1"/>
  <c r="B38" i="21"/>
  <c r="D29" i="40"/>
  <c r="E29" i="40"/>
  <c r="B37" i="22"/>
  <c r="F37" i="22"/>
  <c r="D33" i="37"/>
  <c r="E33" i="37"/>
  <c r="D34" i="34"/>
  <c r="E34" i="34"/>
  <c r="I41" i="3"/>
  <c r="G34" i="29"/>
  <c r="I34" i="29" s="1"/>
  <c r="D35" i="29"/>
  <c r="E35" i="29"/>
  <c r="I33" i="31"/>
  <c r="I39" i="18"/>
  <c r="D29" i="42"/>
  <c r="E29" i="42" s="1"/>
  <c r="G33" i="34"/>
  <c r="I39" i="19"/>
  <c r="H28" i="40"/>
  <c r="D36" i="25"/>
  <c r="E36" i="25"/>
  <c r="D38" i="24"/>
  <c r="E38" i="24"/>
  <c r="D42" i="3"/>
  <c r="E42" i="3"/>
  <c r="B41" i="4"/>
  <c r="F41" i="4"/>
  <c r="G41" i="4" s="1"/>
  <c r="B40" i="18"/>
  <c r="F40" i="18"/>
  <c r="G40" i="18" s="1"/>
  <c r="D31" i="39"/>
  <c r="E31" i="39"/>
  <c r="D38" i="27"/>
  <c r="E38" i="27"/>
  <c r="D37" i="23"/>
  <c r="E37" i="23"/>
  <c r="D37" i="26"/>
  <c r="E37" i="26"/>
  <c r="D33" i="38"/>
  <c r="E33" i="38"/>
  <c r="H28" i="41"/>
  <c r="I28" i="41" s="1"/>
  <c r="D29" i="41"/>
  <c r="E29" i="41"/>
  <c r="H32" i="37"/>
  <c r="I32" i="37" s="1"/>
  <c r="D34" i="35"/>
  <c r="E34" i="35"/>
  <c r="H33" i="34"/>
  <c r="I40" i="4"/>
  <c r="G28" i="40"/>
  <c r="B39" i="28"/>
  <c r="H30" i="39"/>
  <c r="I30" i="39" s="1"/>
  <c r="F40" i="19"/>
  <c r="B40" i="19"/>
  <c r="D34" i="31"/>
  <c r="E34" i="31"/>
  <c r="G38" i="21" l="1"/>
  <c r="I38" i="21" s="1"/>
  <c r="I39" i="28"/>
  <c r="H40" i="18"/>
  <c r="I40" i="18" s="1"/>
  <c r="I33" i="34"/>
  <c r="G40" i="19"/>
  <c r="D41" i="19"/>
  <c r="E41" i="19"/>
  <c r="F29" i="41"/>
  <c r="B29" i="41"/>
  <c r="F42" i="3"/>
  <c r="G42" i="3" s="1"/>
  <c r="B42" i="3"/>
  <c r="F36" i="25"/>
  <c r="B36" i="25"/>
  <c r="F35" i="29"/>
  <c r="G35" i="29" s="1"/>
  <c r="D38" i="22"/>
  <c r="E38" i="22"/>
  <c r="B34" i="31"/>
  <c r="F34" i="31"/>
  <c r="G34" i="31" s="1"/>
  <c r="F34" i="35"/>
  <c r="B34" i="35"/>
  <c r="F37" i="26"/>
  <c r="B37" i="26"/>
  <c r="B38" i="27"/>
  <c r="F38" i="27"/>
  <c r="H41" i="4"/>
  <c r="I41" i="4" s="1"/>
  <c r="D42" i="4"/>
  <c r="E42" i="4"/>
  <c r="F34" i="34"/>
  <c r="B34" i="34"/>
  <c r="H40" i="19"/>
  <c r="D41" i="18"/>
  <c r="E41" i="18"/>
  <c r="B38" i="24"/>
  <c r="F38" i="24"/>
  <c r="H38" i="24" s="1"/>
  <c r="B40" i="28"/>
  <c r="I40" i="28"/>
  <c r="H37" i="22"/>
  <c r="F33" i="38"/>
  <c r="G33" i="38" s="1"/>
  <c r="B33" i="38"/>
  <c r="F37" i="23"/>
  <c r="H37" i="23" s="1"/>
  <c r="B37" i="23"/>
  <c r="B31" i="39"/>
  <c r="F31" i="39"/>
  <c r="G31" i="39" s="1"/>
  <c r="I28" i="40"/>
  <c r="B29" i="42"/>
  <c r="F29" i="42"/>
  <c r="H29" i="42" s="1"/>
  <c r="F33" i="37"/>
  <c r="B33" i="37"/>
  <c r="G37" i="22"/>
  <c r="F29" i="40"/>
  <c r="B29" i="40"/>
  <c r="D39" i="21"/>
  <c r="E39" i="21"/>
  <c r="H34" i="31" l="1"/>
  <c r="I34" i="31" s="1"/>
  <c r="H31" i="39"/>
  <c r="I31" i="39" s="1"/>
  <c r="G38" i="24"/>
  <c r="I38" i="24" s="1"/>
  <c r="I40" i="19"/>
  <c r="I37" i="22"/>
  <c r="B39" i="21"/>
  <c r="F39" i="21"/>
  <c r="G39" i="21" s="1"/>
  <c r="D30" i="40"/>
  <c r="E30" i="40"/>
  <c r="H33" i="37"/>
  <c r="D34" i="37"/>
  <c r="E34" i="37"/>
  <c r="G38" i="27"/>
  <c r="D39" i="27"/>
  <c r="E39" i="27"/>
  <c r="G34" i="35"/>
  <c r="D35" i="35"/>
  <c r="E35" i="35"/>
  <c r="H36" i="25"/>
  <c r="D37" i="25"/>
  <c r="E37" i="25"/>
  <c r="D30" i="41"/>
  <c r="E30" i="41"/>
  <c r="G29" i="40"/>
  <c r="B41" i="18"/>
  <c r="F41" i="18"/>
  <c r="G41" i="18" s="1"/>
  <c r="H34" i="34"/>
  <c r="D35" i="34"/>
  <c r="E35" i="34"/>
  <c r="F42" i="4"/>
  <c r="B42" i="4"/>
  <c r="D38" i="26"/>
  <c r="E38" i="26"/>
  <c r="D36" i="29"/>
  <c r="E36" i="29"/>
  <c r="G29" i="41"/>
  <c r="H29" i="40"/>
  <c r="G33" i="37"/>
  <c r="G29" i="42"/>
  <c r="I29" i="42" s="1"/>
  <c r="D30" i="42"/>
  <c r="E30" i="42" s="1"/>
  <c r="D34" i="38"/>
  <c r="E34" i="38"/>
  <c r="D39" i="24"/>
  <c r="E39" i="24"/>
  <c r="G37" i="26"/>
  <c r="H34" i="35"/>
  <c r="F38" i="22"/>
  <c r="B38" i="22"/>
  <c r="G36" i="25"/>
  <c r="H29" i="41"/>
  <c r="B41" i="19"/>
  <c r="F41" i="19"/>
  <c r="G41" i="19" s="1"/>
  <c r="D32" i="39"/>
  <c r="E32" i="39"/>
  <c r="G37" i="23"/>
  <c r="I37" i="23" s="1"/>
  <c r="D38" i="23"/>
  <c r="E38" i="23"/>
  <c r="H33" i="38"/>
  <c r="I33" i="38" s="1"/>
  <c r="G34" i="34"/>
  <c r="B41" i="28"/>
  <c r="H38" i="27"/>
  <c r="H37" i="26"/>
  <c r="D35" i="31"/>
  <c r="E35" i="31"/>
  <c r="H35" i="29"/>
  <c r="I35" i="29" s="1"/>
  <c r="H42" i="3"/>
  <c r="I42" i="3" s="1"/>
  <c r="D43" i="3"/>
  <c r="E43" i="3"/>
  <c r="H41" i="18" l="1"/>
  <c r="I41" i="18" s="1"/>
  <c r="I36" i="25"/>
  <c r="I41" i="28"/>
  <c r="I34" i="34"/>
  <c r="I29" i="41"/>
  <c r="H39" i="21"/>
  <c r="I39" i="21" s="1"/>
  <c r="F39" i="24"/>
  <c r="H39" i="24" s="1"/>
  <c r="B39" i="24"/>
  <c r="F30" i="42"/>
  <c r="G30" i="42" s="1"/>
  <c r="B30" i="42"/>
  <c r="H42" i="4"/>
  <c r="D43" i="4"/>
  <c r="E43" i="4"/>
  <c r="F30" i="41"/>
  <c r="B30" i="41"/>
  <c r="F39" i="27"/>
  <c r="B39" i="27"/>
  <c r="F34" i="37"/>
  <c r="H34" i="37" s="1"/>
  <c r="B34" i="37"/>
  <c r="B43" i="3"/>
  <c r="F43" i="3"/>
  <c r="H43" i="3" s="1"/>
  <c r="F35" i="31"/>
  <c r="H35" i="31" s="1"/>
  <c r="B35" i="31"/>
  <c r="F32" i="39"/>
  <c r="G32" i="39" s="1"/>
  <c r="B32" i="39"/>
  <c r="H38" i="22"/>
  <c r="D39" i="22"/>
  <c r="E39" i="22"/>
  <c r="B38" i="26"/>
  <c r="F38" i="26"/>
  <c r="H38" i="26" s="1"/>
  <c r="B35" i="35"/>
  <c r="F35" i="35"/>
  <c r="G35" i="35" s="1"/>
  <c r="I37" i="26"/>
  <c r="F38" i="23"/>
  <c r="G38" i="23" s="1"/>
  <c r="B38" i="23"/>
  <c r="B42" i="28"/>
  <c r="B34" i="38"/>
  <c r="F34" i="38"/>
  <c r="G34" i="38" s="1"/>
  <c r="I33" i="37"/>
  <c r="G42" i="4"/>
  <c r="F35" i="34"/>
  <c r="G35" i="34" s="1"/>
  <c r="B35" i="34"/>
  <c r="D42" i="18"/>
  <c r="E42" i="18"/>
  <c r="B37" i="25"/>
  <c r="F37" i="25"/>
  <c r="G37" i="25" s="1"/>
  <c r="D40" i="21"/>
  <c r="E40" i="21"/>
  <c r="I38" i="27"/>
  <c r="H41" i="19"/>
  <c r="I41" i="19" s="1"/>
  <c r="D42" i="19"/>
  <c r="E42" i="19"/>
  <c r="G38" i="22"/>
  <c r="I34" i="35"/>
  <c r="I29" i="40"/>
  <c r="F36" i="29"/>
  <c r="G36" i="29" s="1"/>
  <c r="B30" i="40"/>
  <c r="F30" i="40"/>
  <c r="H38" i="23" l="1"/>
  <c r="I42" i="28"/>
  <c r="H37" i="25"/>
  <c r="I37" i="25" s="1"/>
  <c r="G39" i="24"/>
  <c r="I39" i="24" s="1"/>
  <c r="I38" i="23"/>
  <c r="I38" i="22"/>
  <c r="D31" i="40"/>
  <c r="E31" i="40"/>
  <c r="F42" i="19"/>
  <c r="B42" i="19"/>
  <c r="B40" i="21"/>
  <c r="F40" i="21"/>
  <c r="B43" i="28"/>
  <c r="D44" i="3"/>
  <c r="E44" i="3"/>
  <c r="G39" i="27"/>
  <c r="D40" i="27"/>
  <c r="E40" i="27"/>
  <c r="D31" i="41"/>
  <c r="E31" i="41"/>
  <c r="G30" i="40"/>
  <c r="B42" i="18"/>
  <c r="F42" i="18"/>
  <c r="G42" i="18" s="1"/>
  <c r="D36" i="34"/>
  <c r="E36" i="34"/>
  <c r="H34" i="38"/>
  <c r="I34" i="38" s="1"/>
  <c r="D35" i="38"/>
  <c r="E35" i="38"/>
  <c r="H35" i="35"/>
  <c r="I35" i="35" s="1"/>
  <c r="D36" i="35"/>
  <c r="E36" i="35"/>
  <c r="G38" i="26"/>
  <c r="I38" i="26" s="1"/>
  <c r="D39" i="26"/>
  <c r="E39" i="26"/>
  <c r="G35" i="31"/>
  <c r="I35" i="31" s="1"/>
  <c r="D36" i="31"/>
  <c r="E36" i="31"/>
  <c r="D35" i="37"/>
  <c r="E35" i="37"/>
  <c r="H30" i="41"/>
  <c r="H30" i="40"/>
  <c r="H36" i="29"/>
  <c r="I36" i="29" s="1"/>
  <c r="D37" i="29"/>
  <c r="E37" i="29"/>
  <c r="D38" i="25"/>
  <c r="E38" i="25"/>
  <c r="H35" i="34"/>
  <c r="I35" i="34" s="1"/>
  <c r="I42" i="4"/>
  <c r="D39" i="23"/>
  <c r="E39" i="23"/>
  <c r="B39" i="22"/>
  <c r="F39" i="22"/>
  <c r="G39" i="22" s="1"/>
  <c r="H32" i="39"/>
  <c r="I32" i="39" s="1"/>
  <c r="D33" i="39"/>
  <c r="E33" i="39"/>
  <c r="G43" i="3"/>
  <c r="I43" i="3" s="1"/>
  <c r="G34" i="37"/>
  <c r="I34" i="37" s="1"/>
  <c r="H39" i="27"/>
  <c r="G30" i="41"/>
  <c r="B43" i="4"/>
  <c r="F43" i="4"/>
  <c r="H43" i="4" s="1"/>
  <c r="H30" i="42"/>
  <c r="I30" i="42" s="1"/>
  <c r="D31" i="42"/>
  <c r="E31" i="42" s="1"/>
  <c r="D40" i="24"/>
  <c r="E40" i="24"/>
  <c r="I30" i="40" l="1"/>
  <c r="G43" i="4"/>
  <c r="I43" i="4" s="1"/>
  <c r="I39" i="27"/>
  <c r="B40" i="24"/>
  <c r="F40" i="24"/>
  <c r="H40" i="24" s="1"/>
  <c r="B39" i="23"/>
  <c r="F39" i="23"/>
  <c r="H39" i="23" s="1"/>
  <c r="B38" i="25"/>
  <c r="F38" i="25"/>
  <c r="G38" i="25" s="1"/>
  <c r="B39" i="26"/>
  <c r="F39" i="26"/>
  <c r="B40" i="27"/>
  <c r="F40" i="27"/>
  <c r="G40" i="21"/>
  <c r="D41" i="21"/>
  <c r="E41" i="21"/>
  <c r="B33" i="39"/>
  <c r="F33" i="39"/>
  <c r="H33" i="39" s="1"/>
  <c r="D40" i="22"/>
  <c r="E40" i="22"/>
  <c r="I30" i="41"/>
  <c r="F36" i="31"/>
  <c r="H36" i="31" s="1"/>
  <c r="B36" i="31"/>
  <c r="B36" i="34"/>
  <c r="F36" i="34"/>
  <c r="G36" i="34" s="1"/>
  <c r="D43" i="19"/>
  <c r="E43" i="19"/>
  <c r="F31" i="42"/>
  <c r="B31" i="42"/>
  <c r="D44" i="4"/>
  <c r="E44" i="4"/>
  <c r="F37" i="29"/>
  <c r="H37" i="29" s="1"/>
  <c r="F35" i="38"/>
  <c r="G35" i="38" s="1"/>
  <c r="B35" i="38"/>
  <c r="B31" i="41"/>
  <c r="F31" i="41"/>
  <c r="G31" i="41" s="1"/>
  <c r="B44" i="28"/>
  <c r="H42" i="19"/>
  <c r="H39" i="22"/>
  <c r="I39" i="22" s="1"/>
  <c r="B35" i="37"/>
  <c r="F35" i="37"/>
  <c r="H35" i="37" s="1"/>
  <c r="F36" i="35"/>
  <c r="B36" i="35"/>
  <c r="H42" i="18"/>
  <c r="I42" i="18" s="1"/>
  <c r="D43" i="18"/>
  <c r="E43" i="18"/>
  <c r="B44" i="3"/>
  <c r="F44" i="3"/>
  <c r="G44" i="3" s="1"/>
  <c r="I43" i="28"/>
  <c r="H40" i="21"/>
  <c r="G42" i="19"/>
  <c r="B31" i="40"/>
  <c r="F31" i="40"/>
  <c r="G31" i="40" s="1"/>
  <c r="H36" i="34" l="1"/>
  <c r="I36" i="34" s="1"/>
  <c r="G37" i="29"/>
  <c r="I37" i="29" s="1"/>
  <c r="G39" i="23"/>
  <c r="I39" i="23" s="1"/>
  <c r="I44" i="28"/>
  <c r="F43" i="18"/>
  <c r="G43" i="18" s="1"/>
  <c r="B43" i="18"/>
  <c r="H36" i="35"/>
  <c r="D37" i="35"/>
  <c r="E37" i="35"/>
  <c r="B44" i="4"/>
  <c r="F44" i="4"/>
  <c r="H44" i="4" s="1"/>
  <c r="D32" i="42"/>
  <c r="E32" i="42" s="1"/>
  <c r="B45" i="28"/>
  <c r="F41" i="21"/>
  <c r="G41" i="21" s="1"/>
  <c r="B41" i="21"/>
  <c r="D41" i="27"/>
  <c r="E41" i="27"/>
  <c r="D40" i="26"/>
  <c r="E40" i="26"/>
  <c r="H44" i="3"/>
  <c r="I44" i="3" s="1"/>
  <c r="D45" i="3"/>
  <c r="E45" i="3"/>
  <c r="I42" i="19"/>
  <c r="H31" i="42"/>
  <c r="D34" i="39"/>
  <c r="E34" i="39"/>
  <c r="I40" i="21"/>
  <c r="G36" i="35"/>
  <c r="G35" i="37"/>
  <c r="I35" i="37" s="1"/>
  <c r="D36" i="37"/>
  <c r="E36" i="37"/>
  <c r="H31" i="41"/>
  <c r="I31" i="41" s="1"/>
  <c r="D32" i="41"/>
  <c r="E32" i="41"/>
  <c r="D38" i="29"/>
  <c r="E38" i="29"/>
  <c r="G31" i="42"/>
  <c r="F43" i="19"/>
  <c r="H43" i="19" s="1"/>
  <c r="B43" i="19"/>
  <c r="F40" i="22"/>
  <c r="G40" i="22" s="1"/>
  <c r="B40" i="22"/>
  <c r="H40" i="27"/>
  <c r="H39" i="26"/>
  <c r="G40" i="24"/>
  <c r="I40" i="24" s="1"/>
  <c r="D41" i="24"/>
  <c r="E41" i="24"/>
  <c r="H31" i="40"/>
  <c r="I31" i="40" s="1"/>
  <c r="D32" i="40"/>
  <c r="E32" i="40"/>
  <c r="H35" i="38"/>
  <c r="I35" i="38" s="1"/>
  <c r="D36" i="38"/>
  <c r="E36" i="38"/>
  <c r="D37" i="34"/>
  <c r="E37" i="34"/>
  <c r="G36" i="31"/>
  <c r="I36" i="31" s="1"/>
  <c r="D37" i="31"/>
  <c r="E37" i="31"/>
  <c r="G33" i="39"/>
  <c r="I33" i="39" s="1"/>
  <c r="G40" i="27"/>
  <c r="G39" i="26"/>
  <c r="H38" i="25"/>
  <c r="I38" i="25" s="1"/>
  <c r="D39" i="25"/>
  <c r="E39" i="25"/>
  <c r="D40" i="23"/>
  <c r="E40" i="23"/>
  <c r="I36" i="35" l="1"/>
  <c r="I39" i="26"/>
  <c r="F40" i="23"/>
  <c r="H40" i="23" s="1"/>
  <c r="B40" i="23"/>
  <c r="F37" i="31"/>
  <c r="B37" i="31"/>
  <c r="F41" i="24"/>
  <c r="B41" i="24"/>
  <c r="F32" i="42"/>
  <c r="G32" i="42" s="1"/>
  <c r="B32" i="42"/>
  <c r="I40" i="27"/>
  <c r="B32" i="40"/>
  <c r="F32" i="40"/>
  <c r="H32" i="40" s="1"/>
  <c r="F38" i="29"/>
  <c r="G38" i="29" s="1"/>
  <c r="B34" i="39"/>
  <c r="F34" i="39"/>
  <c r="H34" i="39" s="1"/>
  <c r="B40" i="26"/>
  <c r="F40" i="26"/>
  <c r="H40" i="26" s="1"/>
  <c r="F37" i="35"/>
  <c r="H37" i="35" s="1"/>
  <c r="B37" i="35"/>
  <c r="B39" i="25"/>
  <c r="F39" i="25"/>
  <c r="G39" i="25" s="1"/>
  <c r="F36" i="38"/>
  <c r="G36" i="38" s="1"/>
  <c r="B36" i="38"/>
  <c r="G43" i="19"/>
  <c r="I43" i="19" s="1"/>
  <c r="D44" i="19"/>
  <c r="E44" i="19"/>
  <c r="F36" i="37"/>
  <c r="B36" i="37"/>
  <c r="F45" i="3"/>
  <c r="B45" i="3"/>
  <c r="H41" i="21"/>
  <c r="I41" i="21" s="1"/>
  <c r="D42" i="21"/>
  <c r="E42" i="21"/>
  <c r="G44" i="4"/>
  <c r="I44" i="4" s="1"/>
  <c r="D45" i="4"/>
  <c r="E45" i="4"/>
  <c r="D44" i="18"/>
  <c r="E44" i="18"/>
  <c r="B37" i="34"/>
  <c r="F37" i="34"/>
  <c r="H40" i="22"/>
  <c r="I40" i="22" s="1"/>
  <c r="D41" i="22"/>
  <c r="E41" i="22"/>
  <c r="B32" i="41"/>
  <c r="F32" i="41"/>
  <c r="H32" i="41" s="1"/>
  <c r="I31" i="42"/>
  <c r="F41" i="27"/>
  <c r="G41" i="27" s="1"/>
  <c r="B41" i="27"/>
  <c r="H43" i="18"/>
  <c r="I43" i="18" s="1"/>
  <c r="H36" i="38" l="1"/>
  <c r="I36" i="38" s="1"/>
  <c r="G32" i="41"/>
  <c r="I32" i="41" s="1"/>
  <c r="G40" i="26"/>
  <c r="I40" i="26" s="1"/>
  <c r="H37" i="34"/>
  <c r="D38" i="34"/>
  <c r="E38" i="34"/>
  <c r="B42" i="21"/>
  <c r="F42" i="21"/>
  <c r="G42" i="21" s="1"/>
  <c r="G45" i="3"/>
  <c r="D46" i="3"/>
  <c r="E46" i="3"/>
  <c r="D37" i="37"/>
  <c r="E37" i="37"/>
  <c r="I45" i="28"/>
  <c r="B46" i="28"/>
  <c r="D38" i="31"/>
  <c r="E38" i="31"/>
  <c r="B41" i="22"/>
  <c r="F41" i="22"/>
  <c r="F45" i="4"/>
  <c r="B45" i="4"/>
  <c r="G36" i="37"/>
  <c r="H39" i="25"/>
  <c r="I39" i="25" s="1"/>
  <c r="D40" i="25"/>
  <c r="E40" i="25"/>
  <c r="H38" i="29"/>
  <c r="I38" i="29" s="1"/>
  <c r="D39" i="29"/>
  <c r="E39" i="29"/>
  <c r="D33" i="40"/>
  <c r="E33" i="40"/>
  <c r="D42" i="24"/>
  <c r="E42" i="24"/>
  <c r="H37" i="31"/>
  <c r="H41" i="27"/>
  <c r="I41" i="27" s="1"/>
  <c r="D42" i="27"/>
  <c r="E42" i="27"/>
  <c r="D33" i="41"/>
  <c r="E33" i="41"/>
  <c r="H45" i="3"/>
  <c r="H36" i="37"/>
  <c r="B44" i="19"/>
  <c r="F44" i="19"/>
  <c r="G44" i="19" s="1"/>
  <c r="D38" i="35"/>
  <c r="E38" i="35"/>
  <c r="G34" i="39"/>
  <c r="I34" i="39" s="1"/>
  <c r="D35" i="39"/>
  <c r="E35" i="39"/>
  <c r="D33" i="42"/>
  <c r="E33" i="42" s="1"/>
  <c r="G41" i="24"/>
  <c r="G37" i="31"/>
  <c r="G37" i="34"/>
  <c r="B44" i="18"/>
  <c r="F44" i="18"/>
  <c r="H44" i="18" s="1"/>
  <c r="D37" i="38"/>
  <c r="E37" i="38"/>
  <c r="G37" i="35"/>
  <c r="I37" i="35" s="1"/>
  <c r="D41" i="26"/>
  <c r="E41" i="26"/>
  <c r="G32" i="40"/>
  <c r="I32" i="40" s="1"/>
  <c r="H32" i="42"/>
  <c r="I32" i="42" s="1"/>
  <c r="H41" i="24"/>
  <c r="G40" i="23"/>
  <c r="I40" i="23" s="1"/>
  <c r="D41" i="23"/>
  <c r="E41" i="23"/>
  <c r="H44" i="19" l="1"/>
  <c r="I44" i="19" s="1"/>
  <c r="I45" i="3"/>
  <c r="I46" i="28"/>
  <c r="I41" i="24"/>
  <c r="F41" i="26"/>
  <c r="H41" i="26" s="1"/>
  <c r="B41" i="26"/>
  <c r="F42" i="24"/>
  <c r="G42" i="24" s="1"/>
  <c r="B42" i="24"/>
  <c r="F39" i="29"/>
  <c r="H39" i="29" s="1"/>
  <c r="F40" i="25"/>
  <c r="B40" i="25"/>
  <c r="D42" i="22"/>
  <c r="E42" i="22"/>
  <c r="B37" i="37"/>
  <c r="F37" i="37"/>
  <c r="G37" i="37" s="1"/>
  <c r="B41" i="23"/>
  <c r="F41" i="23"/>
  <c r="H41" i="23" s="1"/>
  <c r="G44" i="18"/>
  <c r="I44" i="18" s="1"/>
  <c r="D45" i="18"/>
  <c r="E45" i="18"/>
  <c r="B35" i="39"/>
  <c r="F35" i="39"/>
  <c r="F38" i="35"/>
  <c r="B38" i="35"/>
  <c r="B33" i="41"/>
  <c r="F33" i="41"/>
  <c r="H45" i="4"/>
  <c r="D46" i="4"/>
  <c r="E46" i="4"/>
  <c r="D43" i="21"/>
  <c r="E43" i="21"/>
  <c r="F38" i="34"/>
  <c r="B38" i="34"/>
  <c r="I37" i="31"/>
  <c r="B33" i="40"/>
  <c r="F33" i="40"/>
  <c r="H33" i="40" s="1"/>
  <c r="I36" i="37"/>
  <c r="G41" i="22"/>
  <c r="F46" i="3"/>
  <c r="G46" i="3" s="1"/>
  <c r="B46" i="3"/>
  <c r="B37" i="38"/>
  <c r="F37" i="38"/>
  <c r="I37" i="34"/>
  <c r="F33" i="42"/>
  <c r="B33" i="42"/>
  <c r="D45" i="19"/>
  <c r="E45" i="19"/>
  <c r="B42" i="27"/>
  <c r="F42" i="27"/>
  <c r="G42" i="27" s="1"/>
  <c r="G45" i="4"/>
  <c r="H41" i="22"/>
  <c r="F38" i="31"/>
  <c r="G38" i="31" s="1"/>
  <c r="B38" i="31"/>
  <c r="H42" i="21"/>
  <c r="I42" i="21" s="1"/>
  <c r="I45" i="4" l="1"/>
  <c r="G33" i="40"/>
  <c r="I33" i="40" s="1"/>
  <c r="H33" i="42"/>
  <c r="D34" i="42"/>
  <c r="E34" i="42" s="1"/>
  <c r="G33" i="41"/>
  <c r="D34" i="41"/>
  <c r="E34" i="41"/>
  <c r="D39" i="35"/>
  <c r="E39" i="35"/>
  <c r="D36" i="39"/>
  <c r="E36" i="39"/>
  <c r="F45" i="19"/>
  <c r="H45" i="19" s="1"/>
  <c r="B45" i="19"/>
  <c r="G38" i="34"/>
  <c r="D39" i="34"/>
  <c r="E39" i="34"/>
  <c r="B46" i="4"/>
  <c r="F46" i="4"/>
  <c r="H46" i="4" s="1"/>
  <c r="H38" i="35"/>
  <c r="B42" i="22"/>
  <c r="F42" i="22"/>
  <c r="G42" i="22" s="1"/>
  <c r="D41" i="25"/>
  <c r="E41" i="25"/>
  <c r="H38" i="31"/>
  <c r="I38" i="31" s="1"/>
  <c r="D39" i="31"/>
  <c r="E39" i="31"/>
  <c r="H42" i="27"/>
  <c r="I42" i="27" s="1"/>
  <c r="D43" i="27"/>
  <c r="E43" i="27"/>
  <c r="G33" i="42"/>
  <c r="H37" i="38"/>
  <c r="D38" i="38"/>
  <c r="E38" i="38"/>
  <c r="B47" i="28"/>
  <c r="D47" i="3"/>
  <c r="E47" i="3"/>
  <c r="G38" i="35"/>
  <c r="G35" i="39"/>
  <c r="G41" i="23"/>
  <c r="I41" i="23" s="1"/>
  <c r="D42" i="23"/>
  <c r="E42" i="23"/>
  <c r="H37" i="37"/>
  <c r="I37" i="37" s="1"/>
  <c r="D38" i="37"/>
  <c r="E38" i="37"/>
  <c r="G40" i="25"/>
  <c r="H42" i="24"/>
  <c r="I42" i="24" s="1"/>
  <c r="D43" i="24"/>
  <c r="E43" i="24"/>
  <c r="D42" i="26"/>
  <c r="E42" i="26"/>
  <c r="G37" i="38"/>
  <c r="H46" i="3"/>
  <c r="I46" i="3" s="1"/>
  <c r="I41" i="22"/>
  <c r="D34" i="40"/>
  <c r="E34" i="40"/>
  <c r="H38" i="34"/>
  <c r="F43" i="21"/>
  <c r="H43" i="21" s="1"/>
  <c r="B43" i="21"/>
  <c r="H33" i="41"/>
  <c r="H35" i="39"/>
  <c r="B45" i="18"/>
  <c r="F45" i="18"/>
  <c r="G45" i="18" s="1"/>
  <c r="H40" i="25"/>
  <c r="G39" i="29"/>
  <c r="I39" i="29" s="1"/>
  <c r="D40" i="29"/>
  <c r="E40" i="29"/>
  <c r="G41" i="26"/>
  <c r="I41" i="26" s="1"/>
  <c r="I38" i="35" l="1"/>
  <c r="I47" i="28"/>
  <c r="I33" i="42"/>
  <c r="I35" i="39"/>
  <c r="I33" i="41"/>
  <c r="I38" i="34"/>
  <c r="I37" i="38"/>
  <c r="F39" i="34"/>
  <c r="B39" i="34"/>
  <c r="B39" i="35"/>
  <c r="F39" i="35"/>
  <c r="F40" i="29"/>
  <c r="G40" i="29" s="1"/>
  <c r="H45" i="18"/>
  <c r="I45" i="18" s="1"/>
  <c r="D46" i="18"/>
  <c r="E46" i="18"/>
  <c r="F43" i="24"/>
  <c r="H43" i="24" s="1"/>
  <c r="B43" i="24"/>
  <c r="F42" i="23"/>
  <c r="B42" i="23"/>
  <c r="B41" i="25"/>
  <c r="F41" i="25"/>
  <c r="G41" i="25" s="1"/>
  <c r="G46" i="4"/>
  <c r="I46" i="4" s="1"/>
  <c r="D47" i="4"/>
  <c r="E47" i="4"/>
  <c r="F34" i="42"/>
  <c r="G34" i="42" s="1"/>
  <c r="B34" i="42"/>
  <c r="B34" i="40"/>
  <c r="F34" i="40"/>
  <c r="H34" i="40" s="1"/>
  <c r="B38" i="37"/>
  <c r="F38" i="37"/>
  <c r="F39" i="31"/>
  <c r="G39" i="31" s="1"/>
  <c r="B39" i="31"/>
  <c r="F36" i="39"/>
  <c r="G36" i="39" s="1"/>
  <c r="B36" i="39"/>
  <c r="F34" i="41"/>
  <c r="H34" i="41" s="1"/>
  <c r="B34" i="41"/>
  <c r="I40" i="25"/>
  <c r="G43" i="21"/>
  <c r="I43" i="21" s="1"/>
  <c r="D44" i="21"/>
  <c r="E44" i="21"/>
  <c r="F42" i="26"/>
  <c r="B42" i="26"/>
  <c r="F47" i="3"/>
  <c r="G47" i="3" s="1"/>
  <c r="B47" i="3"/>
  <c r="B38" i="38"/>
  <c r="F38" i="38"/>
  <c r="G38" i="38" s="1"/>
  <c r="F43" i="27"/>
  <c r="B43" i="27"/>
  <c r="H42" i="22"/>
  <c r="I42" i="22" s="1"/>
  <c r="D43" i="22"/>
  <c r="E43" i="22"/>
  <c r="B48" i="28"/>
  <c r="G45" i="19"/>
  <c r="I45" i="19" s="1"/>
  <c r="D46" i="19"/>
  <c r="E46" i="19"/>
  <c r="H40" i="29" l="1"/>
  <c r="I40" i="29" s="1"/>
  <c r="D44" i="27"/>
  <c r="E44" i="27"/>
  <c r="H38" i="37"/>
  <c r="D39" i="37"/>
  <c r="E39" i="37"/>
  <c r="G39" i="35"/>
  <c r="D40" i="35"/>
  <c r="E40" i="35"/>
  <c r="F46" i="19"/>
  <c r="G46" i="19" s="1"/>
  <c r="B46" i="19"/>
  <c r="G43" i="27"/>
  <c r="H41" i="25"/>
  <c r="I41" i="25" s="1"/>
  <c r="D42" i="25"/>
  <c r="E42" i="25"/>
  <c r="G42" i="23"/>
  <c r="D43" i="23"/>
  <c r="E43" i="23"/>
  <c r="G39" i="34"/>
  <c r="D40" i="34"/>
  <c r="E40" i="34"/>
  <c r="H47" i="3"/>
  <c r="I47" i="3" s="1"/>
  <c r="D48" i="3"/>
  <c r="E48" i="3"/>
  <c r="H39" i="31"/>
  <c r="I39" i="31" s="1"/>
  <c r="D40" i="31"/>
  <c r="E40" i="31"/>
  <c r="F47" i="4"/>
  <c r="B47" i="4"/>
  <c r="H39" i="35"/>
  <c r="H36" i="39"/>
  <c r="I36" i="39" s="1"/>
  <c r="D37" i="39"/>
  <c r="E37" i="39"/>
  <c r="G43" i="24"/>
  <c r="I43" i="24" s="1"/>
  <c r="D44" i="24"/>
  <c r="E44" i="24"/>
  <c r="G42" i="26"/>
  <c r="D43" i="26"/>
  <c r="E43" i="26"/>
  <c r="D35" i="41"/>
  <c r="E35" i="41"/>
  <c r="H38" i="38"/>
  <c r="I38" i="38" s="1"/>
  <c r="D39" i="38"/>
  <c r="E39" i="38"/>
  <c r="B49" i="28"/>
  <c r="I48" i="28"/>
  <c r="F43" i="22"/>
  <c r="H43" i="22" s="1"/>
  <c r="B43" i="22"/>
  <c r="H43" i="27"/>
  <c r="H42" i="26"/>
  <c r="F44" i="21"/>
  <c r="B44" i="21"/>
  <c r="G34" i="41"/>
  <c r="I34" i="41" s="1"/>
  <c r="G38" i="37"/>
  <c r="G34" i="40"/>
  <c r="I34" i="40" s="1"/>
  <c r="D35" i="40"/>
  <c r="E35" i="40"/>
  <c r="H34" i="42"/>
  <c r="I34" i="42" s="1"/>
  <c r="D35" i="42"/>
  <c r="E35" i="42" s="1"/>
  <c r="H42" i="23"/>
  <c r="F46" i="18"/>
  <c r="H46" i="18" s="1"/>
  <c r="B46" i="18"/>
  <c r="D41" i="29"/>
  <c r="E41" i="29"/>
  <c r="H39" i="34"/>
  <c r="I39" i="35" l="1"/>
  <c r="I42" i="23"/>
  <c r="I39" i="34"/>
  <c r="I38" i="37"/>
  <c r="G43" i="22"/>
  <c r="I43" i="22" s="1"/>
  <c r="I49" i="28"/>
  <c r="F41" i="29"/>
  <c r="H41" i="29" s="1"/>
  <c r="B35" i="41"/>
  <c r="F35" i="41"/>
  <c r="G35" i="41" s="1"/>
  <c r="H47" i="4"/>
  <c r="D48" i="4"/>
  <c r="E48" i="4"/>
  <c r="B40" i="34"/>
  <c r="F40" i="34"/>
  <c r="G40" i="34" s="1"/>
  <c r="H46" i="19"/>
  <c r="I46" i="19" s="1"/>
  <c r="B39" i="37"/>
  <c r="F39" i="37"/>
  <c r="H39" i="37" s="1"/>
  <c r="B44" i="27"/>
  <c r="F44" i="27"/>
  <c r="H44" i="27" s="1"/>
  <c r="F43" i="23"/>
  <c r="B43" i="23"/>
  <c r="D45" i="21"/>
  <c r="E45" i="21"/>
  <c r="F35" i="40"/>
  <c r="H35" i="40" s="1"/>
  <c r="B35" i="40"/>
  <c r="G44" i="21"/>
  <c r="I42" i="26"/>
  <c r="B39" i="38"/>
  <c r="F39" i="38"/>
  <c r="H39" i="38" s="1"/>
  <c r="B48" i="3"/>
  <c r="F48" i="3"/>
  <c r="F40" i="35"/>
  <c r="B40" i="35"/>
  <c r="G46" i="18"/>
  <c r="I46" i="18" s="1"/>
  <c r="D47" i="18"/>
  <c r="E47" i="18"/>
  <c r="D47" i="19"/>
  <c r="E47" i="19"/>
  <c r="F35" i="42"/>
  <c r="H35" i="42" s="1"/>
  <c r="B35" i="42"/>
  <c r="H44" i="21"/>
  <c r="I43" i="27"/>
  <c r="D44" i="22"/>
  <c r="E44" i="22"/>
  <c r="F43" i="26"/>
  <c r="G43" i="26" s="1"/>
  <c r="B43" i="26"/>
  <c r="F44" i="24"/>
  <c r="B44" i="24"/>
  <c r="B37" i="39"/>
  <c r="F37" i="39"/>
  <c r="G37" i="39" s="1"/>
  <c r="G47" i="4"/>
  <c r="F40" i="31"/>
  <c r="B40" i="31"/>
  <c r="B42" i="25"/>
  <c r="F42" i="25"/>
  <c r="G42" i="25" s="1"/>
  <c r="B50" i="28"/>
  <c r="H42" i="25" l="1"/>
  <c r="G35" i="42"/>
  <c r="I35" i="42" s="1"/>
  <c r="G39" i="37"/>
  <c r="I39" i="37" s="1"/>
  <c r="G35" i="40"/>
  <c r="I35" i="40" s="1"/>
  <c r="G41" i="29"/>
  <c r="I41" i="29" s="1"/>
  <c r="I47" i="4"/>
  <c r="H44" i="24"/>
  <c r="D45" i="24"/>
  <c r="E45" i="24"/>
  <c r="B44" i="22"/>
  <c r="F44" i="22"/>
  <c r="G44" i="22" s="1"/>
  <c r="F45" i="21"/>
  <c r="H45" i="21" s="1"/>
  <c r="B45" i="21"/>
  <c r="D44" i="23"/>
  <c r="E44" i="23"/>
  <c r="H35" i="41"/>
  <c r="I35" i="41" s="1"/>
  <c r="D36" i="41"/>
  <c r="E36" i="41"/>
  <c r="D41" i="31"/>
  <c r="E41" i="31"/>
  <c r="D41" i="35"/>
  <c r="E41" i="35"/>
  <c r="G48" i="3"/>
  <c r="D49" i="3"/>
  <c r="E49" i="3"/>
  <c r="I42" i="25"/>
  <c r="H40" i="31"/>
  <c r="F47" i="19"/>
  <c r="B47" i="19"/>
  <c r="H40" i="35"/>
  <c r="D43" i="25"/>
  <c r="E43" i="25"/>
  <c r="G44" i="24"/>
  <c r="G40" i="35"/>
  <c r="B51" i="28"/>
  <c r="G43" i="23"/>
  <c r="F48" i="4"/>
  <c r="B48" i="4"/>
  <c r="D42" i="29"/>
  <c r="E42" i="29"/>
  <c r="D38" i="39"/>
  <c r="E38" i="39"/>
  <c r="D40" i="38"/>
  <c r="E40" i="38"/>
  <c r="I50" i="28"/>
  <c r="G40" i="31"/>
  <c r="H37" i="39"/>
  <c r="I37" i="39" s="1"/>
  <c r="H43" i="26"/>
  <c r="I43" i="26" s="1"/>
  <c r="D44" i="26"/>
  <c r="E44" i="26"/>
  <c r="D36" i="42"/>
  <c r="E36" i="42" s="1"/>
  <c r="F47" i="18"/>
  <c r="G47" i="18" s="1"/>
  <c r="B47" i="18"/>
  <c r="H48" i="3"/>
  <c r="G39" i="38"/>
  <c r="I39" i="38" s="1"/>
  <c r="I44" i="21"/>
  <c r="D36" i="40"/>
  <c r="E36" i="40"/>
  <c r="H43" i="23"/>
  <c r="G44" i="27"/>
  <c r="I44" i="27" s="1"/>
  <c r="D45" i="27"/>
  <c r="E45" i="27"/>
  <c r="D40" i="37"/>
  <c r="E40" i="37"/>
  <c r="H40" i="34"/>
  <c r="I40" i="34" s="1"/>
  <c r="D41" i="34"/>
  <c r="E41" i="34"/>
  <c r="G45" i="21" l="1"/>
  <c r="I48" i="3"/>
  <c r="I45" i="21"/>
  <c r="I44" i="24"/>
  <c r="I40" i="31"/>
  <c r="B41" i="34"/>
  <c r="F41" i="34"/>
  <c r="H41" i="34" s="1"/>
  <c r="H48" i="4"/>
  <c r="D49" i="4"/>
  <c r="E49" i="4"/>
  <c r="B43" i="25"/>
  <c r="F43" i="25"/>
  <c r="G43" i="25" s="1"/>
  <c r="G47" i="19"/>
  <c r="D48" i="19"/>
  <c r="E48" i="19"/>
  <c r="B41" i="35"/>
  <c r="F41" i="35"/>
  <c r="H41" i="35" s="1"/>
  <c r="F36" i="41"/>
  <c r="B36" i="41"/>
  <c r="B45" i="27"/>
  <c r="F45" i="27"/>
  <c r="G45" i="27" s="1"/>
  <c r="B36" i="40"/>
  <c r="F36" i="40"/>
  <c r="G36" i="40" s="1"/>
  <c r="F36" i="42"/>
  <c r="H36" i="42" s="1"/>
  <c r="B36" i="42"/>
  <c r="B52" i="28"/>
  <c r="F40" i="38"/>
  <c r="B40" i="38"/>
  <c r="F42" i="29"/>
  <c r="G42" i="29" s="1"/>
  <c r="I40" i="35"/>
  <c r="F49" i="3"/>
  <c r="G49" i="3" s="1"/>
  <c r="B49" i="3"/>
  <c r="F45" i="24"/>
  <c r="B45" i="24"/>
  <c r="G48" i="4"/>
  <c r="I43" i="23"/>
  <c r="H47" i="19"/>
  <c r="I47" i="19" s="1"/>
  <c r="B41" i="31"/>
  <c r="F41" i="31"/>
  <c r="H41" i="31" s="1"/>
  <c r="H44" i="22"/>
  <c r="I44" i="22" s="1"/>
  <c r="D45" i="22"/>
  <c r="E45" i="22"/>
  <c r="B40" i="37"/>
  <c r="F40" i="37"/>
  <c r="H47" i="18"/>
  <c r="I47" i="18" s="1"/>
  <c r="D48" i="18"/>
  <c r="E48" i="18"/>
  <c r="F44" i="26"/>
  <c r="G44" i="26" s="1"/>
  <c r="B44" i="26"/>
  <c r="F38" i="39"/>
  <c r="G38" i="39" s="1"/>
  <c r="B38" i="39"/>
  <c r="I51" i="28"/>
  <c r="F44" i="23"/>
  <c r="H44" i="23" s="1"/>
  <c r="B44" i="23"/>
  <c r="D46" i="21"/>
  <c r="E46" i="21"/>
  <c r="I48" i="4" l="1"/>
  <c r="H43" i="25"/>
  <c r="I43" i="25" s="1"/>
  <c r="I52" i="28"/>
  <c r="G36" i="42"/>
  <c r="I36" i="42" s="1"/>
  <c r="F46" i="21"/>
  <c r="G46" i="21" s="1"/>
  <c r="B46" i="21"/>
  <c r="F48" i="18"/>
  <c r="G48" i="18" s="1"/>
  <c r="B48" i="18"/>
  <c r="D41" i="37"/>
  <c r="E41" i="37"/>
  <c r="G40" i="38"/>
  <c r="D41" i="38"/>
  <c r="E41" i="38"/>
  <c r="B53" i="28"/>
  <c r="H45" i="24"/>
  <c r="D46" i="24"/>
  <c r="E46" i="24"/>
  <c r="H42" i="29"/>
  <c r="I42" i="29" s="1"/>
  <c r="D43" i="29"/>
  <c r="E43" i="29"/>
  <c r="H45" i="27"/>
  <c r="I45" i="27" s="1"/>
  <c r="D46" i="27"/>
  <c r="E46" i="27"/>
  <c r="G36" i="41"/>
  <c r="D37" i="41"/>
  <c r="E37" i="41"/>
  <c r="F49" i="4"/>
  <c r="G49" i="4" s="1"/>
  <c r="B49" i="4"/>
  <c r="H44" i="26"/>
  <c r="I44" i="26" s="1"/>
  <c r="D45" i="26"/>
  <c r="E45" i="26"/>
  <c r="G40" i="37"/>
  <c r="G41" i="31"/>
  <c r="I41" i="31" s="1"/>
  <c r="D42" i="31"/>
  <c r="E42" i="31"/>
  <c r="D50" i="3"/>
  <c r="E50" i="3"/>
  <c r="H40" i="38"/>
  <c r="H36" i="40"/>
  <c r="I36" i="40" s="1"/>
  <c r="D37" i="40"/>
  <c r="E37" i="40"/>
  <c r="F48" i="19"/>
  <c r="G48" i="19" s="1"/>
  <c r="B48" i="19"/>
  <c r="D44" i="25"/>
  <c r="E44" i="25"/>
  <c r="G41" i="34"/>
  <c r="I41" i="34" s="1"/>
  <c r="D42" i="34"/>
  <c r="E42" i="34"/>
  <c r="G44" i="23"/>
  <c r="I44" i="23" s="1"/>
  <c r="D45" i="23"/>
  <c r="E45" i="23"/>
  <c r="H38" i="39"/>
  <c r="I38" i="39" s="1"/>
  <c r="D39" i="39"/>
  <c r="E39" i="39"/>
  <c r="H40" i="37"/>
  <c r="F45" i="22"/>
  <c r="B45" i="22"/>
  <c r="G45" i="24"/>
  <c r="H49" i="3"/>
  <c r="I49" i="3" s="1"/>
  <c r="D37" i="42"/>
  <c r="E37" i="42" s="1"/>
  <c r="H36" i="41"/>
  <c r="G41" i="35"/>
  <c r="I41" i="35" s="1"/>
  <c r="D42" i="35"/>
  <c r="E42" i="35"/>
  <c r="F50" i="3" l="1"/>
  <c r="H46" i="21"/>
  <c r="I36" i="41"/>
  <c r="I40" i="38"/>
  <c r="I45" i="24"/>
  <c r="I46" i="21"/>
  <c r="G45" i="22"/>
  <c r="D46" i="22"/>
  <c r="E46" i="22"/>
  <c r="B45" i="26"/>
  <c r="F45" i="26"/>
  <c r="H45" i="26" s="1"/>
  <c r="B42" i="34"/>
  <c r="F42" i="34"/>
  <c r="H42" i="34" s="1"/>
  <c r="D51" i="3"/>
  <c r="E51" i="3"/>
  <c r="B44" i="25"/>
  <c r="F44" i="25"/>
  <c r="F42" i="31"/>
  <c r="B42" i="31"/>
  <c r="F37" i="41"/>
  <c r="H37" i="41" s="1"/>
  <c r="B37" i="41"/>
  <c r="H45" i="22"/>
  <c r="F45" i="23"/>
  <c r="B45" i="23"/>
  <c r="B37" i="40"/>
  <c r="F37" i="40"/>
  <c r="G37" i="40" s="1"/>
  <c r="B50" i="3"/>
  <c r="G50" i="3"/>
  <c r="H50" i="3"/>
  <c r="I40" i="37"/>
  <c r="D50" i="4"/>
  <c r="E50" i="4"/>
  <c r="B46" i="24"/>
  <c r="F46" i="24"/>
  <c r="H46" i="24" s="1"/>
  <c r="H48" i="18"/>
  <c r="I48" i="18" s="1"/>
  <c r="D49" i="18"/>
  <c r="E49" i="18"/>
  <c r="B42" i="35"/>
  <c r="F42" i="35"/>
  <c r="G42" i="35" s="1"/>
  <c r="F37" i="42"/>
  <c r="G37" i="42" s="1"/>
  <c r="B37" i="42"/>
  <c r="B39" i="39"/>
  <c r="F39" i="39"/>
  <c r="H39" i="39" s="1"/>
  <c r="H48" i="19"/>
  <c r="I48" i="19" s="1"/>
  <c r="D49" i="19"/>
  <c r="E49" i="19"/>
  <c r="H49" i="4"/>
  <c r="I49" i="4" s="1"/>
  <c r="B46" i="27"/>
  <c r="F46" i="27"/>
  <c r="G46" i="27" s="1"/>
  <c r="F43" i="29"/>
  <c r="H43" i="29" s="1"/>
  <c r="I53" i="28"/>
  <c r="B41" i="38"/>
  <c r="F41" i="38"/>
  <c r="H41" i="38" s="1"/>
  <c r="F41" i="37"/>
  <c r="G41" i="37" s="1"/>
  <c r="B41" i="37"/>
  <c r="D47" i="21"/>
  <c r="E47" i="21"/>
  <c r="G39" i="39" l="1"/>
  <c r="I39" i="39" s="1"/>
  <c r="I45" i="22"/>
  <c r="I50" i="3"/>
  <c r="B54" i="28"/>
  <c r="G41" i="38"/>
  <c r="I41" i="38" s="1"/>
  <c r="D42" i="38"/>
  <c r="E42" i="38"/>
  <c r="G43" i="29"/>
  <c r="I43" i="29" s="1"/>
  <c r="D44" i="29"/>
  <c r="E44" i="29"/>
  <c r="H42" i="35"/>
  <c r="I42" i="35" s="1"/>
  <c r="D43" i="35"/>
  <c r="E43" i="35"/>
  <c r="D38" i="40"/>
  <c r="E38" i="40"/>
  <c r="H45" i="23"/>
  <c r="D46" i="23"/>
  <c r="E46" i="23"/>
  <c r="H42" i="31"/>
  <c r="D43" i="31"/>
  <c r="E43" i="31"/>
  <c r="G42" i="34"/>
  <c r="I42" i="34" s="1"/>
  <c r="D43" i="34"/>
  <c r="E43" i="34"/>
  <c r="B49" i="18"/>
  <c r="F49" i="18"/>
  <c r="H49" i="18" s="1"/>
  <c r="D45" i="25"/>
  <c r="E45" i="25"/>
  <c r="F50" i="4"/>
  <c r="G50" i="4" s="1"/>
  <c r="B50" i="4"/>
  <c r="G37" i="41"/>
  <c r="I37" i="41" s="1"/>
  <c r="D38" i="41"/>
  <c r="E38" i="41"/>
  <c r="H44" i="25"/>
  <c r="B46" i="22"/>
  <c r="F46" i="22"/>
  <c r="H46" i="22" s="1"/>
  <c r="B47" i="21"/>
  <c r="F47" i="21"/>
  <c r="G47" i="21" s="1"/>
  <c r="H41" i="37"/>
  <c r="I41" i="37" s="1"/>
  <c r="D42" i="37"/>
  <c r="E42" i="37"/>
  <c r="H46" i="27"/>
  <c r="I46" i="27" s="1"/>
  <c r="D47" i="27"/>
  <c r="E47" i="27"/>
  <c r="F49" i="19"/>
  <c r="B49" i="19"/>
  <c r="D40" i="39"/>
  <c r="E40" i="39"/>
  <c r="H37" i="42"/>
  <c r="I37" i="42" s="1"/>
  <c r="D38" i="42"/>
  <c r="E38" i="42" s="1"/>
  <c r="G46" i="24"/>
  <c r="I46" i="24" s="1"/>
  <c r="D47" i="24"/>
  <c r="E47" i="24"/>
  <c r="H37" i="40"/>
  <c r="I37" i="40" s="1"/>
  <c r="G45" i="23"/>
  <c r="G42" i="31"/>
  <c r="G44" i="25"/>
  <c r="B51" i="3"/>
  <c r="F51" i="3"/>
  <c r="G45" i="26"/>
  <c r="I45" i="26" s="1"/>
  <c r="D46" i="26"/>
  <c r="E46" i="26"/>
  <c r="G46" i="22" l="1"/>
  <c r="I46" i="22" s="1"/>
  <c r="I45" i="23"/>
  <c r="B46" i="26"/>
  <c r="F46" i="26"/>
  <c r="G46" i="26" s="1"/>
  <c r="G49" i="19"/>
  <c r="D50" i="19"/>
  <c r="E50" i="19"/>
  <c r="F46" i="23"/>
  <c r="B46" i="23"/>
  <c r="F40" i="39"/>
  <c r="H40" i="39" s="1"/>
  <c r="B40" i="39"/>
  <c r="F42" i="37"/>
  <c r="B42" i="37"/>
  <c r="I44" i="25"/>
  <c r="B43" i="31"/>
  <c r="F43" i="31"/>
  <c r="H43" i="31" s="1"/>
  <c r="B43" i="35"/>
  <c r="F43" i="35"/>
  <c r="G43" i="35" s="1"/>
  <c r="F44" i="29"/>
  <c r="G51" i="3"/>
  <c r="D52" i="3"/>
  <c r="E52" i="3" s="1"/>
  <c r="D51" i="4"/>
  <c r="E51" i="4"/>
  <c r="F42" i="38"/>
  <c r="B42" i="38"/>
  <c r="B38" i="42"/>
  <c r="F38" i="42"/>
  <c r="H38" i="42" s="1"/>
  <c r="H49" i="19"/>
  <c r="B47" i="27"/>
  <c r="F47" i="27"/>
  <c r="G47" i="27" s="1"/>
  <c r="H47" i="21"/>
  <c r="I47" i="21" s="1"/>
  <c r="D48" i="21"/>
  <c r="E48" i="21"/>
  <c r="D47" i="22"/>
  <c r="E47" i="22"/>
  <c r="H50" i="4"/>
  <c r="I50" i="4" s="1"/>
  <c r="G49" i="18"/>
  <c r="I49" i="18" s="1"/>
  <c r="D50" i="18"/>
  <c r="E50" i="18"/>
  <c r="B43" i="34"/>
  <c r="F43" i="34"/>
  <c r="H43" i="34" s="1"/>
  <c r="I42" i="31"/>
  <c r="F45" i="25"/>
  <c r="G45" i="25" s="1"/>
  <c r="B45" i="25"/>
  <c r="H51" i="3"/>
  <c r="B47" i="24"/>
  <c r="F47" i="24"/>
  <c r="B38" i="41"/>
  <c r="F38" i="41"/>
  <c r="G38" i="41" s="1"/>
  <c r="B38" i="40"/>
  <c r="F38" i="40"/>
  <c r="G38" i="40" s="1"/>
  <c r="I54" i="28"/>
  <c r="I49" i="19" l="1"/>
  <c r="H47" i="27"/>
  <c r="I47" i="27" s="1"/>
  <c r="F51" i="4"/>
  <c r="F52" i="3"/>
  <c r="H43" i="35"/>
  <c r="I43" i="35" s="1"/>
  <c r="F50" i="19"/>
  <c r="D51" i="19" s="1"/>
  <c r="I51" i="3"/>
  <c r="D48" i="24"/>
  <c r="E48" i="24"/>
  <c r="B47" i="22"/>
  <c r="F47" i="22"/>
  <c r="G47" i="22" s="1"/>
  <c r="H38" i="40"/>
  <c r="I38" i="40" s="1"/>
  <c r="D39" i="40"/>
  <c r="E39" i="40"/>
  <c r="D39" i="41"/>
  <c r="E39" i="41"/>
  <c r="H47" i="24"/>
  <c r="G43" i="34"/>
  <c r="I43" i="34" s="1"/>
  <c r="D44" i="34"/>
  <c r="E44" i="34"/>
  <c r="B55" i="28"/>
  <c r="D43" i="38"/>
  <c r="E43" i="38"/>
  <c r="B52" i="3"/>
  <c r="H42" i="37"/>
  <c r="D43" i="37"/>
  <c r="E43" i="37"/>
  <c r="D41" i="39"/>
  <c r="E41" i="39"/>
  <c r="H46" i="26"/>
  <c r="I46" i="26" s="1"/>
  <c r="D47" i="26"/>
  <c r="E47" i="26"/>
  <c r="B50" i="18"/>
  <c r="F50" i="18"/>
  <c r="H50" i="18" s="1"/>
  <c r="H46" i="23"/>
  <c r="D47" i="23"/>
  <c r="E47" i="23"/>
  <c r="H45" i="25"/>
  <c r="I45" i="25" s="1"/>
  <c r="D46" i="25"/>
  <c r="E46" i="25"/>
  <c r="F48" i="21"/>
  <c r="G48" i="21" s="1"/>
  <c r="B48" i="21"/>
  <c r="D48" i="27"/>
  <c r="E48" i="27"/>
  <c r="G38" i="42"/>
  <c r="I38" i="42" s="1"/>
  <c r="D39" i="42"/>
  <c r="E39" i="42" s="1"/>
  <c r="G42" i="38"/>
  <c r="D52" i="4"/>
  <c r="G43" i="31"/>
  <c r="I43" i="31" s="1"/>
  <c r="D44" i="31"/>
  <c r="E44" i="31"/>
  <c r="G40" i="39"/>
  <c r="I40" i="39" s="1"/>
  <c r="G46" i="23"/>
  <c r="B50" i="19"/>
  <c r="H50" i="19"/>
  <c r="G44" i="29"/>
  <c r="D45" i="29"/>
  <c r="E45" i="29"/>
  <c r="H38" i="41"/>
  <c r="I38" i="41" s="1"/>
  <c r="G47" i="24"/>
  <c r="H42" i="38"/>
  <c r="B51" i="4"/>
  <c r="H51" i="4"/>
  <c r="G51" i="4"/>
  <c r="H44" i="29"/>
  <c r="D44" i="35"/>
  <c r="E44" i="35"/>
  <c r="G42" i="37"/>
  <c r="E52" i="4" l="1"/>
  <c r="I44" i="29"/>
  <c r="I42" i="38"/>
  <c r="G52" i="3"/>
  <c r="D53" i="3"/>
  <c r="B53" i="3" s="1"/>
  <c r="H52" i="3"/>
  <c r="F52" i="4"/>
  <c r="D53" i="4" s="1"/>
  <c r="G50" i="19"/>
  <c r="I50" i="19" s="1"/>
  <c r="E51" i="19"/>
  <c r="F51" i="19" s="1"/>
  <c r="G51" i="19" s="1"/>
  <c r="I47" i="24"/>
  <c r="I46" i="23"/>
  <c r="B48" i="27"/>
  <c r="F48" i="27"/>
  <c r="G48" i="27" s="1"/>
  <c r="B51" i="19"/>
  <c r="I55" i="28"/>
  <c r="F39" i="41"/>
  <c r="G39" i="41" s="1"/>
  <c r="B39" i="41"/>
  <c r="F39" i="42"/>
  <c r="B39" i="42"/>
  <c r="F44" i="35"/>
  <c r="B44" i="35"/>
  <c r="F47" i="23"/>
  <c r="B47" i="23"/>
  <c r="F43" i="37"/>
  <c r="B43" i="37"/>
  <c r="F44" i="34"/>
  <c r="B44" i="34"/>
  <c r="F47" i="26"/>
  <c r="B47" i="26"/>
  <c r="I42" i="37"/>
  <c r="F45" i="29"/>
  <c r="B52" i="4"/>
  <c r="G50" i="18"/>
  <c r="I50" i="18" s="1"/>
  <c r="D51" i="18"/>
  <c r="E51" i="18"/>
  <c r="B41" i="39"/>
  <c r="F41" i="39"/>
  <c r="G41" i="39" s="1"/>
  <c r="B39" i="40"/>
  <c r="F39" i="40"/>
  <c r="H39" i="40" s="1"/>
  <c r="F48" i="24"/>
  <c r="G48" i="24" s="1"/>
  <c r="B48" i="24"/>
  <c r="F46" i="25"/>
  <c r="H46" i="25" s="1"/>
  <c r="B46" i="25"/>
  <c r="I51" i="4"/>
  <c r="F44" i="31"/>
  <c r="B44" i="31"/>
  <c r="H48" i="21"/>
  <c r="I48" i="21" s="1"/>
  <c r="D49" i="21"/>
  <c r="E49" i="21"/>
  <c r="B56" i="28"/>
  <c r="F43" i="38"/>
  <c r="G43" i="38" s="1"/>
  <c r="B43" i="38"/>
  <c r="H47" i="22"/>
  <c r="I47" i="22" s="1"/>
  <c r="D48" i="22"/>
  <c r="E48" i="22"/>
  <c r="E53" i="3" l="1"/>
  <c r="I52" i="3"/>
  <c r="H52" i="4"/>
  <c r="G52" i="4"/>
  <c r="F53" i="3"/>
  <c r="H53" i="3" s="1"/>
  <c r="G46" i="25"/>
  <c r="I46" i="25" s="1"/>
  <c r="H43" i="38"/>
  <c r="H48" i="24"/>
  <c r="I48" i="24" s="1"/>
  <c r="H39" i="41"/>
  <c r="I39" i="41" s="1"/>
  <c r="B53" i="4"/>
  <c r="D40" i="42"/>
  <c r="E40" i="42" s="1"/>
  <c r="F49" i="21"/>
  <c r="H49" i="21" s="1"/>
  <c r="B49" i="21"/>
  <c r="G39" i="40"/>
  <c r="I39" i="40" s="1"/>
  <c r="D40" i="40"/>
  <c r="E40" i="40"/>
  <c r="D42" i="39"/>
  <c r="E42" i="39"/>
  <c r="H47" i="26"/>
  <c r="D48" i="26"/>
  <c r="E48" i="26"/>
  <c r="D45" i="34"/>
  <c r="E45" i="34"/>
  <c r="D44" i="37"/>
  <c r="E44" i="37"/>
  <c r="D48" i="23"/>
  <c r="E48" i="23"/>
  <c r="D45" i="35"/>
  <c r="E45" i="35"/>
  <c r="H39" i="42"/>
  <c r="B51" i="18"/>
  <c r="F48" i="22"/>
  <c r="B48" i="22"/>
  <c r="H44" i="31"/>
  <c r="D45" i="31"/>
  <c r="E45" i="31"/>
  <c r="D44" i="38"/>
  <c r="E44" i="38"/>
  <c r="I56" i="28"/>
  <c r="D47" i="25"/>
  <c r="E47" i="25"/>
  <c r="D49" i="24"/>
  <c r="E49" i="24"/>
  <c r="H44" i="34"/>
  <c r="H43" i="37"/>
  <c r="G47" i="23"/>
  <c r="G44" i="35"/>
  <c r="G39" i="42"/>
  <c r="H48" i="27"/>
  <c r="I48" i="27" s="1"/>
  <c r="D49" i="27"/>
  <c r="E49" i="27"/>
  <c r="D52" i="19"/>
  <c r="E52" i="19" s="1"/>
  <c r="G45" i="29"/>
  <c r="D46" i="29"/>
  <c r="E46" i="29"/>
  <c r="I43" i="38"/>
  <c r="G44" i="31"/>
  <c r="H41" i="39"/>
  <c r="I41" i="39" s="1"/>
  <c r="F51" i="18"/>
  <c r="G51" i="18" s="1"/>
  <c r="B57" i="28"/>
  <c r="H45" i="29"/>
  <c r="I45" i="29" s="1"/>
  <c r="G47" i="26"/>
  <c r="E53" i="4"/>
  <c r="F53" i="4" s="1"/>
  <c r="G44" i="34"/>
  <c r="G43" i="37"/>
  <c r="H47" i="23"/>
  <c r="H44" i="35"/>
  <c r="D40" i="41"/>
  <c r="E40" i="41"/>
  <c r="H51" i="19"/>
  <c r="I51" i="19" s="1"/>
  <c r="I52" i="4" l="1"/>
  <c r="I44" i="31"/>
  <c r="D54" i="3"/>
  <c r="B54" i="3" s="1"/>
  <c r="G53" i="3"/>
  <c r="I53" i="3" s="1"/>
  <c r="I47" i="26"/>
  <c r="I57" i="28"/>
  <c r="I44" i="35"/>
  <c r="I39" i="42"/>
  <c r="B45" i="31"/>
  <c r="F45" i="31"/>
  <c r="G45" i="31" s="1"/>
  <c r="B45" i="34"/>
  <c r="F45" i="34"/>
  <c r="G45" i="34" s="1"/>
  <c r="I47" i="23"/>
  <c r="B49" i="24"/>
  <c r="F49" i="24"/>
  <c r="H49" i="24" s="1"/>
  <c r="B42" i="39"/>
  <c r="F42" i="39"/>
  <c r="B40" i="42"/>
  <c r="F40" i="42"/>
  <c r="B49" i="27"/>
  <c r="F49" i="27"/>
  <c r="G49" i="27" s="1"/>
  <c r="H48" i="22"/>
  <c r="D49" i="22"/>
  <c r="E49" i="22"/>
  <c r="F40" i="41"/>
  <c r="G40" i="41" s="1"/>
  <c r="B40" i="41"/>
  <c r="D54" i="4"/>
  <c r="E54" i="4" s="1"/>
  <c r="F54" i="4" s="1"/>
  <c r="B52" i="19"/>
  <c r="F52" i="19"/>
  <c r="G52" i="19" s="1"/>
  <c r="I43" i="37"/>
  <c r="B44" i="38"/>
  <c r="F44" i="38"/>
  <c r="G44" i="38" s="1"/>
  <c r="G48" i="22"/>
  <c r="B45" i="35"/>
  <c r="F45" i="35"/>
  <c r="G45" i="35" s="1"/>
  <c r="F44" i="37"/>
  <c r="B44" i="37"/>
  <c r="B48" i="26"/>
  <c r="F48" i="26"/>
  <c r="G48" i="26" s="1"/>
  <c r="H53" i="4"/>
  <c r="H51" i="18"/>
  <c r="I51" i="18" s="1"/>
  <c r="D52" i="18"/>
  <c r="E52" i="18" s="1"/>
  <c r="B48" i="23"/>
  <c r="E54" i="3"/>
  <c r="F54" i="3" s="1"/>
  <c r="H54" i="3" s="1"/>
  <c r="F46" i="29"/>
  <c r="G46" i="29" s="1"/>
  <c r="I44" i="34"/>
  <c r="F47" i="25"/>
  <c r="G47" i="25" s="1"/>
  <c r="B47" i="25"/>
  <c r="F48" i="23"/>
  <c r="H48" i="23" s="1"/>
  <c r="F40" i="40"/>
  <c r="B40" i="40"/>
  <c r="G49" i="21"/>
  <c r="I49" i="21" s="1"/>
  <c r="D50" i="21"/>
  <c r="E50" i="21"/>
  <c r="G53" i="4"/>
  <c r="B58" i="28"/>
  <c r="I48" i="22" l="1"/>
  <c r="H45" i="35"/>
  <c r="I45" i="35" s="1"/>
  <c r="I58" i="28"/>
  <c r="H46" i="29"/>
  <c r="I46" i="29" s="1"/>
  <c r="G48" i="23"/>
  <c r="I48" i="23" s="1"/>
  <c r="I53" i="4"/>
  <c r="B50" i="21"/>
  <c r="H44" i="37"/>
  <c r="D45" i="37"/>
  <c r="E45" i="37"/>
  <c r="F49" i="22"/>
  <c r="H49" i="22" s="1"/>
  <c r="B49" i="22"/>
  <c r="D41" i="42"/>
  <c r="E41" i="42" s="1"/>
  <c r="H42" i="39"/>
  <c r="D43" i="39"/>
  <c r="E43" i="39"/>
  <c r="D55" i="4"/>
  <c r="E55" i="4" s="1"/>
  <c r="F55" i="4" s="1"/>
  <c r="B59" i="28"/>
  <c r="D41" i="40"/>
  <c r="E41" i="40"/>
  <c r="H40" i="40"/>
  <c r="D48" i="25"/>
  <c r="E48" i="25"/>
  <c r="G44" i="37"/>
  <c r="B54" i="4"/>
  <c r="G54" i="4"/>
  <c r="H54" i="4"/>
  <c r="D41" i="41"/>
  <c r="E41" i="41"/>
  <c r="G40" i="42"/>
  <c r="H45" i="31"/>
  <c r="I45" i="31" s="1"/>
  <c r="D46" i="31"/>
  <c r="E46" i="31"/>
  <c r="B52" i="18"/>
  <c r="D49" i="26"/>
  <c r="E49" i="26"/>
  <c r="D50" i="27"/>
  <c r="E50" i="27" s="1"/>
  <c r="D49" i="23"/>
  <c r="E49" i="23"/>
  <c r="D47" i="29"/>
  <c r="E47" i="29"/>
  <c r="F50" i="21"/>
  <c r="G50" i="21" s="1"/>
  <c r="G40" i="40"/>
  <c r="H47" i="25"/>
  <c r="I47" i="25" s="1"/>
  <c r="D55" i="3"/>
  <c r="E55" i="3" s="1"/>
  <c r="F55" i="3" s="1"/>
  <c r="F52" i="18"/>
  <c r="G54" i="3"/>
  <c r="I54" i="3" s="1"/>
  <c r="H48" i="26"/>
  <c r="I48" i="26" s="1"/>
  <c r="D46" i="35"/>
  <c r="E46" i="35"/>
  <c r="H44" i="38"/>
  <c r="I44" i="38" s="1"/>
  <c r="D45" i="38"/>
  <c r="E45" i="38"/>
  <c r="H52" i="19"/>
  <c r="I52" i="19" s="1"/>
  <c r="D53" i="19"/>
  <c r="E53" i="19" s="1"/>
  <c r="F53" i="19" s="1"/>
  <c r="H40" i="41"/>
  <c r="I40" i="41" s="1"/>
  <c r="H49" i="27"/>
  <c r="I49" i="27" s="1"/>
  <c r="H40" i="42"/>
  <c r="G42" i="39"/>
  <c r="G49" i="24"/>
  <c r="I49" i="24" s="1"/>
  <c r="D50" i="24"/>
  <c r="E50" i="24"/>
  <c r="H45" i="34"/>
  <c r="I45" i="34" s="1"/>
  <c r="D46" i="34"/>
  <c r="E46" i="34"/>
  <c r="F48" i="25" l="1"/>
  <c r="F49" i="23"/>
  <c r="G49" i="23" s="1"/>
  <c r="F49" i="26"/>
  <c r="D50" i="26" s="1"/>
  <c r="I42" i="39"/>
  <c r="I44" i="37"/>
  <c r="I54" i="4"/>
  <c r="I59" i="28"/>
  <c r="I40" i="42"/>
  <c r="D54" i="19"/>
  <c r="E54" i="19" s="1"/>
  <c r="F54" i="19" s="1"/>
  <c r="B41" i="42"/>
  <c r="F41" i="42"/>
  <c r="H41" i="42" s="1"/>
  <c r="F46" i="35"/>
  <c r="G46" i="35" s="1"/>
  <c r="B46" i="35"/>
  <c r="D56" i="3"/>
  <c r="E56" i="3" s="1"/>
  <c r="F56" i="3" s="1"/>
  <c r="D51" i="21"/>
  <c r="E51" i="21" s="1"/>
  <c r="B49" i="23"/>
  <c r="B49" i="26"/>
  <c r="F46" i="31"/>
  <c r="B46" i="31"/>
  <c r="B55" i="4"/>
  <c r="G55" i="4"/>
  <c r="H55" i="4"/>
  <c r="F43" i="39"/>
  <c r="G43" i="39" s="1"/>
  <c r="B43" i="39"/>
  <c r="H50" i="21"/>
  <c r="I50" i="21" s="1"/>
  <c r="B50" i="24"/>
  <c r="G52" i="18"/>
  <c r="D53" i="18"/>
  <c r="E53" i="18" s="1"/>
  <c r="F53" i="18" s="1"/>
  <c r="D50" i="23"/>
  <c r="E50" i="23" s="1"/>
  <c r="D50" i="22"/>
  <c r="E50" i="22" s="1"/>
  <c r="B46" i="34"/>
  <c r="F46" i="34"/>
  <c r="G46" i="34" s="1"/>
  <c r="F45" i="38"/>
  <c r="B45" i="38"/>
  <c r="B55" i="3"/>
  <c r="H55" i="3"/>
  <c r="G55" i="3"/>
  <c r="F47" i="29"/>
  <c r="H47" i="29" s="1"/>
  <c r="F50" i="27"/>
  <c r="H52" i="18"/>
  <c r="H48" i="25"/>
  <c r="D49" i="25"/>
  <c r="E49" i="25" s="1"/>
  <c r="G49" i="22"/>
  <c r="I49" i="22" s="1"/>
  <c r="B45" i="37"/>
  <c r="F45" i="37"/>
  <c r="G45" i="37" s="1"/>
  <c r="I40" i="40"/>
  <c r="D56" i="4"/>
  <c r="E56" i="4" s="1"/>
  <c r="F56" i="4" s="1"/>
  <c r="F50" i="24"/>
  <c r="G50" i="24" s="1"/>
  <c r="B53" i="19"/>
  <c r="H53" i="19"/>
  <c r="G53" i="19"/>
  <c r="B50" i="27"/>
  <c r="F41" i="41"/>
  <c r="B41" i="41"/>
  <c r="B48" i="25"/>
  <c r="G48" i="25"/>
  <c r="B41" i="40"/>
  <c r="F41" i="40"/>
  <c r="G41" i="40" s="1"/>
  <c r="B60" i="28"/>
  <c r="H49" i="23" l="1"/>
  <c r="H46" i="34"/>
  <c r="I46" i="34" s="1"/>
  <c r="G49" i="26"/>
  <c r="H49" i="26"/>
  <c r="E50" i="26"/>
  <c r="F50" i="26" s="1"/>
  <c r="G50" i="26" s="1"/>
  <c r="F51" i="21"/>
  <c r="H51" i="21" s="1"/>
  <c r="F49" i="25"/>
  <c r="G49" i="25" s="1"/>
  <c r="H50" i="24"/>
  <c r="I50" i="24" s="1"/>
  <c r="I52" i="18"/>
  <c r="F50" i="22"/>
  <c r="D51" i="22" s="1"/>
  <c r="I49" i="23"/>
  <c r="I55" i="3"/>
  <c r="I48" i="25"/>
  <c r="B50" i="23"/>
  <c r="D52" i="21"/>
  <c r="E52" i="21" s="1"/>
  <c r="F52" i="21" s="1"/>
  <c r="D54" i="18"/>
  <c r="E54" i="18" s="1"/>
  <c r="F54" i="18" s="1"/>
  <c r="D47" i="31"/>
  <c r="E47" i="31"/>
  <c r="B51" i="21"/>
  <c r="D42" i="42"/>
  <c r="E42" i="42" s="1"/>
  <c r="G45" i="38"/>
  <c r="D46" i="38"/>
  <c r="E46" i="38"/>
  <c r="D51" i="27"/>
  <c r="E51" i="27" s="1"/>
  <c r="H50" i="27"/>
  <c r="D57" i="4"/>
  <c r="E57" i="4" s="1"/>
  <c r="F57" i="4" s="1"/>
  <c r="H45" i="37"/>
  <c r="I45" i="37" s="1"/>
  <c r="D46" i="37"/>
  <c r="E46" i="37"/>
  <c r="B49" i="25"/>
  <c r="G47" i="29"/>
  <c r="I47" i="29" s="1"/>
  <c r="D48" i="29"/>
  <c r="E48" i="29"/>
  <c r="H45" i="38"/>
  <c r="B50" i="22"/>
  <c r="H50" i="22"/>
  <c r="B53" i="18"/>
  <c r="H53" i="18"/>
  <c r="G53" i="18"/>
  <c r="H43" i="39"/>
  <c r="I43" i="39" s="1"/>
  <c r="D44" i="39"/>
  <c r="E44" i="39"/>
  <c r="H46" i="31"/>
  <c r="D57" i="3"/>
  <c r="E57" i="3" s="1"/>
  <c r="F57" i="3" s="1"/>
  <c r="H46" i="35"/>
  <c r="I46" i="35" s="1"/>
  <c r="D47" i="35"/>
  <c r="E47" i="35"/>
  <c r="G54" i="19"/>
  <c r="D55" i="19"/>
  <c r="E55" i="19" s="1"/>
  <c r="F55" i="19" s="1"/>
  <c r="B50" i="26"/>
  <c r="G41" i="41"/>
  <c r="D42" i="41"/>
  <c r="E42" i="41"/>
  <c r="D51" i="24"/>
  <c r="E51" i="24" s="1"/>
  <c r="H41" i="40"/>
  <c r="I41" i="40" s="1"/>
  <c r="D42" i="40"/>
  <c r="E42" i="40"/>
  <c r="H41" i="41"/>
  <c r="G50" i="27"/>
  <c r="I53" i="19"/>
  <c r="B56" i="4"/>
  <c r="H56" i="4"/>
  <c r="G56" i="4"/>
  <c r="D47" i="34"/>
  <c r="E47" i="34"/>
  <c r="F50" i="23"/>
  <c r="G50" i="23" s="1"/>
  <c r="I55" i="4"/>
  <c r="G46" i="31"/>
  <c r="B56" i="3"/>
  <c r="H56" i="3"/>
  <c r="G56" i="3"/>
  <c r="G41" i="42"/>
  <c r="I41" i="42" s="1"/>
  <c r="B54" i="19"/>
  <c r="H54" i="19"/>
  <c r="G51" i="21" l="1"/>
  <c r="I49" i="26"/>
  <c r="H49" i="25"/>
  <c r="I49" i="25" s="1"/>
  <c r="D50" i="25"/>
  <c r="E50" i="25" s="1"/>
  <c r="F47" i="35"/>
  <c r="G47" i="35" s="1"/>
  <c r="I60" i="28"/>
  <c r="G50" i="22"/>
  <c r="I50" i="22" s="1"/>
  <c r="F48" i="29"/>
  <c r="D49" i="29" s="1"/>
  <c r="F46" i="38"/>
  <c r="D47" i="38" s="1"/>
  <c r="I56" i="3"/>
  <c r="I56" i="4"/>
  <c r="I45" i="38"/>
  <c r="I53" i="18"/>
  <c r="I50" i="27"/>
  <c r="F51" i="27"/>
  <c r="H51" i="27" s="1"/>
  <c r="G55" i="19"/>
  <c r="D56" i="19"/>
  <c r="E56" i="19" s="1"/>
  <c r="F56" i="19" s="1"/>
  <c r="H52" i="21"/>
  <c r="D53" i="21"/>
  <c r="E53" i="21" s="1"/>
  <c r="F53" i="21" s="1"/>
  <c r="D58" i="4"/>
  <c r="F42" i="41"/>
  <c r="G42" i="41" s="1"/>
  <c r="B42" i="41"/>
  <c r="B42" i="42"/>
  <c r="F42" i="42"/>
  <c r="H42" i="42" s="1"/>
  <c r="F47" i="34"/>
  <c r="G47" i="34" s="1"/>
  <c r="B47" i="34"/>
  <c r="F42" i="40"/>
  <c r="G42" i="40" s="1"/>
  <c r="B42" i="40"/>
  <c r="B57" i="3"/>
  <c r="G57" i="3"/>
  <c r="H57" i="3"/>
  <c r="B61" i="28"/>
  <c r="I51" i="21"/>
  <c r="G54" i="18"/>
  <c r="D55" i="18"/>
  <c r="H50" i="23"/>
  <c r="I50" i="23" s="1"/>
  <c r="D58" i="3"/>
  <c r="E58" i="3" s="1"/>
  <c r="F58" i="3" s="1"/>
  <c r="F46" i="37"/>
  <c r="H46" i="37" s="1"/>
  <c r="B46" i="37"/>
  <c r="B51" i="22"/>
  <c r="F51" i="24"/>
  <c r="D52" i="24" s="1"/>
  <c r="B51" i="24"/>
  <c r="B47" i="35"/>
  <c r="I46" i="31"/>
  <c r="B46" i="38"/>
  <c r="B54" i="18"/>
  <c r="H54" i="18"/>
  <c r="B44" i="39"/>
  <c r="F44" i="39"/>
  <c r="B47" i="31"/>
  <c r="I54" i="19"/>
  <c r="D51" i="23"/>
  <c r="E51" i="23" s="1"/>
  <c r="I41" i="41"/>
  <c r="H50" i="26"/>
  <c r="I50" i="26" s="1"/>
  <c r="D51" i="26"/>
  <c r="E51" i="26" s="1"/>
  <c r="B55" i="19"/>
  <c r="H55" i="19"/>
  <c r="B57" i="4"/>
  <c r="H57" i="4"/>
  <c r="G57" i="4"/>
  <c r="B51" i="27"/>
  <c r="F47" i="31"/>
  <c r="E51" i="22"/>
  <c r="F51" i="22" s="1"/>
  <c r="B52" i="21"/>
  <c r="G52" i="21"/>
  <c r="D48" i="35" l="1"/>
  <c r="E48" i="35"/>
  <c r="F50" i="25"/>
  <c r="D51" i="25" s="1"/>
  <c r="E51" i="25" s="1"/>
  <c r="F51" i="25" s="1"/>
  <c r="H51" i="25" s="1"/>
  <c r="B50" i="25"/>
  <c r="I55" i="19"/>
  <c r="E47" i="38"/>
  <c r="F47" i="38" s="1"/>
  <c r="G46" i="38"/>
  <c r="H46" i="38"/>
  <c r="H47" i="35"/>
  <c r="I47" i="35" s="1"/>
  <c r="H48" i="29"/>
  <c r="G48" i="29"/>
  <c r="G50" i="25"/>
  <c r="H50" i="25"/>
  <c r="E49" i="29"/>
  <c r="F49" i="29" s="1"/>
  <c r="G51" i="27"/>
  <c r="I51" i="27" s="1"/>
  <c r="I52" i="21"/>
  <c r="I54" i="18"/>
  <c r="D52" i="27"/>
  <c r="E52" i="27" s="1"/>
  <c r="F52" i="27" s="1"/>
  <c r="H52" i="27" s="1"/>
  <c r="H42" i="40"/>
  <c r="I42" i="40" s="1"/>
  <c r="H47" i="34"/>
  <c r="I47" i="34" s="1"/>
  <c r="I57" i="4"/>
  <c r="H51" i="24"/>
  <c r="G51" i="24"/>
  <c r="D52" i="22"/>
  <c r="E52" i="22" s="1"/>
  <c r="H44" i="39"/>
  <c r="D45" i="39"/>
  <c r="E45" i="39"/>
  <c r="B55" i="18"/>
  <c r="B58" i="4"/>
  <c r="G47" i="31"/>
  <c r="D48" i="31"/>
  <c r="E48" i="31"/>
  <c r="H47" i="31"/>
  <c r="G51" i="22"/>
  <c r="B58" i="3"/>
  <c r="H58" i="3"/>
  <c r="G42" i="42"/>
  <c r="I42" i="42" s="1"/>
  <c r="D43" i="42"/>
  <c r="E43" i="42" s="1"/>
  <c r="D54" i="21"/>
  <c r="E54" i="21" s="1"/>
  <c r="F54" i="21" s="1"/>
  <c r="D57" i="19"/>
  <c r="E57" i="19" s="1"/>
  <c r="F57" i="19" s="1"/>
  <c r="G58" i="3"/>
  <c r="D59" i="3"/>
  <c r="E59" i="3" s="1"/>
  <c r="F59" i="3" s="1"/>
  <c r="B47" i="38"/>
  <c r="F51" i="26"/>
  <c r="G51" i="26" s="1"/>
  <c r="B62" i="28"/>
  <c r="D43" i="41"/>
  <c r="E43" i="41"/>
  <c r="B53" i="21"/>
  <c r="H53" i="21"/>
  <c r="G53" i="21"/>
  <c r="B56" i="19"/>
  <c r="G56" i="19"/>
  <c r="H56" i="19"/>
  <c r="H51" i="22"/>
  <c r="B51" i="26"/>
  <c r="B51" i="23"/>
  <c r="F51" i="23"/>
  <c r="H51" i="23" s="1"/>
  <c r="G44" i="39"/>
  <c r="E52" i="24"/>
  <c r="F52" i="24" s="1"/>
  <c r="D53" i="24" s="1"/>
  <c r="B52" i="24"/>
  <c r="G46" i="37"/>
  <c r="I46" i="37" s="1"/>
  <c r="D47" i="37"/>
  <c r="E47" i="37"/>
  <c r="E55" i="18"/>
  <c r="F55" i="18" s="1"/>
  <c r="I57" i="3"/>
  <c r="F48" i="35"/>
  <c r="H48" i="35" s="1"/>
  <c r="B48" i="35"/>
  <c r="D43" i="40"/>
  <c r="E43" i="40"/>
  <c r="D48" i="34"/>
  <c r="E48" i="34"/>
  <c r="H42" i="41"/>
  <c r="I42" i="41" s="1"/>
  <c r="E58" i="4"/>
  <c r="F58" i="4" s="1"/>
  <c r="G58" i="4" s="1"/>
  <c r="B51" i="25" l="1"/>
  <c r="I48" i="29"/>
  <c r="I50" i="25"/>
  <c r="I46" i="38"/>
  <c r="G49" i="29"/>
  <c r="H49" i="29"/>
  <c r="F48" i="31"/>
  <c r="D49" i="31" s="1"/>
  <c r="E49" i="31" s="1"/>
  <c r="B52" i="27"/>
  <c r="G51" i="23"/>
  <c r="I51" i="23" s="1"/>
  <c r="I51" i="22"/>
  <c r="I61" i="28"/>
  <c r="F47" i="37"/>
  <c r="D48" i="37" s="1"/>
  <c r="G51" i="25"/>
  <c r="I51" i="25" s="1"/>
  <c r="G52" i="24"/>
  <c r="I51" i="24"/>
  <c r="B48" i="34"/>
  <c r="I58" i="3"/>
  <c r="B45" i="39"/>
  <c r="F45" i="39"/>
  <c r="E53" i="24"/>
  <c r="F53" i="24" s="1"/>
  <c r="D54" i="24" s="1"/>
  <c r="B53" i="24"/>
  <c r="H51" i="26"/>
  <c r="I51" i="26" s="1"/>
  <c r="D52" i="26"/>
  <c r="E52" i="26" s="1"/>
  <c r="F52" i="26" s="1"/>
  <c r="B57" i="19"/>
  <c r="G57" i="19"/>
  <c r="H57" i="19"/>
  <c r="H52" i="24"/>
  <c r="G47" i="38"/>
  <c r="D48" i="38"/>
  <c r="E48" i="38"/>
  <c r="D58" i="19"/>
  <c r="E58" i="19" s="1"/>
  <c r="F58" i="19" s="1"/>
  <c r="D59" i="4"/>
  <c r="E59" i="4" s="1"/>
  <c r="D56" i="18"/>
  <c r="E56" i="18" s="1"/>
  <c r="F56" i="18" s="1"/>
  <c r="D52" i="25"/>
  <c r="E52" i="25" s="1"/>
  <c r="F52" i="25" s="1"/>
  <c r="B43" i="42"/>
  <c r="F43" i="42"/>
  <c r="G43" i="42" s="1"/>
  <c r="I47" i="31"/>
  <c r="H55" i="18"/>
  <c r="B43" i="40"/>
  <c r="F43" i="40"/>
  <c r="H43" i="40" s="1"/>
  <c r="D49" i="35"/>
  <c r="E49" i="35" s="1"/>
  <c r="D53" i="27"/>
  <c r="E53" i="27" s="1"/>
  <c r="F53" i="27" s="1"/>
  <c r="D52" i="23"/>
  <c r="F43" i="41"/>
  <c r="G43" i="41" s="1"/>
  <c r="B43" i="41"/>
  <c r="D60" i="3"/>
  <c r="E60" i="3" s="1"/>
  <c r="G52" i="27"/>
  <c r="I52" i="27" s="1"/>
  <c r="D55" i="21"/>
  <c r="E55" i="21" s="1"/>
  <c r="F55" i="21" s="1"/>
  <c r="H58" i="4"/>
  <c r="I58" i="4" s="1"/>
  <c r="G55" i="18"/>
  <c r="F48" i="34"/>
  <c r="H48" i="34" s="1"/>
  <c r="G48" i="35"/>
  <c r="I48" i="35" s="1"/>
  <c r="B47" i="37"/>
  <c r="I44" i="39"/>
  <c r="I56" i="19"/>
  <c r="I53" i="21"/>
  <c r="H47" i="38"/>
  <c r="B59" i="3"/>
  <c r="G59" i="3"/>
  <c r="H59" i="3"/>
  <c r="B54" i="21"/>
  <c r="G54" i="21"/>
  <c r="H54" i="21"/>
  <c r="D50" i="29"/>
  <c r="E50" i="29" s="1"/>
  <c r="B48" i="31"/>
  <c r="B52" i="22"/>
  <c r="F52" i="22"/>
  <c r="G52" i="22" s="1"/>
  <c r="H48" i="31" l="1"/>
  <c r="G48" i="31"/>
  <c r="I49" i="29"/>
  <c r="G47" i="37"/>
  <c r="I52" i="24"/>
  <c r="E48" i="37"/>
  <c r="F48" i="37" s="1"/>
  <c r="G48" i="37" s="1"/>
  <c r="I48" i="31"/>
  <c r="I54" i="21"/>
  <c r="H47" i="37"/>
  <c r="I62" i="28"/>
  <c r="F50" i="29"/>
  <c r="D51" i="29" s="1"/>
  <c r="E51" i="29" s="1"/>
  <c r="H53" i="24"/>
  <c r="I57" i="19"/>
  <c r="G53" i="24"/>
  <c r="B49" i="31"/>
  <c r="B49" i="35"/>
  <c r="G56" i="18"/>
  <c r="D57" i="18"/>
  <c r="E57" i="18" s="1"/>
  <c r="F57" i="18" s="1"/>
  <c r="B63" i="28"/>
  <c r="B58" i="19"/>
  <c r="G58" i="19"/>
  <c r="H58" i="19"/>
  <c r="B60" i="3"/>
  <c r="F60" i="3"/>
  <c r="H60" i="3" s="1"/>
  <c r="H43" i="41"/>
  <c r="I43" i="41" s="1"/>
  <c r="D44" i="41"/>
  <c r="E44" i="41"/>
  <c r="E54" i="24"/>
  <c r="F54" i="24" s="1"/>
  <c r="H54" i="24" s="1"/>
  <c r="B54" i="24"/>
  <c r="G48" i="34"/>
  <c r="I48" i="34" s="1"/>
  <c r="D49" i="34"/>
  <c r="E49" i="34" s="1"/>
  <c r="B52" i="23"/>
  <c r="D59" i="19"/>
  <c r="B48" i="37"/>
  <c r="D53" i="26"/>
  <c r="E53" i="26" s="1"/>
  <c r="F53" i="26" s="1"/>
  <c r="G45" i="39"/>
  <c r="D46" i="39"/>
  <c r="E46" i="39"/>
  <c r="I55" i="18"/>
  <c r="D54" i="27"/>
  <c r="B56" i="18"/>
  <c r="H56" i="18"/>
  <c r="B52" i="26"/>
  <c r="H52" i="26"/>
  <c r="G52" i="26"/>
  <c r="H52" i="22"/>
  <c r="I52" i="22" s="1"/>
  <c r="D53" i="22"/>
  <c r="I47" i="38"/>
  <c r="G55" i="21"/>
  <c r="D56" i="21"/>
  <c r="E56" i="21" s="1"/>
  <c r="F56" i="21" s="1"/>
  <c r="B53" i="27"/>
  <c r="H53" i="27"/>
  <c r="G53" i="27"/>
  <c r="G43" i="40"/>
  <c r="I43" i="40" s="1"/>
  <c r="D44" i="40"/>
  <c r="E44" i="40"/>
  <c r="D53" i="25"/>
  <c r="E53" i="25" s="1"/>
  <c r="F53" i="25" s="1"/>
  <c r="I59" i="3"/>
  <c r="F49" i="31"/>
  <c r="G49" i="31" s="1"/>
  <c r="B55" i="21"/>
  <c r="H55" i="21"/>
  <c r="E52" i="23"/>
  <c r="F52" i="23" s="1"/>
  <c r="G52" i="23" s="1"/>
  <c r="F49" i="35"/>
  <c r="G49" i="35" s="1"/>
  <c r="H43" i="42"/>
  <c r="I43" i="42" s="1"/>
  <c r="D44" i="42"/>
  <c r="E44" i="42" s="1"/>
  <c r="B52" i="25"/>
  <c r="G52" i="25"/>
  <c r="H52" i="25"/>
  <c r="B59" i="4"/>
  <c r="F59" i="4"/>
  <c r="H59" i="4" s="1"/>
  <c r="B48" i="38"/>
  <c r="F48" i="38"/>
  <c r="H48" i="38" s="1"/>
  <c r="H45" i="39"/>
  <c r="I47" i="37" l="1"/>
  <c r="H50" i="29"/>
  <c r="G50" i="29"/>
  <c r="I56" i="18"/>
  <c r="H48" i="37"/>
  <c r="I48" i="37" s="1"/>
  <c r="I55" i="21"/>
  <c r="H49" i="31"/>
  <c r="I49" i="31" s="1"/>
  <c r="I53" i="24"/>
  <c r="G48" i="38"/>
  <c r="I48" i="38" s="1"/>
  <c r="B53" i="22"/>
  <c r="B46" i="39"/>
  <c r="F46" i="39"/>
  <c r="G46" i="39" s="1"/>
  <c r="D54" i="25"/>
  <c r="E54" i="25" s="1"/>
  <c r="F54" i="25" s="1"/>
  <c r="B49" i="34"/>
  <c r="F49" i="34"/>
  <c r="D58" i="18"/>
  <c r="E58" i="18" s="1"/>
  <c r="F58" i="18" s="1"/>
  <c r="I45" i="39"/>
  <c r="D53" i="23"/>
  <c r="E53" i="23" s="1"/>
  <c r="B56" i="21"/>
  <c r="H56" i="21"/>
  <c r="F51" i="29"/>
  <c r="H51" i="29" s="1"/>
  <c r="D54" i="26"/>
  <c r="E54" i="26" s="1"/>
  <c r="F54" i="26" s="1"/>
  <c r="H52" i="23"/>
  <c r="I52" i="23" s="1"/>
  <c r="D55" i="24"/>
  <c r="B57" i="18"/>
  <c r="G57" i="18"/>
  <c r="H57" i="18"/>
  <c r="B44" i="40"/>
  <c r="F44" i="40"/>
  <c r="H44" i="40" s="1"/>
  <c r="B54" i="27"/>
  <c r="B59" i="19"/>
  <c r="G59" i="4"/>
  <c r="I59" i="4" s="1"/>
  <c r="D60" i="4"/>
  <c r="D50" i="35"/>
  <c r="E50" i="35" s="1"/>
  <c r="D50" i="31"/>
  <c r="G56" i="21"/>
  <c r="D57" i="21"/>
  <c r="E57" i="21" s="1"/>
  <c r="F57" i="21" s="1"/>
  <c r="F44" i="41"/>
  <c r="H44" i="41" s="1"/>
  <c r="B44" i="41"/>
  <c r="D61" i="3"/>
  <c r="E61" i="3" s="1"/>
  <c r="F61" i="3" s="1"/>
  <c r="H49" i="35"/>
  <c r="I49" i="35" s="1"/>
  <c r="D49" i="38"/>
  <c r="E49" i="38" s="1"/>
  <c r="B53" i="25"/>
  <c r="H53" i="25"/>
  <c r="G53" i="25"/>
  <c r="D49" i="37"/>
  <c r="E49" i="37" s="1"/>
  <c r="I52" i="25"/>
  <c r="B44" i="42"/>
  <c r="F44" i="42"/>
  <c r="H44" i="42" s="1"/>
  <c r="I53" i="27"/>
  <c r="E53" i="22"/>
  <c r="F53" i="22" s="1"/>
  <c r="H53" i="22" s="1"/>
  <c r="I52" i="26"/>
  <c r="E54" i="27"/>
  <c r="F54" i="27" s="1"/>
  <c r="H54" i="27" s="1"/>
  <c r="B53" i="26"/>
  <c r="H53" i="26"/>
  <c r="G53" i="26"/>
  <c r="E59" i="19"/>
  <c r="F59" i="19" s="1"/>
  <c r="G59" i="19" s="1"/>
  <c r="G54" i="24"/>
  <c r="I54" i="24" s="1"/>
  <c r="G60" i="3"/>
  <c r="I60" i="3" s="1"/>
  <c r="I58" i="19"/>
  <c r="I63" i="28"/>
  <c r="I50" i="29" l="1"/>
  <c r="F49" i="38"/>
  <c r="F50" i="35"/>
  <c r="H50" i="35" s="1"/>
  <c r="G51" i="29"/>
  <c r="I51" i="29" s="1"/>
  <c r="I53" i="26"/>
  <c r="I57" i="18"/>
  <c r="G44" i="42"/>
  <c r="I44" i="42" s="1"/>
  <c r="I53" i="25"/>
  <c r="F49" i="37"/>
  <c r="B60" i="4"/>
  <c r="D50" i="34"/>
  <c r="E50" i="34" s="1"/>
  <c r="H61" i="3"/>
  <c r="D62" i="3"/>
  <c r="D51" i="35"/>
  <c r="B58" i="18"/>
  <c r="G58" i="18"/>
  <c r="H58" i="18"/>
  <c r="D47" i="39"/>
  <c r="E47" i="39"/>
  <c r="B49" i="37"/>
  <c r="B61" i="3"/>
  <c r="G61" i="3"/>
  <c r="D45" i="41"/>
  <c r="E45" i="41"/>
  <c r="B50" i="35"/>
  <c r="G50" i="35"/>
  <c r="G44" i="40"/>
  <c r="I44" i="40" s="1"/>
  <c r="D45" i="40"/>
  <c r="E45" i="40"/>
  <c r="G54" i="26"/>
  <c r="D55" i="26"/>
  <c r="E55" i="26" s="1"/>
  <c r="F55" i="26" s="1"/>
  <c r="D52" i="29"/>
  <c r="E52" i="29" s="1"/>
  <c r="F52" i="29" s="1"/>
  <c r="F53" i="23"/>
  <c r="G53" i="23" s="1"/>
  <c r="B53" i="23"/>
  <c r="H49" i="34"/>
  <c r="D55" i="25"/>
  <c r="E55" i="25" s="1"/>
  <c r="F55" i="25" s="1"/>
  <c r="H46" i="39"/>
  <c r="I46" i="39" s="1"/>
  <c r="H57" i="21"/>
  <c r="D58" i="21"/>
  <c r="B50" i="31"/>
  <c r="B55" i="24"/>
  <c r="D59" i="18"/>
  <c r="E59" i="18" s="1"/>
  <c r="F59" i="18" s="1"/>
  <c r="D54" i="22"/>
  <c r="E54" i="22" s="1"/>
  <c r="B57" i="21"/>
  <c r="G57" i="21"/>
  <c r="B64" i="28"/>
  <c r="G53" i="22"/>
  <c r="I53" i="22" s="1"/>
  <c r="D45" i="42"/>
  <c r="E45" i="42" s="1"/>
  <c r="H49" i="38"/>
  <c r="D50" i="38"/>
  <c r="D60" i="19"/>
  <c r="E60" i="19" s="1"/>
  <c r="F60" i="19" s="1"/>
  <c r="D55" i="27"/>
  <c r="B49" i="38"/>
  <c r="G49" i="38"/>
  <c r="G44" i="41"/>
  <c r="I44" i="41" s="1"/>
  <c r="E50" i="31"/>
  <c r="F50" i="31" s="1"/>
  <c r="G50" i="31" s="1"/>
  <c r="E60" i="4"/>
  <c r="F60" i="4" s="1"/>
  <c r="H60" i="4" s="1"/>
  <c r="H59" i="19"/>
  <c r="I59" i="19" s="1"/>
  <c r="G54" i="27"/>
  <c r="I54" i="27" s="1"/>
  <c r="E55" i="24"/>
  <c r="F55" i="24" s="1"/>
  <c r="G55" i="24" s="1"/>
  <c r="B54" i="26"/>
  <c r="H54" i="26"/>
  <c r="I56" i="21"/>
  <c r="G49" i="34"/>
  <c r="B54" i="25"/>
  <c r="H54" i="25"/>
  <c r="G54" i="25"/>
  <c r="D50" i="37" l="1"/>
  <c r="E50" i="37" s="1"/>
  <c r="F50" i="37" s="1"/>
  <c r="E50" i="38"/>
  <c r="I61" i="3"/>
  <c r="H49" i="37"/>
  <c r="G49" i="37"/>
  <c r="F50" i="34"/>
  <c r="D51" i="34" s="1"/>
  <c r="E51" i="34" s="1"/>
  <c r="F51" i="34" s="1"/>
  <c r="I57" i="21"/>
  <c r="I50" i="35"/>
  <c r="I58" i="18"/>
  <c r="H53" i="23"/>
  <c r="I53" i="23" s="1"/>
  <c r="I49" i="38"/>
  <c r="B55" i="27"/>
  <c r="D53" i="29"/>
  <c r="E53" i="29" s="1"/>
  <c r="F53" i="29" s="1"/>
  <c r="B51" i="35"/>
  <c r="I54" i="26"/>
  <c r="D61" i="19"/>
  <c r="E61" i="19" s="1"/>
  <c r="F61" i="19" s="1"/>
  <c r="F54" i="22"/>
  <c r="H54" i="22" s="1"/>
  <c r="B54" i="22"/>
  <c r="G52" i="29"/>
  <c r="H52" i="29"/>
  <c r="D61" i="4"/>
  <c r="E61" i="4" s="1"/>
  <c r="F61" i="4" s="1"/>
  <c r="D60" i="18"/>
  <c r="E60" i="18" s="1"/>
  <c r="E58" i="21"/>
  <c r="F58" i="21" s="1"/>
  <c r="G58" i="21" s="1"/>
  <c r="B58" i="21"/>
  <c r="B55" i="25"/>
  <c r="G55" i="25"/>
  <c r="H55" i="25"/>
  <c r="D56" i="26"/>
  <c r="F45" i="40"/>
  <c r="G45" i="40" s="1"/>
  <c r="B45" i="40"/>
  <c r="B50" i="34"/>
  <c r="B50" i="38"/>
  <c r="F45" i="41"/>
  <c r="B45" i="41"/>
  <c r="I54" i="25"/>
  <c r="D56" i="25"/>
  <c r="E56" i="25" s="1"/>
  <c r="F56" i="25" s="1"/>
  <c r="E62" i="3"/>
  <c r="F62" i="3" s="1"/>
  <c r="B62" i="3"/>
  <c r="B60" i="19"/>
  <c r="H60" i="19"/>
  <c r="G60" i="19"/>
  <c r="H55" i="24"/>
  <c r="I55" i="24" s="1"/>
  <c r="D56" i="24"/>
  <c r="D51" i="31"/>
  <c r="E51" i="31" s="1"/>
  <c r="E55" i="27"/>
  <c r="F55" i="27" s="1"/>
  <c r="G55" i="27" s="1"/>
  <c r="F50" i="38"/>
  <c r="G50" i="38" s="1"/>
  <c r="B45" i="42"/>
  <c r="F45" i="42"/>
  <c r="G45" i="42" s="1"/>
  <c r="I64" i="28"/>
  <c r="B59" i="18"/>
  <c r="G59" i="18"/>
  <c r="H59" i="18"/>
  <c r="H50" i="31"/>
  <c r="I50" i="31" s="1"/>
  <c r="I49" i="34"/>
  <c r="D54" i="23"/>
  <c r="E54" i="23" s="1"/>
  <c r="F54" i="23" s="1"/>
  <c r="B55" i="26"/>
  <c r="G55" i="26"/>
  <c r="H55" i="26"/>
  <c r="F47" i="39"/>
  <c r="B47" i="39"/>
  <c r="E51" i="35"/>
  <c r="F51" i="35" s="1"/>
  <c r="H51" i="35" s="1"/>
  <c r="G60" i="4"/>
  <c r="I60" i="4" s="1"/>
  <c r="B50" i="37" l="1"/>
  <c r="I49" i="37"/>
  <c r="G50" i="34"/>
  <c r="H50" i="34"/>
  <c r="I55" i="25"/>
  <c r="H58" i="21"/>
  <c r="I58" i="21" s="1"/>
  <c r="G54" i="22"/>
  <c r="I54" i="22" s="1"/>
  <c r="I59" i="18"/>
  <c r="I52" i="29"/>
  <c r="H45" i="40"/>
  <c r="I45" i="40" s="1"/>
  <c r="D46" i="40"/>
  <c r="E46" i="40"/>
  <c r="D62" i="4"/>
  <c r="E62" i="4" s="1"/>
  <c r="F62" i="4" s="1"/>
  <c r="G53" i="29"/>
  <c r="D54" i="29"/>
  <c r="H50" i="37"/>
  <c r="D51" i="37"/>
  <c r="E51" i="37" s="1"/>
  <c r="D56" i="27"/>
  <c r="E56" i="27" s="1"/>
  <c r="B56" i="24"/>
  <c r="D63" i="3"/>
  <c r="E63" i="3" s="1"/>
  <c r="F63" i="3" s="1"/>
  <c r="B56" i="26"/>
  <c r="H51" i="34"/>
  <c r="D52" i="34"/>
  <c r="E52" i="34" s="1"/>
  <c r="F52" i="34" s="1"/>
  <c r="D62" i="19"/>
  <c r="D52" i="35"/>
  <c r="E52" i="35" s="1"/>
  <c r="F52" i="35" s="1"/>
  <c r="D48" i="39"/>
  <c r="E48" i="39" s="1"/>
  <c r="H45" i="42"/>
  <c r="I45" i="42" s="1"/>
  <c r="D46" i="42"/>
  <c r="E46" i="42" s="1"/>
  <c r="H62" i="3"/>
  <c r="G56" i="25"/>
  <c r="D57" i="25"/>
  <c r="G50" i="37"/>
  <c r="H45" i="41"/>
  <c r="D46" i="41"/>
  <c r="E46" i="41"/>
  <c r="F60" i="18"/>
  <c r="H60" i="18" s="1"/>
  <c r="B60" i="18"/>
  <c r="B51" i="34"/>
  <c r="G51" i="34"/>
  <c r="I51" i="34" s="1"/>
  <c r="B61" i="19"/>
  <c r="H61" i="19"/>
  <c r="G61" i="19"/>
  <c r="H55" i="27"/>
  <c r="I55" i="27" s="1"/>
  <c r="H47" i="39"/>
  <c r="D55" i="23"/>
  <c r="B65" i="28"/>
  <c r="B51" i="31"/>
  <c r="F51" i="31"/>
  <c r="B56" i="25"/>
  <c r="H56" i="25"/>
  <c r="G47" i="39"/>
  <c r="I55" i="26"/>
  <c r="B54" i="23"/>
  <c r="G54" i="23"/>
  <c r="H54" i="23"/>
  <c r="D51" i="38"/>
  <c r="E51" i="38" s="1"/>
  <c r="F51" i="38" s="1"/>
  <c r="E56" i="24"/>
  <c r="F56" i="24" s="1"/>
  <c r="D57" i="24" s="1"/>
  <c r="I60" i="19"/>
  <c r="G62" i="3"/>
  <c r="G45" i="41"/>
  <c r="H50" i="38"/>
  <c r="I50" i="38" s="1"/>
  <c r="E56" i="26"/>
  <c r="F56" i="26" s="1"/>
  <c r="D59" i="21"/>
  <c r="E59" i="21" s="1"/>
  <c r="F59" i="21" s="1"/>
  <c r="B61" i="4"/>
  <c r="G61" i="4"/>
  <c r="H61" i="4"/>
  <c r="D55" i="22"/>
  <c r="E55" i="22" s="1"/>
  <c r="F55" i="22" s="1"/>
  <c r="G51" i="35"/>
  <c r="I51" i="35" s="1"/>
  <c r="H53" i="29"/>
  <c r="I50" i="34" l="1"/>
  <c r="I54" i="23"/>
  <c r="I50" i="37"/>
  <c r="I61" i="19"/>
  <c r="I56" i="25"/>
  <c r="I45" i="41"/>
  <c r="D52" i="31"/>
  <c r="E52" i="31" s="1"/>
  <c r="F52" i="31" s="1"/>
  <c r="B46" i="41"/>
  <c r="F46" i="41"/>
  <c r="G46" i="41" s="1"/>
  <c r="F46" i="42"/>
  <c r="H46" i="42" s="1"/>
  <c r="B46" i="42"/>
  <c r="H52" i="35"/>
  <c r="D53" i="35"/>
  <c r="H63" i="3"/>
  <c r="D64" i="3"/>
  <c r="E64" i="3" s="1"/>
  <c r="F64" i="3" s="1"/>
  <c r="E57" i="24"/>
  <c r="F57" i="24" s="1"/>
  <c r="D58" i="24" s="1"/>
  <c r="B57" i="24"/>
  <c r="I47" i="39"/>
  <c r="B63" i="3"/>
  <c r="G63" i="3"/>
  <c r="B51" i="37"/>
  <c r="F51" i="37"/>
  <c r="H51" i="37" s="1"/>
  <c r="B55" i="22"/>
  <c r="H55" i="22"/>
  <c r="G55" i="22"/>
  <c r="H51" i="38"/>
  <c r="D52" i="38"/>
  <c r="E52" i="38" s="1"/>
  <c r="F52" i="38" s="1"/>
  <c r="G51" i="31"/>
  <c r="G60" i="18"/>
  <c r="I60" i="18" s="1"/>
  <c r="D61" i="18"/>
  <c r="I62" i="3"/>
  <c r="B52" i="34"/>
  <c r="H52" i="34"/>
  <c r="G52" i="34"/>
  <c r="H56" i="24"/>
  <c r="B56" i="27"/>
  <c r="F56" i="27"/>
  <c r="D63" i="4"/>
  <c r="E63" i="4" s="1"/>
  <c r="D57" i="26"/>
  <c r="B55" i="23"/>
  <c r="B57" i="25"/>
  <c r="B62" i="19"/>
  <c r="H56" i="26"/>
  <c r="D56" i="22"/>
  <c r="B52" i="35"/>
  <c r="G52" i="35"/>
  <c r="D53" i="34"/>
  <c r="G56" i="26"/>
  <c r="F46" i="40"/>
  <c r="H46" i="40" s="1"/>
  <c r="B46" i="40"/>
  <c r="D60" i="21"/>
  <c r="E60" i="21" s="1"/>
  <c r="F60" i="21" s="1"/>
  <c r="I53" i="29"/>
  <c r="I61" i="4"/>
  <c r="B59" i="21"/>
  <c r="H59" i="21"/>
  <c r="G59" i="21"/>
  <c r="B51" i="38"/>
  <c r="G51" i="38"/>
  <c r="I51" i="38" s="1"/>
  <c r="H51" i="31"/>
  <c r="I65" i="28"/>
  <c r="E55" i="23"/>
  <c r="F55" i="23" s="1"/>
  <c r="E57" i="25"/>
  <c r="F57" i="25" s="1"/>
  <c r="H57" i="25" s="1"/>
  <c r="B48" i="39"/>
  <c r="F48" i="39"/>
  <c r="H48" i="39" s="1"/>
  <c r="E62" i="19"/>
  <c r="F62" i="19" s="1"/>
  <c r="H62" i="19" s="1"/>
  <c r="G56" i="24"/>
  <c r="E54" i="29"/>
  <c r="F54" i="29" s="1"/>
  <c r="G54" i="29" s="1"/>
  <c r="B62" i="4"/>
  <c r="G62" i="4"/>
  <c r="H62" i="4"/>
  <c r="G57" i="24" l="1"/>
  <c r="I63" i="3"/>
  <c r="I51" i="31"/>
  <c r="I52" i="34"/>
  <c r="I55" i="22"/>
  <c r="I62" i="4"/>
  <c r="H57" i="24"/>
  <c r="I57" i="24" s="1"/>
  <c r="H54" i="29"/>
  <c r="I54" i="29" s="1"/>
  <c r="I52" i="35"/>
  <c r="D56" i="23"/>
  <c r="E56" i="23" s="1"/>
  <c r="F56" i="23" s="1"/>
  <c r="H55" i="23"/>
  <c r="G55" i="23"/>
  <c r="B53" i="34"/>
  <c r="B57" i="26"/>
  <c r="G52" i="38"/>
  <c r="D53" i="38"/>
  <c r="G64" i="3"/>
  <c r="D65" i="3"/>
  <c r="E65" i="3" s="1"/>
  <c r="F65" i="3" s="1"/>
  <c r="D63" i="19"/>
  <c r="E63" i="19" s="1"/>
  <c r="F63" i="19" s="1"/>
  <c r="B60" i="21"/>
  <c r="G60" i="21"/>
  <c r="H60" i="21"/>
  <c r="G62" i="19"/>
  <c r="I62" i="19" s="1"/>
  <c r="B52" i="38"/>
  <c r="H52" i="38"/>
  <c r="B64" i="3"/>
  <c r="H64" i="3"/>
  <c r="G46" i="42"/>
  <c r="I46" i="42" s="1"/>
  <c r="F63" i="4"/>
  <c r="H63" i="4" s="1"/>
  <c r="B63" i="4"/>
  <c r="I56" i="24"/>
  <c r="B66" i="28"/>
  <c r="D53" i="31"/>
  <c r="E53" i="31" s="1"/>
  <c r="F53" i="31" s="1"/>
  <c r="D61" i="21"/>
  <c r="E61" i="21" s="1"/>
  <c r="F61" i="21" s="1"/>
  <c r="B56" i="22"/>
  <c r="H56" i="27"/>
  <c r="D57" i="27"/>
  <c r="E57" i="27" s="1"/>
  <c r="F57" i="27" s="1"/>
  <c r="B53" i="35"/>
  <c r="D47" i="42"/>
  <c r="E47" i="42" s="1"/>
  <c r="D58" i="25"/>
  <c r="E58" i="25" s="1"/>
  <c r="F58" i="25" s="1"/>
  <c r="D47" i="40"/>
  <c r="E47" i="40"/>
  <c r="D55" i="29"/>
  <c r="E55" i="29" s="1"/>
  <c r="F55" i="29" s="1"/>
  <c r="G48" i="39"/>
  <c r="I48" i="39" s="1"/>
  <c r="D49" i="39"/>
  <c r="E49" i="39" s="1"/>
  <c r="I59" i="21"/>
  <c r="G46" i="40"/>
  <c r="I46" i="40" s="1"/>
  <c r="E53" i="34"/>
  <c r="F53" i="34" s="1"/>
  <c r="G53" i="34" s="1"/>
  <c r="E56" i="22"/>
  <c r="F56" i="22" s="1"/>
  <c r="H56" i="22" s="1"/>
  <c r="I56" i="26"/>
  <c r="G57" i="25"/>
  <c r="I57" i="25" s="1"/>
  <c r="E57" i="26"/>
  <c r="F57" i="26" s="1"/>
  <c r="H57" i="26" s="1"/>
  <c r="G56" i="27"/>
  <c r="E61" i="18"/>
  <c r="F61" i="18" s="1"/>
  <c r="B61" i="18"/>
  <c r="G51" i="37"/>
  <c r="I51" i="37" s="1"/>
  <c r="D52" i="37"/>
  <c r="E58" i="24"/>
  <c r="F58" i="24" s="1"/>
  <c r="D59" i="24" s="1"/>
  <c r="B58" i="24"/>
  <c r="E53" i="35"/>
  <c r="F53" i="35" s="1"/>
  <c r="H46" i="41"/>
  <c r="I46" i="41" s="1"/>
  <c r="D47" i="41"/>
  <c r="E47" i="41"/>
  <c r="B52" i="31"/>
  <c r="G52" i="31"/>
  <c r="H52" i="31"/>
  <c r="F49" i="39" l="1"/>
  <c r="I56" i="27"/>
  <c r="I52" i="38"/>
  <c r="H58" i="24"/>
  <c r="I64" i="3"/>
  <c r="I52" i="31"/>
  <c r="G58" i="24"/>
  <c r="G53" i="35"/>
  <c r="D54" i="35"/>
  <c r="E54" i="35" s="1"/>
  <c r="F54" i="35" s="1"/>
  <c r="H53" i="35"/>
  <c r="D54" i="31"/>
  <c r="E54" i="31" s="1"/>
  <c r="F54" i="31" s="1"/>
  <c r="F47" i="41"/>
  <c r="B47" i="41"/>
  <c r="D58" i="27"/>
  <c r="E58" i="27" s="1"/>
  <c r="F58" i="27" s="1"/>
  <c r="D66" i="3"/>
  <c r="E66" i="3" s="1"/>
  <c r="D62" i="18"/>
  <c r="E62" i="18" s="1"/>
  <c r="F62" i="18" s="1"/>
  <c r="D56" i="29"/>
  <c r="E56" i="29" s="1"/>
  <c r="F56" i="29" s="1"/>
  <c r="D59" i="25"/>
  <c r="E59" i="25" s="1"/>
  <c r="F59" i="25" s="1"/>
  <c r="B57" i="27"/>
  <c r="H57" i="27"/>
  <c r="G57" i="27"/>
  <c r="B61" i="21"/>
  <c r="H61" i="21"/>
  <c r="G61" i="21"/>
  <c r="B65" i="3"/>
  <c r="G65" i="3"/>
  <c r="H65" i="3"/>
  <c r="I55" i="23"/>
  <c r="F47" i="40"/>
  <c r="H47" i="40" s="1"/>
  <c r="B47" i="40"/>
  <c r="D62" i="21"/>
  <c r="E62" i="21" s="1"/>
  <c r="F62" i="21" s="1"/>
  <c r="D64" i="4"/>
  <c r="E64" i="4" s="1"/>
  <c r="E59" i="24"/>
  <c r="F59" i="24" s="1"/>
  <c r="G59" i="24" s="1"/>
  <c r="B59" i="24"/>
  <c r="H61" i="18"/>
  <c r="D57" i="22"/>
  <c r="E57" i="22" s="1"/>
  <c r="F57" i="22" s="1"/>
  <c r="D50" i="39"/>
  <c r="H55" i="29"/>
  <c r="G55" i="29"/>
  <c r="B58" i="25"/>
  <c r="H58" i="25"/>
  <c r="G58" i="25"/>
  <c r="G56" i="22"/>
  <c r="I56" i="22" s="1"/>
  <c r="I66" i="28"/>
  <c r="G63" i="4"/>
  <c r="I63" i="4" s="1"/>
  <c r="D64" i="19"/>
  <c r="E64" i="19" s="1"/>
  <c r="F64" i="19" s="1"/>
  <c r="D57" i="23"/>
  <c r="B52" i="37"/>
  <c r="F47" i="42"/>
  <c r="G47" i="42" s="1"/>
  <c r="B47" i="42"/>
  <c r="B53" i="38"/>
  <c r="B67" i="28"/>
  <c r="E52" i="37"/>
  <c r="F52" i="37" s="1"/>
  <c r="G61" i="18"/>
  <c r="D58" i="26"/>
  <c r="E58" i="26" s="1"/>
  <c r="H53" i="34"/>
  <c r="I53" i="34" s="1"/>
  <c r="D54" i="34"/>
  <c r="E54" i="34" s="1"/>
  <c r="B49" i="39"/>
  <c r="G49" i="39"/>
  <c r="H49" i="39"/>
  <c r="B53" i="31"/>
  <c r="G53" i="31"/>
  <c r="H53" i="31"/>
  <c r="I60" i="21"/>
  <c r="B63" i="19"/>
  <c r="H63" i="19"/>
  <c r="G63" i="19"/>
  <c r="E53" i="38"/>
  <c r="F53" i="38" s="1"/>
  <c r="G53" i="38" s="1"/>
  <c r="G57" i="26"/>
  <c r="I57" i="26" s="1"/>
  <c r="B56" i="23"/>
  <c r="G56" i="23"/>
  <c r="H56" i="23"/>
  <c r="I58" i="24" l="1"/>
  <c r="I65" i="3"/>
  <c r="I57" i="27"/>
  <c r="I61" i="21"/>
  <c r="H47" i="42"/>
  <c r="I47" i="42" s="1"/>
  <c r="I53" i="31"/>
  <c r="I49" i="39"/>
  <c r="H59" i="24"/>
  <c r="I59" i="24" s="1"/>
  <c r="I67" i="28"/>
  <c r="H53" i="38"/>
  <c r="I53" i="38" s="1"/>
  <c r="I55" i="29"/>
  <c r="D53" i="37"/>
  <c r="E53" i="37" s="1"/>
  <c r="F53" i="37" s="1"/>
  <c r="H52" i="37"/>
  <c r="B50" i="39"/>
  <c r="B69" i="28"/>
  <c r="G47" i="41"/>
  <c r="D48" i="41"/>
  <c r="E48" i="41" s="1"/>
  <c r="I63" i="19"/>
  <c r="G52" i="37"/>
  <c r="F64" i="4"/>
  <c r="H64" i="4" s="1"/>
  <c r="B64" i="4"/>
  <c r="B66" i="3"/>
  <c r="F66" i="3"/>
  <c r="D67" i="3" s="1"/>
  <c r="B54" i="35"/>
  <c r="G54" i="35"/>
  <c r="H54" i="35"/>
  <c r="B58" i="26"/>
  <c r="F58" i="26"/>
  <c r="H58" i="26" s="1"/>
  <c r="B64" i="19"/>
  <c r="G64" i="19"/>
  <c r="H64" i="19"/>
  <c r="B57" i="22"/>
  <c r="G57" i="22"/>
  <c r="H57" i="22"/>
  <c r="D63" i="21"/>
  <c r="E63" i="21" s="1"/>
  <c r="F63" i="21" s="1"/>
  <c r="G47" i="40"/>
  <c r="I47" i="40" s="1"/>
  <c r="D48" i="40"/>
  <c r="E48" i="40" s="1"/>
  <c r="D60" i="25"/>
  <c r="E60" i="25" s="1"/>
  <c r="F60" i="25" s="1"/>
  <c r="D63" i="18"/>
  <c r="E63" i="18" s="1"/>
  <c r="G58" i="27"/>
  <c r="D59" i="27"/>
  <c r="H47" i="41"/>
  <c r="B54" i="31"/>
  <c r="H54" i="31"/>
  <c r="G54" i="31"/>
  <c r="B57" i="23"/>
  <c r="D57" i="29"/>
  <c r="E57" i="29" s="1"/>
  <c r="F57" i="29" s="1"/>
  <c r="D55" i="35"/>
  <c r="E55" i="35" s="1"/>
  <c r="F55" i="35" s="1"/>
  <c r="D65" i="19"/>
  <c r="E65" i="19" s="1"/>
  <c r="F65" i="19" s="1"/>
  <c r="D58" i="22"/>
  <c r="G56" i="29"/>
  <c r="H56" i="29"/>
  <c r="B68" i="28"/>
  <c r="D55" i="31"/>
  <c r="I56" i="23"/>
  <c r="D54" i="38"/>
  <c r="E54" i="38" s="1"/>
  <c r="F54" i="34"/>
  <c r="G54" i="34" s="1"/>
  <c r="B54" i="34"/>
  <c r="D48" i="42"/>
  <c r="E48" i="42" s="1"/>
  <c r="E57" i="23"/>
  <c r="F57" i="23" s="1"/>
  <c r="D58" i="23" s="1"/>
  <c r="I58" i="25"/>
  <c r="E50" i="39"/>
  <c r="F50" i="39" s="1"/>
  <c r="G50" i="39" s="1"/>
  <c r="I61" i="18"/>
  <c r="D60" i="24"/>
  <c r="E60" i="24" s="1"/>
  <c r="F60" i="24" s="1"/>
  <c r="B62" i="21"/>
  <c r="H62" i="21"/>
  <c r="G62" i="21"/>
  <c r="B59" i="25"/>
  <c r="H59" i="25"/>
  <c r="G59" i="25"/>
  <c r="B62" i="18"/>
  <c r="H62" i="18"/>
  <c r="G62" i="18"/>
  <c r="B58" i="27"/>
  <c r="H58" i="27"/>
  <c r="I53" i="35"/>
  <c r="I58" i="27" l="1"/>
  <c r="G66" i="3"/>
  <c r="H66" i="3"/>
  <c r="I56" i="29"/>
  <c r="I59" i="25"/>
  <c r="I54" i="35"/>
  <c r="I62" i="18"/>
  <c r="H54" i="34"/>
  <c r="I54" i="34" s="1"/>
  <c r="I54" i="31"/>
  <c r="G58" i="26"/>
  <c r="I58" i="26" s="1"/>
  <c r="G64" i="4"/>
  <c r="I64" i="4" s="1"/>
  <c r="H57" i="23"/>
  <c r="I64" i="19"/>
  <c r="B55" i="31"/>
  <c r="D56" i="35"/>
  <c r="B59" i="27"/>
  <c r="E58" i="23"/>
  <c r="F58" i="23" s="1"/>
  <c r="B58" i="23"/>
  <c r="D66" i="19"/>
  <c r="E66" i="19" s="1"/>
  <c r="F66" i="19" s="1"/>
  <c r="G57" i="23"/>
  <c r="D64" i="21"/>
  <c r="I52" i="37"/>
  <c r="I62" i="21"/>
  <c r="I68" i="28"/>
  <c r="B65" i="19"/>
  <c r="G65" i="19"/>
  <c r="H65" i="19"/>
  <c r="D58" i="29"/>
  <c r="E58" i="29" s="1"/>
  <c r="F58" i="29" s="1"/>
  <c r="I47" i="41"/>
  <c r="B63" i="21"/>
  <c r="H63" i="21"/>
  <c r="G63" i="21"/>
  <c r="E67" i="3"/>
  <c r="F67" i="3" s="1"/>
  <c r="B67" i="3"/>
  <c r="H53" i="37"/>
  <c r="D54" i="37"/>
  <c r="E54" i="37" s="1"/>
  <c r="F54" i="37" s="1"/>
  <c r="H60" i="24"/>
  <c r="D61" i="24"/>
  <c r="B58" i="22"/>
  <c r="D61" i="25"/>
  <c r="E61" i="25" s="1"/>
  <c r="F61" i="25" s="1"/>
  <c r="G60" i="24"/>
  <c r="B60" i="24"/>
  <c r="B54" i="38"/>
  <c r="F54" i="38"/>
  <c r="B55" i="35"/>
  <c r="G55" i="35"/>
  <c r="H55" i="35"/>
  <c r="B60" i="25"/>
  <c r="G60" i="25"/>
  <c r="H60" i="25"/>
  <c r="I69" i="28"/>
  <c r="D51" i="39"/>
  <c r="E51" i="39" s="1"/>
  <c r="F51" i="39" s="1"/>
  <c r="D52" i="39" s="1"/>
  <c r="F48" i="42"/>
  <c r="B48" i="42"/>
  <c r="D55" i="34"/>
  <c r="E55" i="34" s="1"/>
  <c r="E55" i="31"/>
  <c r="F55" i="31" s="1"/>
  <c r="H55" i="31" s="1"/>
  <c r="E58" i="22"/>
  <c r="F58" i="22" s="1"/>
  <c r="G58" i="22" s="1"/>
  <c r="G57" i="29"/>
  <c r="H57" i="29"/>
  <c r="E59" i="27"/>
  <c r="F59" i="27" s="1"/>
  <c r="H59" i="27" s="1"/>
  <c r="B63" i="18"/>
  <c r="F63" i="18"/>
  <c r="H63" i="18" s="1"/>
  <c r="F48" i="40"/>
  <c r="G48" i="40" s="1"/>
  <c r="B48" i="40"/>
  <c r="I57" i="22"/>
  <c r="D59" i="26"/>
  <c r="E59" i="26" s="1"/>
  <c r="F59" i="26" s="1"/>
  <c r="D65" i="4"/>
  <c r="E65" i="4" s="1"/>
  <c r="F65" i="4" s="1"/>
  <c r="B48" i="41"/>
  <c r="F48" i="41"/>
  <c r="G48" i="41" s="1"/>
  <c r="H50" i="39"/>
  <c r="I50" i="39" s="1"/>
  <c r="B53" i="37"/>
  <c r="G53" i="37"/>
  <c r="I66" i="3" l="1"/>
  <c r="I55" i="35"/>
  <c r="H58" i="22"/>
  <c r="I58" i="22" s="1"/>
  <c r="I57" i="29"/>
  <c r="I60" i="25"/>
  <c r="I57" i="23"/>
  <c r="H48" i="41"/>
  <c r="I48" i="41" s="1"/>
  <c r="I60" i="24"/>
  <c r="I65" i="19"/>
  <c r="D60" i="26"/>
  <c r="E60" i="26" s="1"/>
  <c r="F60" i="26" s="1"/>
  <c r="G54" i="37"/>
  <c r="D55" i="37"/>
  <c r="E52" i="39"/>
  <c r="F52" i="39" s="1"/>
  <c r="G52" i="39" s="1"/>
  <c r="B52" i="39"/>
  <c r="D62" i="25"/>
  <c r="E62" i="25" s="1"/>
  <c r="E61" i="24"/>
  <c r="F61" i="24" s="1"/>
  <c r="D62" i="24" s="1"/>
  <c r="B61" i="24"/>
  <c r="D68" i="3"/>
  <c r="E68" i="3" s="1"/>
  <c r="F68" i="3" s="1"/>
  <c r="B64" i="21"/>
  <c r="D59" i="23"/>
  <c r="E59" i="23" s="1"/>
  <c r="F59" i="23" s="1"/>
  <c r="B65" i="4"/>
  <c r="G65" i="4"/>
  <c r="H65" i="4"/>
  <c r="G48" i="42"/>
  <c r="D49" i="42"/>
  <c r="E49" i="42" s="1"/>
  <c r="H58" i="23"/>
  <c r="G55" i="31"/>
  <c r="I55" i="31" s="1"/>
  <c r="D49" i="41"/>
  <c r="E49" i="41" s="1"/>
  <c r="G63" i="18"/>
  <c r="I63" i="18" s="1"/>
  <c r="D64" i="18"/>
  <c r="F55" i="34"/>
  <c r="H55" i="34" s="1"/>
  <c r="B55" i="34"/>
  <c r="H67" i="3"/>
  <c r="H58" i="29"/>
  <c r="D59" i="29"/>
  <c r="E59" i="29" s="1"/>
  <c r="F59" i="29" s="1"/>
  <c r="D67" i="19"/>
  <c r="E67" i="19" s="1"/>
  <c r="F67" i="19" s="1"/>
  <c r="D66" i="4"/>
  <c r="E66" i="4" s="1"/>
  <c r="F66" i="4" s="1"/>
  <c r="D49" i="40"/>
  <c r="E49" i="40" s="1"/>
  <c r="G59" i="27"/>
  <c r="I59" i="27" s="1"/>
  <c r="D60" i="27"/>
  <c r="D56" i="31"/>
  <c r="E56" i="31" s="1"/>
  <c r="G54" i="38"/>
  <c r="D55" i="38"/>
  <c r="E55" i="38" s="1"/>
  <c r="F55" i="38" s="1"/>
  <c r="B56" i="35"/>
  <c r="I53" i="37"/>
  <c r="B70" i="28"/>
  <c r="B59" i="26"/>
  <c r="H59" i="26"/>
  <c r="G59" i="26"/>
  <c r="H48" i="40"/>
  <c r="I48" i="40" s="1"/>
  <c r="D59" i="22"/>
  <c r="E59" i="22" s="1"/>
  <c r="F59" i="22" s="1"/>
  <c r="H48" i="42"/>
  <c r="B51" i="39"/>
  <c r="G51" i="39"/>
  <c r="H51" i="39"/>
  <c r="H54" i="38"/>
  <c r="B61" i="25"/>
  <c r="G61" i="25"/>
  <c r="H61" i="25"/>
  <c r="B54" i="37"/>
  <c r="H54" i="37"/>
  <c r="G67" i="3"/>
  <c r="I63" i="21"/>
  <c r="G58" i="29"/>
  <c r="E64" i="21"/>
  <c r="F64" i="21" s="1"/>
  <c r="B66" i="19"/>
  <c r="H66" i="19"/>
  <c r="G66" i="19"/>
  <c r="G58" i="23"/>
  <c r="E56" i="35"/>
  <c r="F56" i="35" s="1"/>
  <c r="G56" i="35" s="1"/>
  <c r="I65" i="4" l="1"/>
  <c r="G61" i="24"/>
  <c r="I54" i="37"/>
  <c r="F49" i="40"/>
  <c r="D50" i="40" s="1"/>
  <c r="B50" i="40" s="1"/>
  <c r="I48" i="42"/>
  <c r="I61" i="25"/>
  <c r="I51" i="39"/>
  <c r="I70" i="28"/>
  <c r="H56" i="35"/>
  <c r="I56" i="35" s="1"/>
  <c r="I66" i="19"/>
  <c r="I58" i="29"/>
  <c r="B71" i="28"/>
  <c r="G59" i="29"/>
  <c r="D60" i="29"/>
  <c r="E60" i="29" s="1"/>
  <c r="F60" i="29" s="1"/>
  <c r="B64" i="18"/>
  <c r="B55" i="37"/>
  <c r="H59" i="29"/>
  <c r="D60" i="23"/>
  <c r="E60" i="23" s="1"/>
  <c r="F60" i="23" s="1"/>
  <c r="I59" i="26"/>
  <c r="D56" i="38"/>
  <c r="E56" i="38" s="1"/>
  <c r="F56" i="38" s="1"/>
  <c r="F56" i="31"/>
  <c r="B56" i="31"/>
  <c r="D68" i="19"/>
  <c r="G55" i="34"/>
  <c r="I55" i="34" s="1"/>
  <c r="D56" i="34"/>
  <c r="E56" i="34" s="1"/>
  <c r="B59" i="23"/>
  <c r="G59" i="23"/>
  <c r="H59" i="23"/>
  <c r="B68" i="3"/>
  <c r="H68" i="3"/>
  <c r="G68" i="3"/>
  <c r="E62" i="24"/>
  <c r="F62" i="24" s="1"/>
  <c r="G62" i="24" s="1"/>
  <c r="B62" i="24"/>
  <c r="B62" i="25"/>
  <c r="F62" i="25"/>
  <c r="D53" i="39"/>
  <c r="E53" i="39" s="1"/>
  <c r="F53" i="39" s="1"/>
  <c r="D61" i="26"/>
  <c r="E61" i="26" s="1"/>
  <c r="F61" i="26" s="1"/>
  <c r="H64" i="21"/>
  <c r="D65" i="21"/>
  <c r="B60" i="27"/>
  <c r="D67" i="4"/>
  <c r="E67" i="4" s="1"/>
  <c r="F67" i="4" s="1"/>
  <c r="F49" i="42"/>
  <c r="B49" i="42"/>
  <c r="I54" i="38"/>
  <c r="B66" i="4"/>
  <c r="G66" i="4"/>
  <c r="H66" i="4"/>
  <c r="I58" i="23"/>
  <c r="D69" i="3"/>
  <c r="D60" i="22"/>
  <c r="E60" i="22" s="1"/>
  <c r="F60" i="22" s="1"/>
  <c r="D57" i="35"/>
  <c r="B59" i="22"/>
  <c r="G59" i="22"/>
  <c r="H59" i="22"/>
  <c r="B55" i="38"/>
  <c r="G55" i="38"/>
  <c r="H55" i="38"/>
  <c r="E60" i="27"/>
  <c r="F60" i="27" s="1"/>
  <c r="G60" i="27" s="1"/>
  <c r="B49" i="40"/>
  <c r="B67" i="19"/>
  <c r="G67" i="19"/>
  <c r="H67" i="19"/>
  <c r="I67" i="3"/>
  <c r="E64" i="18"/>
  <c r="F64" i="18" s="1"/>
  <c r="G64" i="18" s="1"/>
  <c r="F49" i="41"/>
  <c r="G49" i="41" s="1"/>
  <c r="B49" i="41"/>
  <c r="G64" i="21"/>
  <c r="H61" i="24"/>
  <c r="I61" i="24" s="1"/>
  <c r="H52" i="39"/>
  <c r="I52" i="39" s="1"/>
  <c r="E55" i="37"/>
  <c r="F55" i="37" s="1"/>
  <c r="B60" i="26"/>
  <c r="G60" i="26"/>
  <c r="H60" i="26"/>
  <c r="E50" i="40" l="1"/>
  <c r="F50" i="40" s="1"/>
  <c r="D51" i="40" s="1"/>
  <c r="B51" i="40" s="1"/>
  <c r="H49" i="40"/>
  <c r="G49" i="40"/>
  <c r="I55" i="38"/>
  <c r="I59" i="22"/>
  <c r="I66" i="4"/>
  <c r="I60" i="26"/>
  <c r="I67" i="19"/>
  <c r="I59" i="23"/>
  <c r="H60" i="27"/>
  <c r="I60" i="27" s="1"/>
  <c r="H67" i="4"/>
  <c r="D68" i="4"/>
  <c r="D56" i="37"/>
  <c r="B57" i="35"/>
  <c r="B69" i="3"/>
  <c r="D61" i="22"/>
  <c r="E61" i="22" s="1"/>
  <c r="F61" i="22" s="1"/>
  <c r="D50" i="42"/>
  <c r="E50" i="42" s="1"/>
  <c r="B65" i="21"/>
  <c r="D54" i="39"/>
  <c r="E54" i="39" s="1"/>
  <c r="F54" i="39" s="1"/>
  <c r="D63" i="25"/>
  <c r="E63" i="25" s="1"/>
  <c r="F63" i="25" s="1"/>
  <c r="B68" i="19"/>
  <c r="D57" i="31"/>
  <c r="E57" i="31" s="1"/>
  <c r="F57" i="31" s="1"/>
  <c r="G60" i="23"/>
  <c r="D61" i="23"/>
  <c r="G55" i="37"/>
  <c r="H49" i="41"/>
  <c r="I49" i="41" s="1"/>
  <c r="D50" i="41"/>
  <c r="B60" i="22"/>
  <c r="G60" i="22"/>
  <c r="H60" i="22"/>
  <c r="H49" i="42"/>
  <c r="B53" i="39"/>
  <c r="G53" i="39"/>
  <c r="H53" i="39"/>
  <c r="D63" i="24"/>
  <c r="E63" i="24" s="1"/>
  <c r="F63" i="24" s="1"/>
  <c r="D64" i="24" s="1"/>
  <c r="B56" i="34"/>
  <c r="F56" i="34"/>
  <c r="G56" i="31"/>
  <c r="D57" i="38"/>
  <c r="E57" i="38" s="1"/>
  <c r="F57" i="38" s="1"/>
  <c r="B60" i="23"/>
  <c r="H60" i="23"/>
  <c r="H55" i="37"/>
  <c r="I64" i="21"/>
  <c r="D65" i="18"/>
  <c r="D61" i="27"/>
  <c r="E61" i="27" s="1"/>
  <c r="F61" i="27" s="1"/>
  <c r="E57" i="35"/>
  <c r="F57" i="35" s="1"/>
  <c r="G57" i="35" s="1"/>
  <c r="E69" i="3"/>
  <c r="F69" i="3" s="1"/>
  <c r="G49" i="42"/>
  <c r="D62" i="26"/>
  <c r="E62" i="26" s="1"/>
  <c r="F62" i="26" s="1"/>
  <c r="G62" i="25"/>
  <c r="H62" i="24"/>
  <c r="I62" i="24" s="1"/>
  <c r="H56" i="31"/>
  <c r="B56" i="38"/>
  <c r="G56" i="38"/>
  <c r="H56" i="38"/>
  <c r="I59" i="29"/>
  <c r="D61" i="29"/>
  <c r="E61" i="29" s="1"/>
  <c r="F61" i="29" s="1"/>
  <c r="I71" i="28"/>
  <c r="B67" i="4"/>
  <c r="G67" i="4"/>
  <c r="E65" i="21"/>
  <c r="F65" i="21" s="1"/>
  <c r="B61" i="26"/>
  <c r="H61" i="26"/>
  <c r="G61" i="26"/>
  <c r="H62" i="25"/>
  <c r="I68" i="3"/>
  <c r="E68" i="19"/>
  <c r="F68" i="19" s="1"/>
  <c r="H68" i="19" s="1"/>
  <c r="H64" i="18"/>
  <c r="I64" i="18" s="1"/>
  <c r="H60" i="29"/>
  <c r="G60" i="29"/>
  <c r="H50" i="40" l="1"/>
  <c r="E51" i="40"/>
  <c r="F51" i="40" s="1"/>
  <c r="H51" i="40" s="1"/>
  <c r="G50" i="40"/>
  <c r="I49" i="40"/>
  <c r="I60" i="23"/>
  <c r="I67" i="4"/>
  <c r="I50" i="40"/>
  <c r="I60" i="29"/>
  <c r="I62" i="25"/>
  <c r="I53" i="39"/>
  <c r="I60" i="22"/>
  <c r="I55" i="37"/>
  <c r="D70" i="3"/>
  <c r="E70" i="3" s="1"/>
  <c r="F70" i="3" s="1"/>
  <c r="G69" i="3"/>
  <c r="H69" i="3"/>
  <c r="D52" i="40"/>
  <c r="E52" i="40" s="1"/>
  <c r="F52" i="40" s="1"/>
  <c r="D66" i="21"/>
  <c r="E66" i="21" s="1"/>
  <c r="B72" i="28"/>
  <c r="D57" i="34"/>
  <c r="E57" i="34" s="1"/>
  <c r="B50" i="41"/>
  <c r="B68" i="4"/>
  <c r="D62" i="29"/>
  <c r="E62" i="29" s="1"/>
  <c r="F62" i="29" s="1"/>
  <c r="B65" i="18"/>
  <c r="B61" i="23"/>
  <c r="D64" i="25"/>
  <c r="E64" i="25" s="1"/>
  <c r="F64" i="25" s="1"/>
  <c r="G65" i="21"/>
  <c r="B50" i="42"/>
  <c r="F50" i="42"/>
  <c r="G50" i="42" s="1"/>
  <c r="B56" i="37"/>
  <c r="G61" i="29"/>
  <c r="H61" i="29"/>
  <c r="D62" i="27"/>
  <c r="E62" i="27" s="1"/>
  <c r="F62" i="27" s="1"/>
  <c r="B63" i="25"/>
  <c r="H63" i="25"/>
  <c r="G63" i="25"/>
  <c r="H65" i="21"/>
  <c r="D62" i="22"/>
  <c r="E68" i="4"/>
  <c r="F68" i="4" s="1"/>
  <c r="G68" i="4" s="1"/>
  <c r="D69" i="19"/>
  <c r="E69" i="19" s="1"/>
  <c r="F69" i="19" s="1"/>
  <c r="I61" i="26"/>
  <c r="I56" i="31"/>
  <c r="D63" i="26"/>
  <c r="E63" i="26" s="1"/>
  <c r="F63" i="26" s="1"/>
  <c r="D58" i="35"/>
  <c r="E58" i="35" s="1"/>
  <c r="F58" i="35" s="1"/>
  <c r="D59" i="35" s="1"/>
  <c r="B61" i="27"/>
  <c r="G61" i="27"/>
  <c r="H61" i="27"/>
  <c r="D58" i="38"/>
  <c r="E58" i="38" s="1"/>
  <c r="F58" i="38" s="1"/>
  <c r="H56" i="34"/>
  <c r="E64" i="24"/>
  <c r="F64" i="24" s="1"/>
  <c r="D65" i="24" s="1"/>
  <c r="B64" i="24"/>
  <c r="D58" i="31"/>
  <c r="E58" i="31" s="1"/>
  <c r="F58" i="31" s="1"/>
  <c r="G68" i="19"/>
  <c r="I68" i="19" s="1"/>
  <c r="D55" i="39"/>
  <c r="B61" i="22"/>
  <c r="H61" i="22"/>
  <c r="G61" i="22"/>
  <c r="I56" i="38"/>
  <c r="B62" i="26"/>
  <c r="H62" i="26"/>
  <c r="G62" i="26"/>
  <c r="E65" i="18"/>
  <c r="F65" i="18" s="1"/>
  <c r="G65" i="18" s="1"/>
  <c r="B57" i="38"/>
  <c r="G57" i="38"/>
  <c r="H57" i="38"/>
  <c r="G56" i="34"/>
  <c r="G63" i="24"/>
  <c r="H63" i="24"/>
  <c r="B63" i="24"/>
  <c r="I49" i="42"/>
  <c r="E50" i="41"/>
  <c r="F50" i="41" s="1"/>
  <c r="D51" i="41" s="1"/>
  <c r="E61" i="23"/>
  <c r="F61" i="23" s="1"/>
  <c r="D62" i="23" s="1"/>
  <c r="B57" i="31"/>
  <c r="G57" i="31"/>
  <c r="H57" i="31"/>
  <c r="B54" i="39"/>
  <c r="G54" i="39"/>
  <c r="H54" i="39"/>
  <c r="H57" i="35"/>
  <c r="I57" i="35" s="1"/>
  <c r="E56" i="37"/>
  <c r="F56" i="37" s="1"/>
  <c r="G56" i="37" s="1"/>
  <c r="G51" i="40" l="1"/>
  <c r="H64" i="24"/>
  <c r="I57" i="31"/>
  <c r="I54" i="39"/>
  <c r="I61" i="29"/>
  <c r="I51" i="40"/>
  <c r="I69" i="3"/>
  <c r="G64" i="24"/>
  <c r="I64" i="24" s="1"/>
  <c r="I56" i="34"/>
  <c r="I63" i="24"/>
  <c r="I61" i="22"/>
  <c r="E62" i="23"/>
  <c r="F62" i="23" s="1"/>
  <c r="H62" i="23" s="1"/>
  <c r="B62" i="23"/>
  <c r="D64" i="26"/>
  <c r="E64" i="26" s="1"/>
  <c r="F64" i="26" s="1"/>
  <c r="D70" i="19"/>
  <c r="E51" i="41"/>
  <c r="F51" i="41" s="1"/>
  <c r="G51" i="41" s="1"/>
  <c r="B51" i="41"/>
  <c r="D59" i="38"/>
  <c r="E59" i="38" s="1"/>
  <c r="F59" i="38" s="1"/>
  <c r="B63" i="26"/>
  <c r="G63" i="26"/>
  <c r="H63" i="26"/>
  <c r="I65" i="21"/>
  <c r="D51" i="42"/>
  <c r="E74" i="28"/>
  <c r="D59" i="31"/>
  <c r="E59" i="31" s="1"/>
  <c r="F59" i="31" s="1"/>
  <c r="E59" i="35"/>
  <c r="F59" i="35" s="1"/>
  <c r="H59" i="35" s="1"/>
  <c r="B59" i="35"/>
  <c r="D69" i="4"/>
  <c r="D63" i="27"/>
  <c r="E63" i="27" s="1"/>
  <c r="F63" i="27" s="1"/>
  <c r="B64" i="25"/>
  <c r="G64" i="25"/>
  <c r="H64" i="25"/>
  <c r="G62" i="29"/>
  <c r="H62" i="29"/>
  <c r="H50" i="41"/>
  <c r="B57" i="34"/>
  <c r="F57" i="34"/>
  <c r="H57" i="34" s="1"/>
  <c r="D53" i="40"/>
  <c r="E53" i="40" s="1"/>
  <c r="F53" i="40" s="1"/>
  <c r="D71" i="3"/>
  <c r="H56" i="37"/>
  <c r="I56" i="37" s="1"/>
  <c r="D57" i="37"/>
  <c r="B55" i="39"/>
  <c r="B62" i="22"/>
  <c r="G61" i="23"/>
  <c r="I62" i="26"/>
  <c r="B69" i="19"/>
  <c r="H69" i="19"/>
  <c r="G69" i="19"/>
  <c r="D65" i="25"/>
  <c r="E65" i="25" s="1"/>
  <c r="F65" i="25" s="1"/>
  <c r="D63" i="29"/>
  <c r="E63" i="29" s="1"/>
  <c r="F63" i="29" s="1"/>
  <c r="D66" i="18"/>
  <c r="E66" i="18" s="1"/>
  <c r="F66" i="18" s="1"/>
  <c r="B58" i="38"/>
  <c r="G58" i="38"/>
  <c r="H58" i="38"/>
  <c r="I57" i="38"/>
  <c r="E55" i="39"/>
  <c r="F55" i="39" s="1"/>
  <c r="H55" i="39" s="1"/>
  <c r="B58" i="31"/>
  <c r="G58" i="31"/>
  <c r="H58" i="31"/>
  <c r="E65" i="24"/>
  <c r="F65" i="24" s="1"/>
  <c r="D66" i="24" s="1"/>
  <c r="B65" i="24"/>
  <c r="I61" i="27"/>
  <c r="B58" i="35"/>
  <c r="H58" i="35"/>
  <c r="G58" i="35"/>
  <c r="E62" i="22"/>
  <c r="F62" i="22" s="1"/>
  <c r="G62" i="22" s="1"/>
  <c r="I63" i="25"/>
  <c r="B62" i="27"/>
  <c r="H62" i="27"/>
  <c r="G62" i="27"/>
  <c r="H50" i="42"/>
  <c r="I50" i="42" s="1"/>
  <c r="H61" i="23"/>
  <c r="H65" i="18"/>
  <c r="I65" i="18" s="1"/>
  <c r="H68" i="4"/>
  <c r="I68" i="4" s="1"/>
  <c r="G50" i="41"/>
  <c r="I72" i="28"/>
  <c r="F66" i="21"/>
  <c r="B66" i="21"/>
  <c r="B52" i="40"/>
  <c r="H52" i="40"/>
  <c r="G52" i="40"/>
  <c r="B70" i="3"/>
  <c r="G70" i="3"/>
  <c r="H70" i="3"/>
  <c r="I63" i="26" l="1"/>
  <c r="H51" i="41"/>
  <c r="H65" i="24"/>
  <c r="G65" i="24"/>
  <c r="I58" i="38"/>
  <c r="I61" i="23"/>
  <c r="I64" i="25"/>
  <c r="I62" i="27"/>
  <c r="I58" i="31"/>
  <c r="I62" i="29"/>
  <c r="D67" i="21"/>
  <c r="E67" i="21" s="1"/>
  <c r="F67" i="21" s="1"/>
  <c r="B71" i="3"/>
  <c r="B51" i="42"/>
  <c r="I58" i="35"/>
  <c r="E57" i="37"/>
  <c r="F57" i="37" s="1"/>
  <c r="H57" i="37" s="1"/>
  <c r="B57" i="37"/>
  <c r="D54" i="40"/>
  <c r="D58" i="34"/>
  <c r="E58" i="34" s="1"/>
  <c r="F58" i="34" s="1"/>
  <c r="D64" i="27"/>
  <c r="B73" i="28"/>
  <c r="G74" i="28"/>
  <c r="D60" i="38"/>
  <c r="E60" i="38" s="1"/>
  <c r="F60" i="38" s="1"/>
  <c r="I51" i="41"/>
  <c r="G64" i="26"/>
  <c r="D65" i="26"/>
  <c r="E65" i="26" s="1"/>
  <c r="F65" i="26" s="1"/>
  <c r="D66" i="25"/>
  <c r="B69" i="4"/>
  <c r="D60" i="35"/>
  <c r="E60" i="35" s="1"/>
  <c r="B70" i="19"/>
  <c r="G66" i="21"/>
  <c r="B65" i="25"/>
  <c r="H65" i="25"/>
  <c r="G65" i="25"/>
  <c r="H66" i="21"/>
  <c r="H63" i="29"/>
  <c r="D64" i="29"/>
  <c r="E64" i="29" s="1"/>
  <c r="F64" i="29" s="1"/>
  <c r="B53" i="40"/>
  <c r="G53" i="40"/>
  <c r="H53" i="40"/>
  <c r="B63" i="27"/>
  <c r="G63" i="27"/>
  <c r="H63" i="27"/>
  <c r="G59" i="35"/>
  <c r="I59" i="35" s="1"/>
  <c r="D60" i="31"/>
  <c r="E60" i="31" s="1"/>
  <c r="F60" i="31" s="1"/>
  <c r="B59" i="38"/>
  <c r="G59" i="38"/>
  <c r="H59" i="38"/>
  <c r="D52" i="41"/>
  <c r="E52" i="41" s="1"/>
  <c r="F52" i="41" s="1"/>
  <c r="D53" i="41" s="1"/>
  <c r="B64" i="26"/>
  <c r="H64" i="26"/>
  <c r="D63" i="23"/>
  <c r="E63" i="23" s="1"/>
  <c r="F63" i="23" s="1"/>
  <c r="D67" i="18"/>
  <c r="B66" i="18"/>
  <c r="H66" i="18"/>
  <c r="G66" i="18"/>
  <c r="I70" i="3"/>
  <c r="I52" i="40"/>
  <c r="D63" i="22"/>
  <c r="E66" i="24"/>
  <c r="F66" i="24" s="1"/>
  <c r="G66" i="24" s="1"/>
  <c r="B66" i="24"/>
  <c r="D56" i="39"/>
  <c r="E56" i="39" s="1"/>
  <c r="F56" i="39" s="1"/>
  <c r="G63" i="29"/>
  <c r="I69" i="19"/>
  <c r="H62" i="22"/>
  <c r="I62" i="22" s="1"/>
  <c r="G55" i="39"/>
  <c r="I55" i="39" s="1"/>
  <c r="E71" i="3"/>
  <c r="F71" i="3" s="1"/>
  <c r="G57" i="34"/>
  <c r="I57" i="34" s="1"/>
  <c r="I50" i="41"/>
  <c r="E69" i="4"/>
  <c r="F69" i="4" s="1"/>
  <c r="H69" i="4" s="1"/>
  <c r="B59" i="31"/>
  <c r="G59" i="31"/>
  <c r="H59" i="31"/>
  <c r="E51" i="42"/>
  <c r="F51" i="42" s="1"/>
  <c r="D52" i="42" s="1"/>
  <c r="E70" i="19"/>
  <c r="F70" i="19" s="1"/>
  <c r="H70" i="19" s="1"/>
  <c r="G62" i="23"/>
  <c r="I62" i="23" s="1"/>
  <c r="I65" i="24" l="1"/>
  <c r="I66" i="21"/>
  <c r="I63" i="29"/>
  <c r="I66" i="18"/>
  <c r="I59" i="31"/>
  <c r="I65" i="25"/>
  <c r="I53" i="40"/>
  <c r="H66" i="24"/>
  <c r="I66" i="24" s="1"/>
  <c r="I63" i="27"/>
  <c r="D72" i="3"/>
  <c r="E72" i="3" s="1"/>
  <c r="F72" i="3" s="1"/>
  <c r="G71" i="3"/>
  <c r="H71" i="3"/>
  <c r="E53" i="41"/>
  <c r="F53" i="41" s="1"/>
  <c r="D54" i="41" s="1"/>
  <c r="B53" i="41"/>
  <c r="D57" i="39"/>
  <c r="E57" i="39" s="1"/>
  <c r="F57" i="39" s="1"/>
  <c r="G63" i="23"/>
  <c r="D64" i="23"/>
  <c r="E64" i="23" s="1"/>
  <c r="F64" i="23" s="1"/>
  <c r="D59" i="34"/>
  <c r="B63" i="22"/>
  <c r="D65" i="29"/>
  <c r="E65" i="29" s="1"/>
  <c r="B64" i="27"/>
  <c r="E52" i="42"/>
  <c r="F52" i="42" s="1"/>
  <c r="D53" i="42" s="1"/>
  <c r="B52" i="42"/>
  <c r="D70" i="4"/>
  <c r="E70" i="4" s="1"/>
  <c r="H64" i="29"/>
  <c r="G64" i="29"/>
  <c r="G69" i="4"/>
  <c r="I69" i="4" s="1"/>
  <c r="D68" i="21"/>
  <c r="E68" i="21" s="1"/>
  <c r="F68" i="21" s="1"/>
  <c r="G70" i="19"/>
  <c r="I70" i="19" s="1"/>
  <c r="D71" i="19"/>
  <c r="E71" i="19" s="1"/>
  <c r="F71" i="19" s="1"/>
  <c r="B67" i="18"/>
  <c r="D58" i="37"/>
  <c r="E58" i="37" s="1"/>
  <c r="F58" i="37" s="1"/>
  <c r="B56" i="39"/>
  <c r="G56" i="39"/>
  <c r="H56" i="39"/>
  <c r="D67" i="24"/>
  <c r="B63" i="23"/>
  <c r="H63" i="23"/>
  <c r="B52" i="41"/>
  <c r="G52" i="41"/>
  <c r="H52" i="41"/>
  <c r="D61" i="31"/>
  <c r="E61" i="31" s="1"/>
  <c r="F61" i="31" s="1"/>
  <c r="D66" i="26"/>
  <c r="E66" i="26" s="1"/>
  <c r="F66" i="26" s="1"/>
  <c r="D61" i="38"/>
  <c r="E61" i="38" s="1"/>
  <c r="I73" i="28"/>
  <c r="I74" i="28" s="1"/>
  <c r="H74" i="28"/>
  <c r="B58" i="34"/>
  <c r="H58" i="34"/>
  <c r="G58" i="34"/>
  <c r="G57" i="37"/>
  <c r="I57" i="37" s="1"/>
  <c r="H51" i="42"/>
  <c r="B67" i="21"/>
  <c r="H67" i="21"/>
  <c r="G67" i="21"/>
  <c r="B66" i="25"/>
  <c r="B54" i="40"/>
  <c r="E63" i="22"/>
  <c r="F63" i="22" s="1"/>
  <c r="G63" i="22" s="1"/>
  <c r="E67" i="18"/>
  <c r="F67" i="18" s="1"/>
  <c r="I64" i="26"/>
  <c r="I59" i="38"/>
  <c r="B60" i="31"/>
  <c r="G60" i="31"/>
  <c r="H60" i="31"/>
  <c r="B60" i="35"/>
  <c r="F60" i="35"/>
  <c r="H60" i="35" s="1"/>
  <c r="E66" i="25"/>
  <c r="F66" i="25" s="1"/>
  <c r="H66" i="25" s="1"/>
  <c r="B65" i="26"/>
  <c r="G65" i="26"/>
  <c r="H65" i="26"/>
  <c r="B60" i="38"/>
  <c r="G60" i="38"/>
  <c r="H60" i="38"/>
  <c r="E64" i="27"/>
  <c r="F64" i="27" s="1"/>
  <c r="H64" i="27" s="1"/>
  <c r="E54" i="40"/>
  <c r="F54" i="40" s="1"/>
  <c r="H54" i="40" s="1"/>
  <c r="G51" i="42"/>
  <c r="G60" i="35" l="1"/>
  <c r="I60" i="38"/>
  <c r="H63" i="22"/>
  <c r="I56" i="39"/>
  <c r="I60" i="35"/>
  <c r="I58" i="34"/>
  <c r="I51" i="42"/>
  <c r="I63" i="23"/>
  <c r="I65" i="26"/>
  <c r="I60" i="31"/>
  <c r="I52" i="41"/>
  <c r="I64" i="29"/>
  <c r="H52" i="42"/>
  <c r="B67" i="24"/>
  <c r="D69" i="21"/>
  <c r="I63" i="22"/>
  <c r="F61" i="38"/>
  <c r="B61" i="38"/>
  <c r="B58" i="37"/>
  <c r="H58" i="37"/>
  <c r="D72" i="19"/>
  <c r="E72" i="19" s="1"/>
  <c r="F72" i="19" s="1"/>
  <c r="B68" i="21"/>
  <c r="H68" i="21"/>
  <c r="G68" i="21"/>
  <c r="D65" i="23"/>
  <c r="E65" i="23" s="1"/>
  <c r="F65" i="23" s="1"/>
  <c r="B57" i="39"/>
  <c r="H57" i="39"/>
  <c r="G57" i="39"/>
  <c r="E54" i="41"/>
  <c r="F54" i="41" s="1"/>
  <c r="B54" i="41"/>
  <c r="I71" i="3"/>
  <c r="G67" i="18"/>
  <c r="D68" i="18"/>
  <c r="E68" i="18" s="1"/>
  <c r="F68" i="18" s="1"/>
  <c r="B61" i="31"/>
  <c r="H61" i="31"/>
  <c r="G61" i="31"/>
  <c r="D61" i="35"/>
  <c r="E61" i="35" s="1"/>
  <c r="D64" i="22"/>
  <c r="E64" i="22" s="1"/>
  <c r="F64" i="22" s="1"/>
  <c r="D67" i="26"/>
  <c r="E67" i="26" s="1"/>
  <c r="B71" i="19"/>
  <c r="G71" i="19"/>
  <c r="H71" i="19"/>
  <c r="B70" i="4"/>
  <c r="F70" i="4"/>
  <c r="G70" i="4" s="1"/>
  <c r="E53" i="42"/>
  <c r="F53" i="42" s="1"/>
  <c r="D54" i="42" s="1"/>
  <c r="B53" i="42"/>
  <c r="B64" i="23"/>
  <c r="G64" i="23"/>
  <c r="H64" i="23"/>
  <c r="H53" i="41"/>
  <c r="D73" i="3"/>
  <c r="E73" i="3" s="1"/>
  <c r="E74" i="3" s="1"/>
  <c r="D65" i="27"/>
  <c r="E65" i="27" s="1"/>
  <c r="F65" i="27" s="1"/>
  <c r="D62" i="31"/>
  <c r="E62" i="31" s="1"/>
  <c r="F62" i="31" s="1"/>
  <c r="G58" i="37"/>
  <c r="D59" i="37"/>
  <c r="E59" i="37" s="1"/>
  <c r="B59" i="34"/>
  <c r="D58" i="39"/>
  <c r="E58" i="39" s="1"/>
  <c r="F58" i="39" s="1"/>
  <c r="D55" i="40"/>
  <c r="E55" i="40" s="1"/>
  <c r="F55" i="40" s="1"/>
  <c r="D56" i="40" s="1"/>
  <c r="D67" i="25"/>
  <c r="E67" i="25" s="1"/>
  <c r="F67" i="25" s="1"/>
  <c r="G54" i="40"/>
  <c r="I54" i="40" s="1"/>
  <c r="G66" i="25"/>
  <c r="I66" i="25" s="1"/>
  <c r="I67" i="21"/>
  <c r="B66" i="26"/>
  <c r="H66" i="26"/>
  <c r="G66" i="26"/>
  <c r="E67" i="24"/>
  <c r="F67" i="24" s="1"/>
  <c r="H67" i="18"/>
  <c r="G52" i="42"/>
  <c r="G64" i="27"/>
  <c r="I64" i="27" s="1"/>
  <c r="F65" i="29"/>
  <c r="G65" i="29" s="1"/>
  <c r="E59" i="34"/>
  <c r="F59" i="34" s="1"/>
  <c r="G53" i="41"/>
  <c r="B72" i="3"/>
  <c r="H72" i="3"/>
  <c r="G72" i="3"/>
  <c r="I66" i="26" l="1"/>
  <c r="G53" i="42"/>
  <c r="I67" i="18"/>
  <c r="I71" i="19"/>
  <c r="I68" i="21"/>
  <c r="I58" i="37"/>
  <c r="I52" i="42"/>
  <c r="D66" i="27"/>
  <c r="E66" i="27" s="1"/>
  <c r="F66" i="27" s="1"/>
  <c r="E56" i="40"/>
  <c r="F56" i="40" s="1"/>
  <c r="B56" i="40"/>
  <c r="H65" i="23"/>
  <c r="D66" i="23"/>
  <c r="E66" i="23" s="1"/>
  <c r="F66" i="23" s="1"/>
  <c r="D66" i="29"/>
  <c r="E66" i="29" s="1"/>
  <c r="G67" i="24"/>
  <c r="D68" i="24"/>
  <c r="D59" i="39"/>
  <c r="E59" i="39" s="1"/>
  <c r="F59" i="39" s="1"/>
  <c r="B73" i="3"/>
  <c r="F73" i="3"/>
  <c r="G73" i="3" s="1"/>
  <c r="G74" i="3" s="1"/>
  <c r="B67" i="26"/>
  <c r="F67" i="26"/>
  <c r="G67" i="26" s="1"/>
  <c r="B65" i="23"/>
  <c r="G65" i="23"/>
  <c r="D62" i="38"/>
  <c r="E62" i="38" s="1"/>
  <c r="G59" i="34"/>
  <c r="D60" i="34"/>
  <c r="E60" i="34" s="1"/>
  <c r="F60" i="34" s="1"/>
  <c r="B58" i="39"/>
  <c r="G58" i="39"/>
  <c r="H58" i="39"/>
  <c r="B59" i="37"/>
  <c r="F59" i="37"/>
  <c r="G59" i="37" s="1"/>
  <c r="I53" i="41"/>
  <c r="H53" i="42"/>
  <c r="D65" i="22"/>
  <c r="E65" i="22" s="1"/>
  <c r="F65" i="22" s="1"/>
  <c r="B68" i="18"/>
  <c r="G68" i="18"/>
  <c r="H68" i="18"/>
  <c r="I57" i="39"/>
  <c r="D73" i="19"/>
  <c r="E73" i="19" s="1"/>
  <c r="E74" i="19" s="1"/>
  <c r="H61" i="38"/>
  <c r="G67" i="25"/>
  <c r="D68" i="25"/>
  <c r="E68" i="25" s="1"/>
  <c r="F68" i="25" s="1"/>
  <c r="D63" i="31"/>
  <c r="E63" i="31" s="1"/>
  <c r="F63" i="31" s="1"/>
  <c r="D55" i="41"/>
  <c r="E55" i="41" s="1"/>
  <c r="F55" i="41" s="1"/>
  <c r="D56" i="41" s="1"/>
  <c r="B69" i="21"/>
  <c r="B67" i="25"/>
  <c r="H67" i="25"/>
  <c r="B62" i="31"/>
  <c r="H62" i="31"/>
  <c r="G62" i="31"/>
  <c r="E54" i="42"/>
  <c r="F54" i="42" s="1"/>
  <c r="H54" i="42" s="1"/>
  <c r="B54" i="42"/>
  <c r="B61" i="35"/>
  <c r="F61" i="35"/>
  <c r="G61" i="35" s="1"/>
  <c r="D69" i="18"/>
  <c r="H54" i="41"/>
  <c r="H67" i="24"/>
  <c r="I72" i="3"/>
  <c r="H65" i="29"/>
  <c r="I65" i="29" s="1"/>
  <c r="B55" i="40"/>
  <c r="G55" i="40"/>
  <c r="H55" i="40"/>
  <c r="H59" i="34"/>
  <c r="B65" i="27"/>
  <c r="H65" i="27"/>
  <c r="G65" i="27"/>
  <c r="I64" i="23"/>
  <c r="H70" i="4"/>
  <c r="I70" i="4" s="1"/>
  <c r="D71" i="4"/>
  <c r="E71" i="4" s="1"/>
  <c r="B64" i="22"/>
  <c r="G64" i="22"/>
  <c r="H64" i="22"/>
  <c r="I61" i="31"/>
  <c r="G54" i="41"/>
  <c r="B72" i="19"/>
  <c r="H72" i="19"/>
  <c r="G72" i="19"/>
  <c r="G61" i="38"/>
  <c r="E69" i="21"/>
  <c r="F69" i="21" s="1"/>
  <c r="H69" i="21" s="1"/>
  <c r="H73" i="3" l="1"/>
  <c r="I67" i="24"/>
  <c r="I53" i="42"/>
  <c r="G54" i="42"/>
  <c r="I54" i="41"/>
  <c r="I55" i="40"/>
  <c r="I64" i="22"/>
  <c r="I67" i="25"/>
  <c r="D64" i="31"/>
  <c r="E64" i="31" s="1"/>
  <c r="F64" i="31" s="1"/>
  <c r="H65" i="22"/>
  <c r="D66" i="22"/>
  <c r="I72" i="19"/>
  <c r="B73" i="19"/>
  <c r="F73" i="19"/>
  <c r="H73" i="19" s="1"/>
  <c r="I73" i="3"/>
  <c r="I74" i="3" s="1"/>
  <c r="H74" i="3"/>
  <c r="B59" i="39"/>
  <c r="G59" i="39"/>
  <c r="H59" i="39"/>
  <c r="F66" i="29"/>
  <c r="G66" i="29" s="1"/>
  <c r="D57" i="40"/>
  <c r="E56" i="41"/>
  <c r="F56" i="41" s="1"/>
  <c r="D57" i="41" s="1"/>
  <c r="B56" i="41"/>
  <c r="H68" i="25"/>
  <c r="D69" i="25"/>
  <c r="E69" i="25" s="1"/>
  <c r="F69" i="25" s="1"/>
  <c r="D70" i="25" s="1"/>
  <c r="D60" i="39"/>
  <c r="E60" i="39" s="1"/>
  <c r="F60" i="39" s="1"/>
  <c r="I65" i="27"/>
  <c r="I54" i="42"/>
  <c r="I62" i="31"/>
  <c r="B68" i="25"/>
  <c r="G68" i="25"/>
  <c r="D70" i="21"/>
  <c r="E70" i="21" s="1"/>
  <c r="F70" i="21" s="1"/>
  <c r="H61" i="35"/>
  <c r="I61" i="35" s="1"/>
  <c r="D62" i="35"/>
  <c r="E62" i="35" s="1"/>
  <c r="F62" i="35" s="1"/>
  <c r="G69" i="21"/>
  <c r="I69" i="21" s="1"/>
  <c r="D61" i="34"/>
  <c r="B62" i="38"/>
  <c r="F62" i="38"/>
  <c r="H62" i="38" s="1"/>
  <c r="H67" i="26"/>
  <c r="I67" i="26" s="1"/>
  <c r="D68" i="26"/>
  <c r="E68" i="26" s="1"/>
  <c r="F68" i="26" s="1"/>
  <c r="E68" i="24"/>
  <c r="F68" i="24" s="1"/>
  <c r="D69" i="24" s="1"/>
  <c r="B68" i="24"/>
  <c r="D67" i="23"/>
  <c r="E67" i="23" s="1"/>
  <c r="H56" i="40"/>
  <c r="D67" i="27"/>
  <c r="B69" i="18"/>
  <c r="B71" i="4"/>
  <c r="F71" i="4"/>
  <c r="H71" i="4" s="1"/>
  <c r="G55" i="41"/>
  <c r="H55" i="41"/>
  <c r="B55" i="41"/>
  <c r="D60" i="37"/>
  <c r="I59" i="34"/>
  <c r="E69" i="18"/>
  <c r="F69" i="18" s="1"/>
  <c r="D55" i="42"/>
  <c r="B63" i="31"/>
  <c r="H63" i="31"/>
  <c r="G63" i="31"/>
  <c r="I61" i="38"/>
  <c r="I68" i="18"/>
  <c r="B65" i="22"/>
  <c r="G65" i="22"/>
  <c r="H59" i="37"/>
  <c r="I59" i="37" s="1"/>
  <c r="I58" i="39"/>
  <c r="B60" i="34"/>
  <c r="G60" i="34"/>
  <c r="H60" i="34"/>
  <c r="I65" i="23"/>
  <c r="B66" i="23"/>
  <c r="G66" i="23"/>
  <c r="H66" i="23"/>
  <c r="G56" i="40"/>
  <c r="B66" i="27"/>
  <c r="H66" i="27"/>
  <c r="G66" i="27"/>
  <c r="H68" i="24" l="1"/>
  <c r="H56" i="41"/>
  <c r="G56" i="41"/>
  <c r="I68" i="25"/>
  <c r="H66" i="29"/>
  <c r="I66" i="29" s="1"/>
  <c r="G68" i="24"/>
  <c r="I66" i="27"/>
  <c r="I65" i="22"/>
  <c r="I59" i="39"/>
  <c r="H74" i="19"/>
  <c r="D70" i="18"/>
  <c r="E70" i="18" s="1"/>
  <c r="F70" i="18" s="1"/>
  <c r="G69" i="18"/>
  <c r="H69" i="18"/>
  <c r="B60" i="37"/>
  <c r="E70" i="25"/>
  <c r="F70" i="25" s="1"/>
  <c r="G70" i="25" s="1"/>
  <c r="B70" i="25"/>
  <c r="B68" i="26"/>
  <c r="G68" i="26"/>
  <c r="H68" i="26"/>
  <c r="D63" i="38"/>
  <c r="E63" i="38" s="1"/>
  <c r="F63" i="38" s="1"/>
  <c r="D71" i="21"/>
  <c r="E71" i="21" s="1"/>
  <c r="F71" i="21" s="1"/>
  <c r="B69" i="25"/>
  <c r="H69" i="25"/>
  <c r="G69" i="25"/>
  <c r="B55" i="42"/>
  <c r="D69" i="26"/>
  <c r="B57" i="40"/>
  <c r="B66" i="22"/>
  <c r="I63" i="31"/>
  <c r="G71" i="4"/>
  <c r="I71" i="4" s="1"/>
  <c r="D72" i="4"/>
  <c r="E72" i="4" s="1"/>
  <c r="F72" i="4" s="1"/>
  <c r="I56" i="40"/>
  <c r="I55" i="41"/>
  <c r="G62" i="35"/>
  <c r="D63" i="35"/>
  <c r="B70" i="21"/>
  <c r="G70" i="21"/>
  <c r="H70" i="21"/>
  <c r="D61" i="39"/>
  <c r="E61" i="39" s="1"/>
  <c r="F61" i="39" s="1"/>
  <c r="E57" i="41"/>
  <c r="F57" i="41" s="1"/>
  <c r="B57" i="41"/>
  <c r="G73" i="19"/>
  <c r="G74" i="19" s="1"/>
  <c r="D65" i="31"/>
  <c r="B67" i="27"/>
  <c r="B61" i="34"/>
  <c r="I66" i="23"/>
  <c r="I60" i="34"/>
  <c r="E55" i="42"/>
  <c r="F55" i="42" s="1"/>
  <c r="E60" i="37"/>
  <c r="F60" i="37" s="1"/>
  <c r="H60" i="37" s="1"/>
  <c r="E67" i="27"/>
  <c r="F67" i="27" s="1"/>
  <c r="H67" i="27" s="1"/>
  <c r="F67" i="23"/>
  <c r="D68" i="23" s="1"/>
  <c r="B67" i="23"/>
  <c r="E69" i="24"/>
  <c r="F69" i="24" s="1"/>
  <c r="H69" i="24" s="1"/>
  <c r="B69" i="24"/>
  <c r="G62" i="38"/>
  <c r="I62" i="38" s="1"/>
  <c r="E61" i="34"/>
  <c r="F61" i="34" s="1"/>
  <c r="G61" i="34" s="1"/>
  <c r="B62" i="35"/>
  <c r="H62" i="35"/>
  <c r="I62" i="35" s="1"/>
  <c r="B60" i="39"/>
  <c r="H60" i="39"/>
  <c r="G60" i="39"/>
  <c r="E57" i="40"/>
  <c r="F57" i="40" s="1"/>
  <c r="D58" i="40" s="1"/>
  <c r="D67" i="29"/>
  <c r="E67" i="29" s="1"/>
  <c r="F67" i="29" s="1"/>
  <c r="E66" i="22"/>
  <c r="F66" i="22" s="1"/>
  <c r="H66" i="22" s="1"/>
  <c r="B64" i="31"/>
  <c r="G64" i="31"/>
  <c r="H64" i="31"/>
  <c r="I56" i="41" l="1"/>
  <c r="I68" i="24"/>
  <c r="G69" i="24"/>
  <c r="I69" i="24" s="1"/>
  <c r="H67" i="23"/>
  <c r="I64" i="31"/>
  <c r="G67" i="23"/>
  <c r="G57" i="40"/>
  <c r="I68" i="26"/>
  <c r="H61" i="39"/>
  <c r="D62" i="39"/>
  <c r="B63" i="35"/>
  <c r="H72" i="4"/>
  <c r="D73" i="4"/>
  <c r="D71" i="18"/>
  <c r="D68" i="29"/>
  <c r="E68" i="29" s="1"/>
  <c r="F68" i="29" s="1"/>
  <c r="D61" i="37"/>
  <c r="E61" i="37" s="1"/>
  <c r="F61" i="37" s="1"/>
  <c r="D62" i="37" s="1"/>
  <c r="D58" i="41"/>
  <c r="E58" i="41" s="1"/>
  <c r="F58" i="41" s="1"/>
  <c r="D59" i="41" s="1"/>
  <c r="I70" i="21"/>
  <c r="B72" i="4"/>
  <c r="G72" i="4"/>
  <c r="I72" i="4" s="1"/>
  <c r="B71" i="21"/>
  <c r="H71" i="21"/>
  <c r="B70" i="18"/>
  <c r="H70" i="18"/>
  <c r="G70" i="18"/>
  <c r="G67" i="27"/>
  <c r="I67" i="27" s="1"/>
  <c r="D68" i="27"/>
  <c r="E68" i="27" s="1"/>
  <c r="F68" i="27" s="1"/>
  <c r="D62" i="34"/>
  <c r="B69" i="26"/>
  <c r="G71" i="21"/>
  <c r="D72" i="21"/>
  <c r="E72" i="21" s="1"/>
  <c r="F72" i="21" s="1"/>
  <c r="G67" i="29"/>
  <c r="H67" i="29"/>
  <c r="I60" i="39"/>
  <c r="H55" i="42"/>
  <c r="D56" i="42"/>
  <c r="H61" i="34"/>
  <c r="I61" i="34" s="1"/>
  <c r="H57" i="41"/>
  <c r="G55" i="42"/>
  <c r="I69" i="25"/>
  <c r="D64" i="38"/>
  <c r="E64" i="38" s="1"/>
  <c r="D71" i="25"/>
  <c r="E71" i="25" s="1"/>
  <c r="D67" i="22"/>
  <c r="E67" i="22" s="1"/>
  <c r="F67" i="22" s="1"/>
  <c r="B65" i="31"/>
  <c r="G66" i="22"/>
  <c r="I66" i="22" s="1"/>
  <c r="E58" i="40"/>
  <c r="F58" i="40" s="1"/>
  <c r="D59" i="40" s="1"/>
  <c r="B58" i="40"/>
  <c r="D70" i="24"/>
  <c r="E70" i="24" s="1"/>
  <c r="F70" i="24" s="1"/>
  <c r="D71" i="24" s="1"/>
  <c r="E68" i="23"/>
  <c r="F68" i="23" s="1"/>
  <c r="B68" i="23"/>
  <c r="E65" i="31"/>
  <c r="F65" i="31" s="1"/>
  <c r="G57" i="41"/>
  <c r="B61" i="39"/>
  <c r="G61" i="39"/>
  <c r="E63" i="35"/>
  <c r="F63" i="35" s="1"/>
  <c r="H57" i="40"/>
  <c r="I57" i="40" s="1"/>
  <c r="E69" i="26"/>
  <c r="F69" i="26" s="1"/>
  <c r="B63" i="38"/>
  <c r="G63" i="38"/>
  <c r="H63" i="38"/>
  <c r="H70" i="25"/>
  <c r="I70" i="25" s="1"/>
  <c r="G60" i="37"/>
  <c r="I60" i="37" s="1"/>
  <c r="I69" i="18"/>
  <c r="I73" i="19"/>
  <c r="I74" i="19" s="1"/>
  <c r="I67" i="29" l="1"/>
  <c r="I61" i="39"/>
  <c r="I55" i="42"/>
  <c r="H58" i="40"/>
  <c r="I67" i="23"/>
  <c r="I63" i="38"/>
  <c r="G58" i="40"/>
  <c r="D70" i="26"/>
  <c r="E70" i="26" s="1"/>
  <c r="F70" i="26" s="1"/>
  <c r="H69" i="26"/>
  <c r="G69" i="26"/>
  <c r="H63" i="35"/>
  <c r="D64" i="35"/>
  <c r="E64" i="35" s="1"/>
  <c r="F64" i="35" s="1"/>
  <c r="G63" i="35"/>
  <c r="D69" i="27"/>
  <c r="E69" i="27" s="1"/>
  <c r="F69" i="27" s="1"/>
  <c r="G67" i="22"/>
  <c r="D68" i="22"/>
  <c r="I57" i="41"/>
  <c r="B62" i="39"/>
  <c r="D66" i="31"/>
  <c r="E66" i="31" s="1"/>
  <c r="F66" i="31" s="1"/>
  <c r="D69" i="23"/>
  <c r="E69" i="23" s="1"/>
  <c r="F69" i="23" s="1"/>
  <c r="H65" i="31"/>
  <c r="B67" i="22"/>
  <c r="H67" i="22"/>
  <c r="F64" i="38"/>
  <c r="G64" i="38" s="1"/>
  <c r="B64" i="38"/>
  <c r="B72" i="21"/>
  <c r="G72" i="21"/>
  <c r="H72" i="21"/>
  <c r="I70" i="18"/>
  <c r="G58" i="41"/>
  <c r="B58" i="41"/>
  <c r="H58" i="41"/>
  <c r="D69" i="29"/>
  <c r="E69" i="29" s="1"/>
  <c r="F69" i="29" s="1"/>
  <c r="E73" i="4"/>
  <c r="E74" i="4" s="1"/>
  <c r="B73" i="4"/>
  <c r="B62" i="34"/>
  <c r="E59" i="41"/>
  <c r="F59" i="41" s="1"/>
  <c r="D60" i="41" s="1"/>
  <c r="B59" i="41"/>
  <c r="H68" i="23"/>
  <c r="E71" i="24"/>
  <c r="F71" i="24" s="1"/>
  <c r="G71" i="24" s="1"/>
  <c r="B71" i="24"/>
  <c r="G65" i="31"/>
  <c r="E56" i="42"/>
  <c r="F56" i="42" s="1"/>
  <c r="B56" i="42"/>
  <c r="B68" i="27"/>
  <c r="H68" i="27"/>
  <c r="G68" i="27"/>
  <c r="E62" i="37"/>
  <c r="F62" i="37" s="1"/>
  <c r="H62" i="37" s="1"/>
  <c r="B62" i="37"/>
  <c r="H68" i="29"/>
  <c r="G68" i="29"/>
  <c r="D73" i="21"/>
  <c r="E73" i="21" s="1"/>
  <c r="E74" i="21" s="1"/>
  <c r="B71" i="18"/>
  <c r="G68" i="23"/>
  <c r="B70" i="24"/>
  <c r="H70" i="24"/>
  <c r="G70" i="24"/>
  <c r="E59" i="40"/>
  <c r="F59" i="40" s="1"/>
  <c r="B59" i="40"/>
  <c r="F71" i="25"/>
  <c r="G71" i="25" s="1"/>
  <c r="B71" i="25"/>
  <c r="E62" i="34"/>
  <c r="F62" i="34" s="1"/>
  <c r="I71" i="21"/>
  <c r="B61" i="37"/>
  <c r="G61" i="37"/>
  <c r="H61" i="37"/>
  <c r="E71" i="18"/>
  <c r="F71" i="18" s="1"/>
  <c r="H71" i="18" s="1"/>
  <c r="E62" i="39"/>
  <c r="F62" i="39" s="1"/>
  <c r="H62" i="39" s="1"/>
  <c r="I61" i="37" l="1"/>
  <c r="G71" i="18"/>
  <c r="I71" i="18" s="1"/>
  <c r="G62" i="37"/>
  <c r="I62" i="37" s="1"/>
  <c r="I63" i="35"/>
  <c r="H71" i="24"/>
  <c r="I71" i="24" s="1"/>
  <c r="I67" i="22"/>
  <c r="I58" i="40"/>
  <c r="D63" i="34"/>
  <c r="E63" i="34" s="1"/>
  <c r="H62" i="34"/>
  <c r="G62" i="34"/>
  <c r="G59" i="40"/>
  <c r="D60" i="40"/>
  <c r="E60" i="40" s="1"/>
  <c r="F60" i="40" s="1"/>
  <c r="D61" i="40" s="1"/>
  <c r="H59" i="40"/>
  <c r="H56" i="42"/>
  <c r="D57" i="42"/>
  <c r="E57" i="42" s="1"/>
  <c r="F57" i="42" s="1"/>
  <c r="G56" i="42"/>
  <c r="B68" i="22"/>
  <c r="H71" i="25"/>
  <c r="I71" i="25" s="1"/>
  <c r="H59" i="41"/>
  <c r="H69" i="29"/>
  <c r="D70" i="29"/>
  <c r="I69" i="26"/>
  <c r="G62" i="39"/>
  <c r="I62" i="39" s="1"/>
  <c r="D63" i="39"/>
  <c r="I70" i="24"/>
  <c r="G59" i="41"/>
  <c r="G69" i="29"/>
  <c r="D67" i="31"/>
  <c r="E67" i="31" s="1"/>
  <c r="F67" i="31" s="1"/>
  <c r="D70" i="27"/>
  <c r="E70" i="27" s="1"/>
  <c r="F70" i="27" s="1"/>
  <c r="B64" i="35"/>
  <c r="G64" i="35"/>
  <c r="H64" i="35"/>
  <c r="H70" i="26"/>
  <c r="D71" i="26"/>
  <c r="E71" i="26" s="1"/>
  <c r="F71" i="26" s="1"/>
  <c r="D72" i="25"/>
  <c r="E72" i="25" s="1"/>
  <c r="F72" i="25" s="1"/>
  <c r="I68" i="23"/>
  <c r="E60" i="41"/>
  <c r="F60" i="41" s="1"/>
  <c r="D61" i="41" s="1"/>
  <c r="B60" i="41"/>
  <c r="H64" i="38"/>
  <c r="I64" i="38" s="1"/>
  <c r="D65" i="38"/>
  <c r="E65" i="38" s="1"/>
  <c r="F65" i="38" s="1"/>
  <c r="D70" i="23"/>
  <c r="E70" i="23" s="1"/>
  <c r="F70" i="23" s="1"/>
  <c r="B73" i="21"/>
  <c r="F73" i="21"/>
  <c r="H73" i="21" s="1"/>
  <c r="I68" i="27"/>
  <c r="B69" i="23"/>
  <c r="G69" i="23"/>
  <c r="H69" i="23"/>
  <c r="D65" i="35"/>
  <c r="E65" i="35" s="1"/>
  <c r="D72" i="18"/>
  <c r="E72" i="18" s="1"/>
  <c r="I68" i="29"/>
  <c r="D63" i="37"/>
  <c r="D72" i="24"/>
  <c r="E72" i="24" s="1"/>
  <c r="F72" i="24" s="1"/>
  <c r="F73" i="4"/>
  <c r="I58" i="41"/>
  <c r="I72" i="21"/>
  <c r="I65" i="31"/>
  <c r="B66" i="31"/>
  <c r="H66" i="31"/>
  <c r="G66" i="31"/>
  <c r="E68" i="22"/>
  <c r="F68" i="22" s="1"/>
  <c r="B69" i="27"/>
  <c r="H69" i="27"/>
  <c r="G69" i="27"/>
  <c r="B70" i="26"/>
  <c r="G70" i="26"/>
  <c r="G60" i="41" l="1"/>
  <c r="I70" i="26"/>
  <c r="I69" i="23"/>
  <c r="G73" i="21"/>
  <c r="G74" i="21" s="1"/>
  <c r="I64" i="35"/>
  <c r="I56" i="42"/>
  <c r="I62" i="34"/>
  <c r="I69" i="29"/>
  <c r="I59" i="40"/>
  <c r="B63" i="37"/>
  <c r="D58" i="42"/>
  <c r="E58" i="42" s="1"/>
  <c r="F58" i="42" s="1"/>
  <c r="G68" i="22"/>
  <c r="D69" i="22"/>
  <c r="G72" i="24"/>
  <c r="D73" i="24"/>
  <c r="B65" i="38"/>
  <c r="G65" i="38"/>
  <c r="H65" i="38"/>
  <c r="B57" i="42"/>
  <c r="H57" i="42"/>
  <c r="G57" i="42"/>
  <c r="B72" i="24"/>
  <c r="H72" i="24"/>
  <c r="D71" i="23"/>
  <c r="E61" i="41"/>
  <c r="F61" i="41" s="1"/>
  <c r="D62" i="41" s="1"/>
  <c r="B61" i="41"/>
  <c r="D72" i="26"/>
  <c r="E72" i="26" s="1"/>
  <c r="F72" i="26" s="1"/>
  <c r="D68" i="31"/>
  <c r="I59" i="41"/>
  <c r="B60" i="40"/>
  <c r="H60" i="40"/>
  <c r="G60" i="40"/>
  <c r="H73" i="4"/>
  <c r="G73" i="4"/>
  <c r="G74" i="4" s="1"/>
  <c r="D66" i="38"/>
  <c r="D73" i="25"/>
  <c r="E73" i="25" s="1"/>
  <c r="E74" i="25" s="1"/>
  <c r="D71" i="27"/>
  <c r="B63" i="39"/>
  <c r="F65" i="35"/>
  <c r="H65" i="35" s="1"/>
  <c r="B65" i="35"/>
  <c r="B72" i="25"/>
  <c r="H72" i="25"/>
  <c r="G72" i="25"/>
  <c r="B70" i="27"/>
  <c r="H70" i="27"/>
  <c r="G70" i="27"/>
  <c r="H68" i="22"/>
  <c r="E61" i="40"/>
  <c r="F61" i="40" s="1"/>
  <c r="B61" i="40"/>
  <c r="I69" i="27"/>
  <c r="I66" i="31"/>
  <c r="E63" i="37"/>
  <c r="F63" i="37" s="1"/>
  <c r="G63" i="37" s="1"/>
  <c r="B72" i="18"/>
  <c r="F72" i="18"/>
  <c r="H72" i="18"/>
  <c r="H74" i="21"/>
  <c r="B70" i="23"/>
  <c r="H70" i="23"/>
  <c r="G70" i="23"/>
  <c r="H60" i="41"/>
  <c r="I60" i="41" s="1"/>
  <c r="B71" i="26"/>
  <c r="H71" i="26"/>
  <c r="G71" i="26"/>
  <c r="B67" i="31"/>
  <c r="G67" i="31"/>
  <c r="H67" i="31"/>
  <c r="E63" i="39"/>
  <c r="F63" i="39" s="1"/>
  <c r="D64" i="39" s="1"/>
  <c r="E70" i="29"/>
  <c r="F70" i="29" s="1"/>
  <c r="H70" i="29" s="1"/>
  <c r="F63" i="34"/>
  <c r="B63" i="34"/>
  <c r="I72" i="25" l="1"/>
  <c r="I67" i="31"/>
  <c r="I68" i="22"/>
  <c r="I73" i="21"/>
  <c r="I74" i="21" s="1"/>
  <c r="I72" i="24"/>
  <c r="I71" i="26"/>
  <c r="I60" i="40"/>
  <c r="I57" i="42"/>
  <c r="G63" i="39"/>
  <c r="G70" i="29"/>
  <c r="I70" i="29" s="1"/>
  <c r="I70" i="23"/>
  <c r="I70" i="27"/>
  <c r="H63" i="39"/>
  <c r="H61" i="41"/>
  <c r="I65" i="38"/>
  <c r="G61" i="40"/>
  <c r="D62" i="40"/>
  <c r="H61" i="40"/>
  <c r="H72" i="26"/>
  <c r="D73" i="26"/>
  <c r="E73" i="26" s="1"/>
  <c r="E74" i="26" s="1"/>
  <c r="B71" i="27"/>
  <c r="B68" i="31"/>
  <c r="G63" i="34"/>
  <c r="D64" i="34"/>
  <c r="G72" i="18"/>
  <c r="I72" i="18" s="1"/>
  <c r="D73" i="18"/>
  <c r="E73" i="18" s="1"/>
  <c r="E74" i="18" s="1"/>
  <c r="E73" i="24"/>
  <c r="E74" i="24" s="1"/>
  <c r="B73" i="24"/>
  <c r="B71" i="23"/>
  <c r="B73" i="25"/>
  <c r="F73" i="25"/>
  <c r="H73" i="25" s="1"/>
  <c r="I73" i="4"/>
  <c r="I74" i="4" s="1"/>
  <c r="H74" i="4"/>
  <c r="B72" i="26"/>
  <c r="G72" i="26"/>
  <c r="E62" i="41"/>
  <c r="F62" i="41" s="1"/>
  <c r="B62" i="41"/>
  <c r="G58" i="42"/>
  <c r="D59" i="42"/>
  <c r="B66" i="38"/>
  <c r="B69" i="22"/>
  <c r="D71" i="29"/>
  <c r="E71" i="29" s="1"/>
  <c r="F71" i="29" s="1"/>
  <c r="H63" i="34"/>
  <c r="E64" i="39"/>
  <c r="F64" i="39" s="1"/>
  <c r="G64" i="39" s="1"/>
  <c r="B64" i="39"/>
  <c r="H63" i="37"/>
  <c r="I63" i="37" s="1"/>
  <c r="D64" i="37"/>
  <c r="E64" i="37" s="1"/>
  <c r="F64" i="37" s="1"/>
  <c r="G65" i="35"/>
  <c r="I65" i="35" s="1"/>
  <c r="D66" i="35"/>
  <c r="E66" i="35" s="1"/>
  <c r="F66" i="35" s="1"/>
  <c r="E71" i="27"/>
  <c r="F71" i="27" s="1"/>
  <c r="G71" i="27" s="1"/>
  <c r="E66" i="38"/>
  <c r="F66" i="38" s="1"/>
  <c r="G66" i="38" s="1"/>
  <c r="E68" i="31"/>
  <c r="F68" i="31" s="1"/>
  <c r="G68" i="31" s="1"/>
  <c r="G61" i="41"/>
  <c r="E71" i="23"/>
  <c r="F71" i="23" s="1"/>
  <c r="H71" i="23" s="1"/>
  <c r="E69" i="22"/>
  <c r="F69" i="22" s="1"/>
  <c r="D70" i="22" s="1"/>
  <c r="B58" i="42"/>
  <c r="H58" i="42"/>
  <c r="I58" i="42" l="1"/>
  <c r="H64" i="39"/>
  <c r="G73" i="25"/>
  <c r="G74" i="25" s="1"/>
  <c r="I61" i="41"/>
  <c r="I63" i="34"/>
  <c r="I72" i="26"/>
  <c r="F73" i="24"/>
  <c r="I61" i="40"/>
  <c r="I63" i="39"/>
  <c r="D63" i="41"/>
  <c r="H62" i="41"/>
  <c r="G62" i="41"/>
  <c r="H71" i="29"/>
  <c r="E64" i="34"/>
  <c r="F64" i="34" s="1"/>
  <c r="G64" i="34" s="1"/>
  <c r="B64" i="34"/>
  <c r="D72" i="23"/>
  <c r="E72" i="23" s="1"/>
  <c r="F72" i="23" s="1"/>
  <c r="D73" i="23" s="1"/>
  <c r="D65" i="37"/>
  <c r="B64" i="37"/>
  <c r="H64" i="37"/>
  <c r="G64" i="37"/>
  <c r="E70" i="22"/>
  <c r="F70" i="22" s="1"/>
  <c r="H70" i="22" s="1"/>
  <c r="B70" i="22"/>
  <c r="B66" i="35"/>
  <c r="G66" i="35"/>
  <c r="H66" i="35"/>
  <c r="D65" i="39"/>
  <c r="G69" i="22"/>
  <c r="E59" i="42"/>
  <c r="F59" i="42" s="1"/>
  <c r="B59" i="42"/>
  <c r="H74" i="25"/>
  <c r="G71" i="23"/>
  <c r="I71" i="23" s="1"/>
  <c r="B73" i="26"/>
  <c r="F73" i="26"/>
  <c r="G73" i="26" s="1"/>
  <c r="G74" i="26" s="1"/>
  <c r="E62" i="40"/>
  <c r="F62" i="40" s="1"/>
  <c r="G62" i="40" s="1"/>
  <c r="B62" i="40"/>
  <c r="D72" i="27"/>
  <c r="G71" i="29"/>
  <c r="D72" i="29"/>
  <c r="E72" i="29" s="1"/>
  <c r="F72" i="29" s="1"/>
  <c r="D67" i="35"/>
  <c r="E67" i="35" s="1"/>
  <c r="F67" i="35" s="1"/>
  <c r="I64" i="39"/>
  <c r="D69" i="31"/>
  <c r="D67" i="38"/>
  <c r="E67" i="38" s="1"/>
  <c r="F67" i="38" s="1"/>
  <c r="H69" i="22"/>
  <c r="H66" i="38"/>
  <c r="I66" i="38" s="1"/>
  <c r="B73" i="18"/>
  <c r="F73" i="18"/>
  <c r="H73" i="18" s="1"/>
  <c r="H68" i="31"/>
  <c r="I68" i="31" s="1"/>
  <c r="H71" i="27"/>
  <c r="I71" i="27" s="1"/>
  <c r="I73" i="25" l="1"/>
  <c r="I74" i="25" s="1"/>
  <c r="I69" i="22"/>
  <c r="H73" i="26"/>
  <c r="I73" i="26" s="1"/>
  <c r="I74" i="26" s="1"/>
  <c r="G70" i="22"/>
  <c r="I70" i="22" s="1"/>
  <c r="I66" i="35"/>
  <c r="H73" i="24"/>
  <c r="G73" i="24"/>
  <c r="G74" i="24" s="1"/>
  <c r="B69" i="31"/>
  <c r="B65" i="39"/>
  <c r="D68" i="38"/>
  <c r="E68" i="38" s="1"/>
  <c r="F68" i="38" s="1"/>
  <c r="I64" i="37"/>
  <c r="E73" i="23"/>
  <c r="E74" i="23" s="1"/>
  <c r="B73" i="23"/>
  <c r="I62" i="41"/>
  <c r="H74" i="18"/>
  <c r="D73" i="29"/>
  <c r="E73" i="29" s="1"/>
  <c r="E74" i="29" s="1"/>
  <c r="D63" i="40"/>
  <c r="E63" i="40" s="1"/>
  <c r="F63" i="40" s="1"/>
  <c r="H59" i="42"/>
  <c r="D60" i="42"/>
  <c r="G73" i="18"/>
  <c r="G74" i="18" s="1"/>
  <c r="B67" i="38"/>
  <c r="G67" i="38"/>
  <c r="H67" i="38"/>
  <c r="H62" i="40"/>
  <c r="I62" i="40" s="1"/>
  <c r="G59" i="42"/>
  <c r="B72" i="23"/>
  <c r="H72" i="23"/>
  <c r="G72" i="23"/>
  <c r="D65" i="34"/>
  <c r="E65" i="34" s="1"/>
  <c r="F65" i="34" s="1"/>
  <c r="E63" i="41"/>
  <c r="F63" i="41" s="1"/>
  <c r="D64" i="41" s="1"/>
  <c r="B63" i="41"/>
  <c r="B72" i="27"/>
  <c r="B65" i="37"/>
  <c r="H72" i="29"/>
  <c r="G72" i="29"/>
  <c r="D68" i="35"/>
  <c r="E68" i="35" s="1"/>
  <c r="F68" i="35" s="1"/>
  <c r="E69" i="31"/>
  <c r="F69" i="31" s="1"/>
  <c r="H69" i="31" s="1"/>
  <c r="B67" i="35"/>
  <c r="G67" i="35"/>
  <c r="H67" i="35"/>
  <c r="E72" i="27"/>
  <c r="F72" i="27" s="1"/>
  <c r="G72" i="27" s="1"/>
  <c r="E65" i="39"/>
  <c r="F65" i="39" s="1"/>
  <c r="D71" i="22"/>
  <c r="E71" i="22" s="1"/>
  <c r="F71" i="22" s="1"/>
  <c r="E65" i="37"/>
  <c r="F65" i="37" s="1"/>
  <c r="H65" i="37" s="1"/>
  <c r="H64" i="34"/>
  <c r="I64" i="34" s="1"/>
  <c r="I71" i="29"/>
  <c r="H74" i="26" l="1"/>
  <c r="I67" i="35"/>
  <c r="H63" i="41"/>
  <c r="I72" i="29"/>
  <c r="G63" i="41"/>
  <c r="I59" i="42"/>
  <c r="I67" i="38"/>
  <c r="F73" i="23"/>
  <c r="H73" i="23" s="1"/>
  <c r="H74" i="23" s="1"/>
  <c r="H74" i="24"/>
  <c r="I73" i="24"/>
  <c r="I74" i="24" s="1"/>
  <c r="D66" i="34"/>
  <c r="E66" i="34" s="1"/>
  <c r="F66" i="34" s="1"/>
  <c r="D69" i="38"/>
  <c r="E69" i="38" s="1"/>
  <c r="F69" i="38" s="1"/>
  <c r="B63" i="40"/>
  <c r="G63" i="40"/>
  <c r="I73" i="18"/>
  <c r="I74" i="18" s="1"/>
  <c r="B68" i="38"/>
  <c r="G68" i="38"/>
  <c r="H68" i="38"/>
  <c r="G69" i="31"/>
  <c r="I69" i="31" s="1"/>
  <c r="D72" i="22"/>
  <c r="E72" i="22" s="1"/>
  <c r="F72" i="22" s="1"/>
  <c r="D73" i="22" s="1"/>
  <c r="H68" i="35"/>
  <c r="D69" i="35"/>
  <c r="E69" i="35" s="1"/>
  <c r="F69" i="35" s="1"/>
  <c r="H63" i="40"/>
  <c r="D64" i="40"/>
  <c r="B71" i="22"/>
  <c r="H71" i="22"/>
  <c r="G71" i="22"/>
  <c r="B65" i="34"/>
  <c r="G65" i="34"/>
  <c r="H65" i="34"/>
  <c r="D66" i="39"/>
  <c r="E66" i="39" s="1"/>
  <c r="F66" i="39" s="1"/>
  <c r="E60" i="42"/>
  <c r="F60" i="42" s="1"/>
  <c r="D61" i="42" s="1"/>
  <c r="B60" i="42"/>
  <c r="H65" i="39"/>
  <c r="B68" i="35"/>
  <c r="G68" i="35"/>
  <c r="G65" i="37"/>
  <c r="I65" i="37" s="1"/>
  <c r="D66" i="37"/>
  <c r="E66" i="37" s="1"/>
  <c r="H72" i="27"/>
  <c r="I72" i="27" s="1"/>
  <c r="D73" i="27"/>
  <c r="E73" i="27" s="1"/>
  <c r="E74" i="27" s="1"/>
  <c r="D70" i="31"/>
  <c r="E64" i="41"/>
  <c r="F64" i="41" s="1"/>
  <c r="B64" i="41"/>
  <c r="I72" i="23"/>
  <c r="F73" i="29"/>
  <c r="G73" i="29" s="1"/>
  <c r="G74" i="29" s="1"/>
  <c r="G65" i="39"/>
  <c r="I71" i="22" l="1"/>
  <c r="I63" i="41"/>
  <c r="G73" i="23"/>
  <c r="G74" i="23" s="1"/>
  <c r="G60" i="42"/>
  <c r="H60" i="42"/>
  <c r="I60" i="42" s="1"/>
  <c r="H73" i="29"/>
  <c r="I73" i="29" s="1"/>
  <c r="I74" i="29" s="1"/>
  <c r="I68" i="35"/>
  <c r="I68" i="38"/>
  <c r="I63" i="40"/>
  <c r="D70" i="35"/>
  <c r="E70" i="35" s="1"/>
  <c r="F70" i="35" s="1"/>
  <c r="B70" i="31"/>
  <c r="E64" i="40"/>
  <c r="F64" i="40" s="1"/>
  <c r="D65" i="40" s="1"/>
  <c r="B64" i="40"/>
  <c r="B66" i="39"/>
  <c r="H66" i="39"/>
  <c r="E73" i="22"/>
  <c r="E74" i="22" s="1"/>
  <c r="B73" i="22"/>
  <c r="B66" i="34"/>
  <c r="H66" i="34"/>
  <c r="G66" i="34"/>
  <c r="H64" i="41"/>
  <c r="D65" i="41"/>
  <c r="D67" i="34"/>
  <c r="E67" i="34" s="1"/>
  <c r="F67" i="34" s="1"/>
  <c r="B73" i="27"/>
  <c r="F73" i="27"/>
  <c r="H73" i="27" s="1"/>
  <c r="I65" i="34"/>
  <c r="B72" i="22"/>
  <c r="G72" i="22"/>
  <c r="H72" i="22"/>
  <c r="D70" i="38"/>
  <c r="G66" i="39"/>
  <c r="D67" i="39"/>
  <c r="F66" i="37"/>
  <c r="G66" i="37" s="1"/>
  <c r="B66" i="37"/>
  <c r="G64" i="41"/>
  <c r="E70" i="31"/>
  <c r="F70" i="31" s="1"/>
  <c r="G70" i="31" s="1"/>
  <c r="I65" i="39"/>
  <c r="E61" i="42"/>
  <c r="F61" i="42" s="1"/>
  <c r="B61" i="42"/>
  <c r="B69" i="35"/>
  <c r="H69" i="35"/>
  <c r="G69" i="35"/>
  <c r="B69" i="38"/>
  <c r="G69" i="38"/>
  <c r="H69" i="38"/>
  <c r="I73" i="23" l="1"/>
  <c r="I74" i="23" s="1"/>
  <c r="H74" i="29"/>
  <c r="G64" i="40"/>
  <c r="I69" i="35"/>
  <c r="I72" i="22"/>
  <c r="G73" i="27"/>
  <c r="G74" i="27" s="1"/>
  <c r="G61" i="42"/>
  <c r="D62" i="42"/>
  <c r="E62" i="42" s="1"/>
  <c r="F62" i="42" s="1"/>
  <c r="D63" i="42" s="1"/>
  <c r="H61" i="42"/>
  <c r="D68" i="34"/>
  <c r="E68" i="34" s="1"/>
  <c r="I66" i="39"/>
  <c r="B70" i="38"/>
  <c r="B67" i="34"/>
  <c r="G67" i="34"/>
  <c r="H67" i="34"/>
  <c r="F73" i="22"/>
  <c r="E65" i="40"/>
  <c r="F65" i="40" s="1"/>
  <c r="D66" i="40" s="1"/>
  <c r="B65" i="40"/>
  <c r="D71" i="35"/>
  <c r="B65" i="41"/>
  <c r="D71" i="31"/>
  <c r="H66" i="37"/>
  <c r="I66" i="37" s="1"/>
  <c r="D67" i="37"/>
  <c r="E67" i="37" s="1"/>
  <c r="F67" i="37" s="1"/>
  <c r="I69" i="38"/>
  <c r="I64" i="41"/>
  <c r="E67" i="39"/>
  <c r="F67" i="39" s="1"/>
  <c r="D68" i="39" s="1"/>
  <c r="B67" i="39"/>
  <c r="E70" i="38"/>
  <c r="F70" i="38" s="1"/>
  <c r="H74" i="27"/>
  <c r="E65" i="41"/>
  <c r="F65" i="41" s="1"/>
  <c r="G65" i="41" s="1"/>
  <c r="I66" i="34"/>
  <c r="H64" i="40"/>
  <c r="I64" i="40" s="1"/>
  <c r="H70" i="31"/>
  <c r="I70" i="31" s="1"/>
  <c r="B70" i="35"/>
  <c r="H70" i="35"/>
  <c r="G70" i="35"/>
  <c r="H67" i="39" l="1"/>
  <c r="I73" i="27"/>
  <c r="I74" i="27" s="1"/>
  <c r="I61" i="42"/>
  <c r="I67" i="34"/>
  <c r="B71" i="31"/>
  <c r="D71" i="38"/>
  <c r="E71" i="38" s="1"/>
  <c r="F71" i="38" s="1"/>
  <c r="E63" i="42"/>
  <c r="F63" i="42" s="1"/>
  <c r="H63" i="42" s="1"/>
  <c r="B63" i="42"/>
  <c r="B71" i="35"/>
  <c r="E68" i="39"/>
  <c r="F68" i="39" s="1"/>
  <c r="H68" i="39" s="1"/>
  <c r="B68" i="39"/>
  <c r="G65" i="40"/>
  <c r="H70" i="38"/>
  <c r="G70" i="38"/>
  <c r="F68" i="34"/>
  <c r="G68" i="34" s="1"/>
  <c r="B68" i="34"/>
  <c r="H62" i="42"/>
  <c r="B62" i="42"/>
  <c r="G62" i="42"/>
  <c r="D68" i="37"/>
  <c r="E68" i="37" s="1"/>
  <c r="F68" i="37" s="1"/>
  <c r="E66" i="40"/>
  <c r="F66" i="40" s="1"/>
  <c r="D67" i="40" s="1"/>
  <c r="B66" i="40"/>
  <c r="I70" i="35"/>
  <c r="B67" i="37"/>
  <c r="G67" i="37"/>
  <c r="H67" i="37"/>
  <c r="H73" i="22"/>
  <c r="G73" i="22"/>
  <c r="G74" i="22" s="1"/>
  <c r="H65" i="41"/>
  <c r="I65" i="41" s="1"/>
  <c r="D66" i="41"/>
  <c r="G67" i="39"/>
  <c r="I67" i="39" s="1"/>
  <c r="E71" i="31"/>
  <c r="F71" i="31" s="1"/>
  <c r="E71" i="35"/>
  <c r="F71" i="35" s="1"/>
  <c r="G71" i="35" s="1"/>
  <c r="H65" i="40"/>
  <c r="G63" i="42" l="1"/>
  <c r="G68" i="39"/>
  <c r="G66" i="40"/>
  <c r="I62" i="42"/>
  <c r="H71" i="31"/>
  <c r="D72" i="31"/>
  <c r="E72" i="31" s="1"/>
  <c r="F72" i="31" s="1"/>
  <c r="D73" i="31" s="1"/>
  <c r="B71" i="38"/>
  <c r="H71" i="38"/>
  <c r="G71" i="38"/>
  <c r="D69" i="37"/>
  <c r="E69" i="37" s="1"/>
  <c r="F69" i="37" s="1"/>
  <c r="I68" i="39"/>
  <c r="I73" i="22"/>
  <c r="I74" i="22" s="1"/>
  <c r="H74" i="22"/>
  <c r="E67" i="40"/>
  <c r="F67" i="40" s="1"/>
  <c r="B67" i="40"/>
  <c r="I65" i="40"/>
  <c r="I63" i="42"/>
  <c r="G71" i="31"/>
  <c r="D72" i="35"/>
  <c r="E72" i="35" s="1"/>
  <c r="F72" i="35" s="1"/>
  <c r="H71" i="35"/>
  <c r="I71" i="35" s="1"/>
  <c r="D72" i="38"/>
  <c r="E72" i="38" s="1"/>
  <c r="F72" i="38" s="1"/>
  <c r="D73" i="38" s="1"/>
  <c r="B68" i="37"/>
  <c r="G68" i="37"/>
  <c r="H68" i="37"/>
  <c r="I70" i="38"/>
  <c r="E66" i="41"/>
  <c r="F66" i="41" s="1"/>
  <c r="B66" i="41"/>
  <c r="I67" i="37"/>
  <c r="H66" i="40"/>
  <c r="I66" i="40" s="1"/>
  <c r="H68" i="34"/>
  <c r="I68" i="34" s="1"/>
  <c r="D69" i="34"/>
  <c r="D69" i="39"/>
  <c r="E69" i="39" s="1"/>
  <c r="F69" i="39" s="1"/>
  <c r="D64" i="42"/>
  <c r="I68" i="37" l="1"/>
  <c r="D67" i="41"/>
  <c r="E67" i="41" s="1"/>
  <c r="F67" i="41" s="1"/>
  <c r="H66" i="41"/>
  <c r="G66" i="41"/>
  <c r="E73" i="31"/>
  <c r="E74" i="31" s="1"/>
  <c r="B73" i="31"/>
  <c r="F73" i="31"/>
  <c r="H73" i="31" s="1"/>
  <c r="B69" i="34"/>
  <c r="D68" i="40"/>
  <c r="E68" i="40" s="1"/>
  <c r="F68" i="40" s="1"/>
  <c r="E73" i="38"/>
  <c r="E74" i="38" s="1"/>
  <c r="B73" i="38"/>
  <c r="B69" i="37"/>
  <c r="H69" i="37"/>
  <c r="G69" i="37"/>
  <c r="H72" i="38"/>
  <c r="G72" i="38"/>
  <c r="H67" i="40"/>
  <c r="B72" i="31"/>
  <c r="H72" i="31"/>
  <c r="G72" i="31"/>
  <c r="B64" i="42"/>
  <c r="D73" i="35"/>
  <c r="E73" i="35" s="1"/>
  <c r="E74" i="35" s="1"/>
  <c r="D70" i="37"/>
  <c r="E70" i="37" s="1"/>
  <c r="F70" i="37" s="1"/>
  <c r="D70" i="39"/>
  <c r="E70" i="39" s="1"/>
  <c r="F70" i="39" s="1"/>
  <c r="G72" i="35"/>
  <c r="H72" i="35"/>
  <c r="B69" i="39"/>
  <c r="G69" i="39"/>
  <c r="H69" i="39"/>
  <c r="E64" i="42"/>
  <c r="F64" i="42" s="1"/>
  <c r="E69" i="34"/>
  <c r="F69" i="34" s="1"/>
  <c r="G67" i="40"/>
  <c r="I71" i="38"/>
  <c r="I71" i="31"/>
  <c r="I66" i="41" l="1"/>
  <c r="G73" i="31"/>
  <c r="G74" i="31"/>
  <c r="F73" i="38"/>
  <c r="G73" i="38" s="1"/>
  <c r="G74" i="38" s="1"/>
  <c r="I69" i="37"/>
  <c r="D71" i="37"/>
  <c r="E71" i="37" s="1"/>
  <c r="D70" i="34"/>
  <c r="E70" i="34" s="1"/>
  <c r="F70" i="34" s="1"/>
  <c r="G69" i="34"/>
  <c r="H69" i="34"/>
  <c r="G64" i="42"/>
  <c r="D65" i="42"/>
  <c r="H64" i="42"/>
  <c r="G68" i="40"/>
  <c r="D69" i="40"/>
  <c r="E69" i="40" s="1"/>
  <c r="F69" i="40" s="1"/>
  <c r="D70" i="40" s="1"/>
  <c r="I73" i="31"/>
  <c r="H74" i="31"/>
  <c r="D71" i="39"/>
  <c r="E71" i="39" s="1"/>
  <c r="F71" i="39" s="1"/>
  <c r="I67" i="40"/>
  <c r="B73" i="35"/>
  <c r="F73" i="35"/>
  <c r="G73" i="35" s="1"/>
  <c r="G74" i="35" s="1"/>
  <c r="I72" i="35"/>
  <c r="I72" i="31"/>
  <c r="I72" i="38"/>
  <c r="H73" i="38"/>
  <c r="G67" i="41"/>
  <c r="D68" i="41"/>
  <c r="B70" i="39"/>
  <c r="G70" i="39"/>
  <c r="H70" i="39"/>
  <c r="I69" i="39"/>
  <c r="B70" i="37"/>
  <c r="H70" i="37"/>
  <c r="G70" i="37"/>
  <c r="B68" i="40"/>
  <c r="H68" i="40"/>
  <c r="B67" i="41"/>
  <c r="H67" i="41"/>
  <c r="I67" i="41" l="1"/>
  <c r="I68" i="40"/>
  <c r="H73" i="35"/>
  <c r="I73" i="35" s="1"/>
  <c r="I74" i="35" s="1"/>
  <c r="I70" i="39"/>
  <c r="I69" i="34"/>
  <c r="D72" i="39"/>
  <c r="E72" i="39" s="1"/>
  <c r="F72" i="39" s="1"/>
  <c r="B71" i="39"/>
  <c r="G71" i="39"/>
  <c r="H71" i="39"/>
  <c r="B70" i="34"/>
  <c r="H70" i="34"/>
  <c r="G70" i="34"/>
  <c r="E70" i="40"/>
  <c r="F70" i="40" s="1"/>
  <c r="B70" i="40"/>
  <c r="D71" i="34"/>
  <c r="E71" i="34" s="1"/>
  <c r="F71" i="34" s="1"/>
  <c r="E68" i="41"/>
  <c r="F68" i="41" s="1"/>
  <c r="H68" i="41" s="1"/>
  <c r="B68" i="41"/>
  <c r="E65" i="42"/>
  <c r="F65" i="42" s="1"/>
  <c r="D66" i="42" s="1"/>
  <c r="B65" i="42"/>
  <c r="H69" i="40"/>
  <c r="B69" i="40"/>
  <c r="G69" i="40"/>
  <c r="I70" i="37"/>
  <c r="I73" i="38"/>
  <c r="I74" i="38" s="1"/>
  <c r="H74" i="38"/>
  <c r="I74" i="31"/>
  <c r="I64" i="42"/>
  <c r="B71" i="37"/>
  <c r="F71" i="37"/>
  <c r="G71" i="37" s="1"/>
  <c r="H74" i="35" l="1"/>
  <c r="G68" i="41"/>
  <c r="I68" i="41" s="1"/>
  <c r="H71" i="37"/>
  <c r="I71" i="37" s="1"/>
  <c r="I70" i="34"/>
  <c r="G65" i="42"/>
  <c r="I71" i="39"/>
  <c r="D72" i="34"/>
  <c r="E72" i="34" s="1"/>
  <c r="F72" i="34" s="1"/>
  <c r="B71" i="34"/>
  <c r="H71" i="34"/>
  <c r="G71" i="34"/>
  <c r="D71" i="40"/>
  <c r="E71" i="40" s="1"/>
  <c r="H72" i="39"/>
  <c r="G72" i="39"/>
  <c r="D73" i="39"/>
  <c r="D72" i="37"/>
  <c r="E72" i="37" s="1"/>
  <c r="F72" i="37" s="1"/>
  <c r="H65" i="42"/>
  <c r="G70" i="40"/>
  <c r="I69" i="40"/>
  <c r="E66" i="42"/>
  <c r="F66" i="42" s="1"/>
  <c r="D67" i="42" s="1"/>
  <c r="B66" i="42"/>
  <c r="D69" i="41"/>
  <c r="H70" i="40"/>
  <c r="I70" i="40" l="1"/>
  <c r="I65" i="42"/>
  <c r="I72" i="39"/>
  <c r="I71" i="34"/>
  <c r="B69" i="41"/>
  <c r="D73" i="37"/>
  <c r="H72" i="37"/>
  <c r="G72" i="37"/>
  <c r="H66" i="42"/>
  <c r="E73" i="39"/>
  <c r="E74" i="39" s="1"/>
  <c r="B73" i="39"/>
  <c r="D73" i="34"/>
  <c r="E73" i="34" s="1"/>
  <c r="E74" i="34" s="1"/>
  <c r="E67" i="42"/>
  <c r="F67" i="42" s="1"/>
  <c r="D68" i="42" s="1"/>
  <c r="B67" i="42"/>
  <c r="G66" i="42"/>
  <c r="F71" i="40"/>
  <c r="B71" i="40"/>
  <c r="E69" i="41"/>
  <c r="F69" i="41" s="1"/>
  <c r="D70" i="41" s="1"/>
  <c r="H72" i="34"/>
  <c r="G72" i="34"/>
  <c r="I66" i="42" l="1"/>
  <c r="I72" i="34"/>
  <c r="G67" i="42"/>
  <c r="D72" i="40"/>
  <c r="E72" i="40" s="1"/>
  <c r="F72" i="40" s="1"/>
  <c r="E68" i="42"/>
  <c r="F68" i="42" s="1"/>
  <c r="D69" i="42" s="1"/>
  <c r="B68" i="42"/>
  <c r="H69" i="41"/>
  <c r="E70" i="41"/>
  <c r="F70" i="41" s="1"/>
  <c r="B70" i="41"/>
  <c r="B73" i="37"/>
  <c r="G71" i="40"/>
  <c r="H71" i="40"/>
  <c r="H67" i="42"/>
  <c r="F73" i="39"/>
  <c r="I72" i="37"/>
  <c r="G69" i="41"/>
  <c r="B73" i="34"/>
  <c r="F73" i="34"/>
  <c r="H73" i="34" s="1"/>
  <c r="E73" i="37"/>
  <c r="E74" i="37" s="1"/>
  <c r="I67" i="42" l="1"/>
  <c r="I69" i="41"/>
  <c r="G73" i="34"/>
  <c r="G74" i="34" s="1"/>
  <c r="D71" i="41"/>
  <c r="E71" i="41" s="1"/>
  <c r="F71" i="41" s="1"/>
  <c r="D72" i="41" s="1"/>
  <c r="H73" i="39"/>
  <c r="G73" i="39"/>
  <c r="G74" i="39" s="1"/>
  <c r="G70" i="41"/>
  <c r="E69" i="42"/>
  <c r="F69" i="42" s="1"/>
  <c r="B69" i="42"/>
  <c r="H70" i="41"/>
  <c r="H68" i="42"/>
  <c r="D73" i="40"/>
  <c r="E73" i="40" s="1"/>
  <c r="E74" i="40" s="1"/>
  <c r="H74" i="34"/>
  <c r="I71" i="40"/>
  <c r="F73" i="37"/>
  <c r="G68" i="42"/>
  <c r="H72" i="40"/>
  <c r="G72" i="40"/>
  <c r="I73" i="34" l="1"/>
  <c r="I74" i="34" s="1"/>
  <c r="I70" i="41"/>
  <c r="D70" i="42"/>
  <c r="E70" i="42" s="1"/>
  <c r="F70" i="42" s="1"/>
  <c r="H69" i="42"/>
  <c r="G69" i="42"/>
  <c r="E72" i="41"/>
  <c r="F72" i="41" s="1"/>
  <c r="D73" i="41" s="1"/>
  <c r="I73" i="39"/>
  <c r="I74" i="39" s="1"/>
  <c r="H74" i="39"/>
  <c r="H73" i="37"/>
  <c r="G73" i="37"/>
  <c r="G74" i="37" s="1"/>
  <c r="B73" i="40"/>
  <c r="F73" i="40"/>
  <c r="H73" i="40" s="1"/>
  <c r="B71" i="41"/>
  <c r="G71" i="41"/>
  <c r="H71" i="41"/>
  <c r="I72" i="40"/>
  <c r="I68" i="42"/>
  <c r="G72" i="41" l="1"/>
  <c r="G73" i="40"/>
  <c r="G74" i="40" s="1"/>
  <c r="H72" i="41"/>
  <c r="I72" i="41" s="1"/>
  <c r="I69" i="42"/>
  <c r="H74" i="40"/>
  <c r="I71" i="41"/>
  <c r="I73" i="37"/>
  <c r="I74" i="37" s="1"/>
  <c r="H74" i="37"/>
  <c r="D71" i="42"/>
  <c r="E71" i="42" s="1"/>
  <c r="F71" i="42" s="1"/>
  <c r="E73" i="41"/>
  <c r="E74" i="41" s="1"/>
  <c r="B73" i="41"/>
  <c r="B70" i="42"/>
  <c r="H70" i="42"/>
  <c r="G70" i="42"/>
  <c r="I73" i="40" l="1"/>
  <c r="I74" i="40" s="1"/>
  <c r="F73" i="41"/>
  <c r="H73" i="41" s="1"/>
  <c r="H74" i="41" s="1"/>
  <c r="D72" i="42"/>
  <c r="E72" i="42" s="1"/>
  <c r="F72" i="42" s="1"/>
  <c r="B71" i="42"/>
  <c r="G71" i="42"/>
  <c r="H71" i="42"/>
  <c r="I70" i="42"/>
  <c r="G73" i="41" l="1"/>
  <c r="G74" i="41" s="1"/>
  <c r="I71" i="42"/>
  <c r="D73" i="42"/>
  <c r="E73" i="42" s="1"/>
  <c r="E74" i="42" s="1"/>
  <c r="G72" i="42"/>
  <c r="H72" i="42"/>
  <c r="I73" i="41" l="1"/>
  <c r="I74" i="41" s="1"/>
  <c r="I72" i="42"/>
  <c r="B73" i="42"/>
  <c r="F73" i="42"/>
  <c r="H73" i="42" s="1"/>
  <c r="G73" i="42" l="1"/>
  <c r="G74" i="42" s="1"/>
  <c r="H74" i="42"/>
  <c r="I73" i="42" l="1"/>
  <c r="I74"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R.Pennybaker</author>
    <author>AEP</author>
  </authors>
  <commentList>
    <comment ref="C16" authorId="0" shapeId="0" xr:uid="{00000000-0006-0000-0000-000001000000}">
      <text>
        <r>
          <rPr>
            <b/>
            <sz val="8"/>
            <color indexed="81"/>
            <rFont val="Tahoma"/>
            <family val="2"/>
          </rPr>
          <t>R.Pennybaker:</t>
        </r>
        <r>
          <rPr>
            <sz val="8"/>
            <color indexed="81"/>
            <rFont val="Tahoma"/>
            <family val="2"/>
          </rPr>
          <t xml:space="preserve">
Project Descriptions are in cell [P.xxx]!$D$7]</t>
        </r>
      </text>
    </comment>
    <comment ref="D16" authorId="0" shapeId="0" xr:uid="{00000000-0006-0000-0000-000002000000}">
      <text>
        <r>
          <rPr>
            <b/>
            <sz val="8"/>
            <color indexed="81"/>
            <rFont val="Tahoma"/>
            <family val="2"/>
          </rPr>
          <t>R.Pennybaker:</t>
        </r>
        <r>
          <rPr>
            <sz val="8"/>
            <color indexed="81"/>
            <rFont val="Tahoma"/>
            <family val="2"/>
          </rPr>
          <t xml:space="preserve">
Year In Service is in cell [P.xxx]!$D$11]</t>
        </r>
      </text>
    </comment>
    <comment ref="E16" authorId="0" shapeId="0" xr:uid="{00000000-0006-0000-0000-000003000000}">
      <text>
        <r>
          <rPr>
            <b/>
            <sz val="8"/>
            <color indexed="81"/>
            <rFont val="Tahoma"/>
            <family val="2"/>
          </rPr>
          <t>R.Pennybaker:</t>
        </r>
        <r>
          <rPr>
            <sz val="8"/>
            <color indexed="81"/>
            <rFont val="Tahoma"/>
            <family val="2"/>
          </rPr>
          <t xml:space="preserve">
Projected Base ARR is in cell [P.xxx]!$N$5]</t>
        </r>
      </text>
    </comment>
    <comment ref="F16" authorId="0" shapeId="0" xr:uid="{00000000-0006-0000-0000-000004000000}">
      <text>
        <r>
          <rPr>
            <b/>
            <sz val="8"/>
            <color indexed="81"/>
            <rFont val="Tahoma"/>
            <family val="2"/>
          </rPr>
          <t>R.Pennybaker:</t>
        </r>
        <r>
          <rPr>
            <sz val="8"/>
            <color indexed="81"/>
            <rFont val="Tahoma"/>
            <family val="2"/>
          </rPr>
          <t xml:space="preserve">
Projected Incentive ARR is in WS-F cell N7.</t>
        </r>
      </text>
    </comment>
    <comment ref="I16" authorId="1" shapeId="0" xr:uid="{00000000-0006-0000-0000-00000500000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xr:uid="{00000000-0006-0000-0000-00000600000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xr:uid="{00000000-0006-0000-0000-00000700000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xr:uid="{00000000-0006-0000-0000-000008000000}">
      <text>
        <r>
          <rPr>
            <b/>
            <sz val="8"/>
            <color indexed="81"/>
            <rFont val="Tahoma"/>
            <family val="2"/>
          </rPr>
          <t>R.Pennybaker:</t>
        </r>
        <r>
          <rPr>
            <sz val="8"/>
            <color indexed="81"/>
            <rFont val="Tahoma"/>
            <family val="2"/>
          </rPr>
          <t xml:space="preserve">
This can also be referred to as the Billing Error.</t>
        </r>
      </text>
    </comment>
    <comment ref="N16" authorId="1" shapeId="0" xr:uid="{00000000-0006-0000-0000-000009000000}">
      <text>
        <r>
          <rPr>
            <b/>
            <sz val="8"/>
            <color indexed="81"/>
            <rFont val="Tahoma"/>
            <family val="2"/>
          </rPr>
          <t>AEP:</t>
        </r>
        <r>
          <rPr>
            <sz val="8"/>
            <color indexed="81"/>
            <rFont val="Tahoma"/>
            <family val="2"/>
          </rPr>
          <t xml:space="preserve">
This is "Prior Year True-Up (WS-G)"; and "Incentive Amounts" O88</t>
        </r>
      </text>
    </comment>
    <comment ref="O16" authorId="1" shapeId="0" xr:uid="{00000000-0006-0000-0000-00000A000000}">
      <text>
        <r>
          <rPr>
            <b/>
            <sz val="8"/>
            <color indexed="81"/>
            <rFont val="Tahoma"/>
            <family val="2"/>
          </rPr>
          <t>AEP:</t>
        </r>
        <r>
          <rPr>
            <sz val="8"/>
            <color indexed="81"/>
            <rFont val="Tahoma"/>
            <family val="2"/>
          </rPr>
          <t xml:space="preserve">
Prior Year Projected (WS-F) and Incentive Amounts [cell O87]</t>
        </r>
      </text>
    </comment>
    <comment ref="C21" authorId="1" shapeId="0" xr:uid="{00000000-0006-0000-0000-00000B00000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42" authorId="0" shapeId="0" xr:uid="{00000000-0006-0000-0000-00000C00000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L19" authorId="0" shapeId="0" xr:uid="{00000000-0006-0000-0100-00000100000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M16" authorId="0" shapeId="0" xr:uid="{00000000-0006-0000-0200-00000100000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D10" authorId="0" shapeId="0" xr:uid="{00000000-0006-0000-0600-00000100000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<sst xmlns="http://schemas.openxmlformats.org/spreadsheetml/2006/main" count="3245" uniqueCount="341">
  <si>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</si>
  <si>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</si>
  <si>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</si>
  <si>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</si>
  <si>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</si>
  <si>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</si>
  <si>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</si>
  <si>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</si>
  <si>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</si>
  <si>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</si>
  <si>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</si>
  <si>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</si>
  <si>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</si>
  <si>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</si>
  <si>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</si>
  <si>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</si>
  <si>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</si>
  <si>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</si>
  <si>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</si>
  <si>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</si>
  <si>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</si>
  <si>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</si>
  <si>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</si>
  <si>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</si>
  <si>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</si>
  <si>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</si>
  <si>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</si>
  <si>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</si>
  <si>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</si>
  <si>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</si>
  <si>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</si>
  <si>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</si>
  <si>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</si>
  <si>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</si>
  <si>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</si>
  <si>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</si>
  <si>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</si>
  <si>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</si>
  <si>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</si>
  <si>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</si>
  <si>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</si>
  <si>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</si>
  <si>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</si>
  <si>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</si>
  <si>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</si>
  <si>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</si>
  <si>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</si>
  <si>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</si>
  <si>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</si>
  <si>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</si>
  <si>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</si>
  <si>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</si>
  <si>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</si>
  <si>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</si>
  <si>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</si>
  <si>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</si>
  <si>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</si>
  <si>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</si>
  <si>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</si>
  <si>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</si>
  <si>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</si>
  <si>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</si>
  <si>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</si>
  <si>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</si>
  <si>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</si>
  <si>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</si>
  <si>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</si>
  <si>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</si>
  <si>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</si>
  <si>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</si>
  <si>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</si>
  <si>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</si>
  <si>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</si>
  <si>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</si>
  <si>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</si>
  <si>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</si>
  <si>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</si>
  <si>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</si>
  <si>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</si>
  <si>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</si>
  <si>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</si>
  <si>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</si>
  <si>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</si>
  <si>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</si>
  <si>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</si>
  <si>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</si>
  <si>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</si>
  <si>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</si>
  <si>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</si>
  <si>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</si>
  <si>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</si>
  <si>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</si>
  <si>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</si>
  <si>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</si>
  <si>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</si>
  <si>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</si>
  <si>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</si>
  <si>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</si>
  <si>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</si>
  <si>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</si>
  <si>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</si>
  <si>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</si>
  <si>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</si>
  <si>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</si>
  <si>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</si>
  <si>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</si>
  <si>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</si>
  <si>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</si>
  <si>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</si>
  <si>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</si>
  <si>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</si>
  <si>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</si>
  <si>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</si>
  <si>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</si>
  <si>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</si>
  <si>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</si>
  <si>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</si>
  <si>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</si>
  <si>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</si>
  <si>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</si>
  <si>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</si>
  <si>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</si>
  <si>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</si>
  <si>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</si>
  <si>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</si>
  <si>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</si>
  <si>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</si>
  <si>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</si>
  <si>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</si>
  <si>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</si>
  <si>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</si>
  <si>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</si>
  <si>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</si>
  <si>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</si>
  <si>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</si>
  <si>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</si>
  <si>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</si>
  <si>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</si>
  <si>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</si>
  <si>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</si>
  <si>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</si>
  <si>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</si>
  <si>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</si>
  <si>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</si>
  <si>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</si>
  <si>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</si>
  <si>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</si>
  <si>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</si>
  <si>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</si>
  <si>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</si>
  <si>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</si>
  <si>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</si>
  <si>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</si>
  <si>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</si>
  <si>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</si>
  <si>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</si>
  <si>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</si>
  <si>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</si>
  <si>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</si>
  <si>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</si>
  <si>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</si>
  <si>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</si>
  <si>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</si>
  <si>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</si>
  <si>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</si>
  <si>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</si>
  <si>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</si>
  <si>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</si>
  <si>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</si>
  <si>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</si>
  <si>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</si>
  <si>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</si>
  <si>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</si>
  <si>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</si>
  <si>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</si>
  <si>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</si>
  <si>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</si>
  <si>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</si>
  <si>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</si>
  <si>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</si>
  <si>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</si>
  <si>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</si>
  <si>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</si>
  <si>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</si>
  <si>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</si>
  <si>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</si>
  <si>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</si>
  <si>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</si>
  <si>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</si>
  <si>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</si>
  <si>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</si>
  <si>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</si>
  <si>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</si>
  <si>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</si>
  <si>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</si>
  <si>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</si>
  <si>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</si>
  <si>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</si>
  <si>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</si>
  <si>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</si>
  <si>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</si>
  <si>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</si>
  <si>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</si>
  <si>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</si>
  <si>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</si>
  <si>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</si>
  <si>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</si>
  <si>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</si>
  <si>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</si>
  <si>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</si>
  <si>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</si>
  <si>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</si>
  <si>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</si>
  <si>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</si>
  <si>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</si>
  <si>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</si>
  <si>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</si>
  <si>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</si>
  <si>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</si>
  <si>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</si>
  <si>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</si>
  <si>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</si>
  <si>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</si>
  <si>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</si>
  <si>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</si>
  <si>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</si>
  <si>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</si>
  <si>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</si>
  <si>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</si>
  <si>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</si>
  <si>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</si>
  <si>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</si>
  <si>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</si>
  <si>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</si>
  <si>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</si>
  <si>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</si>
  <si>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</si>
  <si>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</si>
  <si>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</si>
  <si>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</si>
  <si>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</si>
  <si>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</si>
  <si>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</si>
  <si>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</si>
  <si>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</si>
  <si>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</si>
  <si>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</si>
  <si>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</si>
  <si>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</si>
  <si>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</si>
  <si>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</si>
  <si>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</si>
  <si>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</si>
  <si>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</si>
  <si>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</si>
  <si>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</si>
  <si>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</si>
  <si>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</si>
  <si>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</si>
  <si>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</si>
  <si>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</si>
  <si>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</si>
  <si>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</si>
  <si>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</si>
  <si>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</si>
  <si>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</si>
  <si>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</si>
  <si>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</si>
  <si>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</si>
  <si>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</si>
  <si>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</si>
  <si>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</si>
  <si>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</si>
  <si>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</si>
  <si>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</si>
  <si>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</si>
  <si>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</si>
  <si>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</si>
  <si>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</si>
  <si>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</si>
  <si>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</si>
  <si>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</si>
  <si>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</si>
  <si>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</si>
  <si>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 xml:space="preserve">Transmission Plant Average Balance </t>
  </si>
  <si>
    <t>Projected Year</t>
  </si>
  <si>
    <t xml:space="preserve">   Tax Effect of Permanent and Flow Through Differences  (TCOS, ln 110)</t>
  </si>
  <si>
    <t>OKT.019</t>
  </si>
  <si>
    <t xml:space="preserve"> </t>
  </si>
  <si>
    <t>Keystone Dam - Wekiwa 138 kV</t>
  </si>
  <si>
    <t>OKT.020</t>
  </si>
  <si>
    <t>TP2015027</t>
  </si>
  <si>
    <t>TP2015118</t>
  </si>
  <si>
    <t xml:space="preserve">  SPP Project ID = 30809</t>
  </si>
  <si>
    <t xml:space="preserve">  SPP Project ID = 31058</t>
  </si>
  <si>
    <t xml:space="preserve">  SPP Project ID = 31009</t>
  </si>
  <si>
    <t xml:space="preserve">  SPP Project ID = 30361</t>
  </si>
  <si>
    <t xml:space="preserve">  SPP Project ID = 30873</t>
  </si>
  <si>
    <t xml:space="preserve">  SPP Project ID = 30619</t>
  </si>
  <si>
    <t xml:space="preserve">  SPP Project ID = 936</t>
  </si>
  <si>
    <t xml:space="preserve">  SPP Project ID = 30746</t>
  </si>
  <si>
    <t xml:space="preserve">  SPP Project ID = 30770</t>
  </si>
  <si>
    <t xml:space="preserve">  SPP Project ID = 30748</t>
  </si>
  <si>
    <t xml:space="preserve">  SPP Project ID = 30750</t>
  </si>
  <si>
    <t xml:space="preserve">  SPP Project ID = 879</t>
  </si>
  <si>
    <t xml:space="preserve">  SPP Project ID = 30354</t>
  </si>
  <si>
    <t xml:space="preserve">  SPP Project ID = 30346</t>
  </si>
  <si>
    <t xml:space="preserve">  SPP Project ID = 767</t>
  </si>
  <si>
    <t xml:space="preserve">  SPP Project ID = 288</t>
  </si>
  <si>
    <t xml:space="preserve">  SPP Project ID = 446</t>
  </si>
  <si>
    <t xml:space="preserve">  SPP Project ID = 937</t>
  </si>
  <si>
    <t xml:space="preserve">  SPP Project ID = 295</t>
  </si>
  <si>
    <t xml:space="preserve">  SPP Project ID = 480</t>
  </si>
  <si>
    <t>OKT.021</t>
  </si>
  <si>
    <t>OKT.022</t>
  </si>
  <si>
    <t>Tulsa SE - S Hudson 138 kV</t>
  </si>
  <si>
    <t>TP2020033</t>
  </si>
  <si>
    <t>Pryor Junction 138/115 kV</t>
  </si>
  <si>
    <t>TP2019132</t>
  </si>
  <si>
    <t>Transmission Plant Average Balance for 2022</t>
  </si>
  <si>
    <t xml:space="preserve">  SPP Project ID = 81520</t>
  </si>
  <si>
    <t xml:space="preserve">  SPP Project ID = 81571</t>
  </si>
  <si>
    <t xml:space="preserve">  SPP Project ID = </t>
  </si>
  <si>
    <t>Chisholm Substation 345 kV Terminal Upgrades</t>
  </si>
  <si>
    <t>TP2020266</t>
  </si>
  <si>
    <t xml:space="preserve">  SPP Project ID = 81717</t>
  </si>
  <si>
    <t>OKT.023</t>
  </si>
  <si>
    <t xml:space="preserve">   Excess DFIT Adjustment  (TCOS, ln 110)</t>
  </si>
  <si>
    <t xml:space="preserve">   Tax Effect of Permanent and Flow Through Differences (TCOS, ln )</t>
  </si>
  <si>
    <t>Snyder 138 kv Terminal Addition (TP2009013)</t>
  </si>
  <si>
    <t>CoffeyvilleT to Dearing 138 kv Rebuild - 1.1 mi (TP2008013)</t>
  </si>
  <si>
    <t>Tulsa Power Station Reactor (TP2009090)</t>
  </si>
  <si>
    <t xml:space="preserve">Bartlesville SE to Coffeyville T Rebuild (TP2008079-Transco) </t>
  </si>
  <si>
    <t>Install 345kV terminal at Valliant (TP2007167)</t>
  </si>
  <si>
    <t>Canadian River - McAlester City 138 kV Line Conversion (TP2009095)</t>
  </si>
  <si>
    <t>Cornville Station Conversion (TP2011093)</t>
  </si>
  <si>
    <t>Darlington-Roman Nose 138 kV</t>
  </si>
  <si>
    <t>Carnegie South-Southwestern 138 kV Line Rebuild</t>
  </si>
  <si>
    <t>Chisholm - Gracemont 345 kV</t>
  </si>
  <si>
    <t>Duncan-Comanche Tap 69 kV Rebuild and Duncan station upgrades</t>
  </si>
  <si>
    <t>Fort Towson-Valliant 69 kV Line Rebuild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</si>
</sst>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C000"/>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688">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7" fillId="0" borderId="0" xfId="0" applyFont="1" applyFill="1" applyBorder="1"/>
    <xf numFmtId="10" fontId="7" fillId="0" borderId="0" xfId="0" applyNumberFormat="1" applyFont="1" applyBorder="1"/>
    <xf numFmtId="0" fontId="7" fillId="0" borderId="0" xfId="0" applyFont="1" applyFill="1" applyBorder="1" applyAlignment="1"/>
    <xf numFmtId="0" fontId="14" fillId="0" borderId="0" xfId="191" applyNumberFormat="1" applyFont="1" applyFill="1" applyBorder="1" applyAlignment="1" applyProtection="1">
      <protection locked="0"/>
    </xf>
    <xf numFmtId="0" fontId="6" fillId="0" borderId="0" xfId="0" applyFont="1" applyFill="1"/>
    <xf numFmtId="10" fontId="7" fillId="0" borderId="0" xfId="0" applyNumberFormat="1" applyFont="1"/>
    <xf numFmtId="0" fontId="7" fillId="0" borderId="0" xfId="0" applyFont="1" applyFill="1" applyBorder="1" applyAlignment="1">
      <alignment wrapText="1"/>
    </xf>
    <xf numFmtId="0" fontId="0" fillId="0" borderId="0" xfId="0" applyFill="1"/>
    <xf numFmtId="169" fontId="7" fillId="0" borderId="0" xfId="0" applyNumberFormat="1" applyFont="1"/>
    <xf numFmtId="0" fontId="46" fillId="0" borderId="0" xfId="0" applyFont="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0" fontId="7" fillId="0" borderId="14" xfId="0" applyFont="1" applyFill="1" applyBorder="1" applyAlignment="1">
      <alignment horizontal="right"/>
    </xf>
    <xf numFmtId="0" fontId="7" fillId="0" borderId="16" xfId="0" applyFont="1" applyFill="1" applyBorder="1" applyAlignment="1">
      <alignment horizontal="right"/>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39" fillId="0" borderId="0" xfId="0" quotePrefix="1" applyFont="1" applyAlignment="1">
      <alignment horizontal="left"/>
    </xf>
    <xf numFmtId="0" fontId="68"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69" fontId="39" fillId="0" borderId="16" xfId="86" applyNumberFormat="1" applyFont="1" applyFill="1" applyBorder="1" applyAlignment="1">
      <alignment horizontal="center"/>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0" fontId="0" fillId="0" borderId="0" xfId="0" applyProtection="1"/>
    <xf numFmtId="0" fontId="14" fillId="0" borderId="0" xfId="0" applyNumberFormat="1" applyFont="1" applyAlignment="1" applyProtection="1">
      <alignment horizontal="center"/>
    </xf>
    <xf numFmtId="3" fontId="14" fillId="0" borderId="0" xfId="0" quotePrefix="1" applyNumberFormat="1" applyFont="1" applyFill="1" applyAlignment="1" applyProtection="1">
      <alignment horizontal="center"/>
    </xf>
    <xf numFmtId="0" fontId="14" fillId="0" borderId="0" xfId="0" applyNumberFormat="1" applyFont="1" applyFill="1" applyAlignment="1" applyProtection="1">
      <alignment horizontal="center"/>
    </xf>
    <xf numFmtId="168" fontId="14" fillId="0" borderId="0" xfId="191" applyFont="1" applyFill="1" applyAlignment="1" applyProtection="1"/>
    <xf numFmtId="49" fontId="70" fillId="0" borderId="0" xfId="191" applyNumberFormat="1" applyFont="1" applyFill="1" applyAlignment="1" applyProtection="1">
      <alignment horizontal="center"/>
    </xf>
    <xf numFmtId="3"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xf>
    <xf numFmtId="0" fontId="39" fillId="0" borderId="11" xfId="0" applyFont="1" applyBorder="1" applyAlignment="1" applyProtection="1">
      <alignment horizontal="centerContinuous"/>
    </xf>
    <xf numFmtId="0" fontId="39" fillId="0" borderId="11" xfId="0" applyFont="1" applyBorder="1" applyAlignment="1" applyProtection="1">
      <alignment horizontal="left"/>
    </xf>
    <xf numFmtId="0" fontId="53" fillId="0" borderId="0" xfId="0" quotePrefix="1" applyFont="1" applyAlignment="1" applyProtection="1">
      <alignment horizontal="left"/>
    </xf>
    <xf numFmtId="0" fontId="39" fillId="0" borderId="0" xfId="0" applyFont="1" applyBorder="1" applyAlignment="1" applyProtection="1">
      <alignment horizontal="center"/>
    </xf>
    <xf numFmtId="0" fontId="65" fillId="0" borderId="11" xfId="0" quotePrefix="1" applyFont="1" applyBorder="1" applyAlignment="1" applyProtection="1">
      <alignment horizontal="centerContinuous"/>
    </xf>
    <xf numFmtId="0" fontId="65" fillId="0" borderId="0" xfId="0" quotePrefix="1" applyFont="1" applyBorder="1" applyAlignment="1" applyProtection="1">
      <alignment horizontal="centerContinuous"/>
    </xf>
    <xf numFmtId="0" fontId="65" fillId="0" borderId="11" xfId="0" applyFont="1" applyBorder="1" applyAlignment="1" applyProtection="1">
      <alignment horizontal="centerContinuous"/>
    </xf>
    <xf numFmtId="0" fontId="71" fillId="0" borderId="0" xfId="0" applyFont="1" applyFill="1" applyProtection="1"/>
    <xf numFmtId="0" fontId="65" fillId="0" borderId="0" xfId="0" applyFont="1" applyAlignment="1" applyProtection="1">
      <alignment horizontal="center" wrapText="1"/>
    </xf>
    <xf numFmtId="0" fontId="65" fillId="0" borderId="0" xfId="0" applyFont="1" applyAlignment="1" applyProtection="1">
      <alignment horizontal="center"/>
    </xf>
    <xf numFmtId="0" fontId="65" fillId="0" borderId="0" xfId="0" applyFont="1" applyBorder="1" applyAlignment="1" applyProtection="1">
      <alignment horizontal="center" wrapText="1"/>
    </xf>
    <xf numFmtId="0" fontId="65" fillId="0" borderId="0" xfId="0" quotePrefix="1" applyFont="1" applyBorder="1" applyAlignment="1" applyProtection="1">
      <alignment horizontal="center" wrapText="1"/>
    </xf>
    <xf numFmtId="0" fontId="65" fillId="0" borderId="0" xfId="0" applyFont="1" applyBorder="1" applyAlignment="1" applyProtection="1">
      <alignment horizontal="center"/>
    </xf>
    <xf numFmtId="0" fontId="65" fillId="0" borderId="0" xfId="0" quotePrefix="1" applyFont="1" applyFill="1" applyBorder="1" applyAlignment="1" applyProtection="1">
      <alignment horizontal="center" wrapText="1"/>
    </xf>
    <xf numFmtId="0" fontId="65" fillId="0" borderId="0" xfId="0" applyFont="1" applyFill="1" applyBorder="1" applyAlignment="1" applyProtection="1">
      <alignment horizontal="center" wrapText="1"/>
    </xf>
    <xf numFmtId="0" fontId="65" fillId="0" borderId="0" xfId="0" applyFont="1" applyFill="1" applyBorder="1" applyAlignment="1" applyProtection="1">
      <alignment horizontal="center"/>
    </xf>
    <xf numFmtId="0" fontId="0" fillId="0" borderId="41" xfId="0" applyBorder="1" applyAlignment="1" applyProtection="1">
      <alignment horizontal="center" wrapText="1"/>
    </xf>
    <xf numFmtId="0" fontId="39" fillId="0" borderId="0" xfId="0" applyFont="1" applyProtection="1"/>
    <xf numFmtId="0" fontId="0" fillId="0" borderId="25" xfId="0" applyBorder="1" applyProtection="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69" fontId="1" fillId="0" borderId="0" xfId="86" applyNumberFormat="1" applyFont="1" applyFill="1" applyAlignment="1" applyProtection="1">
      <alignment vertical="center"/>
    </xf>
    <xf numFmtId="169" fontId="1" fillId="0" borderId="0" xfId="86" applyNumberFormat="1" applyFill="1" applyAlignment="1" applyProtection="1">
      <alignment vertical="center"/>
    </xf>
    <xf numFmtId="0" fontId="0" fillId="0" borderId="0" xfId="0" applyFill="1" applyAlignment="1" applyProtection="1">
      <alignment vertical="center"/>
    </xf>
    <xf numFmtId="169" fontId="64" fillId="26" borderId="0" xfId="86" applyNumberFormat="1" applyFont="1" applyFill="1" applyAlignment="1" applyProtection="1">
      <alignment vertical="center"/>
    </xf>
    <xf numFmtId="169" fontId="1" fillId="0" borderId="0" xfId="86" applyNumberFormat="1" applyAlignment="1" applyProtection="1">
      <alignment vertical="center"/>
    </xf>
    <xf numFmtId="169" fontId="39" fillId="0" borderId="0" xfId="86" applyNumberFormat="1" applyFont="1" applyAlignment="1" applyProtection="1">
      <alignment horizontal="center" vertical="center"/>
    </xf>
    <xf numFmtId="169" fontId="0" fillId="0" borderId="25" xfId="0" applyNumberFormat="1" applyBorder="1" applyProtection="1"/>
    <xf numFmtId="169" fontId="39" fillId="0" borderId="0" xfId="86" applyNumberFormat="1" applyFont="1" applyAlignment="1" applyProtection="1">
      <alignment vertical="center"/>
    </xf>
    <xf numFmtId="169" fontId="1" fillId="0" borderId="0" xfId="86" applyNumberFormat="1" applyFont="1" applyFill="1" applyBorder="1" applyAlignment="1" applyProtection="1">
      <alignment vertical="center"/>
    </xf>
    <xf numFmtId="169" fontId="1" fillId="0" borderId="0" xfId="86" applyNumberFormat="1" applyFill="1" applyBorder="1" applyAlignment="1" applyProtection="1">
      <alignment vertical="center"/>
    </xf>
    <xf numFmtId="0" fontId="0" fillId="0" borderId="0" xfId="0" applyFill="1" applyBorder="1" applyAlignment="1" applyProtection="1">
      <alignment vertical="center"/>
    </xf>
    <xf numFmtId="169" fontId="64" fillId="26" borderId="0" xfId="86" applyNumberFormat="1" applyFont="1" applyFill="1" applyBorder="1" applyAlignment="1" applyProtection="1">
      <alignment vertical="center"/>
    </xf>
    <xf numFmtId="169" fontId="1" fillId="0" borderId="0" xfId="86" applyNumberFormat="1" applyBorder="1" applyAlignment="1" applyProtection="1">
      <alignment vertical="center"/>
    </xf>
    <xf numFmtId="169" fontId="39" fillId="0" borderId="0" xfId="86" applyNumberFormat="1" applyFont="1" applyBorder="1" applyAlignment="1" applyProtection="1">
      <alignment vertical="center"/>
    </xf>
    <xf numFmtId="0" fontId="7" fillId="0" borderId="0" xfId="0" quotePrefix="1" applyFont="1" applyAlignment="1" applyProtection="1">
      <alignment horizontal="center" vertical="center"/>
    </xf>
    <xf numFmtId="169" fontId="1" fillId="0" borderId="0" xfId="86" applyNumberFormat="1" applyFont="1" applyBorder="1" applyAlignment="1" applyProtection="1">
      <alignment vertical="center"/>
    </xf>
    <xf numFmtId="0" fontId="39" fillId="0" borderId="2" xfId="0" applyFont="1" applyBorder="1" applyAlignment="1" applyProtection="1">
      <alignment horizontal="center" vertical="center"/>
    </xf>
    <xf numFmtId="0" fontId="0" fillId="0" borderId="2" xfId="0" applyBorder="1" applyAlignment="1" applyProtection="1">
      <alignment horizontal="center" vertical="center"/>
    </xf>
    <xf numFmtId="169" fontId="1" fillId="0" borderId="2" xfId="86" applyNumberFormat="1" applyBorder="1" applyAlignment="1" applyProtection="1">
      <alignment vertical="center"/>
    </xf>
    <xf numFmtId="169" fontId="64" fillId="26" borderId="2" xfId="86" applyNumberFormat="1" applyFont="1" applyFill="1" applyBorder="1" applyAlignment="1" applyProtection="1">
      <alignment vertical="center"/>
    </xf>
    <xf numFmtId="169" fontId="39" fillId="0" borderId="25" xfId="0" applyNumberFormat="1" applyFont="1" applyBorder="1" applyProtection="1"/>
    <xf numFmtId="0" fontId="64" fillId="0" borderId="0" xfId="0" quotePrefix="1" applyFont="1" applyAlignment="1" applyProtection="1">
      <alignment horizontal="left"/>
    </xf>
    <xf numFmtId="0" fontId="7" fillId="0" borderId="0" xfId="0" applyFont="1" applyAlignment="1" applyProtection="1">
      <alignment vertical="center"/>
    </xf>
    <xf numFmtId="169" fontId="72" fillId="0" borderId="0" xfId="86" applyNumberFormat="1" applyFont="1" applyAlignment="1" applyProtection="1">
      <alignment horizontal="center" vertical="center"/>
    </xf>
    <xf numFmtId="43" fontId="53" fillId="0" borderId="0" xfId="86" applyFont="1" applyAlignment="1" applyProtection="1">
      <alignment horizontal="center" vertical="center"/>
    </xf>
    <xf numFmtId="43" fontId="74" fillId="0" borderId="0" xfId="86" applyFont="1" applyAlignment="1" applyProtection="1">
      <alignment horizontal="left" vertical="center"/>
    </xf>
    <xf numFmtId="169" fontId="74" fillId="0" borderId="0" xfId="86" applyNumberFormat="1" applyFont="1" applyAlignment="1" applyProtection="1">
      <alignment horizontal="center" vertical="center"/>
    </xf>
    <xf numFmtId="43" fontId="1" fillId="0" borderId="0" xfId="86" applyAlignment="1" applyProtection="1">
      <alignment vertical="center"/>
    </xf>
    <xf numFmtId="169" fontId="0" fillId="0" borderId="26" xfId="0" applyNumberFormat="1" applyBorder="1" applyProtection="1"/>
    <xf numFmtId="0" fontId="7" fillId="0" borderId="0" xfId="0" quotePrefix="1" applyFont="1" applyAlignment="1" applyProtection="1">
      <alignment horizontal="left" vertical="center"/>
    </xf>
    <xf numFmtId="174" fontId="5" fillId="0" borderId="0" xfId="0" applyNumberFormat="1" applyFont="1" applyAlignment="1" applyProtection="1">
      <alignment horizontal="center" vertical="center"/>
    </xf>
    <xf numFmtId="0" fontId="0" fillId="0" borderId="0" xfId="0" quotePrefix="1" applyAlignment="1" applyProtection="1">
      <alignment horizontal="left" vertical="center"/>
    </xf>
    <xf numFmtId="169" fontId="64" fillId="26" borderId="0" xfId="0" applyNumberFormat="1" applyFont="1" applyFill="1" applyAlignment="1" applyProtection="1">
      <alignment vertical="center"/>
    </xf>
    <xf numFmtId="169" fontId="1" fillId="0" borderId="0" xfId="86" applyNumberFormat="1" applyProtection="1"/>
    <xf numFmtId="164" fontId="1" fillId="0" borderId="0" xfId="0" applyNumberFormat="1" applyFont="1" applyFill="1" applyProtection="1"/>
    <xf numFmtId="43" fontId="1" fillId="0" borderId="0" xfId="86" applyProtection="1"/>
    <xf numFmtId="0" fontId="0" fillId="0" borderId="33" xfId="0" applyBorder="1" applyProtection="1"/>
    <xf numFmtId="0" fontId="0" fillId="0" borderId="2" xfId="0" applyBorder="1" applyProtection="1"/>
    <xf numFmtId="169" fontId="1" fillId="0" borderId="2" xfId="86" applyNumberFormat="1" applyBorder="1" applyProtection="1"/>
    <xf numFmtId="0" fontId="0" fillId="0" borderId="27" xfId="0" applyBorder="1" applyProtection="1"/>
    <xf numFmtId="0" fontId="0" fillId="0" borderId="34" xfId="0" applyBorder="1" applyProtection="1"/>
    <xf numFmtId="0" fontId="0" fillId="0" borderId="0" xfId="0" applyBorder="1" applyProtection="1"/>
    <xf numFmtId="0" fontId="0" fillId="0" borderId="0" xfId="0" applyBorder="1" applyAlignment="1" applyProtection="1">
      <alignment horizontal="center"/>
    </xf>
    <xf numFmtId="49" fontId="70" fillId="0" borderId="0" xfId="191" applyNumberFormat="1"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Protection="1"/>
    <xf numFmtId="0" fontId="0" fillId="0" borderId="11" xfId="0" applyBorder="1" applyProtection="1"/>
    <xf numFmtId="169" fontId="1" fillId="0" borderId="11" xfId="86" applyNumberFormat="1" applyBorder="1" applyProtection="1"/>
    <xf numFmtId="0" fontId="0" fillId="0" borderId="37" xfId="0" applyBorder="1" applyProtection="1"/>
    <xf numFmtId="0" fontId="0" fillId="0" borderId="0" xfId="0" quotePrefix="1" applyAlignment="1" applyProtection="1">
      <alignment horizontal="center"/>
    </xf>
    <xf numFmtId="43" fontId="0" fillId="0" borderId="0" xfId="86" applyFont="1" applyProtection="1"/>
    <xf numFmtId="43" fontId="0" fillId="0" borderId="0" xfId="0" applyNumberFormat="1" applyProtection="1"/>
    <xf numFmtId="43" fontId="0" fillId="0" borderId="0" xfId="196" applyNumberFormat="1" applyFont="1" applyProtection="1"/>
    <xf numFmtId="0" fontId="39" fillId="0" borderId="0" xfId="0" quotePrefix="1" applyFont="1" applyAlignment="1" applyProtection="1">
      <alignment horizontal="left"/>
    </xf>
    <xf numFmtId="0" fontId="47" fillId="0" borderId="0" xfId="0" applyFont="1" applyFill="1" applyProtection="1"/>
    <xf numFmtId="170" fontId="0" fillId="0" borderId="0" xfId="106" applyNumberFormat="1" applyFont="1" applyProtection="1"/>
    <xf numFmtId="0" fontId="9" fillId="0" borderId="0" xfId="0" applyFont="1" applyAlignment="1" applyProtection="1">
      <alignment horizontal="left"/>
    </xf>
    <xf numFmtId="0" fontId="7" fillId="0" borderId="0" xfId="191" applyNumberFormat="1" applyFont="1" applyBorder="1" applyAlignment="1" applyProtection="1"/>
    <xf numFmtId="3" fontId="7" fillId="0" borderId="0" xfId="191" applyNumberFormat="1" applyFont="1" applyAlignment="1" applyProtection="1"/>
    <xf numFmtId="10" fontId="7" fillId="0" borderId="0" xfId="191" applyNumberFormat="1" applyFont="1" applyAlignment="1" applyProtection="1"/>
    <xf numFmtId="166" fontId="7" fillId="0" borderId="0" xfId="191" applyNumberFormat="1" applyFont="1" applyAlignment="1" applyProtection="1"/>
    <xf numFmtId="43" fontId="7" fillId="0" borderId="0" xfId="86" applyFont="1" applyAlignment="1" applyProtection="1"/>
    <xf numFmtId="168" fontId="7" fillId="0" borderId="0" xfId="191" applyFont="1" applyAlignment="1" applyProtection="1"/>
    <xf numFmtId="168" fontId="7" fillId="0" borderId="0" xfId="191" applyFont="1" applyBorder="1" applyAlignment="1" applyProtection="1"/>
    <xf numFmtId="0" fontId="7" fillId="0" borderId="0" xfId="0" applyFont="1" applyProtection="1"/>
    <xf numFmtId="0" fontId="7" fillId="0" borderId="0" xfId="0" applyFont="1" applyFill="1" applyProtection="1"/>
    <xf numFmtId="0" fontId="7" fillId="26" borderId="0" xfId="86" applyNumberFormat="1" applyFont="1" applyFill="1" applyAlignment="1" applyProtection="1"/>
    <xf numFmtId="10" fontId="7" fillId="0" borderId="0" xfId="191" applyNumberFormat="1" applyFont="1" applyFill="1" applyAlignment="1" applyProtection="1">
      <alignment horizontal="right"/>
    </xf>
    <xf numFmtId="3" fontId="39" fillId="0" borderId="0" xfId="191" applyNumberFormat="1" applyFont="1" applyAlignment="1" applyProtection="1"/>
    <xf numFmtId="0" fontId="7" fillId="0" borderId="0" xfId="0" applyFont="1" applyFill="1" applyBorder="1" applyProtection="1"/>
    <xf numFmtId="3" fontId="48" fillId="0" borderId="0" xfId="191" applyNumberFormat="1" applyFont="1" applyAlignment="1" applyProtection="1">
      <alignment horizontal="center"/>
    </xf>
    <xf numFmtId="10" fontId="48" fillId="0" borderId="0" xfId="191" applyNumberFormat="1" applyFont="1" applyFill="1" applyAlignment="1" applyProtection="1">
      <alignment horizontal="center"/>
    </xf>
    <xf numFmtId="0" fontId="7" fillId="0" borderId="0" xfId="191" applyNumberFormat="1" applyFont="1" applyFill="1" applyBorder="1" applyAlignment="1" applyProtection="1">
      <alignment horizontal="right"/>
    </xf>
    <xf numFmtId="10" fontId="0" fillId="0" borderId="0" xfId="0" applyNumberFormat="1" applyAlignment="1" applyProtection="1">
      <alignment horizontal="center"/>
    </xf>
    <xf numFmtId="10" fontId="7" fillId="0" borderId="0" xfId="196" applyNumberFormat="1" applyFont="1" applyAlignment="1" applyProtection="1">
      <alignment horizontal="center"/>
    </xf>
    <xf numFmtId="10" fontId="7" fillId="0" borderId="0" xfId="196" applyNumberFormat="1" applyFont="1" applyFill="1" applyAlignment="1" applyProtection="1"/>
    <xf numFmtId="165" fontId="7" fillId="0" borderId="0" xfId="191" applyNumberFormat="1" applyFont="1" applyAlignment="1" applyProtection="1">
      <alignment horizontal="center"/>
    </xf>
    <xf numFmtId="165" fontId="7" fillId="0" borderId="0" xfId="191" applyNumberFormat="1" applyFont="1" applyBorder="1" applyAlignment="1" applyProtection="1">
      <alignment horizontal="center"/>
    </xf>
    <xf numFmtId="168" fontId="7" fillId="0" borderId="13" xfId="191" applyFont="1" applyBorder="1" applyAlignment="1" applyProtection="1"/>
    <xf numFmtId="0" fontId="7" fillId="0" borderId="0" xfId="191" applyNumberFormat="1" applyFont="1" applyBorder="1" applyAlignment="1" applyProtection="1">
      <alignment horizontal="center"/>
    </xf>
    <xf numFmtId="3" fontId="7" fillId="0" borderId="14" xfId="191" applyNumberFormat="1" applyFont="1" applyBorder="1" applyAlignment="1" applyProtection="1"/>
    <xf numFmtId="41" fontId="7" fillId="0" borderId="0" xfId="191" applyNumberFormat="1" applyFont="1" applyAlignment="1" applyProtection="1"/>
    <xf numFmtId="41" fontId="7" fillId="0" borderId="0" xfId="191" applyNumberFormat="1" applyFont="1" applyAlignment="1" applyProtection="1">
      <alignment horizontal="center"/>
    </xf>
    <xf numFmtId="41" fontId="7" fillId="0" borderId="0" xfId="191" applyNumberFormat="1" applyFont="1" applyBorder="1" applyAlignment="1" applyProtection="1">
      <alignment horizontal="center"/>
    </xf>
    <xf numFmtId="0" fontId="0" fillId="0" borderId="13" xfId="0" applyBorder="1" applyProtection="1"/>
    <xf numFmtId="0" fontId="0" fillId="0" borderId="14" xfId="0" applyBorder="1" applyProtection="1"/>
    <xf numFmtId="0" fontId="7" fillId="0" borderId="0" xfId="191" applyNumberFormat="1" applyFont="1" applyBorder="1" applyAlignment="1" applyProtection="1">
      <alignment horizontal="right"/>
    </xf>
    <xf numFmtId="10" fontId="48" fillId="0" borderId="0" xfId="196" applyNumberFormat="1" applyFont="1" applyFill="1" applyAlignment="1" applyProtection="1"/>
    <xf numFmtId="165" fontId="15" fillId="0" borderId="15" xfId="191" applyNumberFormat="1" applyFont="1" applyBorder="1" applyAlignment="1" applyProtection="1">
      <alignment horizontal="center"/>
    </xf>
    <xf numFmtId="0" fontId="7" fillId="27" borderId="6" xfId="191" applyNumberFormat="1" applyFont="1" applyFill="1" applyBorder="1" applyAlignment="1" applyProtection="1">
      <alignment horizontal="center"/>
    </xf>
    <xf numFmtId="169" fontId="7" fillId="0" borderId="6" xfId="191" applyNumberFormat="1" applyFont="1" applyBorder="1" applyAlignment="1" applyProtection="1">
      <alignment horizontal="center"/>
    </xf>
    <xf numFmtId="170" fontId="0" fillId="0" borderId="16" xfId="0" applyNumberFormat="1" applyBorder="1" applyProtection="1"/>
    <xf numFmtId="10" fontId="7" fillId="0" borderId="0" xfId="196" applyNumberFormat="1" applyFont="1" applyAlignment="1" applyProtection="1">
      <alignment horizontal="right"/>
    </xf>
    <xf numFmtId="0" fontId="63" fillId="0" borderId="0" xfId="0" applyFont="1" applyAlignment="1" applyProtection="1">
      <alignment horizontal="center"/>
    </xf>
    <xf numFmtId="10" fontId="7" fillId="0" borderId="0" xfId="191" applyNumberFormat="1" applyFont="1" applyFill="1" applyAlignment="1" applyProtection="1">
      <alignment horizontal="left"/>
    </xf>
    <xf numFmtId="41" fontId="7" fillId="0" borderId="0" xfId="191" applyNumberFormat="1" applyFont="1" applyBorder="1" applyAlignment="1" applyProtection="1"/>
    <xf numFmtId="41" fontId="7" fillId="0" borderId="0" xfId="191" applyNumberFormat="1" applyFont="1" applyFill="1" applyAlignment="1" applyProtection="1"/>
    <xf numFmtId="0" fontId="7" fillId="0" borderId="0" xfId="191" applyNumberFormat="1" applyFont="1" applyAlignment="1" applyProtection="1">
      <alignment horizontal="center"/>
    </xf>
    <xf numFmtId="169" fontId="0" fillId="0" borderId="0" xfId="0" applyNumberFormat="1" applyProtection="1"/>
    <xf numFmtId="0" fontId="7" fillId="0" borderId="0" xfId="0" applyFont="1" applyBorder="1" applyProtection="1"/>
    <xf numFmtId="41" fontId="7" fillId="0" borderId="0" xfId="191" quotePrefix="1" applyNumberFormat="1" applyFont="1" applyBorder="1" applyAlignment="1" applyProtection="1"/>
    <xf numFmtId="41" fontId="7" fillId="0" borderId="0" xfId="191" applyNumberFormat="1" applyFont="1" applyFill="1" applyBorder="1" applyAlignment="1" applyProtection="1">
      <alignment horizontal="right"/>
    </xf>
    <xf numFmtId="171" fontId="7" fillId="0" borderId="11" xfId="191" applyNumberFormat="1" applyFont="1" applyBorder="1" applyAlignment="1" applyProtection="1"/>
    <xf numFmtId="43" fontId="7" fillId="0" borderId="0" xfId="191" applyNumberFormat="1" applyFont="1" applyBorder="1" applyAlignment="1" applyProtection="1"/>
    <xf numFmtId="164" fontId="7" fillId="0" borderId="0" xfId="191" applyNumberFormat="1" applyFont="1" applyFill="1" applyBorder="1" applyAlignment="1" applyProtection="1">
      <alignment horizontal="left"/>
    </xf>
    <xf numFmtId="164" fontId="7" fillId="0" borderId="0" xfId="191" applyNumberFormat="1" applyFont="1" applyBorder="1" applyAlignment="1" applyProtection="1">
      <alignment horizontal="left"/>
    </xf>
    <xf numFmtId="3" fontId="7" fillId="0" borderId="0" xfId="191" applyNumberFormat="1" applyFont="1" applyAlignment="1" applyProtection="1">
      <alignment vertical="center" wrapText="1"/>
    </xf>
    <xf numFmtId="41" fontId="7" fillId="0" borderId="0" xfId="191" applyNumberFormat="1" applyFont="1" applyBorder="1" applyAlignment="1" applyProtection="1">
      <alignment vertical="center"/>
    </xf>
    <xf numFmtId="41" fontId="7" fillId="0" borderId="0" xfId="191" applyNumberFormat="1" applyFont="1" applyBorder="1" applyAlignment="1" applyProtection="1">
      <alignment horizontal="center" vertical="center"/>
    </xf>
    <xf numFmtId="0" fontId="39" fillId="0" borderId="0" xfId="0" applyFont="1" applyFill="1" applyBorder="1" applyProtection="1"/>
    <xf numFmtId="3" fontId="7" fillId="0" borderId="0" xfId="191" applyNumberFormat="1" applyFont="1" applyAlignment="1" applyProtection="1">
      <alignment horizontal="right"/>
    </xf>
    <xf numFmtId="41" fontId="7" fillId="0" borderId="0" xfId="191" applyNumberFormat="1" applyFont="1" applyAlignment="1" applyProtection="1">
      <alignment horizontal="right"/>
    </xf>
    <xf numFmtId="10" fontId="7" fillId="0" borderId="0" xfId="0" applyNumberFormat="1" applyFont="1" applyBorder="1" applyProtection="1"/>
    <xf numFmtId="0" fontId="7" fillId="0" borderId="0" xfId="0" applyFont="1" applyAlignment="1" applyProtection="1">
      <alignment horizontal="center"/>
    </xf>
    <xf numFmtId="10" fontId="7" fillId="0" borderId="0" xfId="191" applyNumberFormat="1" applyFont="1" applyFill="1" applyBorder="1" applyAlignment="1" applyProtection="1">
      <alignment horizontal="right"/>
    </xf>
    <xf numFmtId="169" fontId="7" fillId="0" borderId="0" xfId="86" applyNumberFormat="1" applyFont="1" applyBorder="1" applyProtection="1"/>
    <xf numFmtId="164" fontId="7" fillId="0" borderId="2" xfId="191" applyNumberFormat="1" applyFont="1" applyFill="1" applyBorder="1" applyAlignment="1" applyProtection="1">
      <alignment horizontal="left"/>
    </xf>
    <xf numFmtId="0" fontId="7" fillId="0" borderId="2" xfId="0" applyFont="1" applyFill="1" applyBorder="1" applyAlignment="1" applyProtection="1">
      <alignment horizontal="center"/>
    </xf>
    <xf numFmtId="41" fontId="7" fillId="0" borderId="2" xfId="0" applyNumberFormat="1" applyFont="1" applyBorder="1" applyProtection="1"/>
    <xf numFmtId="41" fontId="7" fillId="0" borderId="0" xfId="0" applyNumberFormat="1" applyFont="1" applyBorder="1" applyProtection="1"/>
    <xf numFmtId="0" fontId="7" fillId="0" borderId="0" xfId="0" applyFont="1" applyFill="1" applyBorder="1" applyAlignment="1" applyProtection="1"/>
    <xf numFmtId="3" fontId="14" fillId="0" borderId="0" xfId="191" applyNumberFormat="1" applyFont="1" applyFill="1" applyBorder="1" applyAlignment="1" applyProtection="1"/>
    <xf numFmtId="41" fontId="7" fillId="0" borderId="0" xfId="191" applyNumberFormat="1" applyFont="1" applyFill="1" applyBorder="1" applyAlignment="1" applyProtection="1"/>
    <xf numFmtId="3" fontId="14" fillId="0" borderId="0" xfId="191" applyNumberFormat="1" applyFont="1" applyFill="1" applyBorder="1" applyAlignment="1" applyProtection="1">
      <alignment horizontal="center"/>
    </xf>
    <xf numFmtId="41" fontId="14" fillId="0" borderId="0" xfId="191" applyNumberFormat="1" applyFont="1" applyFill="1" applyBorder="1" applyAlignment="1" applyProtection="1"/>
    <xf numFmtId="0" fontId="14" fillId="0" borderId="0" xfId="191" applyNumberFormat="1" applyFont="1" applyFill="1" applyBorder="1" applyAlignment="1" applyProtection="1"/>
    <xf numFmtId="0" fontId="6" fillId="0" borderId="0" xfId="0" applyFont="1" applyFill="1" applyProtection="1"/>
    <xf numFmtId="0" fontId="9" fillId="0" borderId="0" xfId="0" applyFont="1" applyFill="1" applyAlignment="1" applyProtection="1">
      <alignment horizontal="left"/>
    </xf>
    <xf numFmtId="3" fontId="7" fillId="0" borderId="0" xfId="191" applyNumberFormat="1" applyFont="1" applyFill="1" applyBorder="1" applyAlignment="1" applyProtection="1"/>
    <xf numFmtId="41" fontId="7" fillId="0" borderId="0" xfId="191" applyNumberFormat="1" applyFont="1" applyFill="1" applyBorder="1" applyAlignment="1" applyProtection="1">
      <alignment horizontal="center"/>
    </xf>
    <xf numFmtId="0" fontId="7" fillId="0" borderId="0" xfId="191" applyNumberFormat="1" applyFont="1" applyFill="1" applyBorder="1" applyProtection="1"/>
    <xf numFmtId="3" fontId="7" fillId="0" borderId="0" xfId="191" applyNumberFormat="1" applyFont="1" applyFill="1" applyBorder="1" applyAlignment="1" applyProtection="1">
      <alignment horizontal="center"/>
    </xf>
    <xf numFmtId="0" fontId="7" fillId="0" borderId="0" xfId="191" applyNumberFormat="1" applyFont="1" applyFill="1" applyBorder="1" applyAlignment="1" applyProtection="1"/>
    <xf numFmtId="41" fontId="7" fillId="0" borderId="11" xfId="191" applyNumberFormat="1" applyFont="1" applyFill="1" applyBorder="1" applyAlignment="1" applyProtection="1"/>
    <xf numFmtId="0" fontId="7" fillId="0" borderId="0" xfId="191" applyNumberFormat="1" applyFont="1" applyFill="1" applyBorder="1" applyAlignment="1" applyProtection="1">
      <alignment horizontal="center"/>
    </xf>
    <xf numFmtId="10" fontId="7" fillId="0" borderId="0" xfId="191" applyNumberFormat="1" applyFont="1" applyFill="1" applyBorder="1" applyAlignment="1" applyProtection="1"/>
    <xf numFmtId="167" fontId="7" fillId="0" borderId="0" xfId="191" applyNumberFormat="1" applyFont="1" applyFill="1" applyBorder="1" applyAlignment="1" applyProtection="1"/>
    <xf numFmtId="168" fontId="7" fillId="0" borderId="0" xfId="191" applyFont="1" applyFill="1" applyBorder="1" applyAlignment="1" applyProtection="1"/>
    <xf numFmtId="3" fontId="7" fillId="0" borderId="0" xfId="191" quotePrefix="1" applyNumberFormat="1" applyFont="1" applyFill="1" applyBorder="1" applyAlignment="1" applyProtection="1"/>
    <xf numFmtId="3" fontId="39" fillId="0" borderId="0" xfId="191" applyNumberFormat="1" applyFont="1" applyFill="1" applyBorder="1" applyAlignment="1" applyProtection="1">
      <alignment horizontal="right"/>
    </xf>
    <xf numFmtId="167" fontId="39" fillId="0" borderId="0" xfId="191" applyNumberFormat="1" applyFont="1" applyFill="1" applyBorder="1" applyAlignment="1" applyProtection="1"/>
    <xf numFmtId="3" fontId="39" fillId="0" borderId="0" xfId="191" quotePrefix="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169" fontId="7" fillId="0" borderId="0" xfId="86" applyNumberFormat="1" applyFont="1" applyFill="1" applyBorder="1" applyProtection="1"/>
    <xf numFmtId="41" fontId="48" fillId="0" borderId="0" xfId="191" applyNumberFormat="1" applyFont="1" applyFill="1" applyBorder="1" applyAlignment="1" applyProtection="1"/>
    <xf numFmtId="169" fontId="7" fillId="0" borderId="0" xfId="86" applyNumberFormat="1" applyFont="1" applyProtection="1"/>
    <xf numFmtId="41" fontId="7" fillId="0" borderId="0" xfId="0" applyNumberFormat="1" applyFont="1" applyProtection="1"/>
    <xf numFmtId="0" fontId="0" fillId="0" borderId="0" xfId="0" applyAlignment="1" applyProtection="1"/>
    <xf numFmtId="41" fontId="7" fillId="0" borderId="11" xfId="0" applyNumberFormat="1" applyFont="1" applyFill="1" applyBorder="1" applyProtection="1"/>
    <xf numFmtId="41" fontId="48" fillId="0" borderId="0" xfId="0" applyNumberFormat="1" applyFont="1" applyProtection="1"/>
    <xf numFmtId="0" fontId="0" fillId="0" borderId="0" xfId="0" applyFill="1" applyAlignment="1" applyProtection="1"/>
    <xf numFmtId="41" fontId="7" fillId="0" borderId="0" xfId="0" applyNumberFormat="1" applyFont="1" applyFill="1" applyProtection="1"/>
    <xf numFmtId="169" fontId="7" fillId="0" borderId="0" xfId="86" applyNumberFormat="1" applyFont="1" applyFill="1" applyProtection="1"/>
    <xf numFmtId="0" fontId="7" fillId="0" borderId="0" xfId="0" applyFont="1" applyFill="1" applyAlignment="1" applyProtection="1">
      <alignment horizontal="center"/>
    </xf>
    <xf numFmtId="10" fontId="7" fillId="0" borderId="11" xfId="0" applyNumberFormat="1" applyFont="1" applyFill="1" applyBorder="1" applyProtection="1"/>
    <xf numFmtId="9" fontId="7" fillId="0" borderId="11" xfId="196" applyFont="1" applyFill="1" applyBorder="1" applyProtection="1"/>
    <xf numFmtId="169" fontId="7" fillId="0" borderId="11" xfId="86" applyNumberFormat="1" applyFont="1" applyFill="1" applyBorder="1" applyAlignment="1" applyProtection="1"/>
    <xf numFmtId="41" fontId="0" fillId="0" borderId="0" xfId="0" applyNumberFormat="1" applyProtection="1"/>
    <xf numFmtId="41" fontId="7" fillId="0" borderId="11" xfId="0" applyNumberFormat="1" applyFont="1" applyBorder="1" applyProtection="1"/>
    <xf numFmtId="10" fontId="7" fillId="0" borderId="0" xfId="0" applyNumberFormat="1" applyFont="1" applyProtection="1"/>
    <xf numFmtId="10" fontId="48" fillId="0" borderId="0" xfId="0" applyNumberFormat="1" applyFont="1" applyProtection="1"/>
    <xf numFmtId="169" fontId="7" fillId="0" borderId="11" xfId="86" applyNumberFormat="1" applyFont="1" applyFill="1" applyBorder="1" applyProtection="1"/>
    <xf numFmtId="169" fontId="7" fillId="0" borderId="0" xfId="87" applyNumberFormat="1" applyFont="1" applyFill="1" applyBorder="1" applyProtection="1"/>
    <xf numFmtId="173" fontId="7" fillId="0" borderId="0" xfId="0" applyNumberFormat="1" applyFont="1" applyProtection="1"/>
    <xf numFmtId="10" fontId="7" fillId="0" borderId="0" xfId="0" applyNumberFormat="1" applyFont="1" applyFill="1" applyProtection="1"/>
    <xf numFmtId="43" fontId="7" fillId="0" borderId="0" xfId="86" applyFont="1" applyProtection="1"/>
    <xf numFmtId="43" fontId="7" fillId="0" borderId="0" xfId="86" applyNumberFormat="1" applyFont="1" applyProtection="1"/>
    <xf numFmtId="169" fontId="7" fillId="0" borderId="0" xfId="0" applyNumberFormat="1" applyFont="1" applyProtection="1"/>
    <xf numFmtId="0" fontId="7" fillId="0" borderId="0" xfId="0" applyNumberFormat="1" applyFont="1" applyBorder="1" applyAlignment="1" applyProtection="1">
      <alignment horizontal="center"/>
    </xf>
    <xf numFmtId="169" fontId="7" fillId="0" borderId="0" xfId="0" applyNumberFormat="1" applyFont="1" applyBorder="1" applyProtection="1"/>
    <xf numFmtId="170" fontId="7" fillId="0" borderId="0" xfId="0" applyNumberFormat="1" applyFont="1" applyBorder="1" applyProtection="1"/>
    <xf numFmtId="0" fontId="65" fillId="0" borderId="0" xfId="0" quotePrefix="1" applyFont="1" applyAlignment="1" applyProtection="1">
      <alignment horizontal="left"/>
    </xf>
    <xf numFmtId="0" fontId="0" fillId="0" borderId="0" xfId="0" quotePrefix="1" applyAlignment="1" applyProtection="1">
      <alignment horizontal="left"/>
    </xf>
    <xf numFmtId="0" fontId="66" fillId="0" borderId="0" xfId="0" quotePrefix="1" applyFont="1" applyAlignment="1" applyProtection="1">
      <alignment horizontal="left"/>
    </xf>
    <xf numFmtId="0" fontId="7" fillId="0" borderId="17" xfId="0" quotePrefix="1" applyFont="1" applyFill="1" applyBorder="1" applyAlignment="1" applyProtection="1">
      <alignment horizontal="left"/>
    </xf>
    <xf numFmtId="0" fontId="0" fillId="0" borderId="48" xfId="0" quotePrefix="1" applyBorder="1" applyAlignment="1" applyProtection="1">
      <alignment horizontal="left"/>
    </xf>
    <xf numFmtId="0" fontId="54" fillId="0" borderId="39" xfId="0" quotePrefix="1" applyFont="1" applyFill="1" applyBorder="1" applyAlignment="1" applyProtection="1">
      <alignment horizontal="right"/>
    </xf>
    <xf numFmtId="0" fontId="83" fillId="0" borderId="14" xfId="0" applyFont="1" applyBorder="1" applyProtection="1"/>
    <xf numFmtId="10" fontId="1" fillId="0" borderId="0" xfId="0" applyNumberFormat="1" applyFont="1" applyFill="1" applyProtection="1"/>
    <xf numFmtId="169" fontId="54" fillId="0" borderId="39" xfId="86" applyNumberFormat="1" applyFont="1" applyFill="1" applyBorder="1" applyProtection="1"/>
    <xf numFmtId="179" fontId="54" fillId="0" borderId="39" xfId="196" applyNumberFormat="1" applyFont="1" applyFill="1" applyBorder="1" applyProtection="1"/>
    <xf numFmtId="0" fontId="83" fillId="0" borderId="49" xfId="0" applyFont="1" applyBorder="1" applyProtection="1"/>
    <xf numFmtId="0" fontId="83" fillId="0" borderId="47" xfId="0" applyFont="1" applyBorder="1" applyProtection="1"/>
    <xf numFmtId="41" fontId="54" fillId="0" borderId="39" xfId="0" applyNumberFormat="1" applyFont="1" applyFill="1" applyBorder="1" applyProtection="1"/>
    <xf numFmtId="3" fontId="54" fillId="0" borderId="43" xfId="0" applyNumberFormat="1" applyFont="1" applyBorder="1" applyProtection="1"/>
    <xf numFmtId="10" fontId="54" fillId="0" borderId="13" xfId="0" applyNumberFormat="1" applyFont="1" applyFill="1" applyBorder="1" applyProtection="1"/>
    <xf numFmtId="0" fontId="54" fillId="0" borderId="14" xfId="0" applyFont="1" applyBorder="1" applyProtection="1"/>
    <xf numFmtId="41" fontId="54" fillId="0" borderId="13" xfId="0" applyNumberFormat="1" applyFont="1" applyBorder="1" applyProtection="1"/>
    <xf numFmtId="10" fontId="54" fillId="0" borderId="13" xfId="0" applyNumberFormat="1" applyFont="1" applyBorder="1" applyProtection="1"/>
    <xf numFmtId="0" fontId="54" fillId="0" borderId="20" xfId="0" applyFont="1" applyBorder="1" applyProtection="1"/>
    <xf numFmtId="169" fontId="54" fillId="0" borderId="39" xfId="0" applyNumberFormat="1" applyFont="1" applyBorder="1" applyProtection="1"/>
    <xf numFmtId="169" fontId="54" fillId="0" borderId="45" xfId="0" applyNumberFormat="1" applyFont="1" applyBorder="1" applyProtection="1"/>
    <xf numFmtId="0" fontId="54" fillId="0" borderId="50" xfId="0" applyFont="1" applyBorder="1" applyProtection="1"/>
    <xf numFmtId="0" fontId="7" fillId="0" borderId="0" xfId="0" applyNumberFormat="1" applyFont="1" applyFill="1" applyAlignment="1" applyProtection="1">
      <alignment horizontal="center"/>
    </xf>
    <xf numFmtId="169" fontId="54" fillId="0" borderId="46" xfId="0" applyNumberFormat="1" applyFont="1" applyBorder="1" applyProtection="1"/>
    <xf numFmtId="0" fontId="54" fillId="0" borderId="16" xfId="0" applyFont="1" applyBorder="1" applyProtection="1"/>
    <xf numFmtId="0" fontId="5" fillId="0" borderId="0" xfId="0" applyFont="1" applyProtection="1"/>
    <xf numFmtId="169" fontId="54" fillId="0" borderId="24" xfId="0" applyNumberFormat="1" applyFont="1" applyBorder="1" applyProtection="1"/>
    <xf numFmtId="169" fontId="54" fillId="0" borderId="25" xfId="0" applyNumberFormat="1" applyFont="1" applyBorder="1" applyProtection="1"/>
    <xf numFmtId="43" fontId="54" fillId="0" borderId="26" xfId="86" applyFont="1" applyBorder="1" applyProtection="1"/>
    <xf numFmtId="0" fontId="50" fillId="0" borderId="0" xfId="0" applyFont="1" applyFill="1" applyProtection="1"/>
    <xf numFmtId="0" fontId="0" fillId="0" borderId="0" xfId="0" applyAlignment="1" applyProtection="1">
      <alignment wrapText="1"/>
    </xf>
    <xf numFmtId="0" fontId="7" fillId="0" borderId="0" xfId="86" applyNumberFormat="1" applyFont="1" applyFill="1" applyAlignment="1" applyProtection="1"/>
    <xf numFmtId="168" fontId="15" fillId="0" borderId="17" xfId="191" applyFont="1" applyBorder="1" applyAlignment="1" applyProtection="1"/>
    <xf numFmtId="168" fontId="7" fillId="0" borderId="18" xfId="191" applyFont="1" applyBorder="1" applyAlignment="1" applyProtection="1"/>
    <xf numFmtId="3" fontId="7" fillId="0" borderId="19" xfId="191" applyNumberFormat="1" applyFont="1" applyBorder="1" applyAlignment="1" applyProtection="1"/>
    <xf numFmtId="0" fontId="7" fillId="27" borderId="0" xfId="191" applyNumberFormat="1" applyFont="1" applyFill="1" applyBorder="1" applyAlignment="1" applyProtection="1">
      <alignment horizontal="center"/>
    </xf>
    <xf numFmtId="166" fontId="7" fillId="0" borderId="0" xfId="191" applyNumberFormat="1" applyFont="1" applyAlignment="1" applyProtection="1">
      <alignment horizontal="center"/>
    </xf>
    <xf numFmtId="167" fontId="7" fillId="0" borderId="0" xfId="191" applyNumberFormat="1" applyFont="1" applyAlignment="1" applyProtection="1"/>
    <xf numFmtId="0" fontId="7" fillId="0" borderId="0" xfId="0" quotePrefix="1" applyFont="1" applyBorder="1" applyAlignment="1" applyProtection="1">
      <alignment horizontal="right"/>
    </xf>
    <xf numFmtId="170" fontId="0" fillId="0" borderId="0" xfId="0" applyNumberFormat="1" applyBorder="1" applyProtection="1"/>
    <xf numFmtId="170" fontId="0" fillId="0" borderId="14" xfId="0" applyNumberFormat="1" applyBorder="1" applyProtection="1"/>
    <xf numFmtId="0" fontId="0" fillId="0" borderId="0" xfId="0" quotePrefix="1" applyBorder="1" applyAlignment="1" applyProtection="1">
      <alignment horizontal="right"/>
    </xf>
    <xf numFmtId="170" fontId="0" fillId="0" borderId="6" xfId="0" applyNumberFormat="1" applyBorder="1" applyProtection="1"/>
    <xf numFmtId="167" fontId="48" fillId="0" borderId="0" xfId="191" applyNumberFormat="1" applyFont="1" applyAlignment="1" applyProtection="1"/>
    <xf numFmtId="0" fontId="0" fillId="0" borderId="0" xfId="0" applyBorder="1" applyAlignment="1" applyProtection="1">
      <alignment horizontal="right"/>
    </xf>
    <xf numFmtId="169" fontId="0" fillId="0" borderId="0" xfId="0" applyNumberFormat="1" applyBorder="1" applyProtection="1"/>
    <xf numFmtId="172" fontId="7" fillId="0" borderId="0" xfId="191" applyNumberFormat="1" applyFont="1" applyAlignment="1" applyProtection="1"/>
    <xf numFmtId="165" fontId="7" fillId="0" borderId="15" xfId="191" applyNumberFormat="1" applyFont="1" applyBorder="1" applyAlignment="1" applyProtection="1">
      <alignment horizontal="center"/>
    </xf>
    <xf numFmtId="0" fontId="7" fillId="0" borderId="6" xfId="191" applyNumberFormat="1" applyFont="1" applyBorder="1" applyAlignment="1" applyProtection="1">
      <alignment horizontal="center"/>
    </xf>
    <xf numFmtId="169" fontId="7" fillId="0" borderId="6" xfId="191" quotePrefix="1" applyNumberFormat="1" applyFont="1" applyBorder="1" applyAlignment="1" applyProtection="1">
      <alignment horizontal="center"/>
    </xf>
    <xf numFmtId="177" fontId="7" fillId="0" borderId="6" xfId="191" quotePrefix="1" applyNumberFormat="1" applyFont="1" applyBorder="1" applyAlignment="1" applyProtection="1">
      <alignment horizontal="center"/>
    </xf>
    <xf numFmtId="169" fontId="1" fillId="0" borderId="6" xfId="191" applyNumberFormat="1" applyFont="1" applyFill="1" applyBorder="1" applyAlignment="1" applyProtection="1">
      <alignment horizontal="center"/>
    </xf>
    <xf numFmtId="178" fontId="7" fillId="0" borderId="0" xfId="191" applyNumberFormat="1" applyFont="1" applyBorder="1" applyAlignment="1" applyProtection="1">
      <alignment horizontal="center"/>
    </xf>
    <xf numFmtId="169" fontId="7" fillId="0" borderId="0" xfId="191" applyNumberFormat="1" applyFont="1" applyBorder="1" applyAlignment="1" applyProtection="1">
      <alignment horizontal="center"/>
    </xf>
    <xf numFmtId="164" fontId="7" fillId="0" borderId="2" xfId="191" applyNumberFormat="1" applyFont="1" applyBorder="1" applyAlignment="1" applyProtection="1">
      <alignment horizontal="left"/>
    </xf>
    <xf numFmtId="0" fontId="7" fillId="0" borderId="2" xfId="0" applyFont="1" applyBorder="1" applyAlignment="1" applyProtection="1">
      <alignment horizontal="center"/>
    </xf>
    <xf numFmtId="0" fontId="1" fillId="0" borderId="0" xfId="191" applyNumberFormat="1" applyFont="1" applyFill="1" applyBorder="1" applyAlignment="1" applyProtection="1"/>
    <xf numFmtId="0" fontId="7" fillId="0" borderId="0" xfId="0" applyFont="1" applyBorder="1" applyAlignment="1" applyProtection="1">
      <alignment horizontal="center"/>
    </xf>
    <xf numFmtId="41" fontId="1" fillId="0" borderId="0" xfId="191" applyNumberFormat="1" applyFont="1" applyFill="1" applyBorder="1" applyAlignment="1" applyProtection="1"/>
    <xf numFmtId="3" fontId="14" fillId="0" borderId="2" xfId="191" applyNumberFormat="1" applyFont="1" applyFill="1" applyBorder="1" applyAlignment="1" applyProtection="1"/>
    <xf numFmtId="41" fontId="7" fillId="0" borderId="2" xfId="191" applyNumberFormat="1" applyFont="1" applyFill="1" applyBorder="1" applyAlignment="1" applyProtection="1"/>
    <xf numFmtId="41" fontId="48" fillId="0" borderId="11" xfId="191" applyNumberFormat="1" applyFont="1" applyFill="1" applyBorder="1" applyAlignment="1" applyProtection="1"/>
    <xf numFmtId="10" fontId="7" fillId="0" borderId="0" xfId="0" applyNumberFormat="1" applyFont="1" applyFill="1" applyBorder="1" applyProtection="1"/>
    <xf numFmtId="9" fontId="7" fillId="0" borderId="0" xfId="196" applyFont="1" applyFill="1" applyBorder="1" applyProtection="1"/>
    <xf numFmtId="169" fontId="7" fillId="0" borderId="0" xfId="86" applyNumberFormat="1" applyFont="1" applyFill="1" applyBorder="1" applyAlignment="1" applyProtection="1"/>
    <xf numFmtId="41" fontId="56" fillId="0" borderId="0" xfId="0" applyNumberFormat="1" applyFont="1" applyProtection="1"/>
    <xf numFmtId="10" fontId="0" fillId="0" borderId="0" xfId="0" applyNumberFormat="1" applyProtection="1"/>
    <xf numFmtId="164" fontId="1" fillId="0" borderId="0" xfId="196" applyNumberFormat="1" applyProtection="1"/>
    <xf numFmtId="169" fontId="7" fillId="0" borderId="0" xfId="87" applyNumberFormat="1" applyFont="1" applyFill="1" applyProtection="1"/>
    <xf numFmtId="169" fontId="7" fillId="0" borderId="11" xfId="87" applyNumberFormat="1" applyFont="1" applyFill="1" applyBorder="1" applyProtection="1"/>
    <xf numFmtId="0" fontId="7" fillId="0" borderId="38" xfId="0" quotePrefix="1" applyFont="1" applyFill="1" applyBorder="1" applyAlignment="1" applyProtection="1">
      <alignment horizontal="left"/>
    </xf>
    <xf numFmtId="0" fontId="7" fillId="0" borderId="19" xfId="0" applyFont="1" applyFill="1" applyBorder="1" applyProtection="1"/>
    <xf numFmtId="0" fontId="7" fillId="0" borderId="14" xfId="0" applyFont="1" applyFill="1" applyBorder="1" applyProtection="1"/>
    <xf numFmtId="10" fontId="54" fillId="0" borderId="39" xfId="0" applyNumberFormat="1" applyFont="1" applyFill="1" applyBorder="1" applyProtection="1"/>
    <xf numFmtId="169" fontId="54" fillId="0" borderId="39" xfId="87" applyNumberFormat="1" applyFont="1" applyFill="1" applyBorder="1" applyProtection="1"/>
    <xf numFmtId="0" fontId="7" fillId="0" borderId="49" xfId="0" applyFont="1" applyFill="1" applyBorder="1" applyProtection="1"/>
    <xf numFmtId="166" fontId="54" fillId="0" borderId="39" xfId="0" applyNumberFormat="1" applyFont="1" applyFill="1" applyBorder="1" applyProtection="1"/>
    <xf numFmtId="0" fontId="7" fillId="0" borderId="47" xfId="0" applyFont="1" applyFill="1" applyBorder="1" applyProtection="1"/>
    <xf numFmtId="41" fontId="54" fillId="0" borderId="13" xfId="0" applyNumberFormat="1" applyFont="1" applyFill="1" applyBorder="1" applyProtection="1"/>
    <xf numFmtId="3" fontId="7" fillId="0" borderId="43" xfId="0" applyNumberFormat="1" applyFont="1" applyFill="1" applyBorder="1" applyProtection="1"/>
    <xf numFmtId="0" fontId="7" fillId="0" borderId="20" xfId="0" applyFont="1" applyFill="1" applyBorder="1" applyProtection="1"/>
    <xf numFmtId="169" fontId="54" fillId="0" borderId="44" xfId="0" applyNumberFormat="1" applyFont="1" applyFill="1" applyBorder="1" applyProtection="1"/>
    <xf numFmtId="169" fontId="54" fillId="0" borderId="46" xfId="0" applyNumberFormat="1" applyFont="1" applyFill="1" applyBorder="1" applyProtection="1"/>
    <xf numFmtId="0" fontId="7" fillId="0" borderId="16" xfId="0" applyFont="1" applyFill="1" applyBorder="1" applyProtection="1"/>
    <xf numFmtId="169" fontId="54" fillId="0" borderId="25" xfId="86" applyNumberFormat="1" applyFont="1" applyBorder="1" applyProtection="1"/>
    <xf numFmtId="169" fontId="54" fillId="0" borderId="26" xfId="86" applyNumberFormat="1" applyFont="1" applyBorder="1" applyProtection="1"/>
    <xf numFmtId="0" fontId="50" fillId="0" borderId="0" xfId="0" quotePrefix="1" applyFont="1" applyAlignment="1" applyProtection="1">
      <alignment horizontal="left"/>
    </xf>
    <xf numFmtId="0" fontId="46" fillId="0" borderId="0" xfId="0" applyFont="1" applyAlignment="1" applyProtection="1">
      <alignment horizontal="right"/>
    </xf>
    <xf numFmtId="0" fontId="67" fillId="0" borderId="0" xfId="0" applyFont="1" applyFill="1" applyAlignment="1" applyProtection="1">
      <alignment horizontal="right"/>
    </xf>
    <xf numFmtId="0" fontId="50" fillId="0" borderId="0" xfId="0" applyFont="1" applyProtection="1"/>
    <xf numFmtId="0" fontId="46" fillId="0" borderId="0" xfId="0" quotePrefix="1" applyFont="1" applyAlignment="1" applyProtection="1">
      <alignment horizontal="right"/>
    </xf>
    <xf numFmtId="0" fontId="68" fillId="0" borderId="0" xfId="0" quotePrefix="1" applyFont="1" applyAlignment="1" applyProtection="1">
      <alignment horizontal="left"/>
    </xf>
    <xf numFmtId="0" fontId="39" fillId="0" borderId="0" xfId="0" applyFont="1" applyAlignment="1" applyProtection="1">
      <alignment horizontal="left"/>
    </xf>
    <xf numFmtId="0" fontId="51" fillId="26" borderId="0" xfId="86" applyNumberFormat="1" applyFont="1" applyFill="1" applyAlignment="1" applyProtection="1">
      <alignment horizontal="left"/>
    </xf>
    <xf numFmtId="0" fontId="39" fillId="0" borderId="17" xfId="0" applyFont="1" applyBorder="1" applyProtection="1"/>
    <xf numFmtId="0" fontId="39" fillId="0" borderId="18" xfId="0" applyFont="1" applyBorder="1" applyProtection="1"/>
    <xf numFmtId="0" fontId="7" fillId="0" borderId="18" xfId="0" applyFont="1" applyBorder="1" applyProtection="1"/>
    <xf numFmtId="169" fontId="39" fillId="0" borderId="19" xfId="86" applyNumberFormat="1" applyFont="1" applyBorder="1" applyProtection="1"/>
    <xf numFmtId="0" fontId="14" fillId="0" borderId="0" xfId="86" applyNumberFormat="1" applyFont="1" applyFill="1" applyAlignment="1" applyProtection="1">
      <alignment horizontal="left"/>
    </xf>
    <xf numFmtId="0" fontId="14" fillId="0" borderId="0" xfId="86" applyNumberFormat="1" applyFont="1" applyFill="1" applyBorder="1" applyAlignment="1" applyProtection="1">
      <alignment horizontal="left"/>
    </xf>
    <xf numFmtId="0" fontId="39" fillId="0" borderId="13" xfId="0" applyFont="1" applyBorder="1" applyProtection="1"/>
    <xf numFmtId="0" fontId="9" fillId="0" borderId="0" xfId="86" applyNumberFormat="1" applyFont="1" applyFill="1" applyBorder="1" applyAlignment="1" applyProtection="1">
      <alignment horizontal="left"/>
    </xf>
    <xf numFmtId="169" fontId="39" fillId="0" borderId="20" xfId="86" applyNumberFormat="1" applyFont="1" applyBorder="1" applyProtection="1"/>
    <xf numFmtId="0" fontId="39" fillId="0" borderId="0" xfId="0" applyFont="1" applyFill="1" applyProtection="1"/>
    <xf numFmtId="0" fontId="52" fillId="0" borderId="0" xfId="0" applyFont="1" applyFill="1" applyAlignment="1" applyProtection="1">
      <alignment horizontal="left"/>
    </xf>
    <xf numFmtId="169" fontId="39" fillId="0" borderId="15" xfId="86" applyNumberFormat="1" applyFont="1" applyBorder="1" applyProtection="1"/>
    <xf numFmtId="169" fontId="7" fillId="0" borderId="6" xfId="86" applyNumberFormat="1" applyFont="1" applyBorder="1" applyProtection="1"/>
    <xf numFmtId="169" fontId="7" fillId="0" borderId="16" xfId="86" applyNumberFormat="1" applyFont="1" applyBorder="1" applyProtection="1"/>
    <xf numFmtId="0" fontId="53" fillId="0" borderId="0" xfId="0" applyFont="1" applyFill="1" applyAlignment="1" applyProtection="1"/>
    <xf numFmtId="0" fontId="55" fillId="0" borderId="0" xfId="0" applyFont="1" applyFill="1" applyAlignment="1" applyProtection="1"/>
    <xf numFmtId="0" fontId="7" fillId="0" borderId="0" xfId="0" applyFont="1" applyFill="1" applyAlignment="1" applyProtection="1">
      <alignment wrapText="1"/>
    </xf>
    <xf numFmtId="0" fontId="7" fillId="0" borderId="0" xfId="0" applyFont="1" applyFill="1" applyBorder="1" applyAlignment="1" applyProtection="1">
      <alignment wrapText="1"/>
    </xf>
    <xf numFmtId="0" fontId="39" fillId="0" borderId="21" xfId="0" applyFont="1" applyFill="1" applyBorder="1" applyAlignment="1" applyProtection="1">
      <alignment horizontal="center"/>
    </xf>
    <xf numFmtId="0" fontId="61" fillId="27" borderId="22" xfId="0" applyFont="1" applyFill="1" applyBorder="1" applyAlignment="1" applyProtection="1">
      <alignment horizontal="center"/>
    </xf>
    <xf numFmtId="0" fontId="39" fillId="0" borderId="22" xfId="0" applyFont="1" applyFill="1" applyBorder="1" applyAlignment="1" applyProtection="1">
      <alignment horizontal="center"/>
    </xf>
    <xf numFmtId="0" fontId="39" fillId="0" borderId="23" xfId="0" applyFont="1" applyFill="1" applyBorder="1" applyAlignment="1" applyProtection="1">
      <alignment horizontal="center"/>
    </xf>
    <xf numFmtId="0" fontId="39" fillId="0" borderId="0" xfId="0" applyFont="1" applyFill="1" applyBorder="1" applyAlignment="1" applyProtection="1">
      <alignment horizontal="center"/>
    </xf>
    <xf numFmtId="0" fontId="0" fillId="0" borderId="0" xfId="0" applyBorder="1" applyAlignment="1" applyProtection="1"/>
    <xf numFmtId="0" fontId="7" fillId="0" borderId="13" xfId="0" applyFont="1" applyFill="1" applyBorder="1" applyAlignment="1" applyProtection="1"/>
    <xf numFmtId="169" fontId="54" fillId="26" borderId="14" xfId="86" applyNumberFormat="1" applyFont="1" applyFill="1" applyBorder="1" applyAlignment="1" applyProtection="1">
      <alignment horizontal="right"/>
    </xf>
    <xf numFmtId="0" fontId="39" fillId="0" borderId="19" xfId="0" applyFont="1" applyFill="1" applyBorder="1" applyAlignment="1" applyProtection="1">
      <alignment horizontal="center"/>
    </xf>
    <xf numFmtId="0" fontId="7" fillId="0" borderId="13" xfId="0" applyFont="1" applyFill="1" applyBorder="1" applyProtection="1"/>
    <xf numFmtId="0" fontId="54" fillId="26" borderId="14" xfId="0" applyFont="1" applyFill="1" applyBorder="1" applyAlignment="1" applyProtection="1">
      <alignment horizontal="right"/>
    </xf>
    <xf numFmtId="169" fontId="7" fillId="0" borderId="14" xfId="0" applyNumberFormat="1" applyFont="1" applyFill="1" applyBorder="1" applyAlignment="1" applyProtection="1">
      <alignment horizontal="right"/>
    </xf>
    <xf numFmtId="169" fontId="7" fillId="0" borderId="0" xfId="0" applyNumberFormat="1" applyFont="1" applyFill="1" applyBorder="1" applyAlignment="1" applyProtection="1">
      <alignment horizontal="right"/>
    </xf>
    <xf numFmtId="10" fontId="7" fillId="0" borderId="14" xfId="0" applyNumberFormat="1" applyFont="1" applyBorder="1" applyProtection="1"/>
    <xf numFmtId="169" fontId="7" fillId="0" borderId="14" xfId="86" applyNumberFormat="1" applyFont="1" applyBorder="1" applyProtection="1"/>
    <xf numFmtId="0" fontId="39" fillId="0" borderId="24" xfId="0" applyFont="1" applyBorder="1" applyAlignment="1" applyProtection="1">
      <alignment horizontal="center"/>
    </xf>
    <xf numFmtId="169" fontId="39" fillId="0" borderId="24" xfId="86" quotePrefix="1" applyNumberFormat="1" applyFont="1" applyBorder="1" applyAlignment="1" applyProtection="1">
      <alignment horizontal="center" wrapText="1"/>
    </xf>
    <xf numFmtId="169" fontId="39" fillId="0" borderId="24" xfId="86" applyNumberFormat="1" applyFont="1" applyBorder="1" applyAlignment="1" applyProtection="1">
      <alignment horizontal="center"/>
    </xf>
    <xf numFmtId="169" fontId="39" fillId="0" borderId="19" xfId="86" applyNumberFormat="1" applyFont="1" applyFill="1" applyBorder="1" applyAlignment="1" applyProtection="1">
      <alignment horizontal="center" wrapText="1"/>
    </xf>
    <xf numFmtId="169" fontId="39" fillId="0" borderId="19" xfId="86" applyNumberFormat="1" applyFont="1" applyBorder="1" applyAlignment="1" applyProtection="1">
      <alignment horizontal="center" wrapText="1"/>
    </xf>
    <xf numFmtId="0" fontId="39" fillId="0" borderId="25" xfId="0" applyFont="1" applyBorder="1" applyAlignment="1" applyProtection="1">
      <alignment horizontal="center"/>
    </xf>
    <xf numFmtId="169" fontId="39" fillId="0" borderId="24" xfId="86" applyNumberFormat="1" applyFont="1" applyFill="1" applyBorder="1" applyAlignment="1" applyProtection="1">
      <alignment horizontal="center" wrapText="1"/>
    </xf>
    <xf numFmtId="169" fontId="39" fillId="0" borderId="24" xfId="86" applyNumberFormat="1" applyFont="1" applyBorder="1" applyAlignment="1" applyProtection="1">
      <alignment horizontal="center" wrapText="1"/>
    </xf>
    <xf numFmtId="0" fontId="39" fillId="0" borderId="26" xfId="0" applyFont="1" applyBorder="1" applyAlignment="1" applyProtection="1">
      <alignment horizontal="center"/>
    </xf>
    <xf numFmtId="0" fontId="39" fillId="0" borderId="26" xfId="0" applyFont="1" applyBorder="1" applyAlignment="1" applyProtection="1">
      <alignment horizontal="center" wrapText="1"/>
    </xf>
    <xf numFmtId="169" fontId="39" fillId="0" borderId="16" xfId="86" applyNumberFormat="1" applyFont="1" applyFill="1" applyBorder="1" applyAlignment="1" applyProtection="1">
      <alignment horizontal="center"/>
    </xf>
    <xf numFmtId="169" fontId="39" fillId="0" borderId="16" xfId="86" applyNumberFormat="1" applyFont="1" applyBorder="1" applyAlignment="1" applyProtection="1">
      <alignment horizontal="center"/>
    </xf>
    <xf numFmtId="0" fontId="39" fillId="0" borderId="26" xfId="0" applyFont="1" applyFill="1" applyBorder="1" applyAlignment="1" applyProtection="1">
      <alignment horizontal="center"/>
    </xf>
    <xf numFmtId="0" fontId="39" fillId="0" borderId="25" xfId="0" applyFont="1" applyFill="1" applyBorder="1" applyAlignment="1" applyProtection="1">
      <alignment horizontal="center"/>
    </xf>
    <xf numFmtId="169" fontId="39" fillId="0" borderId="26" xfId="86" applyNumberFormat="1" applyFont="1" applyBorder="1" applyAlignment="1" applyProtection="1">
      <alignment horizontal="center"/>
    </xf>
    <xf numFmtId="169" fontId="39" fillId="0" borderId="26" xfId="86" applyNumberFormat="1" applyFont="1" applyFill="1" applyBorder="1" applyAlignment="1" applyProtection="1">
      <alignment horizontal="center"/>
    </xf>
    <xf numFmtId="169" fontId="39" fillId="0" borderId="15" xfId="86" applyNumberFormat="1" applyFont="1" applyFill="1" applyBorder="1" applyAlignment="1" applyProtection="1">
      <alignment horizontal="center"/>
    </xf>
    <xf numFmtId="0" fontId="7" fillId="0" borderId="25" xfId="0" applyNumberFormat="1" applyFont="1" applyBorder="1" applyAlignment="1" applyProtection="1">
      <alignment horizontal="center"/>
    </xf>
    <xf numFmtId="169" fontId="78" fillId="26" borderId="0" xfId="0" applyNumberFormat="1" applyFont="1" applyFill="1" applyBorder="1" applyProtection="1"/>
    <xf numFmtId="169" fontId="78" fillId="26" borderId="24" xfId="86" applyNumberFormat="1" applyFont="1" applyFill="1" applyBorder="1" applyProtection="1"/>
    <xf numFmtId="169" fontId="78" fillId="26" borderId="25" xfId="86" applyNumberFormat="1" applyFont="1" applyFill="1" applyBorder="1" applyProtection="1"/>
    <xf numFmtId="169" fontId="78" fillId="26" borderId="14" xfId="86" applyNumberFormat="1" applyFont="1" applyFill="1" applyBorder="1" applyProtection="1"/>
    <xf numFmtId="170" fontId="7" fillId="0" borderId="14" xfId="0" applyNumberFormat="1" applyFont="1" applyBorder="1" applyProtection="1"/>
    <xf numFmtId="170" fontId="54" fillId="0" borderId="24" xfId="0" applyNumberFormat="1" applyFont="1" applyFill="1" applyBorder="1" applyProtection="1"/>
    <xf numFmtId="170" fontId="7" fillId="0" borderId="24" xfId="0" applyNumberFormat="1" applyFont="1" applyFill="1" applyBorder="1" applyProtection="1"/>
    <xf numFmtId="170" fontId="7" fillId="0" borderId="24" xfId="0" applyNumberFormat="1" applyFont="1" applyBorder="1" applyProtection="1"/>
    <xf numFmtId="170" fontId="7" fillId="0" borderId="25" xfId="0" applyNumberFormat="1" applyFont="1" applyBorder="1" applyProtection="1"/>
    <xf numFmtId="169" fontId="78" fillId="26" borderId="25" xfId="0" applyNumberFormat="1" applyFont="1" applyFill="1" applyBorder="1" applyProtection="1"/>
    <xf numFmtId="170" fontId="54" fillId="0" borderId="25" xfId="0" applyNumberFormat="1" applyFont="1" applyFill="1" applyBorder="1" applyProtection="1"/>
    <xf numFmtId="170" fontId="7" fillId="0" borderId="25" xfId="0" applyNumberFormat="1" applyFont="1" applyFill="1" applyBorder="1" applyProtection="1"/>
    <xf numFmtId="169" fontId="7" fillId="0" borderId="25" xfId="0" applyNumberFormat="1" applyFont="1" applyFill="1" applyBorder="1" applyProtection="1"/>
    <xf numFmtId="169" fontId="1" fillId="0" borderId="25" xfId="86" applyNumberFormat="1" applyBorder="1" applyProtection="1"/>
    <xf numFmtId="169" fontId="7" fillId="0" borderId="25" xfId="0" applyNumberFormat="1" applyFont="1" applyBorder="1" applyProtection="1"/>
    <xf numFmtId="169" fontId="7" fillId="0" borderId="25" xfId="86" applyNumberFormat="1" applyFont="1" applyBorder="1" applyProtection="1"/>
    <xf numFmtId="170" fontId="54" fillId="26" borderId="25" xfId="0" applyNumberFormat="1" applyFont="1" applyFill="1" applyBorder="1" applyProtection="1"/>
    <xf numFmtId="0" fontId="7" fillId="0" borderId="42" xfId="0" applyNumberFormat="1" applyFont="1" applyBorder="1" applyAlignment="1" applyProtection="1">
      <alignment horizontal="center"/>
    </xf>
    <xf numFmtId="169" fontId="7" fillId="0" borderId="42" xfId="0" applyNumberFormat="1" applyFont="1" applyFill="1" applyBorder="1" applyProtection="1"/>
    <xf numFmtId="169" fontId="1" fillId="0" borderId="42" xfId="86" applyNumberFormat="1" applyBorder="1" applyProtection="1"/>
    <xf numFmtId="169" fontId="7" fillId="0" borderId="42" xfId="0" applyNumberFormat="1" applyFont="1" applyBorder="1" applyProtection="1"/>
    <xf numFmtId="169" fontId="7" fillId="0" borderId="42" xfId="86" applyNumberFormat="1" applyFont="1" applyBorder="1" applyProtection="1"/>
    <xf numFmtId="169" fontId="7" fillId="0" borderId="43" xfId="86" applyNumberFormat="1" applyFont="1" applyBorder="1" applyProtection="1"/>
    <xf numFmtId="170" fontId="7" fillId="0" borderId="43" xfId="0" applyNumberFormat="1" applyFont="1" applyBorder="1" applyProtection="1"/>
    <xf numFmtId="170" fontId="54" fillId="26" borderId="42" xfId="0" applyNumberFormat="1" applyFont="1" applyFill="1" applyBorder="1" applyProtection="1"/>
    <xf numFmtId="170" fontId="7" fillId="0" borderId="42" xfId="0" applyNumberFormat="1" applyFont="1" applyBorder="1" applyProtection="1"/>
    <xf numFmtId="0" fontId="7" fillId="0" borderId="2" xfId="0" applyFont="1" applyBorder="1" applyProtection="1"/>
    <xf numFmtId="169" fontId="7" fillId="0" borderId="25" xfId="86" applyNumberFormat="1" applyFont="1" applyFill="1" applyBorder="1" applyProtection="1"/>
    <xf numFmtId="0" fontId="7" fillId="0" borderId="26" xfId="0" applyNumberFormat="1" applyFont="1" applyBorder="1" applyAlignment="1" applyProtection="1">
      <alignment horizontal="center"/>
    </xf>
    <xf numFmtId="169" fontId="7" fillId="0" borderId="26" xfId="0" applyNumberFormat="1" applyFont="1" applyFill="1" applyBorder="1" applyProtection="1"/>
    <xf numFmtId="169" fontId="1" fillId="0" borderId="26" xfId="86" applyNumberFormat="1" applyBorder="1" applyProtection="1"/>
    <xf numFmtId="169" fontId="7" fillId="0" borderId="26" xfId="0" applyNumberFormat="1" applyFont="1" applyBorder="1" applyProtection="1"/>
    <xf numFmtId="169" fontId="7" fillId="0" borderId="26" xfId="86" applyNumberFormat="1" applyFont="1" applyFill="1" applyBorder="1" applyProtection="1"/>
    <xf numFmtId="170" fontId="7" fillId="0" borderId="16" xfId="0" applyNumberFormat="1" applyFont="1" applyBorder="1" applyProtection="1"/>
    <xf numFmtId="170" fontId="54" fillId="26" borderId="26" xfId="0" applyNumberFormat="1" applyFont="1" applyFill="1" applyBorder="1" applyProtection="1"/>
    <xf numFmtId="170" fontId="7" fillId="0" borderId="26" xfId="0" applyNumberFormat="1" applyFont="1" applyBorder="1" applyProtection="1"/>
    <xf numFmtId="0" fontId="53" fillId="0" borderId="0" xfId="0" applyFont="1" applyFill="1" applyProtection="1"/>
    <xf numFmtId="0" fontId="46" fillId="0" borderId="0" xfId="0" applyFont="1" applyFill="1" applyAlignment="1" applyProtection="1">
      <alignment horizontal="right"/>
    </xf>
    <xf numFmtId="0" fontId="69" fillId="0" borderId="0" xfId="0" applyFont="1" applyProtection="1"/>
    <xf numFmtId="0" fontId="7" fillId="0" borderId="0" xfId="0" applyFont="1" applyAlignment="1" applyProtection="1">
      <alignment horizontal="left"/>
    </xf>
    <xf numFmtId="0" fontId="46" fillId="0" borderId="0" xfId="0" quotePrefix="1" applyFont="1" applyAlignment="1" applyProtection="1">
      <alignment horizontal="center"/>
    </xf>
    <xf numFmtId="0" fontId="9" fillId="0" borderId="0" xfId="0" applyFont="1" applyFill="1" applyProtection="1"/>
    <xf numFmtId="0" fontId="39" fillId="0" borderId="28" xfId="0" applyFont="1" applyFill="1" applyBorder="1" applyAlignment="1" applyProtection="1">
      <alignment horizontal="center"/>
    </xf>
    <xf numFmtId="168" fontId="7" fillId="0" borderId="29" xfId="191" applyFont="1" applyBorder="1" applyAlignment="1" applyProtection="1">
      <alignment horizontal="center"/>
    </xf>
    <xf numFmtId="168" fontId="7" fillId="0" borderId="29" xfId="191" quotePrefix="1" applyFont="1" applyBorder="1" applyAlignment="1" applyProtection="1">
      <alignment horizontal="center"/>
    </xf>
    <xf numFmtId="3" fontId="7" fillId="0" borderId="30" xfId="191" applyNumberFormat="1" applyFont="1" applyBorder="1" applyAlignment="1" applyProtection="1">
      <alignment horizontal="center"/>
    </xf>
    <xf numFmtId="0" fontId="55" fillId="0" borderId="24" xfId="0" applyFont="1" applyBorder="1" applyProtection="1"/>
    <xf numFmtId="169" fontId="7" fillId="0" borderId="13" xfId="86" quotePrefix="1" applyNumberFormat="1" applyFont="1" applyBorder="1" applyAlignment="1" applyProtection="1">
      <alignment horizontal="right"/>
    </xf>
    <xf numFmtId="169" fontId="39" fillId="0" borderId="0" xfId="86" applyNumberFormat="1" applyFont="1" applyBorder="1" applyProtection="1"/>
    <xf numFmtId="169" fontId="7" fillId="0" borderId="14" xfId="0" applyNumberFormat="1" applyFont="1" applyBorder="1" applyProtection="1"/>
    <xf numFmtId="0" fontId="57" fillId="0" borderId="31" xfId="86" applyNumberFormat="1" applyFont="1" applyFill="1" applyBorder="1" applyAlignment="1" applyProtection="1">
      <alignment horizontal="left"/>
    </xf>
    <xf numFmtId="169" fontId="7" fillId="0" borderId="32" xfId="86" quotePrefix="1" applyNumberFormat="1" applyFont="1" applyBorder="1" applyAlignment="1" applyProtection="1">
      <alignment horizontal="right"/>
    </xf>
    <xf numFmtId="169" fontId="39" fillId="0" borderId="11" xfId="86" applyNumberFormat="1" applyFont="1" applyBorder="1" applyProtection="1"/>
    <xf numFmtId="169" fontId="7" fillId="0" borderId="20" xfId="0" applyNumberFormat="1" applyFont="1" applyBorder="1" applyProtection="1"/>
    <xf numFmtId="0" fontId="52" fillId="0" borderId="0" xfId="0" applyFont="1" applyAlignment="1" applyProtection="1">
      <alignment horizontal="left"/>
    </xf>
    <xf numFmtId="169" fontId="55" fillId="0" borderId="26" xfId="86" applyNumberFormat="1" applyFont="1" applyBorder="1" applyProtection="1"/>
    <xf numFmtId="0" fontId="7" fillId="0" borderId="15" xfId="0" quotePrefix="1" applyFont="1" applyBorder="1" applyAlignment="1" applyProtection="1">
      <alignment horizontal="right"/>
    </xf>
    <xf numFmtId="169" fontId="39" fillId="0" borderId="6" xfId="86" applyNumberFormat="1" applyFont="1" applyFill="1" applyBorder="1" applyAlignment="1" applyProtection="1">
      <alignment horizontal="left"/>
    </xf>
    <xf numFmtId="169" fontId="39" fillId="0" borderId="16" xfId="86" applyNumberFormat="1" applyFont="1" applyFill="1" applyBorder="1" applyAlignment="1" applyProtection="1">
      <alignment horizontal="left"/>
    </xf>
    <xf numFmtId="169" fontId="55" fillId="0" borderId="0" xfId="0" applyNumberFormat="1" applyFont="1" applyAlignment="1" applyProtection="1">
      <alignment horizontal="left"/>
    </xf>
    <xf numFmtId="0" fontId="7" fillId="0" borderId="21" xfId="0" applyFont="1" applyFill="1" applyBorder="1" applyAlignment="1" applyProtection="1">
      <alignment horizontal="center"/>
    </xf>
    <xf numFmtId="0" fontId="39" fillId="0"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0" fillId="0" borderId="0" xfId="0" applyFill="1" applyBorder="1" applyAlignment="1" applyProtection="1"/>
    <xf numFmtId="0" fontId="7" fillId="0" borderId="14"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5" xfId="0" applyFont="1" applyBorder="1" applyProtection="1"/>
    <xf numFmtId="0" fontId="7" fillId="0" borderId="6" xfId="0" applyFont="1" applyBorder="1" applyAlignment="1" applyProtection="1">
      <alignment horizontal="center"/>
    </xf>
    <xf numFmtId="0" fontId="0" fillId="0" borderId="6" xfId="0" applyBorder="1" applyProtection="1"/>
    <xf numFmtId="0" fontId="39" fillId="0" borderId="24" xfId="0" applyFont="1" applyBorder="1" applyAlignment="1" applyProtection="1">
      <alignment horizontal="center" wrapText="1"/>
    </xf>
    <xf numFmtId="169" fontId="39" fillId="0" borderId="0" xfId="86" quotePrefix="1" applyNumberFormat="1" applyFont="1" applyBorder="1" applyAlignment="1" applyProtection="1">
      <alignment horizontal="center" wrapText="1"/>
    </xf>
    <xf numFmtId="0" fontId="39" fillId="0" borderId="25" xfId="0" applyFont="1" applyBorder="1" applyAlignment="1" applyProtection="1">
      <alignment horizontal="center" wrapText="1"/>
    </xf>
    <xf numFmtId="0" fontId="39" fillId="0" borderId="6" xfId="0" applyFont="1" applyBorder="1" applyAlignment="1" applyProtection="1">
      <alignment horizontal="center"/>
    </xf>
    <xf numFmtId="169" fontId="39" fillId="26" borderId="26" xfId="86" applyNumberFormat="1" applyFont="1" applyFill="1" applyBorder="1" applyAlignment="1" applyProtection="1">
      <alignment horizontal="center"/>
    </xf>
    <xf numFmtId="169" fontId="78" fillId="26" borderId="24" xfId="0" applyNumberFormat="1" applyFont="1" applyFill="1" applyBorder="1" applyProtection="1"/>
    <xf numFmtId="169" fontId="7" fillId="0" borderId="14" xfId="86" applyNumberFormat="1" applyFont="1" applyFill="1" applyBorder="1" applyProtection="1"/>
    <xf numFmtId="169" fontId="7" fillId="0" borderId="16" xfId="86" applyNumberFormat="1" applyFont="1" applyFill="1" applyBorder="1" applyProtection="1"/>
    <xf numFmtId="0" fontId="55" fillId="0" borderId="0" xfId="0" applyFont="1" applyProtection="1"/>
    <xf numFmtId="0" fontId="58" fillId="0" borderId="0" xfId="0" applyFont="1" applyFill="1" applyProtection="1"/>
    <xf numFmtId="0" fontId="46" fillId="0" borderId="0" xfId="0" applyFont="1" applyAlignment="1" applyProtection="1">
      <alignment horizontal="center"/>
    </xf>
    <xf numFmtId="0" fontId="68" fillId="0" borderId="0" xfId="0" applyFont="1" applyProtection="1"/>
    <xf numFmtId="169" fontId="7" fillId="0" borderId="0" xfId="0" applyNumberFormat="1" applyFont="1" applyFill="1" applyBorder="1" applyProtection="1"/>
    <xf numFmtId="169" fontId="39" fillId="26" borderId="16" xfId="86"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169" fontId="7" fillId="0" borderId="13" xfId="0" applyNumberFormat="1" applyFont="1" applyFill="1" applyBorder="1" applyProtection="1"/>
    <xf numFmtId="169" fontId="7" fillId="0" borderId="14" xfId="86" applyNumberFormat="1" applyFont="1" applyFill="1" applyBorder="1" applyAlignment="1" applyProtection="1">
      <alignment horizontal="right"/>
    </xf>
    <xf numFmtId="170" fontId="46" fillId="0" borderId="0" xfId="0" quotePrefix="1" applyNumberFormat="1" applyFont="1" applyBorder="1" applyAlignment="1" applyProtection="1">
      <alignment horizontal="center"/>
    </xf>
    <xf numFmtId="170" fontId="7" fillId="0" borderId="14" xfId="0" applyNumberFormat="1" applyFont="1" applyFill="1" applyBorder="1" applyProtection="1"/>
    <xf numFmtId="170" fontId="7" fillId="0" borderId="0" xfId="0" applyNumberFormat="1" applyFont="1" applyFill="1" applyBorder="1" applyProtection="1"/>
    <xf numFmtId="170" fontId="7" fillId="0" borderId="19" xfId="0" applyNumberFormat="1" applyFont="1" applyBorder="1" applyProtection="1"/>
    <xf numFmtId="170" fontId="54" fillId="0" borderId="17" xfId="0" applyNumberFormat="1" applyFont="1" applyFill="1" applyBorder="1" applyProtection="1"/>
    <xf numFmtId="170" fontId="7" fillId="0" borderId="13" xfId="0" applyNumberFormat="1" applyFont="1" applyBorder="1" applyProtection="1"/>
    <xf numFmtId="170" fontId="54" fillId="0" borderId="13" xfId="0" applyNumberFormat="1" applyFont="1" applyFill="1" applyBorder="1" applyProtection="1"/>
    <xf numFmtId="0" fontId="81" fillId="0" borderId="0" xfId="191" applyNumberFormat="1" applyFont="1" applyFill="1" applyBorder="1" applyAlignment="1" applyProtection="1"/>
    <xf numFmtId="0" fontId="82" fillId="0" borderId="0" xfId="0" applyFont="1" applyAlignment="1" applyProtection="1">
      <alignment horizontal="left"/>
    </xf>
    <xf numFmtId="170" fontId="54" fillId="0" borderId="34" xfId="0" applyNumberFormat="1" applyFont="1" applyFill="1" applyBorder="1" applyProtection="1"/>
    <xf numFmtId="170" fontId="7" fillId="0" borderId="40" xfId="0" applyNumberFormat="1" applyFont="1" applyFill="1" applyBorder="1" applyProtection="1"/>
    <xf numFmtId="170" fontId="7" fillId="0" borderId="34" xfId="0" applyNumberFormat="1" applyFont="1" applyBorder="1" applyProtection="1"/>
    <xf numFmtId="170" fontId="7" fillId="0" borderId="40" xfId="0" applyNumberFormat="1" applyFont="1" applyBorder="1" applyProtection="1"/>
    <xf numFmtId="170" fontId="7" fillId="0" borderId="10" xfId="0" applyNumberFormat="1" applyFont="1" applyBorder="1" applyProtection="1"/>
    <xf numFmtId="169" fontId="1" fillId="0" borderId="0" xfId="86" applyNumberFormat="1" applyBorder="1" applyProtection="1"/>
    <xf numFmtId="169" fontId="78" fillId="26" borderId="14" xfId="86" applyNumberFormat="1" applyFont="1" applyFill="1" applyBorder="1" applyAlignment="1" applyProtection="1">
      <alignment horizontal="right"/>
    </xf>
    <xf numFmtId="169" fontId="39" fillId="0" borderId="31" xfId="86" applyNumberFormat="1" applyFont="1" applyBorder="1" applyAlignment="1" applyProtection="1">
      <alignment horizontal="center"/>
    </xf>
    <xf numFmtId="170" fontId="54" fillId="0" borderId="33" xfId="0" applyNumberFormat="1" applyFont="1" applyFill="1" applyBorder="1" applyProtection="1"/>
    <xf numFmtId="170" fontId="54" fillId="0" borderId="42" xfId="0" applyNumberFormat="1" applyFont="1" applyFill="1" applyBorder="1" applyProtection="1"/>
    <xf numFmtId="170" fontId="7" fillId="0" borderId="2" xfId="0" applyNumberFormat="1" applyFont="1" applyBorder="1" applyProtection="1"/>
    <xf numFmtId="170" fontId="7" fillId="0" borderId="33" xfId="0" applyNumberFormat="1" applyFont="1" applyBorder="1" applyProtection="1"/>
    <xf numFmtId="0" fontId="55" fillId="0" borderId="0" xfId="0" quotePrefix="1" applyFont="1" applyFill="1" applyAlignment="1" applyProtection="1">
      <alignment horizontal="left"/>
    </xf>
    <xf numFmtId="169" fontId="7" fillId="0" borderId="24" xfId="0" applyNumberFormat="1" applyFont="1" applyBorder="1" applyProtection="1"/>
    <xf numFmtId="170" fontId="54" fillId="26" borderId="24" xfId="0" applyNumberFormat="1" applyFont="1" applyFill="1" applyBorder="1" applyProtection="1"/>
    <xf numFmtId="170" fontId="7" fillId="0" borderId="17" xfId="0" applyNumberFormat="1" applyFont="1" applyFill="1" applyBorder="1" applyProtection="1"/>
    <xf numFmtId="170" fontId="54" fillId="0" borderId="18" xfId="0" applyNumberFormat="1" applyFont="1" applyFill="1" applyBorder="1" applyProtection="1"/>
    <xf numFmtId="170" fontId="7" fillId="0" borderId="13" xfId="0" applyNumberFormat="1" applyFont="1" applyFill="1" applyBorder="1" applyProtection="1"/>
    <xf numFmtId="170" fontId="54" fillId="0" borderId="0" xfId="0" applyNumberFormat="1" applyFont="1" applyFill="1" applyBorder="1" applyProtection="1"/>
    <xf numFmtId="169" fontId="7" fillId="0" borderId="26" xfId="86" applyNumberFormat="1" applyFont="1" applyBorder="1" applyProtection="1"/>
    <xf numFmtId="169" fontId="80" fillId="26" borderId="0" xfId="0" applyNumberFormat="1" applyFont="1" applyFill="1" applyBorder="1" applyProtection="1"/>
    <xf numFmtId="169" fontId="80" fillId="26" borderId="25" xfId="86" applyNumberFormat="1" applyFont="1" applyFill="1" applyBorder="1" applyProtection="1"/>
    <xf numFmtId="169" fontId="80" fillId="26" borderId="25" xfId="0" applyNumberFormat="1" applyFont="1" applyFill="1" applyBorder="1" applyProtection="1"/>
    <xf numFmtId="169" fontId="80" fillId="26" borderId="24" xfId="0" applyNumberFormat="1" applyFont="1" applyFill="1" applyBorder="1" applyProtection="1"/>
    <xf numFmtId="170" fontId="80" fillId="26" borderId="25" xfId="0" applyNumberFormat="1" applyFont="1" applyFill="1" applyBorder="1" applyProtection="1"/>
    <xf numFmtId="169" fontId="80" fillId="26" borderId="14" xfId="86" applyNumberFormat="1" applyFont="1" applyFill="1" applyBorder="1" applyProtection="1"/>
    <xf numFmtId="169" fontId="7" fillId="0" borderId="15" xfId="0" applyNumberFormat="1" applyFont="1" applyBorder="1" applyProtection="1"/>
    <xf numFmtId="0" fontId="55" fillId="0" borderId="0" xfId="0" quotePrefix="1" applyFont="1" applyAlignment="1" applyProtection="1">
      <alignment horizontal="left"/>
    </xf>
    <xf numFmtId="169" fontId="80" fillId="26" borderId="24" xfId="86" applyNumberFormat="1" applyFont="1" applyFill="1" applyBorder="1" applyProtection="1"/>
    <xf numFmtId="0" fontId="79" fillId="27" borderId="22" xfId="0" applyFont="1" applyFill="1" applyBorder="1" applyAlignment="1" applyProtection="1"/>
    <xf numFmtId="169" fontId="80" fillId="26" borderId="14" xfId="86" applyNumberFormat="1" applyFont="1" applyFill="1" applyBorder="1" applyAlignment="1" applyProtection="1">
      <alignment horizontal="right"/>
    </xf>
    <xf numFmtId="169" fontId="54" fillId="0" borderId="26" xfId="86" applyNumberFormat="1" applyFont="1" applyFill="1" applyBorder="1" applyProtection="1"/>
    <xf numFmtId="169" fontId="54" fillId="0" borderId="16" xfId="86" applyNumberFormat="1" applyFont="1" applyFill="1" applyBorder="1" applyProtection="1"/>
    <xf numFmtId="0" fontId="7" fillId="0" borderId="0" xfId="0" applyFont="1" applyFill="1" applyAlignment="1" applyProtection="1"/>
    <xf numFmtId="169" fontId="7" fillId="0" borderId="0" xfId="0" applyNumberFormat="1" applyFont="1" applyAlignment="1" applyProtection="1">
      <alignment horizontal="left"/>
    </xf>
    <xf numFmtId="169" fontId="54" fillId="0" borderId="25" xfId="86" applyNumberFormat="1" applyFont="1" applyFill="1" applyBorder="1" applyProtection="1"/>
    <xf numFmtId="169" fontId="54" fillId="0" borderId="14" xfId="86" applyNumberFormat="1" applyFont="1" applyFill="1" applyBorder="1" applyProtection="1"/>
    <xf numFmtId="169" fontId="7" fillId="0" borderId="25" xfId="87" applyNumberFormat="1" applyBorder="1" applyProtection="1"/>
    <xf numFmtId="169" fontId="7" fillId="0" borderId="25" xfId="87" applyNumberFormat="1" applyFont="1" applyFill="1" applyBorder="1" applyProtection="1"/>
    <xf numFmtId="169" fontId="7" fillId="0" borderId="14" xfId="87" applyNumberFormat="1" applyFont="1" applyFill="1" applyBorder="1" applyProtection="1"/>
    <xf numFmtId="169" fontId="7" fillId="0" borderId="26" xfId="87" applyNumberFormat="1" applyBorder="1" applyProtection="1"/>
    <xf numFmtId="169" fontId="7" fillId="0" borderId="26" xfId="87" applyNumberFormat="1" applyFont="1" applyFill="1" applyBorder="1" applyProtection="1"/>
    <xf numFmtId="169" fontId="7" fillId="0" borderId="16" xfId="87" applyNumberFormat="1" applyFont="1" applyFill="1" applyBorder="1" applyProtection="1"/>
    <xf numFmtId="170" fontId="78" fillId="0" borderId="14" xfId="0" applyNumberFormat="1" applyFont="1" applyFill="1" applyBorder="1" applyProtection="1"/>
    <xf numFmtId="0" fontId="81" fillId="0" borderId="0" xfId="0" applyFont="1" applyAlignment="1" applyProtection="1">
      <alignment horizontal="left"/>
    </xf>
    <xf numFmtId="0" fontId="52" fillId="26" borderId="0" xfId="0" applyFont="1" applyFill="1" applyAlignment="1" applyProtection="1">
      <alignment horizontal="left"/>
    </xf>
    <xf numFmtId="169" fontId="7" fillId="0" borderId="6" xfId="0" applyNumberFormat="1" applyFont="1" applyBorder="1" applyProtection="1"/>
    <xf numFmtId="0" fontId="78" fillId="26" borderId="14" xfId="86" applyNumberFormat="1" applyFont="1" applyFill="1" applyBorder="1" applyAlignment="1" applyProtection="1">
      <alignment horizontal="right"/>
    </xf>
    <xf numFmtId="0" fontId="54" fillId="26" borderId="20" xfId="0" applyFont="1" applyFill="1" applyBorder="1" applyAlignment="1" applyProtection="1">
      <alignment horizontal="right"/>
    </xf>
    <xf numFmtId="169" fontId="1" fillId="26" borderId="0" xfId="0" applyNumberFormat="1" applyFont="1" applyFill="1" applyBorder="1"/>
    <xf numFmtId="169" fontId="1" fillId="26" borderId="24" xfId="86" applyNumberFormat="1" applyFont="1" applyFill="1" applyBorder="1"/>
    <xf numFmtId="169" fontId="1" fillId="26" borderId="25" xfId="0" applyNumberFormat="1" applyFont="1" applyFill="1" applyBorder="1"/>
    <xf numFmtId="169" fontId="1" fillId="26" borderId="14" xfId="86" applyNumberFormat="1" applyFont="1" applyFill="1" applyBorder="1"/>
    <xf numFmtId="169" fontId="101" fillId="0" borderId="0" xfId="86" applyNumberFormat="1" applyFont="1" applyFill="1" applyAlignment="1" applyProtection="1">
      <alignment vertical="center"/>
    </xf>
    <xf numFmtId="0" fontId="1" fillId="0" borderId="22" xfId="0" applyFont="1" applyFill="1" applyBorder="1" applyAlignment="1" applyProtection="1">
      <alignment horizontal="left"/>
    </xf>
    <xf numFmtId="169" fontId="1" fillId="0" borderId="0" xfId="0" applyNumberFormat="1" applyFont="1" applyBorder="1" applyProtection="1"/>
    <xf numFmtId="169" fontId="1" fillId="0" borderId="25" xfId="0" applyNumberFormat="1" applyFont="1" applyBorder="1" applyProtection="1"/>
    <xf numFmtId="169" fontId="1" fillId="0" borderId="25" xfId="86" applyNumberFormat="1" applyFont="1" applyBorder="1" applyProtection="1"/>
    <xf numFmtId="169" fontId="1" fillId="0" borderId="6" xfId="0" applyNumberFormat="1" applyFont="1" applyBorder="1" applyProtection="1"/>
    <xf numFmtId="169" fontId="1" fillId="0" borderId="26" xfId="0" applyNumberFormat="1" applyFont="1" applyBorder="1" applyProtection="1"/>
    <xf numFmtId="170" fontId="1" fillId="0" borderId="25" xfId="0" applyNumberFormat="1" applyFont="1" applyBorder="1" applyProtection="1"/>
    <xf numFmtId="169" fontId="7" fillId="0" borderId="14" xfId="86" applyNumberFormat="1" applyFont="1" applyFill="1" applyBorder="1" applyAlignment="1">
      <alignment horizontal="right"/>
    </xf>
    <xf numFmtId="169" fontId="78" fillId="26" borderId="0" xfId="0" applyNumberFormat="1" applyFont="1" applyFill="1"/>
    <xf numFmtId="169" fontId="78" fillId="26" borderId="25" xfId="0" applyNumberFormat="1" applyFont="1" applyFill="1" applyBorder="1"/>
    <xf numFmtId="0" fontId="52" fillId="26" borderId="0" xfId="0" quotePrefix="1" applyFont="1" applyFill="1" applyAlignment="1" applyProtection="1">
      <alignment horizontal="left"/>
    </xf>
    <xf numFmtId="0" fontId="7" fillId="0" borderId="0" xfId="0" quotePrefix="1" applyFont="1" applyFill="1" applyAlignment="1" applyProtection="1">
      <alignment vertical="center" wrapText="1"/>
    </xf>
    <xf numFmtId="169" fontId="101" fillId="28" borderId="0" xfId="86" applyNumberFormat="1" applyFont="1" applyFill="1" applyAlignment="1" applyProtection="1">
      <alignment vertical="center"/>
    </xf>
    <xf numFmtId="169" fontId="1" fillId="28" borderId="0" xfId="86" applyNumberFormat="1" applyFill="1" applyBorder="1" applyAlignment="1" applyProtection="1">
      <alignment vertical="center"/>
    </xf>
    <xf numFmtId="0" fontId="0" fillId="28" borderId="0" xfId="0" applyFill="1" applyBorder="1" applyAlignment="1" applyProtection="1">
      <alignment vertical="center"/>
    </xf>
    <xf numFmtId="169" fontId="64" fillId="28" borderId="0" xfId="86" applyNumberFormat="1" applyFont="1" applyFill="1" applyAlignment="1" applyProtection="1">
      <alignment vertical="center"/>
    </xf>
    <xf numFmtId="169" fontId="1" fillId="28" borderId="0" xfId="86" applyNumberFormat="1" applyFont="1" applyFill="1" applyBorder="1" applyAlignment="1" applyProtection="1">
      <alignment vertical="center"/>
    </xf>
    <xf numFmtId="169" fontId="1" fillId="28" borderId="0" xfId="86" applyNumberFormat="1" applyFill="1" applyAlignment="1" applyProtection="1">
      <alignment vertical="center"/>
    </xf>
    <xf numFmtId="169" fontId="64" fillId="28" borderId="0" xfId="86" applyNumberFormat="1" applyFont="1" applyFill="1" applyBorder="1" applyAlignment="1" applyProtection="1">
      <alignment vertical="center"/>
    </xf>
    <xf numFmtId="169" fontId="39" fillId="28" borderId="0" xfId="86" applyNumberFormat="1" applyFont="1" applyFill="1" applyBorder="1" applyAlignment="1" applyProtection="1">
      <alignment vertical="center"/>
    </xf>
    <xf numFmtId="0" fontId="0" fillId="0" borderId="0" xfId="0" quotePrefix="1" applyProtection="1"/>
    <xf numFmtId="0" fontId="7" fillId="0" borderId="25" xfId="0" applyNumberFormat="1" applyFont="1" applyFill="1" applyBorder="1" applyAlignment="1">
      <alignment horizontal="center"/>
    </xf>
    <xf numFmtId="0" fontId="39" fillId="0" borderId="11" xfId="0" applyFont="1" applyBorder="1" applyAlignment="1" applyProtection="1">
      <alignment horizontal="center"/>
    </xf>
    <xf numFmtId="0" fontId="65" fillId="0" borderId="0" xfId="0" applyFont="1" applyFill="1" applyBorder="1" applyAlignment="1" applyProtection="1">
      <alignment horizontal="center" wrapText="1"/>
    </xf>
    <xf numFmtId="0" fontId="0" fillId="0" borderId="0" xfId="0" applyAlignment="1" applyProtection="1">
      <alignment horizontal="left" vertical="top" wrapText="1"/>
    </xf>
    <xf numFmtId="168" fontId="7" fillId="0" borderId="17" xfId="191" applyFont="1" applyBorder="1" applyAlignment="1" applyProtection="1">
      <alignment wrapText="1"/>
    </xf>
    <xf numFmtId="0" fontId="7" fillId="0" borderId="18" xfId="0" applyFont="1" applyBorder="1" applyAlignment="1" applyProtection="1">
      <alignment wrapText="1"/>
    </xf>
    <xf numFmtId="0" fontId="7" fillId="0" borderId="19" xfId="0" applyFont="1" applyBorder="1" applyAlignment="1" applyProtection="1">
      <alignment wrapText="1"/>
    </xf>
    <xf numFmtId="0" fontId="7" fillId="0" borderId="13" xfId="0" applyFont="1" applyBorder="1" applyAlignment="1" applyProtection="1">
      <alignment wrapText="1"/>
    </xf>
    <xf numFmtId="0" fontId="7" fillId="0" borderId="0" xfId="0" applyFont="1" applyBorder="1" applyAlignment="1" applyProtection="1">
      <alignment wrapText="1"/>
    </xf>
    <xf numFmtId="0" fontId="7" fillId="0" borderId="14"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wrapText="1"/>
    </xf>
    <xf numFmtId="49" fontId="46" fillId="0" borderId="0" xfId="0" applyNumberFormat="1" applyFont="1" applyAlignment="1" applyProtection="1">
      <alignment horizontal="center"/>
    </xf>
    <xf numFmtId="0" fontId="46" fillId="0" borderId="0" xfId="0" applyFont="1" applyAlignment="1" applyProtection="1">
      <alignment horizontal="center"/>
    </xf>
    <xf numFmtId="0" fontId="6" fillId="0" borderId="0" xfId="178" quotePrefix="1" applyFont="1" applyBorder="1" applyAlignment="1" applyProtection="1">
      <alignment horizontal="center"/>
    </xf>
    <xf numFmtId="0" fontId="46" fillId="0" borderId="0" xfId="178" applyFont="1" applyBorder="1" applyAlignment="1" applyProtection="1">
      <alignment horizontal="center"/>
    </xf>
    <xf numFmtId="3" fontId="6" fillId="0" borderId="0" xfId="0" applyNumberFormat="1" applyFont="1" applyAlignment="1" applyProtection="1">
      <alignment horizontal="center"/>
    </xf>
    <xf numFmtId="0" fontId="46" fillId="0" borderId="0" xfId="0" applyNumberFormat="1" applyFont="1" applyAlignment="1" applyProtection="1">
      <alignment horizontal="center"/>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cellXfs>
  <cellStyles count="26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0" xfId="263" xr:uid="{00000000-0005-0000-0000-000056000000}"/>
    <cellStyle name="Comma 2" xfId="87" xr:uid="{00000000-0005-0000-0000-000057000000}"/>
    <cellStyle name="Comma 2 2" xfId="88" xr:uid="{00000000-0005-0000-0000-000058000000}"/>
    <cellStyle name="Comma 3" xfId="89" xr:uid="{00000000-0005-0000-0000-000059000000}"/>
    <cellStyle name="Comma 3 2" xfId="90" xr:uid="{00000000-0005-0000-0000-00005A000000}"/>
    <cellStyle name="Comma 3 3" xfId="91" xr:uid="{00000000-0005-0000-0000-00005B000000}"/>
    <cellStyle name="Comma 3 3 2" xfId="92" xr:uid="{00000000-0005-0000-0000-00005C000000}"/>
    <cellStyle name="Comma 3 4" xfId="93" xr:uid="{00000000-0005-0000-0000-00005D000000}"/>
    <cellStyle name="Comma 3 5" xfId="94" xr:uid="{00000000-0005-0000-0000-00005E000000}"/>
    <cellStyle name="Comma 4" xfId="95" xr:uid="{00000000-0005-0000-0000-00005F000000}"/>
    <cellStyle name="Comma 4 2" xfId="96" xr:uid="{00000000-0005-0000-0000-000060000000}"/>
    <cellStyle name="Comma 4 3" xfId="97" xr:uid="{00000000-0005-0000-0000-000061000000}"/>
    <cellStyle name="Comma 5" xfId="98" xr:uid="{00000000-0005-0000-0000-000062000000}"/>
    <cellStyle name="Comma 5 2" xfId="99" xr:uid="{00000000-0005-0000-0000-000063000000}"/>
    <cellStyle name="Comma 6" xfId="100" xr:uid="{00000000-0005-0000-0000-000064000000}"/>
    <cellStyle name="Comma 7" xfId="101" xr:uid="{00000000-0005-0000-0000-000065000000}"/>
    <cellStyle name="Comma0" xfId="102" xr:uid="{00000000-0005-0000-0000-000066000000}"/>
    <cellStyle name="Comma0 2" xfId="103" xr:uid="{00000000-0005-0000-0000-000067000000}"/>
    <cellStyle name="Comma0 2 2" xfId="104" xr:uid="{00000000-0005-0000-0000-000068000000}"/>
    <cellStyle name="Comma0 3" xfId="105" xr:uid="{00000000-0005-0000-0000-000069000000}"/>
    <cellStyle name="Currency" xfId="106" builtinId="4"/>
    <cellStyle name="Currency 2" xfId="107" xr:uid="{00000000-0005-0000-0000-00006B000000}"/>
    <cellStyle name="Currency 2 2" xfId="108" xr:uid="{00000000-0005-0000-0000-00006C000000}"/>
    <cellStyle name="Currency 2 2 2" xfId="109" xr:uid="{00000000-0005-0000-0000-00006D000000}"/>
    <cellStyle name="Currency 3" xfId="110" xr:uid="{00000000-0005-0000-0000-00006E000000}"/>
    <cellStyle name="Currency 3 2" xfId="111" xr:uid="{00000000-0005-0000-0000-00006F000000}"/>
    <cellStyle name="Currency 3 3" xfId="112" xr:uid="{00000000-0005-0000-0000-000070000000}"/>
    <cellStyle name="Currency 3 3 2" xfId="113" xr:uid="{00000000-0005-0000-0000-000071000000}"/>
    <cellStyle name="Currency 3 4" xfId="114" xr:uid="{00000000-0005-0000-0000-000072000000}"/>
    <cellStyle name="Currency 3 5" xfId="115" xr:uid="{00000000-0005-0000-0000-000073000000}"/>
    <cellStyle name="Currency 4" xfId="116" xr:uid="{00000000-0005-0000-0000-000074000000}"/>
    <cellStyle name="Currency 4 2" xfId="117" xr:uid="{00000000-0005-0000-0000-000075000000}"/>
    <cellStyle name="Currency 4 2 2" xfId="118" xr:uid="{00000000-0005-0000-0000-000076000000}"/>
    <cellStyle name="Currency 5" xfId="119" xr:uid="{00000000-0005-0000-0000-000077000000}"/>
    <cellStyle name="Currency 5 2" xfId="120" xr:uid="{00000000-0005-0000-0000-000078000000}"/>
    <cellStyle name="Currency 6" xfId="121" xr:uid="{00000000-0005-0000-0000-000079000000}"/>
    <cellStyle name="Currency 6 2" xfId="122" xr:uid="{00000000-0005-0000-0000-00007A000000}"/>
    <cellStyle name="Currency 6 3" xfId="123" xr:uid="{00000000-0005-0000-0000-00007B000000}"/>
    <cellStyle name="Currency 6 4" xfId="124" xr:uid="{00000000-0005-0000-0000-00007C000000}"/>
    <cellStyle name="Currency0" xfId="125" xr:uid="{00000000-0005-0000-0000-00007D000000}"/>
    <cellStyle name="Currency0 2" xfId="126" xr:uid="{00000000-0005-0000-0000-00007E000000}"/>
    <cellStyle name="Currency0 2 2" xfId="127" xr:uid="{00000000-0005-0000-0000-00007F000000}"/>
    <cellStyle name="Currency0 3" xfId="128" xr:uid="{00000000-0005-0000-0000-000080000000}"/>
    <cellStyle name="Date" xfId="129" xr:uid="{00000000-0005-0000-0000-000081000000}"/>
    <cellStyle name="Date 2" xfId="130" xr:uid="{00000000-0005-0000-0000-000082000000}"/>
    <cellStyle name="Date 2 2" xfId="131" xr:uid="{00000000-0005-0000-0000-000083000000}"/>
    <cellStyle name="Date 3" xfId="132" xr:uid="{00000000-0005-0000-0000-000084000000}"/>
    <cellStyle name="Explanatory Text" xfId="133" builtinId="53" customBuiltin="1"/>
    <cellStyle name="Explanatory Text 2" xfId="134" xr:uid="{00000000-0005-0000-0000-000086000000}"/>
    <cellStyle name="Fixed" xfId="135" xr:uid="{00000000-0005-0000-0000-000087000000}"/>
    <cellStyle name="Fixed 2" xfId="136" xr:uid="{00000000-0005-0000-0000-000088000000}"/>
    <cellStyle name="Fixed 2 2" xfId="137" xr:uid="{00000000-0005-0000-0000-000089000000}"/>
    <cellStyle name="Fixed 3" xfId="138" xr:uid="{00000000-0005-0000-0000-00008A000000}"/>
    <cellStyle name="Good" xfId="139" builtinId="26" customBuiltin="1"/>
    <cellStyle name="Good 2" xfId="140" xr:uid="{00000000-0005-0000-0000-00008C000000}"/>
    <cellStyle name="Heading 1" xfId="141" builtinId="16" customBuiltin="1"/>
    <cellStyle name="Heading 1 2" xfId="142" xr:uid="{00000000-0005-0000-0000-00008E000000}"/>
    <cellStyle name="Heading 1 3" xfId="143" xr:uid="{00000000-0005-0000-0000-00008F000000}"/>
    <cellStyle name="Heading 1 3 2" xfId="144" xr:uid="{00000000-0005-0000-0000-000090000000}"/>
    <cellStyle name="Heading 2" xfId="145" builtinId="17" customBuiltin="1"/>
    <cellStyle name="Heading 2 2" xfId="146" xr:uid="{00000000-0005-0000-0000-000092000000}"/>
    <cellStyle name="Heading 2 3" xfId="147" xr:uid="{00000000-0005-0000-0000-000093000000}"/>
    <cellStyle name="Heading 2 3 2" xfId="148" xr:uid="{00000000-0005-0000-0000-000094000000}"/>
    <cellStyle name="Heading 3" xfId="149" builtinId="18" customBuiltin="1"/>
    <cellStyle name="Heading 3 2" xfId="150" xr:uid="{00000000-0005-0000-0000-000096000000}"/>
    <cellStyle name="Heading 4" xfId="151" builtinId="19" customBuiltin="1"/>
    <cellStyle name="Heading 4 2" xfId="152" xr:uid="{00000000-0005-0000-0000-000098000000}"/>
    <cellStyle name="Heading1" xfId="153" xr:uid="{00000000-0005-0000-0000-000099000000}"/>
    <cellStyle name="Heading2" xfId="154" xr:uid="{00000000-0005-0000-0000-00009A000000}"/>
    <cellStyle name="Input" xfId="155" builtinId="20" customBuiltin="1"/>
    <cellStyle name="Input 2" xfId="156" xr:uid="{00000000-0005-0000-0000-00009C000000}"/>
    <cellStyle name="Linked Cell" xfId="157" builtinId="24" customBuiltin="1"/>
    <cellStyle name="Linked Cell 2" xfId="158" xr:uid="{00000000-0005-0000-0000-00009E000000}"/>
    <cellStyle name="M" xfId="159" xr:uid="{00000000-0005-0000-0000-00009F000000}"/>
    <cellStyle name="M 2" xfId="160" xr:uid="{00000000-0005-0000-0000-0000A0000000}"/>
    <cellStyle name="M 2 2" xfId="161" xr:uid="{00000000-0005-0000-0000-0000A1000000}"/>
    <cellStyle name="M 2 2 2" xfId="162" xr:uid="{00000000-0005-0000-0000-0000A2000000}"/>
    <cellStyle name="M 3" xfId="163" xr:uid="{00000000-0005-0000-0000-0000A3000000}"/>
    <cellStyle name="M 3 2" xfId="164" xr:uid="{00000000-0005-0000-0000-0000A4000000}"/>
    <cellStyle name="M 3 2 2" xfId="165" xr:uid="{00000000-0005-0000-0000-0000A5000000}"/>
    <cellStyle name="M 4" xfId="166" xr:uid="{00000000-0005-0000-0000-0000A6000000}"/>
    <cellStyle name="M 5" xfId="167" xr:uid="{00000000-0005-0000-0000-0000A7000000}"/>
    <cellStyle name="M 5 2" xfId="168" xr:uid="{00000000-0005-0000-0000-0000A8000000}"/>
    <cellStyle name="M 6" xfId="169" xr:uid="{00000000-0005-0000-0000-0000A9000000}"/>
    <cellStyle name="M 6 2" xfId="170" xr:uid="{00000000-0005-0000-0000-0000AA000000}"/>
    <cellStyle name="M 7" xfId="171" xr:uid="{00000000-0005-0000-0000-0000AB000000}"/>
    <cellStyle name="Neutral" xfId="172" builtinId="28" customBuiltin="1"/>
    <cellStyle name="Neutral 2" xfId="173" xr:uid="{00000000-0005-0000-0000-0000AD000000}"/>
    <cellStyle name="Normal" xfId="0" builtinId="0"/>
    <cellStyle name="Normal 12" xfId="174" xr:uid="{00000000-0005-0000-0000-0000AF000000}"/>
    <cellStyle name="Normal 2" xfId="175" xr:uid="{00000000-0005-0000-0000-0000B0000000}"/>
    <cellStyle name="Normal 2 2" xfId="176" xr:uid="{00000000-0005-0000-0000-0000B1000000}"/>
    <cellStyle name="Normal 3" xfId="177" xr:uid="{00000000-0005-0000-0000-0000B2000000}"/>
    <cellStyle name="Normal 3 2" xfId="178" xr:uid="{00000000-0005-0000-0000-0000B3000000}"/>
    <cellStyle name="Normal 3 3" xfId="179" xr:uid="{00000000-0005-0000-0000-0000B4000000}"/>
    <cellStyle name="Normal 3_OPCo Period I PJM  Formula Rate" xfId="180" xr:uid="{00000000-0005-0000-0000-0000B5000000}"/>
    <cellStyle name="Normal 4" xfId="181" xr:uid="{00000000-0005-0000-0000-0000B6000000}"/>
    <cellStyle name="Normal 4 2" xfId="182" xr:uid="{00000000-0005-0000-0000-0000B7000000}"/>
    <cellStyle name="Normal 4 3" xfId="183" xr:uid="{00000000-0005-0000-0000-0000B8000000}"/>
    <cellStyle name="Normal 4 3 2" xfId="184" xr:uid="{00000000-0005-0000-0000-0000B9000000}"/>
    <cellStyle name="Normal 4 4" xfId="185" xr:uid="{00000000-0005-0000-0000-0000BA000000}"/>
    <cellStyle name="Normal 4 5" xfId="186" xr:uid="{00000000-0005-0000-0000-0000BB000000}"/>
    <cellStyle name="Normal 4 5 2" xfId="187" xr:uid="{00000000-0005-0000-0000-0000BC000000}"/>
    <cellStyle name="Normal 4 5 3" xfId="188" xr:uid="{00000000-0005-0000-0000-0000BD000000}"/>
    <cellStyle name="Normal 4_PBOP Exhibit 1" xfId="189" xr:uid="{00000000-0005-0000-0000-0000BE000000}"/>
    <cellStyle name="Normal 5" xfId="190" xr:uid="{00000000-0005-0000-0000-0000BF000000}"/>
    <cellStyle name="Normal_FN1 Ratebase Draft SPP template (6-11-04) v2" xfId="191" xr:uid="{00000000-0005-0000-0000-0000C0000000}"/>
    <cellStyle name="Note" xfId="192" builtinId="10" customBuiltin="1"/>
    <cellStyle name="Note 2" xfId="193" xr:uid="{00000000-0005-0000-0000-0000C2000000}"/>
    <cellStyle name="Output" xfId="194" builtinId="21" customBuiltin="1"/>
    <cellStyle name="Output 2" xfId="195" xr:uid="{00000000-0005-0000-0000-0000C4000000}"/>
    <cellStyle name="Percent" xfId="196" builtinId="5"/>
    <cellStyle name="Percent 2" xfId="197" xr:uid="{00000000-0005-0000-0000-0000C6000000}"/>
    <cellStyle name="Percent 2 2" xfId="198" xr:uid="{00000000-0005-0000-0000-0000C7000000}"/>
    <cellStyle name="Percent 2 2 2" xfId="199" xr:uid="{00000000-0005-0000-0000-0000C8000000}"/>
    <cellStyle name="Percent 3" xfId="200" xr:uid="{00000000-0005-0000-0000-0000C9000000}"/>
    <cellStyle name="Percent 3 2" xfId="201" xr:uid="{00000000-0005-0000-0000-0000CA000000}"/>
    <cellStyle name="Percent 3 3" xfId="202" xr:uid="{00000000-0005-0000-0000-0000CB000000}"/>
    <cellStyle name="Percent 3 3 2" xfId="203" xr:uid="{00000000-0005-0000-0000-0000CC000000}"/>
    <cellStyle name="Percent 3 4" xfId="204" xr:uid="{00000000-0005-0000-0000-0000CD000000}"/>
    <cellStyle name="Percent 3 5" xfId="205" xr:uid="{00000000-0005-0000-0000-0000CE000000}"/>
    <cellStyle name="Percent 4" xfId="206" xr:uid="{00000000-0005-0000-0000-0000CF000000}"/>
    <cellStyle name="Percent 4 2" xfId="207" xr:uid="{00000000-0005-0000-0000-0000D0000000}"/>
    <cellStyle name="Percent 4 3" xfId="208" xr:uid="{00000000-0005-0000-0000-0000D1000000}"/>
    <cellStyle name="Percent 5" xfId="209" xr:uid="{00000000-0005-0000-0000-0000D2000000}"/>
    <cellStyle name="Percent 5 2" xfId="210" xr:uid="{00000000-0005-0000-0000-0000D3000000}"/>
    <cellStyle name="Percent 5 3" xfId="211" xr:uid="{00000000-0005-0000-0000-0000D4000000}"/>
    <cellStyle name="Percent 6" xfId="212" xr:uid="{00000000-0005-0000-0000-0000D5000000}"/>
    <cellStyle name="Percent 7" xfId="213" xr:uid="{00000000-0005-0000-0000-0000D6000000}"/>
    <cellStyle name="PSChar" xfId="214" xr:uid="{00000000-0005-0000-0000-0000D7000000}"/>
    <cellStyle name="PSChar 2" xfId="215" xr:uid="{00000000-0005-0000-0000-0000D8000000}"/>
    <cellStyle name="PSChar 2 2" xfId="216" xr:uid="{00000000-0005-0000-0000-0000D9000000}"/>
    <cellStyle name="PSDate" xfId="217" xr:uid="{00000000-0005-0000-0000-0000DA000000}"/>
    <cellStyle name="PSDec" xfId="218" xr:uid="{00000000-0005-0000-0000-0000DB000000}"/>
    <cellStyle name="PSdesc" xfId="219" xr:uid="{00000000-0005-0000-0000-0000DC000000}"/>
    <cellStyle name="PSHeading" xfId="220" xr:uid="{00000000-0005-0000-0000-0000DD000000}"/>
    <cellStyle name="PSInt" xfId="221" xr:uid="{00000000-0005-0000-0000-0000DE000000}"/>
    <cellStyle name="PSSpacer" xfId="222" xr:uid="{00000000-0005-0000-0000-0000DF000000}"/>
    <cellStyle name="PStest" xfId="223" xr:uid="{00000000-0005-0000-0000-0000E0000000}"/>
    <cellStyle name="R00A" xfId="224" xr:uid="{00000000-0005-0000-0000-0000E1000000}"/>
    <cellStyle name="R00B" xfId="225" xr:uid="{00000000-0005-0000-0000-0000E2000000}"/>
    <cellStyle name="R00L" xfId="226" xr:uid="{00000000-0005-0000-0000-0000E3000000}"/>
    <cellStyle name="R01A" xfId="227" xr:uid="{00000000-0005-0000-0000-0000E4000000}"/>
    <cellStyle name="R01B" xfId="228" xr:uid="{00000000-0005-0000-0000-0000E5000000}"/>
    <cellStyle name="R01H" xfId="229" xr:uid="{00000000-0005-0000-0000-0000E6000000}"/>
    <cellStyle name="R01L" xfId="230" xr:uid="{00000000-0005-0000-0000-0000E7000000}"/>
    <cellStyle name="R02A" xfId="231" xr:uid="{00000000-0005-0000-0000-0000E8000000}"/>
    <cellStyle name="R02B" xfId="232" xr:uid="{00000000-0005-0000-0000-0000E9000000}"/>
    <cellStyle name="R02H" xfId="233" xr:uid="{00000000-0005-0000-0000-0000EA000000}"/>
    <cellStyle name="R02L" xfId="234" xr:uid="{00000000-0005-0000-0000-0000EB000000}"/>
    <cellStyle name="R03A" xfId="235" xr:uid="{00000000-0005-0000-0000-0000EC000000}"/>
    <cellStyle name="R03B" xfId="236" xr:uid="{00000000-0005-0000-0000-0000ED000000}"/>
    <cellStyle name="R03H" xfId="237" xr:uid="{00000000-0005-0000-0000-0000EE000000}"/>
    <cellStyle name="R03L" xfId="238" xr:uid="{00000000-0005-0000-0000-0000EF000000}"/>
    <cellStyle name="R04A" xfId="239" xr:uid="{00000000-0005-0000-0000-0000F0000000}"/>
    <cellStyle name="R04B" xfId="240" xr:uid="{00000000-0005-0000-0000-0000F1000000}"/>
    <cellStyle name="R04H" xfId="241" xr:uid="{00000000-0005-0000-0000-0000F2000000}"/>
    <cellStyle name="R04L" xfId="242" xr:uid="{00000000-0005-0000-0000-0000F3000000}"/>
    <cellStyle name="R05A" xfId="243" xr:uid="{00000000-0005-0000-0000-0000F4000000}"/>
    <cellStyle name="R05B" xfId="244" xr:uid="{00000000-0005-0000-0000-0000F5000000}"/>
    <cellStyle name="R05H" xfId="245" xr:uid="{00000000-0005-0000-0000-0000F6000000}"/>
    <cellStyle name="R05L" xfId="246" xr:uid="{00000000-0005-0000-0000-0000F7000000}"/>
    <cellStyle name="R06A" xfId="247" xr:uid="{00000000-0005-0000-0000-0000F8000000}"/>
    <cellStyle name="R06B" xfId="248" xr:uid="{00000000-0005-0000-0000-0000F9000000}"/>
    <cellStyle name="R06H" xfId="249" xr:uid="{00000000-0005-0000-0000-0000FA000000}"/>
    <cellStyle name="R06L" xfId="250" xr:uid="{00000000-0005-0000-0000-0000FB000000}"/>
    <cellStyle name="R07A" xfId="251" xr:uid="{00000000-0005-0000-0000-0000FC000000}"/>
    <cellStyle name="R07B" xfId="252" xr:uid="{00000000-0005-0000-0000-0000FD000000}"/>
    <cellStyle name="R07H" xfId="253" xr:uid="{00000000-0005-0000-0000-0000FE000000}"/>
    <cellStyle name="R07L" xfId="254" xr:uid="{00000000-0005-0000-0000-0000FF000000}"/>
    <cellStyle name="Title" xfId="255" builtinId="15" customBuiltin="1"/>
    <cellStyle name="Title 2" xfId="256" xr:uid="{00000000-0005-0000-0000-000001010000}"/>
    <cellStyle name="Total" xfId="257" builtinId="25" customBuiltin="1"/>
    <cellStyle name="Total 2" xfId="258" xr:uid="{00000000-0005-0000-0000-000003010000}"/>
    <cellStyle name="Total 3" xfId="259" xr:uid="{00000000-0005-0000-0000-000004010000}"/>
    <cellStyle name="Total 3 2" xfId="260" xr:uid="{00000000-0005-0000-0000-000005010000}"/>
    <cellStyle name="Warning Text" xfId="261" builtinId="11" customBuiltin="1"/>
    <cellStyle name="Warning Text 2" xfId="262" xr:uid="{00000000-0005-0000-0000-000007010000}"/>
  </cellStyles>
  <dxfs count="64">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a:extLst>
            <a:ext uri="{FF2B5EF4-FFF2-40B4-BE49-F238E27FC236}">
              <a16:creationId xmlns:a16="http://schemas.microsoft.com/office/drawing/2014/main" id="{00000000-0008-0000-0100-000012060000}"/>
            </a:ext>
          </a:extLst>
        </xdr:cNvPr>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2936" name="Text Box 1">
          <a:extLst>
            <a:ext uri="{FF2B5EF4-FFF2-40B4-BE49-F238E27FC236}">
              <a16:creationId xmlns:a16="http://schemas.microsoft.com/office/drawing/2014/main" id="{00000000-0008-0000-0B00-0000985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1912" name="Text Box 1">
          <a:extLst>
            <a:ext uri="{FF2B5EF4-FFF2-40B4-BE49-F238E27FC236}">
              <a16:creationId xmlns:a16="http://schemas.microsoft.com/office/drawing/2014/main" id="{00000000-0008-0000-0C00-0000985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3960" name="Text Box 1">
          <a:extLst>
            <a:ext uri="{FF2B5EF4-FFF2-40B4-BE49-F238E27FC236}">
              <a16:creationId xmlns:a16="http://schemas.microsoft.com/office/drawing/2014/main" id="{00000000-0008-0000-0D00-0000985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4984" name="Text Box 1">
          <a:extLst>
            <a:ext uri="{FF2B5EF4-FFF2-40B4-BE49-F238E27FC236}">
              <a16:creationId xmlns:a16="http://schemas.microsoft.com/office/drawing/2014/main" id="{00000000-0008-0000-0E00-0000986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5996" name="Text Box 1">
          <a:extLst>
            <a:ext uri="{FF2B5EF4-FFF2-40B4-BE49-F238E27FC236}">
              <a16:creationId xmlns:a16="http://schemas.microsoft.com/office/drawing/2014/main" id="{00000000-0008-0000-0F00-00008C6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6977" name="Text Box 1">
          <a:extLst>
            <a:ext uri="{FF2B5EF4-FFF2-40B4-BE49-F238E27FC236}">
              <a16:creationId xmlns:a16="http://schemas.microsoft.com/office/drawing/2014/main" id="{00000000-0008-0000-1000-0000616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28966" name="Text Box 1">
          <a:extLst>
            <a:ext uri="{FF2B5EF4-FFF2-40B4-BE49-F238E27FC236}">
              <a16:creationId xmlns:a16="http://schemas.microsoft.com/office/drawing/2014/main" id="{00000000-0008-0000-1100-0000267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31998" name="Text Box 1">
          <a:extLst>
            <a:ext uri="{FF2B5EF4-FFF2-40B4-BE49-F238E27FC236}">
              <a16:creationId xmlns:a16="http://schemas.microsoft.com/office/drawing/2014/main" id="{00000000-0008-0000-1200-0000FE7C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33022" name="Text Box 1">
          <a:extLst>
            <a:ext uri="{FF2B5EF4-FFF2-40B4-BE49-F238E27FC236}">
              <a16:creationId xmlns:a16="http://schemas.microsoft.com/office/drawing/2014/main" id="{00000000-0008-0000-1300-0000FE80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1</xdr:row>
      <xdr:rowOff>0</xdr:rowOff>
    </xdr:to>
    <xdr:sp macro="" textlink="">
      <xdr:nvSpPr>
        <xdr:cNvPr id="35909" name="Text Box 1">
          <a:extLst>
            <a:ext uri="{FF2B5EF4-FFF2-40B4-BE49-F238E27FC236}">
              <a16:creationId xmlns:a16="http://schemas.microsoft.com/office/drawing/2014/main" id="{00000000-0008-0000-1500-0000458C0000}"/>
            </a:ext>
          </a:extLst>
        </xdr:cNvPr>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520700</xdr:colOff>
      <xdr:row>0</xdr:row>
      <xdr:rowOff>215900</xdr:rowOff>
    </xdr:to>
    <xdr:sp macro="" textlink="">
      <xdr:nvSpPr>
        <xdr:cNvPr id="2597" name="Text Box 1">
          <a:extLst>
            <a:ext uri="{FF2B5EF4-FFF2-40B4-BE49-F238E27FC236}">
              <a16:creationId xmlns:a16="http://schemas.microsoft.com/office/drawing/2014/main" id="{00000000-0008-0000-0300-0000250A0000}"/>
            </a:ext>
          </a:extLst>
        </xdr:cNvPr>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1</xdr:row>
      <xdr:rowOff>76200</xdr:rowOff>
    </xdr:to>
    <xdr:sp macro="" textlink="">
      <xdr:nvSpPr>
        <xdr:cNvPr id="36881" name="Text Box 1">
          <a:extLst>
            <a:ext uri="{FF2B5EF4-FFF2-40B4-BE49-F238E27FC236}">
              <a16:creationId xmlns:a16="http://schemas.microsoft.com/office/drawing/2014/main" id="{00000000-0008-0000-1400-000011900000}"/>
            </a:ext>
          </a:extLst>
        </xdr:cNvPr>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85725</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4073525"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6350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3905250" y="0"/>
          <a:ext cx="114300" cy="336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2</xdr:row>
      <xdr:rowOff>9525</xdr:rowOff>
    </xdr:to>
    <xdr:sp macro="" textlink="">
      <xdr:nvSpPr>
        <xdr:cNvPr id="2" name="Text Box 1">
          <a:extLst>
            <a:ext uri="{FF2B5EF4-FFF2-40B4-BE49-F238E27FC236}">
              <a16:creationId xmlns:a16="http://schemas.microsoft.com/office/drawing/2014/main" id="{00000000-0008-0000-1800-000002000000}"/>
            </a:ext>
          </a:extLst>
        </xdr:cNvPr>
        <xdr:cNvSpPr txBox="1">
          <a:spLocks noChangeArrowheads="1"/>
        </xdr:cNvSpPr>
      </xdr:nvSpPr>
      <xdr:spPr bwMode="auto">
        <a:xfrm>
          <a:off x="3905250" y="0"/>
          <a:ext cx="114300" cy="336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12700</xdr:rowOff>
    </xdr:to>
    <xdr:sp macro="" textlink="">
      <xdr:nvSpPr>
        <xdr:cNvPr id="2" name="Text Box 1">
          <a:extLst>
            <a:ext uri="{FF2B5EF4-FFF2-40B4-BE49-F238E27FC236}">
              <a16:creationId xmlns:a16="http://schemas.microsoft.com/office/drawing/2014/main" id="{00000000-0008-0000-1900-000002000000}"/>
            </a:ext>
          </a:extLst>
        </xdr:cNvPr>
        <xdr:cNvSpPr txBox="1">
          <a:spLocks noChangeArrowheads="1"/>
        </xdr:cNvSpPr>
      </xdr:nvSpPr>
      <xdr:spPr bwMode="auto">
        <a:xfrm>
          <a:off x="3905250" y="0"/>
          <a:ext cx="114300" cy="336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12700</xdr:rowOff>
    </xdr:to>
    <xdr:sp macro="" textlink="">
      <xdr:nvSpPr>
        <xdr:cNvPr id="2" name="Text Box 1">
          <a:extLst>
            <a:ext uri="{FF2B5EF4-FFF2-40B4-BE49-F238E27FC236}">
              <a16:creationId xmlns:a16="http://schemas.microsoft.com/office/drawing/2014/main" id="{A7AF7773-0821-4943-9953-B25F2D56D601}"/>
            </a:ext>
          </a:extLst>
        </xdr:cNvPr>
        <xdr:cNvSpPr txBox="1">
          <a:spLocks noChangeArrowheads="1"/>
        </xdr:cNvSpPr>
      </xdr:nvSpPr>
      <xdr:spPr bwMode="auto">
        <a:xfrm>
          <a:off x="3905250" y="0"/>
          <a:ext cx="114300" cy="498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2784" name="Text Box 1">
          <a:extLst>
            <a:ext uri="{FF2B5EF4-FFF2-40B4-BE49-F238E27FC236}">
              <a16:creationId xmlns:a16="http://schemas.microsoft.com/office/drawing/2014/main" id="{00000000-0008-0000-1A00-0000F03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3568" name="Text Box 1">
          <a:extLst>
            <a:ext uri="{FF2B5EF4-FFF2-40B4-BE49-F238E27FC236}">
              <a16:creationId xmlns:a16="http://schemas.microsoft.com/office/drawing/2014/main" id="{00000000-0008-0000-0400-0000F00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5856" name="Text Box 1">
          <a:extLst>
            <a:ext uri="{FF2B5EF4-FFF2-40B4-BE49-F238E27FC236}">
              <a16:creationId xmlns:a16="http://schemas.microsoft.com/office/drawing/2014/main" id="{00000000-0008-0000-0500-0000F03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6881" name="Text Box 1">
          <a:extLst>
            <a:ext uri="{FF2B5EF4-FFF2-40B4-BE49-F238E27FC236}">
              <a16:creationId xmlns:a16="http://schemas.microsoft.com/office/drawing/2014/main" id="{00000000-0008-0000-0600-0000F14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7904" name="Text Box 1">
          <a:extLst>
            <a:ext uri="{FF2B5EF4-FFF2-40B4-BE49-F238E27FC236}">
              <a16:creationId xmlns:a16="http://schemas.microsoft.com/office/drawing/2014/main" id="{00000000-0008-0000-0700-0000F045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8929" name="Text Box 1">
          <a:extLst>
            <a:ext uri="{FF2B5EF4-FFF2-40B4-BE49-F238E27FC236}">
              <a16:creationId xmlns:a16="http://schemas.microsoft.com/office/drawing/2014/main" id="{00000000-0008-0000-0800-0000F149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19898" name="Text Box 1">
          <a:extLst>
            <a:ext uri="{FF2B5EF4-FFF2-40B4-BE49-F238E27FC236}">
              <a16:creationId xmlns:a16="http://schemas.microsoft.com/office/drawing/2014/main" id="{00000000-0008-0000-0900-0000BA4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0920" name="Text Box 1">
          <a:extLst>
            <a:ext uri="{FF2B5EF4-FFF2-40B4-BE49-F238E27FC236}">
              <a16:creationId xmlns:a16="http://schemas.microsoft.com/office/drawing/2014/main" id="{00000000-0008-0000-0A00-0000B85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ing/dbw/SWPP%20Form%20Rate/Lila%20added/AEP%20SPP%20For%20Rate%20Proj%20w%2013%20mth%20rate%20base%20june-07%20-%20June-08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78"/>
  <sheetViews>
    <sheetView tabSelected="1" zoomScale="70" zoomScaleNormal="70" zoomScaleSheetLayoutView="80" workbookViewId="0">
      <selection activeCell="R18" sqref="R18:R40"/>
    </sheetView>
  </sheetViews>
  <sheetFormatPr defaultColWidth="8.7109375" defaultRowHeight="12.75" customHeight="1"/>
  <cols>
    <col min="1" max="1" width="9.85546875" style="145" customWidth="1"/>
    <col min="2" max="2" width="7" style="145" bestFit="1" customWidth="1"/>
    <col min="3" max="3" width="43.140625" style="145" customWidth="1"/>
    <col min="4" max="4" width="9" style="145" customWidth="1"/>
    <col min="5" max="5" width="15.7109375" style="145" customWidth="1"/>
    <col min="6" max="6" width="13.85546875" style="145" customWidth="1"/>
    <col min="7" max="7" width="14.28515625" style="145" customWidth="1"/>
    <col min="8" max="8" width="2.85546875" style="145" customWidth="1"/>
    <col min="9" max="9" width="13.7109375" style="145" customWidth="1"/>
    <col min="10" max="10" width="13.28515625" style="145" customWidth="1"/>
    <col min="11" max="11" width="13.85546875" style="145" bestFit="1" customWidth="1"/>
    <col min="12" max="12" width="16.42578125" style="145" customWidth="1"/>
    <col min="13" max="13" width="2.42578125" style="145" customWidth="1"/>
    <col min="14" max="14" width="6.140625" style="145" customWidth="1"/>
    <col min="15" max="15" width="7.7109375" style="145" customWidth="1"/>
    <col min="16" max="16" width="10.7109375" style="145" customWidth="1"/>
    <col min="17" max="17" width="11.140625" style="145" bestFit="1" customWidth="1"/>
    <col min="18" max="18" width="18.7109375" style="145" customWidth="1"/>
    <col min="19" max="19" width="2.42578125" style="145" customWidth="1"/>
    <col min="20" max="20" width="14.28515625" style="145" customWidth="1"/>
    <col min="21" max="21" width="8.7109375" style="145"/>
    <col min="22" max="22" width="18" style="145" customWidth="1"/>
    <col min="23" max="23" width="8.7109375" style="145"/>
    <col min="24" max="24" width="59.28515625" style="145" bestFit="1" customWidth="1"/>
    <col min="25" max="16384" width="8.7109375" style="145"/>
  </cols>
  <sheetData>
    <row r="1" spans="1:23" ht="15">
      <c r="H1" s="146" t="s">
        <v>136</v>
      </c>
      <c r="U1" s="145">
        <v>2024</v>
      </c>
    </row>
    <row r="2" spans="1:23" ht="15">
      <c r="H2" s="147" t="s">
        <v>159</v>
      </c>
    </row>
    <row r="3" spans="1:23" ht="15">
      <c r="H3" s="148" t="str">
        <f>"For Calendar Year "&amp;U1-1&amp;" and Projected Year "&amp;U1</f>
        <v>For Calendar Year 2023 and Projected Year 2024</v>
      </c>
    </row>
    <row r="4" spans="1:23" ht="15">
      <c r="H4" s="149"/>
    </row>
    <row r="5" spans="1:23" ht="15.75">
      <c r="H5" s="150" t="s">
        <v>137</v>
      </c>
    </row>
    <row r="7" spans="1:23" ht="18">
      <c r="C7" s="151"/>
      <c r="E7" s="151"/>
      <c r="F7" s="151"/>
      <c r="G7" s="151"/>
      <c r="H7" s="151" t="s">
        <v>188</v>
      </c>
      <c r="I7" s="151"/>
      <c r="J7" s="151"/>
      <c r="K7" s="151"/>
      <c r="L7" s="151"/>
    </row>
    <row r="8" spans="1:23">
      <c r="D8" s="152"/>
    </row>
    <row r="9" spans="1:23">
      <c r="A9" s="145"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153" t="s">
        <v>138</v>
      </c>
      <c r="B12" s="153" t="s">
        <v>139</v>
      </c>
      <c r="C12" s="154" t="s">
        <v>140</v>
      </c>
      <c r="D12" s="153" t="s">
        <v>141</v>
      </c>
      <c r="E12" s="153" t="s">
        <v>142</v>
      </c>
      <c r="F12" s="153" t="s">
        <v>143</v>
      </c>
      <c r="G12" s="153" t="str">
        <f>"(G) = "&amp;E12&amp;" + "&amp;F12</f>
        <v>(G) = (E) + (F)</v>
      </c>
      <c r="H12" s="153"/>
      <c r="I12" s="153" t="s">
        <v>144</v>
      </c>
      <c r="J12" s="153" t="s">
        <v>145</v>
      </c>
      <c r="K12" s="155" t="s">
        <v>167</v>
      </c>
      <c r="L12" s="153" t="str">
        <f>"(K) = "&amp;J12&amp;" - "&amp;K12</f>
        <v>(K) = (I) - (J)</v>
      </c>
      <c r="M12" s="153"/>
      <c r="N12" s="153" t="s">
        <v>168</v>
      </c>
      <c r="O12" s="153" t="s">
        <v>146</v>
      </c>
      <c r="P12" s="153" t="str">
        <f>"(N) = "&amp;N12&amp;"-"&amp;O12</f>
        <v>(N) = (L)-(M)</v>
      </c>
      <c r="Q12" s="153" t="s">
        <v>169</v>
      </c>
      <c r="R12" s="153" t="str">
        <f>"(P) = "&amp;I12&amp;"+"&amp;LEFT(L12,3)&amp;"+"&amp;LEFT(P12,3)&amp;"+"&amp;Q12</f>
        <v>(P) = (H)+(K)+(N)+(O)</v>
      </c>
      <c r="S12" s="153"/>
      <c r="T12" s="153" t="str">
        <f>"(Q) = "&amp;LEFT(G12,3)&amp;" + "&amp;LEFT(R12,3)</f>
        <v>(Q) = (G) + (P)</v>
      </c>
      <c r="U12" s="153"/>
      <c r="V12" s="156"/>
      <c r="W12" s="156"/>
    </row>
    <row r="13" spans="1:23" ht="16.5" customHeight="1">
      <c r="A13" s="157"/>
      <c r="B13" s="157"/>
      <c r="C13" s="157"/>
      <c r="D13" s="157"/>
      <c r="E13" s="668" t="str">
        <f>"Projected ARR For "&amp;U1&amp;" From WS-F"</f>
        <v>Projected ARR For 2024 From WS-F</v>
      </c>
      <c r="F13" s="668"/>
      <c r="G13" s="668"/>
      <c r="H13" s="157"/>
      <c r="I13" s="158" t="str">
        <f>"True-Up ARR CY"&amp;U1-2&amp;" From Worksheet G  (includes adjustment for SPP Collections)"</f>
        <v>True-Up ARR CY2022 From Worksheet G  (includes adjustment for SPP Collections)</v>
      </c>
      <c r="J13" s="158"/>
      <c r="K13" s="158"/>
      <c r="L13" s="158"/>
      <c r="M13" s="158"/>
      <c r="N13" s="158"/>
      <c r="O13" s="158"/>
      <c r="P13" s="158"/>
      <c r="Q13" s="158"/>
      <c r="R13" s="159"/>
      <c r="S13" s="157"/>
      <c r="T13" s="157"/>
      <c r="U13" s="157"/>
    </row>
    <row r="14" spans="1:23" ht="18" customHeight="1">
      <c r="G14" s="160"/>
      <c r="T14" s="669" t="str">
        <f>"Total ADJUSTED Revenue Requirement Effective
1/1/"&amp;U1&amp;""</f>
        <v>Total ADJUSTED Revenue Requirement Effective
1/1/2024</v>
      </c>
    </row>
    <row r="15" spans="1:23" ht="18" customHeight="1" thickBot="1">
      <c r="D15" s="157"/>
      <c r="E15" s="161"/>
      <c r="F15" s="161"/>
      <c r="G15" s="161"/>
      <c r="I15" s="158" t="s">
        <v>147</v>
      </c>
      <c r="J15" s="162"/>
      <c r="K15" s="162"/>
      <c r="L15" s="162"/>
      <c r="M15" s="163"/>
      <c r="N15" s="158" t="s">
        <v>166</v>
      </c>
      <c r="O15" s="164"/>
      <c r="P15" s="164"/>
      <c r="Q15" s="165"/>
      <c r="T15" s="669"/>
    </row>
    <row r="16" spans="1:23" ht="72.75" customHeight="1">
      <c r="A16" s="166" t="s">
        <v>156</v>
      </c>
      <c r="B16" s="167" t="s">
        <v>148</v>
      </c>
      <c r="C16" s="167" t="s">
        <v>116</v>
      </c>
      <c r="D16" s="168" t="s">
        <v>149</v>
      </c>
      <c r="E16" s="169" t="s">
        <v>164</v>
      </c>
      <c r="F16" s="170" t="s">
        <v>150</v>
      </c>
      <c r="G16" s="170" t="s">
        <v>151</v>
      </c>
      <c r="I16" s="171" t="s">
        <v>163</v>
      </c>
      <c r="J16" s="172" t="s">
        <v>267</v>
      </c>
      <c r="K16" s="171" t="s">
        <v>179</v>
      </c>
      <c r="L16" s="171" t="s">
        <v>165</v>
      </c>
      <c r="M16" s="171"/>
      <c r="N16" s="172" t="s">
        <v>152</v>
      </c>
      <c r="O16" s="172" t="s">
        <v>153</v>
      </c>
      <c r="P16" s="173" t="s">
        <v>154</v>
      </c>
      <c r="Q16" s="173" t="s">
        <v>155</v>
      </c>
      <c r="R16" s="169" t="s">
        <v>181</v>
      </c>
      <c r="T16" s="669"/>
      <c r="V16" s="174" t="s">
        <v>170</v>
      </c>
    </row>
    <row r="17" spans="1:27">
      <c r="B17" s="157"/>
      <c r="C17" s="157"/>
      <c r="E17" s="175"/>
      <c r="F17" s="175"/>
      <c r="G17" s="175"/>
      <c r="I17" s="175"/>
      <c r="J17" s="175"/>
      <c r="K17" s="175"/>
      <c r="L17" s="175"/>
      <c r="M17" s="175"/>
      <c r="N17" s="175"/>
      <c r="O17" s="175"/>
      <c r="P17" s="175"/>
      <c r="Q17" s="175"/>
      <c r="R17" s="175"/>
      <c r="T17" s="175"/>
      <c r="V17" s="176"/>
    </row>
    <row r="18" spans="1:27">
      <c r="A18" s="155" t="s">
        <v>194</v>
      </c>
      <c r="B18" s="153" t="s">
        <v>182</v>
      </c>
      <c r="C18" s="177" t="str">
        <f t="shared" ref="C18:F40" ca="1" si="0">INDIRECT("'"&amp; $A18 &amp; "'!" &amp;C$49)</f>
        <v>Snyder 138 kV Terminal Addition</v>
      </c>
      <c r="D18" s="178">
        <f t="shared" ca="1" si="0"/>
        <v>2010</v>
      </c>
      <c r="E18" s="645">
        <f ca="1">INDIRECT("'"&amp; $A18 &amp; "'!" &amp;E$49)</f>
        <v>79523.896357772843</v>
      </c>
      <c r="F18" s="645">
        <f ca="1">INDIRECT("'"&amp; $A18 &amp; "'!" &amp;F$49)</f>
        <v>0</v>
      </c>
      <c r="G18" s="180">
        <f t="shared" ref="G18:G23" ca="1" si="1">+E18+F18</f>
        <v>79523.896357772843</v>
      </c>
      <c r="H18" s="181"/>
      <c r="I18" s="182">
        <v>9832.4653248824179</v>
      </c>
      <c r="J18" s="182">
        <v>80610.356542895039</v>
      </c>
      <c r="K18" s="182">
        <v>86379.761492382167</v>
      </c>
      <c r="L18" s="179">
        <f t="shared" ref="L18:L23" si="2">+J18-K18</f>
        <v>-5769.4049494871288</v>
      </c>
      <c r="M18" s="179"/>
      <c r="N18" s="180">
        <v>0</v>
      </c>
      <c r="O18" s="180">
        <v>0</v>
      </c>
      <c r="P18" s="180"/>
      <c r="Q18" s="182">
        <f>+V18/$V$42 * $Q$42</f>
        <v>557.05768336300218</v>
      </c>
      <c r="R18" s="183">
        <f>I18+L18+P18+Q18</f>
        <v>4620.1180587582912</v>
      </c>
      <c r="S18" s="183"/>
      <c r="T18" s="184">
        <f ca="1">+G18+R18</f>
        <v>84144.014416531136</v>
      </c>
      <c r="V18" s="185">
        <f>+I18+L18+P18</f>
        <v>4063.0603753952892</v>
      </c>
      <c r="W18" s="145" t="str">
        <f t="shared" ref="W18:W23" si="3">A18</f>
        <v>OKT.001</v>
      </c>
      <c r="X18" s="145" t="s">
        <v>329</v>
      </c>
      <c r="Z18"/>
      <c r="AA18"/>
    </row>
    <row r="19" spans="1:27" ht="25.5">
      <c r="A19" s="155" t="s">
        <v>195</v>
      </c>
      <c r="B19" s="153" t="s">
        <v>182</v>
      </c>
      <c r="C19" s="177" t="str">
        <f t="shared" ca="1" si="0"/>
        <v>Coffeyville T to Dearing 138 kV Rebuild - 1.1 miles</v>
      </c>
      <c r="D19" s="178">
        <f t="shared" ca="1" si="0"/>
        <v>2010</v>
      </c>
      <c r="E19" s="645">
        <f t="shared" ca="1" si="0"/>
        <v>107041.38991809898</v>
      </c>
      <c r="F19" s="645">
        <f t="shared" ca="1" si="0"/>
        <v>0</v>
      </c>
      <c r="G19" s="180">
        <f t="shared" ca="1" si="1"/>
        <v>107041.38991809898</v>
      </c>
      <c r="H19" s="181"/>
      <c r="I19" s="182">
        <v>13643.477206856987</v>
      </c>
      <c r="J19" s="182">
        <v>108824.34215553271</v>
      </c>
      <c r="K19" s="182">
        <v>116613.06466196045</v>
      </c>
      <c r="L19" s="179">
        <f t="shared" si="2"/>
        <v>-7788.7225064277445</v>
      </c>
      <c r="M19" s="179"/>
      <c r="N19" s="180">
        <v>0</v>
      </c>
      <c r="O19" s="180">
        <v>0</v>
      </c>
      <c r="P19" s="180"/>
      <c r="Q19" s="182">
        <f>+V19/$V$42 * $Q$42</f>
        <v>802.70431368189099</v>
      </c>
      <c r="R19" s="183">
        <f t="shared" ref="R19:R23" si="4">I19+L19+P19+Q19</f>
        <v>6657.4590141111339</v>
      </c>
      <c r="S19" s="183"/>
      <c r="T19" s="186">
        <f t="shared" ref="T19:T23" ca="1" si="5">+G19+R19</f>
        <v>113698.84893221012</v>
      </c>
      <c r="V19" s="185">
        <f t="shared" ref="V19:V23" si="6">+I19+L19+P19</f>
        <v>5854.7547004292428</v>
      </c>
      <c r="W19" s="145" t="str">
        <f t="shared" si="3"/>
        <v>OKT.002</v>
      </c>
      <c r="X19" s="145" t="s">
        <v>330</v>
      </c>
      <c r="Z19"/>
      <c r="AA19"/>
    </row>
    <row r="20" spans="1:27">
      <c r="A20" s="155" t="s">
        <v>202</v>
      </c>
      <c r="B20" s="153" t="s">
        <v>182</v>
      </c>
      <c r="C20" s="177" t="str">
        <f t="shared" ca="1" si="0"/>
        <v>Tulsa Power Station Reactor</v>
      </c>
      <c r="D20" s="178">
        <f t="shared" ca="1" si="0"/>
        <v>2011</v>
      </c>
      <c r="E20" s="645">
        <f t="shared" ca="1" si="0"/>
        <v>68417.937639816315</v>
      </c>
      <c r="F20" s="645">
        <f t="shared" ca="1" si="0"/>
        <v>0</v>
      </c>
      <c r="G20" s="180">
        <f t="shared" ca="1" si="1"/>
        <v>68417.937639816315</v>
      </c>
      <c r="H20" s="181"/>
      <c r="I20" s="182">
        <v>8454.1434399858554</v>
      </c>
      <c r="J20" s="182">
        <v>69379.195056155571</v>
      </c>
      <c r="K20" s="182">
        <v>74344.768817579374</v>
      </c>
      <c r="L20" s="179">
        <f t="shared" si="2"/>
        <v>-4965.5737614238024</v>
      </c>
      <c r="M20" s="179"/>
      <c r="N20" s="180">
        <v>0</v>
      </c>
      <c r="O20" s="180">
        <v>0</v>
      </c>
      <c r="P20" s="180"/>
      <c r="Q20" s="182">
        <f t="shared" ref="Q20:Q35" si="7">+V20/$V$42 * $Q$42</f>
        <v>478.29329713101453</v>
      </c>
      <c r="R20" s="183">
        <f t="shared" si="4"/>
        <v>3966.8629756930677</v>
      </c>
      <c r="S20" s="183"/>
      <c r="T20" s="186">
        <f t="shared" ca="1" si="5"/>
        <v>72384.80061550939</v>
      </c>
      <c r="V20" s="185">
        <f t="shared" si="6"/>
        <v>3488.569678562053</v>
      </c>
      <c r="W20" s="145" t="str">
        <f t="shared" si="3"/>
        <v>OKT.003</v>
      </c>
      <c r="X20" s="145" t="s">
        <v>331</v>
      </c>
      <c r="Z20"/>
    </row>
    <row r="21" spans="1:27">
      <c r="A21" s="155" t="s">
        <v>203</v>
      </c>
      <c r="B21" s="153" t="s">
        <v>182</v>
      </c>
      <c r="C21" s="177" t="str">
        <f t="shared" ca="1" si="0"/>
        <v xml:space="preserve">Bartlesville SE to Coffeyville T Rebuild </v>
      </c>
      <c r="D21" s="178">
        <f t="shared" ca="1" si="0"/>
        <v>2011</v>
      </c>
      <c r="E21" s="645">
        <f t="shared" ca="1" si="0"/>
        <v>1325242.6316728108</v>
      </c>
      <c r="F21" s="645">
        <f t="shared" ca="1" si="0"/>
        <v>0</v>
      </c>
      <c r="G21" s="180">
        <f t="shared" ca="1" si="1"/>
        <v>1325242.6316728108</v>
      </c>
      <c r="H21" s="181"/>
      <c r="I21" s="182">
        <v>257175.31891756505</v>
      </c>
      <c r="J21" s="182">
        <v>1234604.8576347374</v>
      </c>
      <c r="K21" s="182">
        <v>1322967.3917032771</v>
      </c>
      <c r="L21" s="179">
        <f t="shared" si="2"/>
        <v>-88362.534068539739</v>
      </c>
      <c r="M21" s="179"/>
      <c r="N21" s="180">
        <v>0</v>
      </c>
      <c r="O21" s="180">
        <v>0</v>
      </c>
      <c r="P21" s="180"/>
      <c r="Q21" s="182">
        <f t="shared" si="7"/>
        <v>23144.73578082287</v>
      </c>
      <c r="R21" s="183">
        <f t="shared" si="4"/>
        <v>191957.52062984818</v>
      </c>
      <c r="S21" s="183"/>
      <c r="T21" s="186">
        <f t="shared" ca="1" si="5"/>
        <v>1517200.1523026589</v>
      </c>
      <c r="V21" s="185">
        <f t="shared" si="6"/>
        <v>168812.78484902531</v>
      </c>
      <c r="W21" s="145" t="str">
        <f t="shared" si="3"/>
        <v>OKT.004</v>
      </c>
      <c r="X21" s="145" t="s">
        <v>332</v>
      </c>
      <c r="Z21"/>
    </row>
    <row r="22" spans="1:27">
      <c r="A22" s="155" t="s">
        <v>207</v>
      </c>
      <c r="B22" s="153" t="s">
        <v>182</v>
      </c>
      <c r="C22" s="177" t="str">
        <f t="shared" ca="1" si="0"/>
        <v>Install 345kV terminal at Valliant***</v>
      </c>
      <c r="D22" s="178">
        <f t="shared" ca="1" si="0"/>
        <v>2012</v>
      </c>
      <c r="E22" s="645">
        <f t="shared" ca="1" si="0"/>
        <v>0</v>
      </c>
      <c r="F22" s="645">
        <f t="shared" ca="1" si="0"/>
        <v>0</v>
      </c>
      <c r="G22" s="180">
        <f t="shared" ca="1" si="1"/>
        <v>0</v>
      </c>
      <c r="H22" s="181"/>
      <c r="I22" s="182">
        <v>0</v>
      </c>
      <c r="J22" s="182">
        <v>0</v>
      </c>
      <c r="K22" s="182">
        <v>0</v>
      </c>
      <c r="L22" s="179">
        <f t="shared" si="2"/>
        <v>0</v>
      </c>
      <c r="M22" s="179"/>
      <c r="N22" s="180">
        <v>0</v>
      </c>
      <c r="O22" s="180">
        <v>0</v>
      </c>
      <c r="P22" s="180"/>
      <c r="Q22" s="182">
        <f t="shared" si="7"/>
        <v>0</v>
      </c>
      <c r="R22" s="183">
        <f t="shared" si="4"/>
        <v>0</v>
      </c>
      <c r="S22" s="183"/>
      <c r="T22" s="186">
        <f t="shared" ca="1" si="5"/>
        <v>0</v>
      </c>
      <c r="V22" s="185">
        <f t="shared" si="6"/>
        <v>0</v>
      </c>
      <c r="W22" s="145" t="str">
        <f t="shared" si="3"/>
        <v>OKT.005</v>
      </c>
      <c r="X22" s="145" t="s">
        <v>333</v>
      </c>
      <c r="Z22"/>
    </row>
    <row r="23" spans="1:27" ht="25.5">
      <c r="A23" s="155" t="s">
        <v>208</v>
      </c>
      <c r="B23" s="153" t="s">
        <v>182</v>
      </c>
      <c r="C23" s="177" t="str">
        <f t="shared" ca="1" si="0"/>
        <v xml:space="preserve">Canadian River - McAlester City 138 kV Line Conversion </v>
      </c>
      <c r="D23" s="178">
        <f t="shared" ca="1" si="0"/>
        <v>2013</v>
      </c>
      <c r="E23" s="645">
        <f t="shared" ca="1" si="0"/>
        <v>3333926.386045767</v>
      </c>
      <c r="F23" s="645">
        <f t="shared" ca="1" si="0"/>
        <v>0</v>
      </c>
      <c r="G23" s="180">
        <f t="shared" ca="1" si="1"/>
        <v>3333926.386045767</v>
      </c>
      <c r="H23" s="181"/>
      <c r="I23" s="182">
        <v>395585.02401422244</v>
      </c>
      <c r="J23" s="182">
        <v>3370176.3885142696</v>
      </c>
      <c r="K23" s="182">
        <v>3611385.0020277482</v>
      </c>
      <c r="L23" s="179">
        <f t="shared" si="2"/>
        <v>-241208.61351347854</v>
      </c>
      <c r="M23" s="179"/>
      <c r="N23" s="180">
        <v>0</v>
      </c>
      <c r="O23" s="180">
        <v>0</v>
      </c>
      <c r="P23" s="180"/>
      <c r="Q23" s="182">
        <f t="shared" si="7"/>
        <v>21165.465844467981</v>
      </c>
      <c r="R23" s="183">
        <f t="shared" si="4"/>
        <v>175541.87634521187</v>
      </c>
      <c r="S23" s="183"/>
      <c r="T23" s="186">
        <f t="shared" ca="1" si="5"/>
        <v>3509468.2623909786</v>
      </c>
      <c r="V23" s="185">
        <f t="shared" si="6"/>
        <v>154376.41050074389</v>
      </c>
      <c r="W23" s="145" t="str">
        <f t="shared" si="3"/>
        <v>OKT.006</v>
      </c>
      <c r="X23" s="145" t="s">
        <v>334</v>
      </c>
      <c r="Z23"/>
    </row>
    <row r="24" spans="1:27">
      <c r="A24" s="155" t="s">
        <v>216</v>
      </c>
      <c r="B24" s="153" t="s">
        <v>182</v>
      </c>
      <c r="C24" s="177" t="str">
        <f t="shared" ca="1" si="0"/>
        <v xml:space="preserve">Cornville Station Conversion </v>
      </c>
      <c r="D24" s="178">
        <f t="shared" ca="1" si="0"/>
        <v>2014</v>
      </c>
      <c r="E24" s="645">
        <f t="shared" ca="1" si="0"/>
        <v>1187776.0264947745</v>
      </c>
      <c r="F24" s="645">
        <f t="shared" ca="1" si="0"/>
        <v>0</v>
      </c>
      <c r="G24" s="180">
        <f t="shared" ref="G24:G30" ca="1" si="8">+E24+F24</f>
        <v>1187776.0264947745</v>
      </c>
      <c r="H24" s="181"/>
      <c r="I24" s="182">
        <v>141967.0083585158</v>
      </c>
      <c r="J24" s="182">
        <v>1201920.9289570532</v>
      </c>
      <c r="K24" s="182">
        <v>1287944.2248933143</v>
      </c>
      <c r="L24" s="179">
        <f t="shared" ref="L24:L30" si="9">+J24-K24</f>
        <v>-86023.295936261071</v>
      </c>
      <c r="M24" s="179"/>
      <c r="N24" s="180">
        <v>0</v>
      </c>
      <c r="O24" s="180">
        <v>0</v>
      </c>
      <c r="P24" s="180"/>
      <c r="Q24" s="182">
        <f t="shared" si="7"/>
        <v>7670.0496574913295</v>
      </c>
      <c r="R24" s="183">
        <f t="shared" ref="R24:R30" si="10">I24+L24+P24+Q24</f>
        <v>63613.762079746055</v>
      </c>
      <c r="S24" s="183"/>
      <c r="T24" s="186">
        <f t="shared" ref="T24:T30" ca="1" si="11">+G24+R24</f>
        <v>1251389.7885745205</v>
      </c>
      <c r="V24" s="185">
        <f t="shared" ref="V24:V30" si="12">+I24+L24+P24</f>
        <v>55943.712422254728</v>
      </c>
      <c r="W24" s="145" t="str">
        <f t="shared" ref="W24:W30" si="13">A24</f>
        <v>OKT.007</v>
      </c>
      <c r="X24" s="145" t="s">
        <v>335</v>
      </c>
      <c r="Z24"/>
    </row>
    <row r="25" spans="1:27">
      <c r="A25" s="155" t="s">
        <v>217</v>
      </c>
      <c r="B25" s="153" t="s">
        <v>182</v>
      </c>
      <c r="C25" s="177" t="str">
        <f t="shared" ca="1" si="0"/>
        <v>Coweta 69 kV Capacitor</v>
      </c>
      <c r="D25" s="178">
        <f t="shared" ca="1" si="0"/>
        <v>2014</v>
      </c>
      <c r="E25" s="645">
        <f t="shared" ca="1" si="0"/>
        <v>218362.14192772453</v>
      </c>
      <c r="F25" s="645">
        <f t="shared" ca="1" si="0"/>
        <v>0</v>
      </c>
      <c r="G25" s="188">
        <f t="shared" ca="1" si="8"/>
        <v>218362.14192772453</v>
      </c>
      <c r="H25" s="189"/>
      <c r="I25" s="182">
        <v>24578.02789832605</v>
      </c>
      <c r="J25" s="182">
        <v>219686.68462518524</v>
      </c>
      <c r="K25" s="182">
        <v>235409.99239815742</v>
      </c>
      <c r="L25" s="187">
        <f t="shared" si="9"/>
        <v>-15723.307772972184</v>
      </c>
      <c r="M25" s="187"/>
      <c r="N25" s="188">
        <v>0</v>
      </c>
      <c r="O25" s="188">
        <v>0</v>
      </c>
      <c r="P25" s="180"/>
      <c r="Q25" s="190">
        <f t="shared" si="7"/>
        <v>1214.0085118418879</v>
      </c>
      <c r="R25" s="191">
        <f t="shared" si="10"/>
        <v>10068.728637195754</v>
      </c>
      <c r="S25" s="191"/>
      <c r="T25" s="192">
        <f t="shared" ca="1" si="11"/>
        <v>228430.87056492027</v>
      </c>
      <c r="V25" s="185">
        <f>+I25+L25+P25</f>
        <v>8854.720125353866</v>
      </c>
      <c r="W25" s="145" t="str">
        <f t="shared" si="13"/>
        <v>OKT.008</v>
      </c>
      <c r="X25" s="145" t="s">
        <v>215</v>
      </c>
      <c r="Z25"/>
    </row>
    <row r="26" spans="1:27">
      <c r="A26" s="193" t="s">
        <v>225</v>
      </c>
      <c r="B26" s="153" t="s">
        <v>182</v>
      </c>
      <c r="C26" s="177" t="str">
        <f t="shared" ca="1" si="0"/>
        <v>Prattville-Bluebell 138 kV</v>
      </c>
      <c r="D26" s="178">
        <f t="shared" ca="1" si="0"/>
        <v>2015</v>
      </c>
      <c r="E26" s="645">
        <f t="shared" ca="1" si="0"/>
        <v>1011045.4028817296</v>
      </c>
      <c r="F26" s="645">
        <f t="shared" ca="1" si="0"/>
        <v>0</v>
      </c>
      <c r="G26" s="188">
        <f t="shared" ca="1" si="8"/>
        <v>1011045.4028817296</v>
      </c>
      <c r="H26" s="189"/>
      <c r="I26" s="182">
        <v>118024.97928187507</v>
      </c>
      <c r="J26" s="182">
        <v>1021202.3417662248</v>
      </c>
      <c r="K26" s="182">
        <v>1094291.3355095875</v>
      </c>
      <c r="L26" s="187">
        <f t="shared" si="9"/>
        <v>-73088.99374336272</v>
      </c>
      <c r="M26" s="187"/>
      <c r="N26" s="188">
        <v>0</v>
      </c>
      <c r="O26" s="188">
        <v>0</v>
      </c>
      <c r="P26" s="180"/>
      <c r="Q26" s="190">
        <f>+V26/$V$42 * $Q$42</f>
        <v>6160.8575041865433</v>
      </c>
      <c r="R26" s="191">
        <f t="shared" si="10"/>
        <v>51096.843042698893</v>
      </c>
      <c r="S26" s="191"/>
      <c r="T26" s="192">
        <f t="shared" ca="1" si="11"/>
        <v>1062142.2459244286</v>
      </c>
      <c r="V26" s="185">
        <f t="shared" si="12"/>
        <v>44935.985538512352</v>
      </c>
      <c r="W26" s="145" t="str">
        <f t="shared" si="13"/>
        <v>OKT.009</v>
      </c>
      <c r="X26" s="145" t="s">
        <v>220</v>
      </c>
      <c r="Z26"/>
    </row>
    <row r="27" spans="1:27">
      <c r="A27" s="193" t="s">
        <v>226</v>
      </c>
      <c r="B27" s="153" t="s">
        <v>182</v>
      </c>
      <c r="C27" s="177" t="str">
        <f t="shared" ca="1" si="0"/>
        <v>Wapanucka Customer Connection</v>
      </c>
      <c r="D27" s="178">
        <f t="shared" ca="1" si="0"/>
        <v>2013</v>
      </c>
      <c r="E27" s="645">
        <f t="shared" ca="1" si="0"/>
        <v>832781.34076982411</v>
      </c>
      <c r="F27" s="645">
        <f t="shared" ca="1" si="0"/>
        <v>0</v>
      </c>
      <c r="G27" s="188">
        <f t="shared" ca="1" si="8"/>
        <v>832781.34076982411</v>
      </c>
      <c r="H27" s="189"/>
      <c r="I27" s="182">
        <v>113895.63682835025</v>
      </c>
      <c r="J27" s="182">
        <v>855369.70953034854</v>
      </c>
      <c r="K27" s="182">
        <v>916589.81135659118</v>
      </c>
      <c r="L27" s="187">
        <f t="shared" si="9"/>
        <v>-61220.101826242637</v>
      </c>
      <c r="M27" s="187"/>
      <c r="N27" s="188">
        <v>0</v>
      </c>
      <c r="O27" s="188">
        <v>0</v>
      </c>
      <c r="P27" s="180"/>
      <c r="Q27" s="190">
        <f t="shared" si="7"/>
        <v>7221.9727956481665</v>
      </c>
      <c r="R27" s="191">
        <f t="shared" si="10"/>
        <v>59897.507797755781</v>
      </c>
      <c r="S27" s="191"/>
      <c r="T27" s="192">
        <f t="shared" ca="1" si="11"/>
        <v>892678.84856757987</v>
      </c>
      <c r="V27" s="185">
        <f t="shared" si="12"/>
        <v>52675.535002107616</v>
      </c>
      <c r="W27" s="145" t="str">
        <f t="shared" si="13"/>
        <v>OKT.010</v>
      </c>
      <c r="X27" s="145" t="s">
        <v>229</v>
      </c>
      <c r="Z27"/>
    </row>
    <row r="28" spans="1:27">
      <c r="A28" s="193" t="s">
        <v>227</v>
      </c>
      <c r="B28" s="153" t="s">
        <v>182</v>
      </c>
      <c r="C28" s="177" t="str">
        <f t="shared" ca="1" si="0"/>
        <v>Grady Customer Connection</v>
      </c>
      <c r="D28" s="178">
        <f t="shared" ca="1" si="0"/>
        <v>2014</v>
      </c>
      <c r="E28" s="645">
        <f t="shared" ca="1" si="0"/>
        <v>2377045.5733941188</v>
      </c>
      <c r="F28" s="645">
        <f t="shared" ca="1" si="0"/>
        <v>0</v>
      </c>
      <c r="G28" s="188">
        <f t="shared" ca="1" si="8"/>
        <v>2377045.5733941188</v>
      </c>
      <c r="H28" s="189"/>
      <c r="I28" s="182">
        <v>280952.43319499027</v>
      </c>
      <c r="J28" s="182">
        <v>2402611.677397497</v>
      </c>
      <c r="K28" s="182">
        <v>2574570.2233927194</v>
      </c>
      <c r="L28" s="187">
        <f t="shared" si="9"/>
        <v>-171958.5459952224</v>
      </c>
      <c r="M28" s="187"/>
      <c r="N28" s="188">
        <v>0</v>
      </c>
      <c r="O28" s="188">
        <v>0</v>
      </c>
      <c r="P28" s="180"/>
      <c r="Q28" s="190">
        <f t="shared" si="7"/>
        <v>14943.386682587534</v>
      </c>
      <c r="R28" s="191">
        <f t="shared" si="10"/>
        <v>123937.2738823554</v>
      </c>
      <c r="S28" s="191"/>
      <c r="T28" s="192">
        <f t="shared" ca="1" si="11"/>
        <v>2500982.8472764743</v>
      </c>
      <c r="V28" s="185">
        <f t="shared" si="12"/>
        <v>108993.88719976787</v>
      </c>
      <c r="W28" s="145" t="str">
        <f t="shared" si="13"/>
        <v>OKT.011</v>
      </c>
      <c r="X28" s="145" t="s">
        <v>222</v>
      </c>
      <c r="Z28"/>
    </row>
    <row r="29" spans="1:27">
      <c r="A29" s="193" t="s">
        <v>228</v>
      </c>
      <c r="B29" s="153" t="s">
        <v>182</v>
      </c>
      <c r="C29" s="177" t="str">
        <f t="shared" ca="1" si="0"/>
        <v>Darlington-Red Rock 138 kV line</v>
      </c>
      <c r="D29" s="178">
        <f t="shared" ca="1" si="0"/>
        <v>2014</v>
      </c>
      <c r="E29" s="645">
        <f t="shared" ca="1" si="0"/>
        <v>1565201.541840293</v>
      </c>
      <c r="F29" s="645">
        <f t="shared" ca="1" si="0"/>
        <v>0</v>
      </c>
      <c r="G29" s="188">
        <f t="shared" ca="1" si="8"/>
        <v>1565201.541840293</v>
      </c>
      <c r="H29" s="189"/>
      <c r="I29" s="182">
        <v>212415.52769472357</v>
      </c>
      <c r="J29" s="182">
        <v>1611628.4596014421</v>
      </c>
      <c r="K29" s="182">
        <v>1726975.1422154941</v>
      </c>
      <c r="L29" s="187">
        <f t="shared" si="9"/>
        <v>-115346.68261405197</v>
      </c>
      <c r="M29" s="187"/>
      <c r="N29" s="188">
        <v>0</v>
      </c>
      <c r="O29" s="188">
        <v>0</v>
      </c>
      <c r="P29" s="180"/>
      <c r="Q29" s="190">
        <f t="shared" si="7"/>
        <v>13308.427877373198</v>
      </c>
      <c r="R29" s="191">
        <f t="shared" si="10"/>
        <v>110377.27295804479</v>
      </c>
      <c r="S29" s="191"/>
      <c r="T29" s="192">
        <f t="shared" ca="1" si="11"/>
        <v>1675578.8147983379</v>
      </c>
      <c r="V29" s="185">
        <f t="shared" si="12"/>
        <v>97068.845080671599</v>
      </c>
      <c r="W29" s="145" t="str">
        <f t="shared" si="13"/>
        <v>OKT.012</v>
      </c>
      <c r="X29" s="145" t="s">
        <v>224</v>
      </c>
      <c r="Z29"/>
    </row>
    <row r="30" spans="1:27">
      <c r="A30" s="193" t="s">
        <v>233</v>
      </c>
      <c r="B30" s="153" t="s">
        <v>182</v>
      </c>
      <c r="C30" s="177" t="str">
        <f t="shared" ca="1" si="0"/>
        <v>Ellis 138 kV</v>
      </c>
      <c r="D30" s="178">
        <f t="shared" ca="1" si="0"/>
        <v>2013</v>
      </c>
      <c r="E30" s="645">
        <f t="shared" ca="1" si="0"/>
        <v>0</v>
      </c>
      <c r="F30" s="645">
        <f t="shared" ca="1" si="0"/>
        <v>0</v>
      </c>
      <c r="G30" s="188">
        <f t="shared" ca="1" si="8"/>
        <v>0</v>
      </c>
      <c r="H30" s="189"/>
      <c r="I30" s="182">
        <v>0</v>
      </c>
      <c r="J30" s="182">
        <v>-64414.673348600714</v>
      </c>
      <c r="K30" s="182">
        <v>-69024.928794366628</v>
      </c>
      <c r="L30" s="187">
        <f t="shared" si="9"/>
        <v>4610.2554457659135</v>
      </c>
      <c r="M30" s="187"/>
      <c r="N30" s="188">
        <v>0</v>
      </c>
      <c r="O30" s="188">
        <v>0</v>
      </c>
      <c r="P30" s="180"/>
      <c r="Q30" s="190">
        <f t="shared" si="7"/>
        <v>632.07975787959356</v>
      </c>
      <c r="R30" s="191">
        <f t="shared" si="10"/>
        <v>5242.3352036455071</v>
      </c>
      <c r="S30" s="191"/>
      <c r="T30" s="192">
        <f t="shared" ca="1" si="11"/>
        <v>5242.3352036455071</v>
      </c>
      <c r="V30" s="185">
        <f t="shared" si="12"/>
        <v>4610.2554457659135</v>
      </c>
      <c r="W30" s="145" t="str">
        <f t="shared" si="13"/>
        <v>OKT.013</v>
      </c>
      <c r="X30" s="145" t="s">
        <v>231</v>
      </c>
      <c r="Z30"/>
    </row>
    <row r="31" spans="1:27">
      <c r="A31" s="193" t="s">
        <v>236</v>
      </c>
      <c r="B31" s="153" t="s">
        <v>182</v>
      </c>
      <c r="C31" s="177" t="str">
        <f t="shared" ca="1" si="0"/>
        <v>Valliant-NW Texarkana 345 kV</v>
      </c>
      <c r="D31" s="178">
        <f t="shared" ca="1" si="0"/>
        <v>2016</v>
      </c>
      <c r="E31" s="645">
        <f t="shared" ca="1" si="0"/>
        <v>8300462.8301983364</v>
      </c>
      <c r="F31" s="645">
        <f t="shared" ca="1" si="0"/>
        <v>0</v>
      </c>
      <c r="G31" s="188">
        <f t="shared" ref="G31:G37" ca="1" si="14">+E31+F31</f>
        <v>8300462.8301983364</v>
      </c>
      <c r="H31" s="189"/>
      <c r="I31" s="182">
        <v>779643.06082380377</v>
      </c>
      <c r="J31" s="182">
        <v>8245712.7202383028</v>
      </c>
      <c r="K31" s="182">
        <v>8835870.8316824194</v>
      </c>
      <c r="L31" s="187">
        <f t="shared" ref="L31:L39" si="15">+J31-K31</f>
        <v>-590158.11144411657</v>
      </c>
      <c r="M31" s="187"/>
      <c r="N31" s="188">
        <v>0</v>
      </c>
      <c r="O31" s="188">
        <v>0</v>
      </c>
      <c r="P31" s="180"/>
      <c r="Q31" s="190">
        <f t="shared" si="7"/>
        <v>25978.95113073113</v>
      </c>
      <c r="R31" s="191">
        <f t="shared" ref="R31:R39" si="16">I31+L31+P31+Q31</f>
        <v>215463.90051041832</v>
      </c>
      <c r="S31" s="191"/>
      <c r="T31" s="192">
        <f t="shared" ref="T31:T39" ca="1" si="17">+G31+R31</f>
        <v>8515926.7307087556</v>
      </c>
      <c r="V31" s="185">
        <f t="shared" ref="V31:V40" si="18">+I31+L31+P31</f>
        <v>189484.9493796872</v>
      </c>
      <c r="W31" s="145" t="str">
        <f t="shared" ref="W31:W39" si="19">A31</f>
        <v>OKT.014</v>
      </c>
      <c r="X31" s="145" t="s">
        <v>234</v>
      </c>
      <c r="Z31"/>
    </row>
    <row r="32" spans="1:27">
      <c r="A32" s="193" t="s">
        <v>239</v>
      </c>
      <c r="B32" s="153" t="s">
        <v>182</v>
      </c>
      <c r="C32" s="177" t="str">
        <f t="shared" ca="1" si="0"/>
        <v>Darlington Roman Nose 138 kv</v>
      </c>
      <c r="D32" s="178">
        <f t="shared" ca="1" si="0"/>
        <v>2017</v>
      </c>
      <c r="E32" s="645">
        <f t="shared" ca="1" si="0"/>
        <v>1362291.2680030938</v>
      </c>
      <c r="F32" s="645">
        <f t="shared" ca="1" si="0"/>
        <v>0</v>
      </c>
      <c r="G32" s="188">
        <f t="shared" ca="1" si="14"/>
        <v>1362291.2680030938</v>
      </c>
      <c r="H32" s="189"/>
      <c r="I32" s="182">
        <v>156127.24734013248</v>
      </c>
      <c r="J32" s="182">
        <v>1366710.2412625544</v>
      </c>
      <c r="K32" s="182">
        <v>1464527.7571329754</v>
      </c>
      <c r="L32" s="187">
        <f t="shared" si="15"/>
        <v>-97817.515870420961</v>
      </c>
      <c r="M32" s="187"/>
      <c r="N32" s="188">
        <v>0</v>
      </c>
      <c r="O32" s="188">
        <v>0</v>
      </c>
      <c r="P32" s="180"/>
      <c r="Q32" s="190">
        <f t="shared" si="7"/>
        <v>7994.4379184560194</v>
      </c>
      <c r="R32" s="191">
        <f t="shared" si="16"/>
        <v>66304.169388167546</v>
      </c>
      <c r="S32" s="191"/>
      <c r="T32" s="192">
        <f t="shared" ca="1" si="17"/>
        <v>1428595.4373912613</v>
      </c>
      <c r="V32" s="185">
        <f t="shared" si="18"/>
        <v>58309.731469711522</v>
      </c>
      <c r="W32" s="145" t="str">
        <f t="shared" si="19"/>
        <v>OKT.015</v>
      </c>
      <c r="X32" s="145" t="s">
        <v>336</v>
      </c>
      <c r="Z32"/>
    </row>
    <row r="33" spans="1:26">
      <c r="A33" s="193" t="s">
        <v>248</v>
      </c>
      <c r="B33" s="153" t="s">
        <v>182</v>
      </c>
      <c r="C33" s="177" t="str">
        <f t="shared" ca="1" si="0"/>
        <v>Carnegie South-Southwestern 123 kv line rebuild</v>
      </c>
      <c r="D33" s="178">
        <f t="shared" ca="1" si="0"/>
        <v>2017</v>
      </c>
      <c r="E33" s="645">
        <f t="shared" ca="1" si="0"/>
        <v>1193754.0627599962</v>
      </c>
      <c r="F33" s="645">
        <f t="shared" ca="1" si="0"/>
        <v>0</v>
      </c>
      <c r="G33" s="188">
        <f t="shared" ca="1" si="14"/>
        <v>1193754.0627599962</v>
      </c>
      <c r="H33" s="189"/>
      <c r="I33" s="182">
        <v>134787.71323278337</v>
      </c>
      <c r="J33" s="182">
        <v>1192289.61548864</v>
      </c>
      <c r="K33" s="182">
        <v>1277623.5837754798</v>
      </c>
      <c r="L33" s="187">
        <f t="shared" si="15"/>
        <v>-85333.968286839779</v>
      </c>
      <c r="M33" s="187"/>
      <c r="N33" s="188">
        <v>0</v>
      </c>
      <c r="O33" s="188">
        <v>0</v>
      </c>
      <c r="P33" s="180"/>
      <c r="Q33" s="190">
        <f t="shared" si="7"/>
        <v>6780.2557796183255</v>
      </c>
      <c r="R33" s="191">
        <f t="shared" si="16"/>
        <v>56234.000725561913</v>
      </c>
      <c r="S33" s="191"/>
      <c r="T33" s="192">
        <f t="shared" ca="1" si="17"/>
        <v>1249988.0634855581</v>
      </c>
      <c r="V33" s="185">
        <f t="shared" si="18"/>
        <v>49453.744945943588</v>
      </c>
      <c r="W33" s="145" t="str">
        <f t="shared" si="19"/>
        <v>OKT.016</v>
      </c>
      <c r="X33" s="145" t="s">
        <v>337</v>
      </c>
      <c r="Z33"/>
    </row>
    <row r="34" spans="1:26">
      <c r="A34" s="193" t="s">
        <v>249</v>
      </c>
      <c r="B34" s="153" t="s">
        <v>182</v>
      </c>
      <c r="C34" s="177" t="str">
        <f t="shared" ca="1" si="0"/>
        <v>Chisholm - Gracemont 345 kv line and station</v>
      </c>
      <c r="D34" s="178">
        <f t="shared" ca="1" si="0"/>
        <v>2017</v>
      </c>
      <c r="E34" s="645">
        <f t="shared" ca="1" si="0"/>
        <v>10973662.187251475</v>
      </c>
      <c r="F34" s="645">
        <f t="shared" ca="1" si="0"/>
        <v>0</v>
      </c>
      <c r="G34" s="188">
        <f t="shared" ca="1" si="14"/>
        <v>10973662.187251475</v>
      </c>
      <c r="H34" s="189"/>
      <c r="I34" s="182">
        <v>1337400.8594174758</v>
      </c>
      <c r="J34" s="182">
        <v>10841908.347550876</v>
      </c>
      <c r="K34" s="182">
        <v>11617880.100621594</v>
      </c>
      <c r="L34" s="187">
        <f t="shared" si="15"/>
        <v>-775971.75307071768</v>
      </c>
      <c r="M34" s="187"/>
      <c r="N34" s="188">
        <v>0</v>
      </c>
      <c r="O34" s="188">
        <v>0</v>
      </c>
      <c r="P34" s="180"/>
      <c r="Q34" s="190">
        <f t="shared" si="7"/>
        <v>76973.603259257216</v>
      </c>
      <c r="R34" s="191">
        <f t="shared" si="16"/>
        <v>638402.70960601536</v>
      </c>
      <c r="S34" s="191"/>
      <c r="T34" s="192">
        <f t="shared" ca="1" si="17"/>
        <v>11612064.896857491</v>
      </c>
      <c r="V34" s="185">
        <f t="shared" si="18"/>
        <v>561429.10634675808</v>
      </c>
      <c r="W34" s="145" t="str">
        <f t="shared" si="19"/>
        <v>OKT.017</v>
      </c>
      <c r="X34" s="145" t="s">
        <v>338</v>
      </c>
      <c r="Z34"/>
    </row>
    <row r="35" spans="1:26">
      <c r="A35" s="193" t="s">
        <v>264</v>
      </c>
      <c r="B35" s="153" t="s">
        <v>182</v>
      </c>
      <c r="C35" s="177" t="str">
        <f t="shared" ca="1" si="0"/>
        <v>Duncan-Comanche Tap 69 KV Rebuild</v>
      </c>
      <c r="D35" s="178">
        <f t="shared" ca="1" si="0"/>
        <v>2018</v>
      </c>
      <c r="E35" s="645">
        <f t="shared" ca="1" si="0"/>
        <v>1134379.0231473665</v>
      </c>
      <c r="F35" s="645">
        <f t="shared" ca="1" si="0"/>
        <v>0</v>
      </c>
      <c r="G35" s="188">
        <f t="shared" ca="1" si="14"/>
        <v>1134379.0231473665</v>
      </c>
      <c r="H35" s="189"/>
      <c r="I35" s="182">
        <v>150788.41923497804</v>
      </c>
      <c r="J35" s="182">
        <v>2379936.447468813</v>
      </c>
      <c r="K35" s="182">
        <v>2550272.0930156084</v>
      </c>
      <c r="L35" s="187">
        <f t="shared" si="15"/>
        <v>-170335.64554679533</v>
      </c>
      <c r="M35" s="187"/>
      <c r="N35" s="188">
        <v>0</v>
      </c>
      <c r="O35" s="188">
        <v>0</v>
      </c>
      <c r="P35" s="180"/>
      <c r="Q35" s="190">
        <f t="shared" si="7"/>
        <v>-2679.9829683490484</v>
      </c>
      <c r="R35" s="191">
        <f t="shared" si="16"/>
        <v>-22227.209280166349</v>
      </c>
      <c r="S35" s="191"/>
      <c r="T35" s="192">
        <f t="shared" ca="1" si="17"/>
        <v>1112151.8138672002</v>
      </c>
      <c r="V35" s="185">
        <f t="shared" si="18"/>
        <v>-19547.2263118173</v>
      </c>
      <c r="W35" s="145" t="str">
        <f t="shared" si="19"/>
        <v>OKT.018</v>
      </c>
      <c r="X35" s="145" t="s">
        <v>339</v>
      </c>
      <c r="Z35"/>
    </row>
    <row r="36" spans="1:26">
      <c r="A36" s="193" t="s">
        <v>287</v>
      </c>
      <c r="B36" s="153" t="s">
        <v>182</v>
      </c>
      <c r="C36" s="177" t="str">
        <f t="shared" ca="1" si="0"/>
        <v>Fort Towson-Valliant 69 KV Line Rebuild</v>
      </c>
      <c r="D36" s="178">
        <f t="shared" ca="1" si="0"/>
        <v>2018</v>
      </c>
      <c r="E36" s="645">
        <f t="shared" ca="1" si="0"/>
        <v>2219763.0897265626</v>
      </c>
      <c r="F36" s="645">
        <f t="shared" ca="1" si="0"/>
        <v>0</v>
      </c>
      <c r="G36" s="188">
        <f t="shared" ca="1" si="14"/>
        <v>2219763.0897265626</v>
      </c>
      <c r="H36" s="189"/>
      <c r="I36" s="182">
        <v>115521.01572932722</v>
      </c>
      <c r="J36" s="182">
        <v>1275484.2917490406</v>
      </c>
      <c r="K36" s="182">
        <v>1366772.6286501952</v>
      </c>
      <c r="L36" s="187">
        <f t="shared" si="15"/>
        <v>-91288.336901154602</v>
      </c>
      <c r="M36" s="187"/>
      <c r="N36" s="188">
        <v>0</v>
      </c>
      <c r="O36" s="188">
        <v>0</v>
      </c>
      <c r="P36" s="180"/>
      <c r="Q36" s="190">
        <f>+V36/$V$42 * $Q$42</f>
        <v>3322.3724686562682</v>
      </c>
      <c r="R36" s="191">
        <f t="shared" si="16"/>
        <v>27555.051296828886</v>
      </c>
      <c r="S36" s="191"/>
      <c r="T36" s="192">
        <f t="shared" ca="1" si="17"/>
        <v>2247318.1410233914</v>
      </c>
      <c r="V36" s="185">
        <f t="shared" si="18"/>
        <v>24232.678828172619</v>
      </c>
      <c r="W36" s="145" t="str">
        <f t="shared" si="19"/>
        <v>OKT.019</v>
      </c>
      <c r="X36" s="145" t="s">
        <v>340</v>
      </c>
      <c r="Z36"/>
    </row>
    <row r="37" spans="1:26">
      <c r="A37" s="193" t="s">
        <v>290</v>
      </c>
      <c r="B37" s="153" t="s">
        <v>182</v>
      </c>
      <c r="C37" s="177" t="str">
        <f t="shared" ca="1" si="0"/>
        <v>Keystone Dam - Wekiwa 138 kV</v>
      </c>
      <c r="D37" s="178">
        <f t="shared" ca="1" si="0"/>
        <v>2020</v>
      </c>
      <c r="E37" s="645">
        <f t="shared" ca="1" si="0"/>
        <v>491166.88926081697</v>
      </c>
      <c r="F37" s="645">
        <f t="shared" ca="1" si="0"/>
        <v>0</v>
      </c>
      <c r="G37" s="188">
        <f t="shared" ca="1" si="14"/>
        <v>491166.88926081697</v>
      </c>
      <c r="H37" s="189"/>
      <c r="I37" s="182">
        <v>74624.946643717645</v>
      </c>
      <c r="J37" s="182">
        <v>478313.21621882363</v>
      </c>
      <c r="K37" s="182">
        <v>512546.8154163353</v>
      </c>
      <c r="L37" s="187">
        <f t="shared" si="15"/>
        <v>-34233.599197511678</v>
      </c>
      <c r="M37" s="187"/>
      <c r="N37" s="188">
        <v>0</v>
      </c>
      <c r="O37" s="188">
        <v>0</v>
      </c>
      <c r="P37" s="180"/>
      <c r="Q37" s="190">
        <f>+V37/$V$42 * $Q$42</f>
        <v>5537.7740809732841</v>
      </c>
      <c r="R37" s="191">
        <f t="shared" si="16"/>
        <v>45929.121527179253</v>
      </c>
      <c r="S37" s="191"/>
      <c r="T37" s="192">
        <f t="shared" ca="1" si="17"/>
        <v>537096.01078799623</v>
      </c>
      <c r="V37" s="185">
        <f t="shared" si="18"/>
        <v>40391.347446205968</v>
      </c>
      <c r="W37" s="145" t="str">
        <f t="shared" si="19"/>
        <v>OKT.020</v>
      </c>
      <c r="X37" s="145" t="s">
        <v>289</v>
      </c>
      <c r="Z37"/>
    </row>
    <row r="38" spans="1:26">
      <c r="A38" s="193" t="s">
        <v>313</v>
      </c>
      <c r="B38" s="153" t="s">
        <v>182</v>
      </c>
      <c r="C38" s="177" t="str">
        <f t="shared" ca="1" si="0"/>
        <v>Tulsa SE - S Hudson 138 kV</v>
      </c>
      <c r="D38" s="178">
        <f t="shared" ca="1" si="0"/>
        <v>2022</v>
      </c>
      <c r="E38" s="645">
        <f t="shared" ca="1" si="0"/>
        <v>539184.39064758178</v>
      </c>
      <c r="F38" s="645">
        <f t="shared" ca="1" si="0"/>
        <v>0</v>
      </c>
      <c r="G38" s="188">
        <f t="shared" ref="G38:G39" ca="1" si="20">+E38+F38</f>
        <v>539184.39064758178</v>
      </c>
      <c r="H38" s="189"/>
      <c r="I38" s="182">
        <v>0</v>
      </c>
      <c r="J38" s="182">
        <v>131587.24825136422</v>
      </c>
      <c r="K38" s="182">
        <v>141005.14632190348</v>
      </c>
      <c r="L38" s="187">
        <f t="shared" si="15"/>
        <v>-9417.8980705392605</v>
      </c>
      <c r="M38" s="187"/>
      <c r="N38" s="188">
        <v>0</v>
      </c>
      <c r="O38" s="188">
        <v>0</v>
      </c>
      <c r="P38" s="180"/>
      <c r="Q38" s="190">
        <f>+V38/$V$42 * $Q$42</f>
        <v>-1291.2218861165909</v>
      </c>
      <c r="R38" s="191">
        <f t="shared" si="16"/>
        <v>-10709.119956655852</v>
      </c>
      <c r="S38" s="191"/>
      <c r="T38" s="192">
        <f t="shared" ca="1" si="17"/>
        <v>528475.27069092588</v>
      </c>
      <c r="V38" s="185">
        <f t="shared" si="18"/>
        <v>-9417.8980705392605</v>
      </c>
      <c r="W38" s="145" t="str">
        <f t="shared" si="19"/>
        <v>OKT.021</v>
      </c>
      <c r="X38" s="145" t="s">
        <v>315</v>
      </c>
      <c r="Z38"/>
    </row>
    <row r="39" spans="1:26">
      <c r="A39" s="193" t="s">
        <v>314</v>
      </c>
      <c r="B39" s="153" t="s">
        <v>182</v>
      </c>
      <c r="C39" s="177" t="str">
        <f t="shared" ca="1" si="0"/>
        <v>Pryor Junction 138/115 kV</v>
      </c>
      <c r="D39" s="178">
        <f t="shared" ca="1" si="0"/>
        <v>2022</v>
      </c>
      <c r="E39" s="645">
        <f t="shared" ca="1" si="0"/>
        <v>934695.11944724119</v>
      </c>
      <c r="F39" s="645">
        <f t="shared" ca="1" si="0"/>
        <v>0</v>
      </c>
      <c r="G39" s="188">
        <f t="shared" ca="1" si="20"/>
        <v>934695.11944724119</v>
      </c>
      <c r="H39" s="189"/>
      <c r="I39" s="182">
        <v>0</v>
      </c>
      <c r="J39" s="182">
        <v>375963.61969540955</v>
      </c>
      <c r="K39" s="182">
        <v>402871.90370905935</v>
      </c>
      <c r="L39" s="187">
        <f t="shared" si="15"/>
        <v>-26908.284013649798</v>
      </c>
      <c r="M39" s="187"/>
      <c r="N39" s="188">
        <v>0</v>
      </c>
      <c r="O39" s="188">
        <v>0</v>
      </c>
      <c r="P39" s="180"/>
      <c r="Q39" s="190">
        <f>+V39/$V$42 * $Q$42</f>
        <v>-3689.2059115560546</v>
      </c>
      <c r="R39" s="191">
        <f t="shared" si="16"/>
        <v>-30597.489925205853</v>
      </c>
      <c r="S39" s="191"/>
      <c r="T39" s="192">
        <f t="shared" ca="1" si="17"/>
        <v>904097.62952203536</v>
      </c>
      <c r="V39" s="185">
        <f t="shared" si="18"/>
        <v>-26908.284013649798</v>
      </c>
      <c r="W39" s="145" t="str">
        <f t="shared" si="19"/>
        <v>OKT.022</v>
      </c>
      <c r="X39" s="145" t="s">
        <v>317</v>
      </c>
      <c r="Z39"/>
    </row>
    <row r="40" spans="1:26">
      <c r="A40" s="193" t="s">
        <v>326</v>
      </c>
      <c r="B40" s="153" t="s">
        <v>182</v>
      </c>
      <c r="C40" s="657" t="s">
        <v>323</v>
      </c>
      <c r="D40" s="178">
        <v>2024</v>
      </c>
      <c r="E40" s="658">
        <f t="shared" ca="1" si="0"/>
        <v>798288.30041797447</v>
      </c>
      <c r="F40" s="658">
        <f t="shared" ca="1" si="0"/>
        <v>0</v>
      </c>
      <c r="G40" s="659">
        <f t="shared" ref="G40" ca="1" si="21">+E40+F40</f>
        <v>798288.30041797447</v>
      </c>
      <c r="H40" s="660"/>
      <c r="I40" s="661"/>
      <c r="J40" s="661"/>
      <c r="K40" s="661"/>
      <c r="L40" s="662">
        <f t="shared" ref="L40" si="22">+J40-K40</f>
        <v>0</v>
      </c>
      <c r="M40" s="662"/>
      <c r="N40" s="659">
        <v>0</v>
      </c>
      <c r="O40" s="659">
        <v>0</v>
      </c>
      <c r="P40" s="663"/>
      <c r="Q40" s="664">
        <f>+V40/$V$42 * $Q$42</f>
        <v>0</v>
      </c>
      <c r="R40" s="659">
        <f t="shared" ref="R40" si="23">I40+L40+P40+Q40</f>
        <v>0</v>
      </c>
      <c r="S40" s="659"/>
      <c r="T40" s="665">
        <f t="shared" ref="T40" ca="1" si="24">+G40+R40</f>
        <v>798288.30041797447</v>
      </c>
      <c r="V40" s="185">
        <f t="shared" si="18"/>
        <v>0</v>
      </c>
      <c r="W40" s="145" t="s">
        <v>326</v>
      </c>
      <c r="X40" s="666" t="s">
        <v>323</v>
      </c>
      <c r="Y40"/>
    </row>
    <row r="41" spans="1:26">
      <c r="A41" s="156"/>
      <c r="B41" s="156"/>
      <c r="C41" s="156"/>
      <c r="D41" s="153"/>
      <c r="E41" s="191"/>
      <c r="F41" s="191"/>
      <c r="G41" s="191"/>
      <c r="H41" s="183"/>
      <c r="I41" s="191"/>
      <c r="J41" s="191"/>
      <c r="K41" s="194"/>
      <c r="L41" s="191"/>
      <c r="M41" s="191"/>
      <c r="N41" s="191"/>
      <c r="O41" s="191"/>
      <c r="P41" s="191"/>
      <c r="Q41" s="191"/>
      <c r="R41" s="191"/>
      <c r="S41" s="183"/>
      <c r="T41" s="192"/>
      <c r="V41" s="176"/>
      <c r="Y41"/>
    </row>
    <row r="42" spans="1:26">
      <c r="A42" s="156"/>
      <c r="B42" s="156"/>
      <c r="C42" s="195" t="s">
        <v>183</v>
      </c>
      <c r="D42" s="196"/>
      <c r="E42" s="197">
        <f ca="1">SUM(E18:E41)</f>
        <v>40054011.42980317</v>
      </c>
      <c r="F42" s="197">
        <f ca="1">SUM(F18:F41)</f>
        <v>0</v>
      </c>
      <c r="G42" s="197">
        <f ca="1">SUM(G18:G41)</f>
        <v>40054011.42980317</v>
      </c>
      <c r="H42" s="197"/>
      <c r="I42" s="197">
        <f>SUM(I18:I41)</f>
        <v>4325417.304582512</v>
      </c>
      <c r="J42" s="197">
        <f>SUM(J18:J41)</f>
        <v>38399506.016356558</v>
      </c>
      <c r="K42" s="197">
        <f>SUM(K18:K41)</f>
        <v>41147816.650000013</v>
      </c>
      <c r="L42" s="197">
        <f>SUM(L18:L41)</f>
        <v>-2748310.6336434497</v>
      </c>
      <c r="M42" s="197"/>
      <c r="N42" s="197">
        <f>SUM(N18:N41)</f>
        <v>0</v>
      </c>
      <c r="O42" s="197">
        <f>SUM(O18:O41)</f>
        <v>0</v>
      </c>
      <c r="P42" s="197">
        <f>SUM(P18:P41)</f>
        <v>0</v>
      </c>
      <c r="Q42" s="198">
        <v>216226.02357814554</v>
      </c>
      <c r="R42" s="197">
        <f>SUM(R18:R41)</f>
        <v>1793332.6945172078</v>
      </c>
      <c r="S42" s="197"/>
      <c r="T42" s="197">
        <f ca="1">SUM(T18:T41)</f>
        <v>41847344.12432038</v>
      </c>
      <c r="V42" s="199">
        <f>SUM(V18:V41)</f>
        <v>1577106.6709390623</v>
      </c>
      <c r="W42" s="200" t="s">
        <v>180</v>
      </c>
      <c r="Y42"/>
    </row>
    <row r="43" spans="1:26" ht="13.5" thickBot="1">
      <c r="A43" s="156"/>
      <c r="B43" s="156"/>
      <c r="C43" s="201"/>
      <c r="D43" s="156"/>
      <c r="E43" s="202"/>
      <c r="F43" s="203" t="str">
        <f ca="1">IF(F42='OKT.WS.F.BPU.ATRR.Projected'!O19,"","Error")</f>
        <v/>
      </c>
      <c r="G43" s="204"/>
      <c r="H43" s="156"/>
      <c r="J43" s="205"/>
      <c r="K43" s="206"/>
      <c r="L43" s="206"/>
      <c r="M43" s="206"/>
      <c r="N43" s="206"/>
      <c r="O43" s="206"/>
      <c r="P43" s="206"/>
      <c r="Q43" s="206"/>
      <c r="R43" s="183"/>
      <c r="S43" s="183"/>
      <c r="T43" s="183"/>
      <c r="V43" s="207"/>
      <c r="W43" s="200"/>
      <c r="Y43"/>
    </row>
    <row r="44" spans="1:26">
      <c r="A44" s="156"/>
      <c r="B44" s="156"/>
      <c r="C44" s="208" t="s">
        <v>212</v>
      </c>
      <c r="D44" s="156"/>
      <c r="E44" s="183"/>
      <c r="F44" s="183"/>
      <c r="G44" s="183"/>
      <c r="H44" s="156"/>
      <c r="I44" s="209"/>
      <c r="J44" s="209"/>
      <c r="K44" s="156" t="s">
        <v>288</v>
      </c>
      <c r="L44" s="156"/>
      <c r="M44" s="156"/>
      <c r="N44" s="206"/>
      <c r="O44" s="206"/>
      <c r="P44" s="206"/>
      <c r="Q44" s="206"/>
      <c r="R44" s="183"/>
      <c r="S44" s="183"/>
      <c r="T44" s="183"/>
      <c r="Y44"/>
    </row>
    <row r="45" spans="1:26">
      <c r="A45" s="156"/>
      <c r="B45" s="156"/>
      <c r="C45" s="210" t="s">
        <v>157</v>
      </c>
      <c r="D45" s="156"/>
      <c r="E45" s="183"/>
      <c r="F45" s="183"/>
      <c r="G45" s="183"/>
      <c r="H45" s="156"/>
      <c r="J45" s="211"/>
      <c r="L45" s="156"/>
      <c r="M45" s="156"/>
      <c r="N45" s="206"/>
      <c r="O45" s="206"/>
      <c r="P45" s="206"/>
      <c r="Q45" s="206"/>
      <c r="R45" s="206"/>
      <c r="S45" s="156"/>
      <c r="T45" s="156"/>
      <c r="Y45"/>
    </row>
    <row r="46" spans="1:26">
      <c r="E46" s="212"/>
      <c r="F46" s="212"/>
      <c r="G46" s="212"/>
      <c r="I46" s="212"/>
      <c r="J46" s="213"/>
      <c r="N46" s="214"/>
      <c r="O46" s="214"/>
      <c r="P46" s="214"/>
      <c r="Q46" s="214"/>
      <c r="R46" s="214"/>
      <c r="Y46"/>
    </row>
    <row r="47" spans="1:26">
      <c r="E47" s="212"/>
      <c r="F47" s="212"/>
      <c r="G47" s="212"/>
      <c r="Y47"/>
    </row>
    <row r="48" spans="1:26">
      <c r="A48" s="215" t="s">
        <v>158</v>
      </c>
      <c r="B48" s="216"/>
      <c r="C48" s="216"/>
      <c r="D48" s="216"/>
      <c r="E48" s="217"/>
      <c r="F48" s="217"/>
      <c r="G48" s="217"/>
      <c r="H48" s="216"/>
      <c r="I48" s="216"/>
      <c r="J48" s="216"/>
      <c r="K48" s="216"/>
      <c r="L48" s="216"/>
      <c r="M48" s="216"/>
      <c r="N48" s="216"/>
      <c r="O48" s="218"/>
      <c r="V48" s="145" t="s">
        <v>171</v>
      </c>
      <c r="Y48"/>
    </row>
    <row r="49" spans="1:25" ht="15.75">
      <c r="A49" s="219" t="s">
        <v>161</v>
      </c>
      <c r="B49" s="220"/>
      <c r="C49" s="221" t="str">
        <f ca="1">RIGHT(CELL("address",OKT.001!D7),4)</f>
        <v>$D$7</v>
      </c>
      <c r="D49" s="221" t="str">
        <f ca="1">RIGHT(CELL("address",OKT.001!D11),4)</f>
        <v>D$11</v>
      </c>
      <c r="E49" s="221" t="str">
        <f ca="1">RIGHT(CELL("address",OKT.001!N5),4)</f>
        <v>$N$5</v>
      </c>
      <c r="F49" s="221" t="str">
        <f ca="1">RIGHT(CELL("address",OKT.001!N7),4)</f>
        <v>$N$7</v>
      </c>
      <c r="G49" s="220"/>
      <c r="H49" s="222"/>
      <c r="I49" s="221" t="str">
        <f ca="1">RIGHT(CELL("address",OKT.001!M90),4)</f>
        <v>M$90</v>
      </c>
      <c r="J49" s="221"/>
      <c r="K49" s="220"/>
      <c r="L49" s="220"/>
      <c r="M49" s="220"/>
      <c r="N49" s="221" t="str">
        <f ca="1">RIGHT(CELL("address",OKT.001!N88),4)</f>
        <v>N$88</v>
      </c>
      <c r="O49" s="223" t="str">
        <f ca="1">RIGHT(CELL("address",OKT.001!N89),4)</f>
        <v>N$89</v>
      </c>
      <c r="P49" s="175" t="s">
        <v>160</v>
      </c>
      <c r="V49" s="145" t="s">
        <v>172</v>
      </c>
      <c r="Y49"/>
    </row>
    <row r="50" spans="1:25">
      <c r="A50" s="224" t="s">
        <v>162</v>
      </c>
      <c r="B50" s="225"/>
      <c r="C50" s="225"/>
      <c r="D50" s="225"/>
      <c r="E50" s="226"/>
      <c r="F50" s="226"/>
      <c r="G50" s="226"/>
      <c r="H50" s="225"/>
      <c r="I50" s="225"/>
      <c r="J50" s="225"/>
      <c r="K50" s="225"/>
      <c r="L50" s="225"/>
      <c r="M50" s="225"/>
      <c r="N50" s="225"/>
      <c r="O50" s="227"/>
      <c r="V50" s="145" t="s">
        <v>173</v>
      </c>
      <c r="Y50"/>
    </row>
    <row r="51" spans="1:25">
      <c r="E51" s="212"/>
      <c r="F51" s="212"/>
      <c r="G51" s="212"/>
      <c r="V51" s="145" t="s">
        <v>174</v>
      </c>
      <c r="Y51"/>
    </row>
    <row r="52" spans="1:25">
      <c r="E52" s="212"/>
      <c r="F52" s="212"/>
      <c r="G52" s="212"/>
      <c r="V52" s="145" t="s">
        <v>175</v>
      </c>
      <c r="Y52"/>
    </row>
    <row r="53" spans="1:25" ht="12.75" customHeight="1">
      <c r="Y53"/>
    </row>
    <row r="54" spans="1:25" ht="12.75" customHeight="1">
      <c r="Y54"/>
    </row>
    <row r="55" spans="1:25" ht="12.75" customHeight="1">
      <c r="Y55"/>
    </row>
    <row r="56" spans="1:25" ht="12.75" customHeight="1">
      <c r="Y56"/>
    </row>
    <row r="57" spans="1:25" ht="12.75" customHeight="1">
      <c r="G57" s="157"/>
      <c r="I57" s="228"/>
      <c r="J57" s="228"/>
      <c r="Y57"/>
    </row>
    <row r="58" spans="1:25" ht="12.75" customHeight="1">
      <c r="E58" s="229"/>
      <c r="F58" s="229"/>
      <c r="G58" s="230"/>
      <c r="I58" s="229"/>
      <c r="J58" s="231"/>
      <c r="Y58"/>
    </row>
    <row r="59" spans="1:25" ht="12.75" customHeight="1">
      <c r="E59" s="229"/>
      <c r="F59" s="229"/>
      <c r="G59" s="230"/>
      <c r="I59" s="229"/>
      <c r="J59" s="231"/>
      <c r="Y59"/>
    </row>
    <row r="60" spans="1:25" ht="12.75" customHeight="1">
      <c r="E60" s="229"/>
      <c r="F60" s="229"/>
      <c r="G60" s="230"/>
      <c r="I60" s="229"/>
      <c r="J60" s="231"/>
      <c r="Y60"/>
    </row>
    <row r="61" spans="1:25" ht="12.75" customHeight="1">
      <c r="E61" s="229"/>
      <c r="F61" s="229"/>
      <c r="G61" s="230"/>
      <c r="I61" s="229"/>
      <c r="J61" s="231"/>
      <c r="Y61"/>
    </row>
    <row r="62" spans="1:25" ht="12.75" customHeight="1">
      <c r="E62" s="229"/>
      <c r="F62" s="229"/>
      <c r="G62" s="230"/>
      <c r="I62" s="229"/>
      <c r="J62" s="231"/>
      <c r="Y62"/>
    </row>
    <row r="63" spans="1:25" ht="12.75" customHeight="1">
      <c r="E63" s="229"/>
      <c r="F63" s="229"/>
      <c r="G63" s="230"/>
      <c r="I63" s="229"/>
      <c r="J63" s="231"/>
      <c r="Y63"/>
    </row>
    <row r="64" spans="1:25" ht="12.75" customHeight="1">
      <c r="E64" s="229"/>
      <c r="F64" s="229"/>
      <c r="G64" s="230"/>
      <c r="I64" s="229"/>
      <c r="J64" s="231"/>
      <c r="Y64"/>
    </row>
    <row r="65" spans="5:25" ht="12.75" customHeight="1">
      <c r="E65" s="229"/>
      <c r="F65" s="229"/>
      <c r="G65" s="230"/>
      <c r="I65" s="229"/>
      <c r="J65" s="231"/>
      <c r="Y65"/>
    </row>
    <row r="66" spans="5:25" ht="12.75" customHeight="1">
      <c r="E66" s="229"/>
      <c r="F66" s="229"/>
      <c r="G66" s="230"/>
      <c r="I66" s="229"/>
      <c r="J66" s="231"/>
      <c r="Y66"/>
    </row>
    <row r="67" spans="5:25" ht="12.75" customHeight="1">
      <c r="E67" s="229"/>
      <c r="F67" s="229"/>
      <c r="G67" s="230"/>
      <c r="I67" s="229"/>
      <c r="J67" s="231"/>
      <c r="Y67"/>
    </row>
    <row r="68" spans="5:25" ht="12.75" customHeight="1">
      <c r="E68" s="229"/>
      <c r="F68" s="229"/>
      <c r="G68" s="230"/>
      <c r="I68" s="229"/>
      <c r="J68" s="231"/>
      <c r="Y68"/>
    </row>
    <row r="69" spans="5:25" ht="12.75" customHeight="1">
      <c r="E69" s="229"/>
      <c r="F69" s="229"/>
      <c r="G69" s="230"/>
      <c r="I69" s="229"/>
      <c r="J69" s="231"/>
      <c r="Y69"/>
    </row>
    <row r="70" spans="5:25" ht="12.75" customHeight="1">
      <c r="E70" s="229"/>
      <c r="F70" s="229"/>
      <c r="G70" s="230"/>
      <c r="I70" s="229"/>
      <c r="J70" s="231"/>
      <c r="Y70"/>
    </row>
    <row r="71" spans="5:25" ht="12.75" customHeight="1">
      <c r="E71" s="229"/>
      <c r="F71" s="229"/>
      <c r="G71" s="230"/>
      <c r="I71" s="229"/>
      <c r="J71" s="231"/>
      <c r="Y71"/>
    </row>
    <row r="72" spans="5:25" ht="12.75" customHeight="1">
      <c r="E72" s="229"/>
      <c r="F72" s="229"/>
      <c r="G72" s="230"/>
      <c r="I72" s="229"/>
      <c r="J72" s="231"/>
      <c r="Y72"/>
    </row>
    <row r="73" spans="5:25" ht="12.75" customHeight="1">
      <c r="E73" s="229"/>
      <c r="F73" s="229"/>
      <c r="G73" s="230"/>
      <c r="I73" s="229"/>
      <c r="J73" s="231"/>
    </row>
    <row r="74" spans="5:25" ht="12.75" customHeight="1">
      <c r="E74" s="229"/>
      <c r="F74" s="229"/>
      <c r="G74" s="230"/>
      <c r="I74" s="229"/>
      <c r="J74" s="231"/>
    </row>
    <row r="75" spans="5:25" ht="12.75" customHeight="1">
      <c r="E75" s="229"/>
      <c r="F75" s="229"/>
      <c r="G75" s="230"/>
      <c r="I75" s="229"/>
      <c r="J75" s="231"/>
    </row>
    <row r="76" spans="5:25" ht="12.75" customHeight="1">
      <c r="E76" s="229"/>
      <c r="F76" s="229"/>
      <c r="G76" s="230"/>
      <c r="I76" s="229"/>
      <c r="J76" s="231"/>
    </row>
    <row r="77" spans="5:25" ht="12.75" customHeight="1">
      <c r="E77" s="229"/>
      <c r="F77" s="229"/>
      <c r="I77" s="229"/>
      <c r="J77" s="231"/>
    </row>
    <row r="78" spans="5:25" ht="12.75" customHeight="1">
      <c r="E78" s="229"/>
      <c r="F78" s="229"/>
      <c r="G78" s="230"/>
      <c r="I78" s="229"/>
      <c r="J78" s="231"/>
    </row>
  </sheetData>
  <mergeCells count="2">
    <mergeCell ref="E13:G13"/>
    <mergeCell ref="T14:T16"/>
  </mergeCells>
  <phoneticPr fontId="62" type="noConversion"/>
  <pageMargins left="0.5" right="0.5" top="1" bottom="1" header="0.65" footer="0.5"/>
  <pageSetup scale="52"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9"/>
  <dimension ref="A1:U163"/>
  <sheetViews>
    <sheetView view="pageBreakPreview" zoomScale="80" zoomScaleNormal="100" zoomScaleSheetLayoutView="80"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8.5703125" style="145" customWidth="1"/>
    <col min="11" max="11" width="17.7109375" style="145" customWidth="1"/>
    <col min="12" max="12" width="16.140625" style="145" customWidth="1"/>
    <col min="13" max="13" width="18.7109375" style="145" customWidth="1"/>
    <col min="14" max="14" width="20.42578125" style="145" customWidth="1"/>
    <col min="15" max="15" width="20"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7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1187776.0264947745</v>
      </c>
      <c r="P5" s="243"/>
      <c r="R5" s="243"/>
      <c r="S5" s="243"/>
      <c r="T5" s="243"/>
      <c r="U5" s="243"/>
    </row>
    <row r="6" spans="1:21" ht="15.75">
      <c r="C6" s="235"/>
      <c r="D6" s="292"/>
      <c r="E6" s="243"/>
      <c r="F6" s="243"/>
      <c r="G6" s="243"/>
      <c r="H6" s="449"/>
      <c r="I6" s="449"/>
      <c r="J6" s="450"/>
      <c r="K6" s="451" t="s">
        <v>243</v>
      </c>
      <c r="L6" s="452"/>
      <c r="M6" s="278"/>
      <c r="N6" s="453">
        <f>VLOOKUP(I10,C17:I73,6)</f>
        <v>1187776.0264947745</v>
      </c>
      <c r="O6" s="243"/>
      <c r="P6" s="243"/>
      <c r="R6" s="243"/>
      <c r="S6" s="243"/>
      <c r="T6" s="243"/>
      <c r="U6" s="243"/>
    </row>
    <row r="7" spans="1:21" ht="13.5" thickBot="1">
      <c r="C7" s="454" t="s">
        <v>46</v>
      </c>
      <c r="D7" s="455" t="s">
        <v>214</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213</v>
      </c>
      <c r="E9" s="646" t="s">
        <v>306</v>
      </c>
      <c r="F9" s="465"/>
      <c r="G9" s="465"/>
      <c r="H9" s="465"/>
      <c r="I9" s="466"/>
      <c r="J9" s="467"/>
      <c r="O9" s="468"/>
      <c r="P9" s="278"/>
      <c r="R9" s="243"/>
      <c r="S9" s="243"/>
      <c r="T9" s="243"/>
      <c r="U9" s="243"/>
    </row>
    <row r="10" spans="1:21">
      <c r="C10" s="469" t="s">
        <v>49</v>
      </c>
      <c r="D10" s="470">
        <v>10218098.369999999</v>
      </c>
      <c r="E10" s="299" t="s">
        <v>50</v>
      </c>
      <c r="F10" s="468"/>
      <c r="G10" s="408"/>
      <c r="H10" s="408"/>
      <c r="I10" s="471">
        <f>+'OKT.WS.F.BPU.ATRR.Projected'!R101</f>
        <v>2024</v>
      </c>
      <c r="J10" s="467"/>
      <c r="K10" s="294" t="s">
        <v>51</v>
      </c>
      <c r="O10" s="278"/>
      <c r="P10" s="278"/>
      <c r="R10" s="243"/>
      <c r="S10" s="243"/>
      <c r="T10" s="243"/>
      <c r="U10" s="243"/>
    </row>
    <row r="11" spans="1:21">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10</v>
      </c>
      <c r="E12" s="472" t="s">
        <v>55</v>
      </c>
      <c r="F12" s="408"/>
      <c r="G12" s="220"/>
      <c r="H12" s="220"/>
      <c r="I12" s="476">
        <f>'OKT.WS.F.BPU.ATRR.Projected'!$F$79</f>
        <v>0.11393163315254198</v>
      </c>
      <c r="J12" s="413"/>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329616.07645161287</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2014</v>
      </c>
      <c r="D17" s="496">
        <v>10780000</v>
      </c>
      <c r="E17" s="497">
        <v>108783.19956647091</v>
      </c>
      <c r="F17" s="496">
        <v>10671216.80043353</v>
      </c>
      <c r="G17" s="497">
        <v>891533.50922396348</v>
      </c>
      <c r="H17" s="499">
        <v>891533.50922396348</v>
      </c>
      <c r="I17" s="500">
        <v>0</v>
      </c>
      <c r="J17" s="500"/>
      <c r="K17" s="501">
        <f t="shared" ref="K17:K22" si="1">G17</f>
        <v>891533.50922396348</v>
      </c>
      <c r="L17" s="502">
        <f t="shared" ref="L17:L22" si="2">IF(K17&lt;&gt;0,+G17-K17,0)</f>
        <v>0</v>
      </c>
      <c r="M17" s="501">
        <f t="shared" ref="M17:M22" si="3">H17</f>
        <v>891533.50922396348</v>
      </c>
      <c r="N17" s="503">
        <f>IF(M17&lt;&gt;0,+H17-M17,0)</f>
        <v>0</v>
      </c>
      <c r="O17" s="504">
        <f>+N17-L17</f>
        <v>0</v>
      </c>
      <c r="P17" s="278"/>
      <c r="R17" s="243"/>
      <c r="S17" s="243"/>
      <c r="T17" s="243"/>
      <c r="U17" s="243"/>
    </row>
    <row r="18" spans="2:21">
      <c r="B18" s="145" t="str">
        <f t="shared" si="0"/>
        <v/>
      </c>
      <c r="C18" s="495">
        <f>IF(D11="","-",+C17+1)</f>
        <v>2015</v>
      </c>
      <c r="D18" s="496">
        <v>10671216.80043353</v>
      </c>
      <c r="E18" s="498">
        <v>177316.90361351607</v>
      </c>
      <c r="F18" s="496">
        <v>10493899.896820014</v>
      </c>
      <c r="G18" s="498">
        <v>1258875.2944357994</v>
      </c>
      <c r="H18" s="499">
        <v>1258875.2944357994</v>
      </c>
      <c r="I18" s="500">
        <v>0</v>
      </c>
      <c r="J18" s="500"/>
      <c r="K18" s="506">
        <f t="shared" si="1"/>
        <v>1258875.2944357994</v>
      </c>
      <c r="L18" s="507">
        <f t="shared" si="2"/>
        <v>0</v>
      </c>
      <c r="M18" s="506">
        <f t="shared" si="3"/>
        <v>1258875.2944357994</v>
      </c>
      <c r="N18" s="504">
        <f>IF(M18&lt;&gt;0,+H18-M18,0)</f>
        <v>0</v>
      </c>
      <c r="O18" s="504">
        <f>+N18-L18</f>
        <v>0</v>
      </c>
      <c r="P18" s="278"/>
      <c r="R18" s="243"/>
      <c r="S18" s="243"/>
      <c r="T18" s="243"/>
      <c r="U18" s="243"/>
    </row>
    <row r="19" spans="2:21">
      <c r="B19" s="145" t="str">
        <f t="shared" si="0"/>
        <v>IU</v>
      </c>
      <c r="C19" s="495">
        <f>IF(D11="","-",+C18+1)</f>
        <v>2016</v>
      </c>
      <c r="D19" s="496">
        <v>9931637.8968200125</v>
      </c>
      <c r="E19" s="498">
        <v>212319.01830997164</v>
      </c>
      <c r="F19" s="496">
        <v>9719318.8785100412</v>
      </c>
      <c r="G19" s="498">
        <v>1260842.7357894429</v>
      </c>
      <c r="H19" s="499">
        <v>1260842.7357894429</v>
      </c>
      <c r="I19" s="500">
        <f>H19-G19</f>
        <v>0</v>
      </c>
      <c r="J19" s="500"/>
      <c r="K19" s="506">
        <f t="shared" si="1"/>
        <v>1260842.7357894429</v>
      </c>
      <c r="L19" s="507">
        <f t="shared" si="2"/>
        <v>0</v>
      </c>
      <c r="M19" s="506">
        <f t="shared" si="3"/>
        <v>1260842.7357894429</v>
      </c>
      <c r="N19" s="504">
        <f t="shared" ref="N19:N73" si="4">IF(M19&lt;&gt;0,+H19-M19,0)</f>
        <v>0</v>
      </c>
      <c r="O19" s="504">
        <f t="shared" ref="O19:O73" si="5">+N19-L19</f>
        <v>0</v>
      </c>
      <c r="P19" s="278"/>
      <c r="R19" s="243"/>
      <c r="S19" s="243"/>
      <c r="T19" s="243"/>
      <c r="U19" s="243"/>
    </row>
    <row r="20" spans="2:21">
      <c r="B20" s="145" t="str">
        <f t="shared" si="0"/>
        <v>IU</v>
      </c>
      <c r="C20" s="495">
        <f>IF(D11="","-",+C19+1)</f>
        <v>2017</v>
      </c>
      <c r="D20" s="496">
        <v>9719678.8785100412</v>
      </c>
      <c r="E20" s="498">
        <v>200908.03630390498</v>
      </c>
      <c r="F20" s="496">
        <v>9518770.8422061354</v>
      </c>
      <c r="G20" s="498">
        <v>1258445.35153371</v>
      </c>
      <c r="H20" s="499">
        <v>1258445.35153371</v>
      </c>
      <c r="I20" s="500">
        <f t="shared" ref="I20:I73" si="6">H20-G20</f>
        <v>0</v>
      </c>
      <c r="J20" s="500"/>
      <c r="K20" s="506">
        <f t="shared" si="1"/>
        <v>1258445.35153371</v>
      </c>
      <c r="L20" s="507">
        <f t="shared" si="2"/>
        <v>0</v>
      </c>
      <c r="M20" s="506">
        <f t="shared" si="3"/>
        <v>1258445.35153371</v>
      </c>
      <c r="N20" s="504">
        <f>IF(M20&lt;&gt;0,+H20-M20,0)</f>
        <v>0</v>
      </c>
      <c r="O20" s="504">
        <f>+N20-L20</f>
        <v>0</v>
      </c>
      <c r="P20" s="278"/>
      <c r="R20" s="243"/>
      <c r="S20" s="243"/>
      <c r="T20" s="243"/>
      <c r="U20" s="243"/>
    </row>
    <row r="21" spans="2:21">
      <c r="B21" s="145" t="str">
        <f t="shared" si="0"/>
        <v/>
      </c>
      <c r="C21" s="495">
        <f>IF(D11="","-",+C20+1)</f>
        <v>2018</v>
      </c>
      <c r="D21" s="496">
        <v>9518770.8422061354</v>
      </c>
      <c r="E21" s="498">
        <v>250594.58163414692</v>
      </c>
      <c r="F21" s="496">
        <v>9268176.2605719883</v>
      </c>
      <c r="G21" s="498">
        <v>1205193.6465713971</v>
      </c>
      <c r="H21" s="499">
        <v>1205193.6465713971</v>
      </c>
      <c r="I21" s="500">
        <v>0</v>
      </c>
      <c r="J21" s="500"/>
      <c r="K21" s="506">
        <f t="shared" si="1"/>
        <v>1205193.6465713971</v>
      </c>
      <c r="L21" s="507">
        <f t="shared" si="2"/>
        <v>0</v>
      </c>
      <c r="M21" s="506">
        <f t="shared" si="3"/>
        <v>1205193.6465713971</v>
      </c>
      <c r="N21" s="504">
        <f>IF(M21&lt;&gt;0,+H21-M21,0)</f>
        <v>0</v>
      </c>
      <c r="O21" s="504">
        <f>+N21-L21</f>
        <v>0</v>
      </c>
      <c r="P21" s="278"/>
      <c r="R21" s="243"/>
      <c r="S21" s="243"/>
      <c r="T21" s="243"/>
      <c r="U21" s="243"/>
    </row>
    <row r="22" spans="2:21">
      <c r="B22" s="145" t="str">
        <f t="shared" si="0"/>
        <v/>
      </c>
      <c r="C22" s="495">
        <f>IF(D11="","-",+C21+1)</f>
        <v>2019</v>
      </c>
      <c r="D22" s="496">
        <v>9268176.2605719883</v>
      </c>
      <c r="E22" s="498">
        <v>303057.00441769959</v>
      </c>
      <c r="F22" s="496">
        <v>8965119.2561542895</v>
      </c>
      <c r="G22" s="498">
        <v>1250604.5823260741</v>
      </c>
      <c r="H22" s="499">
        <v>1250604.5823260741</v>
      </c>
      <c r="I22" s="500">
        <f t="shared" si="6"/>
        <v>0</v>
      </c>
      <c r="J22" s="500"/>
      <c r="K22" s="506">
        <f t="shared" si="1"/>
        <v>1250604.5823260741</v>
      </c>
      <c r="L22" s="507">
        <f t="shared" si="2"/>
        <v>0</v>
      </c>
      <c r="M22" s="506">
        <f t="shared" si="3"/>
        <v>1250604.5823260741</v>
      </c>
      <c r="N22" s="504">
        <f>IF(M22&lt;&gt;0,+H22-M22,0)</f>
        <v>0</v>
      </c>
      <c r="O22" s="504">
        <f>+N22-L22</f>
        <v>0</v>
      </c>
      <c r="P22" s="278"/>
      <c r="R22" s="243"/>
      <c r="S22" s="243"/>
      <c r="T22" s="243"/>
      <c r="U22" s="243"/>
    </row>
    <row r="23" spans="2:21">
      <c r="B23" s="145" t="str">
        <f t="shared" si="0"/>
        <v>IU</v>
      </c>
      <c r="C23" s="495">
        <f>IF(D11="","-",+C22+1)</f>
        <v>2020</v>
      </c>
      <c r="D23" s="496">
        <v>9017581.6789378412</v>
      </c>
      <c r="E23" s="498">
        <v>299204.10245587147</v>
      </c>
      <c r="F23" s="496">
        <v>8718377.57648197</v>
      </c>
      <c r="G23" s="498">
        <v>1229743.0760443411</v>
      </c>
      <c r="H23" s="499">
        <v>1229743.0760443411</v>
      </c>
      <c r="I23" s="500">
        <f t="shared" si="6"/>
        <v>0</v>
      </c>
      <c r="J23" s="500"/>
      <c r="K23" s="506">
        <f t="shared" ref="K23" si="7">G23</f>
        <v>1229743.0760443411</v>
      </c>
      <c r="L23" s="507">
        <f t="shared" ref="L23" si="8">IF(K23&lt;&gt;0,+G23-K23,0)</f>
        <v>0</v>
      </c>
      <c r="M23" s="506">
        <f t="shared" ref="M23" si="9">H23</f>
        <v>1229743.0760443411</v>
      </c>
      <c r="N23" s="504">
        <f>IF(M23&lt;&gt;0,+H23-M23,0)</f>
        <v>0</v>
      </c>
      <c r="O23" s="504">
        <f>+N23-L23</f>
        <v>0</v>
      </c>
      <c r="P23" s="278"/>
      <c r="R23" s="243"/>
      <c r="S23" s="243"/>
      <c r="T23" s="243"/>
      <c r="U23" s="243"/>
    </row>
    <row r="24" spans="2:21">
      <c r="B24" s="145" t="str">
        <f t="shared" si="0"/>
        <v>IU</v>
      </c>
      <c r="C24" s="495">
        <f>IF(D11="","-",+C23+1)</f>
        <v>2021</v>
      </c>
      <c r="D24" s="496">
        <v>8665915.1536984183</v>
      </c>
      <c r="E24" s="498">
        <v>329616.06451612903</v>
      </c>
      <c r="F24" s="496">
        <v>8336299.0891822893</v>
      </c>
      <c r="G24" s="498">
        <v>1249308.9096017922</v>
      </c>
      <c r="H24" s="499">
        <v>1249308.9096017922</v>
      </c>
      <c r="I24" s="500">
        <f t="shared" si="6"/>
        <v>0</v>
      </c>
      <c r="J24" s="500"/>
      <c r="K24" s="506">
        <f t="shared" ref="K24" si="10">G24</f>
        <v>1249308.9096017922</v>
      </c>
      <c r="L24" s="507">
        <f t="shared" ref="L24" si="11">IF(K24&lt;&gt;0,+G24-K24,0)</f>
        <v>0</v>
      </c>
      <c r="M24" s="506">
        <f t="shared" ref="M24" si="12">H24</f>
        <v>1249308.9096017922</v>
      </c>
      <c r="N24" s="504">
        <f t="shared" si="4"/>
        <v>0</v>
      </c>
      <c r="O24" s="504">
        <f t="shared" si="5"/>
        <v>0</v>
      </c>
      <c r="P24" s="278"/>
      <c r="R24" s="243"/>
      <c r="S24" s="243"/>
      <c r="T24" s="243"/>
      <c r="U24" s="243"/>
    </row>
    <row r="25" spans="2:21">
      <c r="B25" s="145" t="str">
        <f t="shared" si="0"/>
        <v/>
      </c>
      <c r="C25" s="580">
        <f>IF(D11="","-",+C24+1)</f>
        <v>2022</v>
      </c>
      <c r="D25" s="496">
        <v>8336299.0891822893</v>
      </c>
      <c r="E25" s="498">
        <v>309639.33333333331</v>
      </c>
      <c r="F25" s="496">
        <v>8026659.7558489563</v>
      </c>
      <c r="G25" s="498">
        <v>1248535.8805302577</v>
      </c>
      <c r="H25" s="499">
        <v>1248535.8805302577</v>
      </c>
      <c r="I25" s="500">
        <f t="shared" si="6"/>
        <v>0</v>
      </c>
      <c r="J25" s="500"/>
      <c r="K25" s="506">
        <f t="shared" ref="K25" si="13">G25</f>
        <v>1248535.8805302577</v>
      </c>
      <c r="L25" s="507">
        <f t="shared" ref="L25" si="14">IF(K25&lt;&gt;0,+G25-K25,0)</f>
        <v>0</v>
      </c>
      <c r="M25" s="506">
        <f t="shared" ref="M25" si="15">H25</f>
        <v>1248535.8805302577</v>
      </c>
      <c r="N25" s="504">
        <f t="shared" si="4"/>
        <v>0</v>
      </c>
      <c r="O25" s="504">
        <f t="shared" si="5"/>
        <v>0</v>
      </c>
      <c r="P25" s="278"/>
      <c r="R25" s="243"/>
      <c r="S25" s="243"/>
      <c r="T25" s="243"/>
      <c r="U25" s="243"/>
    </row>
    <row r="26" spans="2:21">
      <c r="B26" s="145" t="str">
        <f t="shared" si="0"/>
        <v>IU</v>
      </c>
      <c r="C26" s="495">
        <f>IF(D11="","-",+C25+1)</f>
        <v>2023</v>
      </c>
      <c r="D26" s="496">
        <v>8026660.1258489555</v>
      </c>
      <c r="E26" s="498">
        <v>329616.07645161287</v>
      </c>
      <c r="F26" s="496">
        <v>7697044.0493973428</v>
      </c>
      <c r="G26" s="498">
        <v>1218263.6637873026</v>
      </c>
      <c r="H26" s="499">
        <v>1218263.6637873026</v>
      </c>
      <c r="I26" s="500">
        <f t="shared" si="6"/>
        <v>0</v>
      </c>
      <c r="J26" s="500"/>
      <c r="K26" s="512"/>
      <c r="L26" s="504">
        <f t="shared" ref="L26:L73" si="16">IF(K26&lt;&gt;0,+G26-K26,0)</f>
        <v>0</v>
      </c>
      <c r="M26" s="512"/>
      <c r="N26" s="504">
        <f t="shared" si="4"/>
        <v>0</v>
      </c>
      <c r="O26" s="504">
        <f t="shared" si="5"/>
        <v>0</v>
      </c>
      <c r="P26" s="278"/>
      <c r="R26" s="243"/>
      <c r="S26" s="243"/>
      <c r="T26" s="243"/>
      <c r="U26" s="243"/>
    </row>
    <row r="27" spans="2:21">
      <c r="B27" s="145" t="str">
        <f t="shared" si="0"/>
        <v/>
      </c>
      <c r="C27" s="495">
        <f>IF(D11="","-",+C26+1)</f>
        <v>2024</v>
      </c>
      <c r="D27" s="508">
        <f>IF(F26+SUM(E$17:E26)=D$10,F26,D$10-SUM(E$17:E26))</f>
        <v>7697044.0493973428</v>
      </c>
      <c r="E27" s="509">
        <f t="shared" ref="E27:E73" si="17">IF(+$I$14&lt;F26,$I$14,D27)</f>
        <v>329616.07645161287</v>
      </c>
      <c r="F27" s="510">
        <f t="shared" ref="F27:F73" si="18">+D27-E27</f>
        <v>7367427.9729457302</v>
      </c>
      <c r="G27" s="511">
        <f t="shared" ref="G27:G73" si="19">(D27+F27)/2*I$12+E27</f>
        <v>1187776.0264947745</v>
      </c>
      <c r="H27" s="477">
        <f t="shared" ref="H27:H73" si="20">+(D27+F27)/2*I$13+E27</f>
        <v>1187776.0264947745</v>
      </c>
      <c r="I27" s="500">
        <f t="shared" si="6"/>
        <v>0</v>
      </c>
      <c r="J27" s="500"/>
      <c r="K27" s="512"/>
      <c r="L27" s="504">
        <f t="shared" si="16"/>
        <v>0</v>
      </c>
      <c r="M27" s="512"/>
      <c r="N27" s="504">
        <f t="shared" si="4"/>
        <v>0</v>
      </c>
      <c r="O27" s="504">
        <f t="shared" si="5"/>
        <v>0</v>
      </c>
      <c r="P27" s="278"/>
      <c r="R27" s="243"/>
      <c r="S27" s="243"/>
      <c r="T27" s="243"/>
      <c r="U27" s="243"/>
    </row>
    <row r="28" spans="2:21">
      <c r="B28" s="145" t="str">
        <f t="shared" si="0"/>
        <v/>
      </c>
      <c r="C28" s="495">
        <f>IF(D11="","-",+C27+1)</f>
        <v>2025</v>
      </c>
      <c r="D28" s="508">
        <f>IF(F27+SUM(E$17:E27)=D$10,F27,D$10-SUM(E$17:E27))</f>
        <v>7367427.9729457302</v>
      </c>
      <c r="E28" s="509">
        <f t="shared" si="17"/>
        <v>329616.07645161287</v>
      </c>
      <c r="F28" s="510">
        <f t="shared" si="18"/>
        <v>7037811.8964941176</v>
      </c>
      <c r="G28" s="511">
        <f t="shared" si="19"/>
        <v>1150222.328591309</v>
      </c>
      <c r="H28" s="477">
        <f t="shared" si="20"/>
        <v>1150222.328591309</v>
      </c>
      <c r="I28" s="500">
        <f t="shared" si="6"/>
        <v>0</v>
      </c>
      <c r="J28" s="500"/>
      <c r="K28" s="512"/>
      <c r="L28" s="504">
        <f t="shared" si="16"/>
        <v>0</v>
      </c>
      <c r="M28" s="512"/>
      <c r="N28" s="504">
        <f t="shared" si="4"/>
        <v>0</v>
      </c>
      <c r="O28" s="504">
        <f t="shared" si="5"/>
        <v>0</v>
      </c>
      <c r="P28" s="278"/>
      <c r="R28" s="243"/>
      <c r="S28" s="243"/>
      <c r="T28" s="243"/>
      <c r="U28" s="243"/>
    </row>
    <row r="29" spans="2:21">
      <c r="B29" s="145" t="str">
        <f t="shared" si="0"/>
        <v/>
      </c>
      <c r="C29" s="495">
        <f>IF(D11="","-",+C28+1)</f>
        <v>2026</v>
      </c>
      <c r="D29" s="508">
        <f>IF(F28+SUM(E$17:E28)=D$10,F28,D$10-SUM(E$17:E28))</f>
        <v>7037811.8964941176</v>
      </c>
      <c r="E29" s="509">
        <f t="shared" si="17"/>
        <v>329616.07645161287</v>
      </c>
      <c r="F29" s="510">
        <f t="shared" si="18"/>
        <v>6708195.8200425049</v>
      </c>
      <c r="G29" s="511">
        <f t="shared" si="19"/>
        <v>1112668.6306878438</v>
      </c>
      <c r="H29" s="477">
        <f t="shared" si="20"/>
        <v>1112668.6306878438</v>
      </c>
      <c r="I29" s="500">
        <f t="shared" si="6"/>
        <v>0</v>
      </c>
      <c r="J29" s="500"/>
      <c r="K29" s="512"/>
      <c r="L29" s="504">
        <f t="shared" si="16"/>
        <v>0</v>
      </c>
      <c r="M29" s="512"/>
      <c r="N29" s="504">
        <f t="shared" si="4"/>
        <v>0</v>
      </c>
      <c r="O29" s="504">
        <f t="shared" si="5"/>
        <v>0</v>
      </c>
      <c r="P29" s="278"/>
      <c r="R29" s="243"/>
      <c r="S29" s="243"/>
      <c r="T29" s="243"/>
      <c r="U29" s="243"/>
    </row>
    <row r="30" spans="2:21">
      <c r="B30" s="145" t="str">
        <f t="shared" si="0"/>
        <v/>
      </c>
      <c r="C30" s="495">
        <f>IF(D11="","-",+C29+1)</f>
        <v>2027</v>
      </c>
      <c r="D30" s="508">
        <f>IF(F29+SUM(E$17:E29)=D$10,F29,D$10-SUM(E$17:E29))</f>
        <v>6708195.8200425049</v>
      </c>
      <c r="E30" s="509">
        <f t="shared" si="17"/>
        <v>329616.07645161287</v>
      </c>
      <c r="F30" s="510">
        <f t="shared" si="18"/>
        <v>6378579.7435908923</v>
      </c>
      <c r="G30" s="511">
        <f t="shared" si="19"/>
        <v>1075114.9327843785</v>
      </c>
      <c r="H30" s="477">
        <f t="shared" si="20"/>
        <v>1075114.9327843785</v>
      </c>
      <c r="I30" s="500">
        <f t="shared" si="6"/>
        <v>0</v>
      </c>
      <c r="J30" s="500"/>
      <c r="K30" s="512"/>
      <c r="L30" s="504">
        <f t="shared" si="16"/>
        <v>0</v>
      </c>
      <c r="M30" s="512"/>
      <c r="N30" s="504">
        <f t="shared" si="4"/>
        <v>0</v>
      </c>
      <c r="O30" s="504">
        <f t="shared" si="5"/>
        <v>0</v>
      </c>
      <c r="P30" s="278"/>
      <c r="R30" s="243"/>
      <c r="S30" s="243"/>
      <c r="T30" s="243"/>
      <c r="U30" s="243"/>
    </row>
    <row r="31" spans="2:21">
      <c r="B31" s="145" t="str">
        <f t="shared" si="0"/>
        <v/>
      </c>
      <c r="C31" s="495">
        <f>IF(D11="","-",+C30+1)</f>
        <v>2028</v>
      </c>
      <c r="D31" s="508">
        <f>IF(F30+SUM(E$17:E30)=D$10,F30,D$10-SUM(E$17:E30))</f>
        <v>6378579.7435908923</v>
      </c>
      <c r="E31" s="509">
        <f t="shared" si="17"/>
        <v>329616.07645161287</v>
      </c>
      <c r="F31" s="510">
        <f t="shared" si="18"/>
        <v>6048963.6671392797</v>
      </c>
      <c r="G31" s="511">
        <f t="shared" si="19"/>
        <v>1037561.234880913</v>
      </c>
      <c r="H31" s="477">
        <f t="shared" si="20"/>
        <v>1037561.234880913</v>
      </c>
      <c r="I31" s="500">
        <f t="shared" si="6"/>
        <v>0</v>
      </c>
      <c r="J31" s="500"/>
      <c r="K31" s="512"/>
      <c r="L31" s="504">
        <f t="shared" si="16"/>
        <v>0</v>
      </c>
      <c r="M31" s="512"/>
      <c r="N31" s="504">
        <f t="shared" si="4"/>
        <v>0</v>
      </c>
      <c r="O31" s="504">
        <f t="shared" si="5"/>
        <v>0</v>
      </c>
      <c r="P31" s="278"/>
      <c r="Q31" s="220"/>
      <c r="R31" s="278"/>
      <c r="S31" s="278"/>
      <c r="T31" s="278"/>
      <c r="U31" s="243"/>
    </row>
    <row r="32" spans="2:21">
      <c r="B32" s="145" t="str">
        <f t="shared" si="0"/>
        <v/>
      </c>
      <c r="C32" s="495">
        <f>IF(D12="","-",+C31+1)</f>
        <v>2029</v>
      </c>
      <c r="D32" s="508">
        <f>IF(F31+SUM(E$17:E31)=D$10,F31,D$10-SUM(E$17:E31))</f>
        <v>6048963.6671392797</v>
      </c>
      <c r="E32" s="509">
        <f>IF(+$I$14&lt;F31,$I$14,D32)</f>
        <v>329616.07645161287</v>
      </c>
      <c r="F32" s="510">
        <f>+D32-E32</f>
        <v>5719347.590687667</v>
      </c>
      <c r="G32" s="511">
        <f t="shared" si="19"/>
        <v>1000007.5369774477</v>
      </c>
      <c r="H32" s="477">
        <f t="shared" si="20"/>
        <v>1000007.5369774477</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2030</v>
      </c>
      <c r="D33" s="581">
        <f>IF(F32+SUM(E$17:E32)=D$10,F32,D$10-SUM(E$17:E32))</f>
        <v>5719347.590687667</v>
      </c>
      <c r="E33" s="509">
        <f>IF(+$I$14&lt;F31,$I$14,D33)</f>
        <v>329616.07645161287</v>
      </c>
      <c r="F33" s="510">
        <f t="shared" si="18"/>
        <v>5389731.5142360544</v>
      </c>
      <c r="G33" s="511">
        <f t="shared" si="19"/>
        <v>962453.83907398232</v>
      </c>
      <c r="H33" s="477">
        <f t="shared" si="20"/>
        <v>962453.83907398232</v>
      </c>
      <c r="I33" s="500">
        <f t="shared" si="6"/>
        <v>0</v>
      </c>
      <c r="J33" s="500"/>
      <c r="K33" s="512"/>
      <c r="L33" s="504">
        <f t="shared" si="16"/>
        <v>0</v>
      </c>
      <c r="M33" s="512"/>
      <c r="N33" s="504">
        <f t="shared" si="4"/>
        <v>0</v>
      </c>
      <c r="O33" s="504">
        <f t="shared" si="5"/>
        <v>0</v>
      </c>
      <c r="P33" s="278"/>
      <c r="R33" s="243"/>
      <c r="S33" s="243"/>
      <c r="T33" s="243"/>
      <c r="U33" s="243"/>
    </row>
    <row r="34" spans="2:21">
      <c r="B34" s="145" t="str">
        <f t="shared" si="0"/>
        <v/>
      </c>
      <c r="C34" s="513">
        <f>IF(D11="","-",+C33+1)</f>
        <v>2031</v>
      </c>
      <c r="D34" s="581">
        <f>IF(F33+SUM(E$17:E33)=D$10,F33,D$10-SUM(E$17:E33))</f>
        <v>5389731.5142360544</v>
      </c>
      <c r="E34" s="515">
        <f t="shared" si="17"/>
        <v>329616.07645161287</v>
      </c>
      <c r="F34" s="516">
        <f t="shared" si="18"/>
        <v>5060115.4377844417</v>
      </c>
      <c r="G34" s="517">
        <f t="shared" si="19"/>
        <v>924900.14117051696</v>
      </c>
      <c r="H34" s="518">
        <f t="shared" si="20"/>
        <v>924900.14117051696</v>
      </c>
      <c r="I34" s="519">
        <f t="shared" si="6"/>
        <v>0</v>
      </c>
      <c r="J34" s="519"/>
      <c r="K34" s="520"/>
      <c r="L34" s="521">
        <f t="shared" si="16"/>
        <v>0</v>
      </c>
      <c r="M34" s="520"/>
      <c r="N34" s="521">
        <f t="shared" si="4"/>
        <v>0</v>
      </c>
      <c r="O34" s="521">
        <f t="shared" si="5"/>
        <v>0</v>
      </c>
      <c r="P34" s="522"/>
      <c r="Q34" s="216"/>
      <c r="R34" s="522"/>
      <c r="S34" s="522"/>
      <c r="T34" s="522"/>
      <c r="U34" s="243"/>
    </row>
    <row r="35" spans="2:21">
      <c r="B35" s="145" t="str">
        <f t="shared" si="0"/>
        <v/>
      </c>
      <c r="C35" s="495">
        <f>IF(D11="","-",+C34+1)</f>
        <v>2032</v>
      </c>
      <c r="D35" s="508">
        <f>IF(F34+SUM(E$17:E34)=D$10,F34,D$10-SUM(E$17:E34))</f>
        <v>5060115.4377844417</v>
      </c>
      <c r="E35" s="509">
        <f t="shared" si="17"/>
        <v>329616.07645161287</v>
      </c>
      <c r="F35" s="510">
        <f t="shared" si="18"/>
        <v>4730499.3613328291</v>
      </c>
      <c r="G35" s="511">
        <f t="shared" si="19"/>
        <v>887346.4432670516</v>
      </c>
      <c r="H35" s="477">
        <f t="shared" si="20"/>
        <v>887346.4432670516</v>
      </c>
      <c r="I35" s="500">
        <f t="shared" si="6"/>
        <v>0</v>
      </c>
      <c r="J35" s="500"/>
      <c r="K35" s="512"/>
      <c r="L35" s="504">
        <f t="shared" si="16"/>
        <v>0</v>
      </c>
      <c r="M35" s="512"/>
      <c r="N35" s="504">
        <f t="shared" si="4"/>
        <v>0</v>
      </c>
      <c r="O35" s="504">
        <f t="shared" si="5"/>
        <v>0</v>
      </c>
      <c r="P35" s="278"/>
      <c r="R35" s="243"/>
      <c r="S35" s="243"/>
      <c r="T35" s="243"/>
      <c r="U35" s="243"/>
    </row>
    <row r="36" spans="2:21">
      <c r="B36" s="145" t="str">
        <f t="shared" si="0"/>
        <v/>
      </c>
      <c r="C36" s="495">
        <f>IF(D11="","-",+C35+1)</f>
        <v>2033</v>
      </c>
      <c r="D36" s="508">
        <f>IF(F35+SUM(E$17:E35)=D$10,F35,D$10-SUM(E$17:E35))</f>
        <v>4730499.3613328291</v>
      </c>
      <c r="E36" s="509">
        <f t="shared" si="17"/>
        <v>329616.07645161287</v>
      </c>
      <c r="F36" s="510">
        <f t="shared" si="18"/>
        <v>4400883.2848812165</v>
      </c>
      <c r="G36" s="511">
        <f t="shared" si="19"/>
        <v>849792.74536358623</v>
      </c>
      <c r="H36" s="477">
        <f t="shared" si="20"/>
        <v>849792.74536358623</v>
      </c>
      <c r="I36" s="500">
        <f t="shared" si="6"/>
        <v>0</v>
      </c>
      <c r="J36" s="500"/>
      <c r="K36" s="512"/>
      <c r="L36" s="504">
        <f t="shared" si="16"/>
        <v>0</v>
      </c>
      <c r="M36" s="512"/>
      <c r="N36" s="504">
        <f t="shared" si="4"/>
        <v>0</v>
      </c>
      <c r="O36" s="504">
        <f t="shared" si="5"/>
        <v>0</v>
      </c>
      <c r="P36" s="278"/>
      <c r="R36" s="243"/>
      <c r="S36" s="243"/>
      <c r="T36" s="243"/>
      <c r="U36" s="243"/>
    </row>
    <row r="37" spans="2:21">
      <c r="B37" s="145" t="str">
        <f t="shared" si="0"/>
        <v/>
      </c>
      <c r="C37" s="495">
        <f>IF(D11="","-",+C36+1)</f>
        <v>2034</v>
      </c>
      <c r="D37" s="508">
        <f>IF(F36+SUM(E$17:E36)=D$10,F36,D$10-SUM(E$17:E36))</f>
        <v>4400883.2848812165</v>
      </c>
      <c r="E37" s="509">
        <f t="shared" si="17"/>
        <v>329616.07645161287</v>
      </c>
      <c r="F37" s="510">
        <f t="shared" si="18"/>
        <v>4071267.2084296038</v>
      </c>
      <c r="G37" s="511">
        <f t="shared" si="19"/>
        <v>812239.04746012087</v>
      </c>
      <c r="H37" s="477">
        <f t="shared" si="20"/>
        <v>812239.04746012087</v>
      </c>
      <c r="I37" s="500">
        <f t="shared" si="6"/>
        <v>0</v>
      </c>
      <c r="J37" s="500"/>
      <c r="K37" s="512"/>
      <c r="L37" s="504">
        <f t="shared" si="16"/>
        <v>0</v>
      </c>
      <c r="M37" s="512"/>
      <c r="N37" s="504">
        <f t="shared" si="4"/>
        <v>0</v>
      </c>
      <c r="O37" s="504">
        <f t="shared" si="5"/>
        <v>0</v>
      </c>
      <c r="P37" s="278"/>
      <c r="R37" s="243"/>
      <c r="S37" s="243"/>
      <c r="T37" s="243"/>
      <c r="U37" s="243"/>
    </row>
    <row r="38" spans="2:21">
      <c r="B38" s="145" t="str">
        <f t="shared" si="0"/>
        <v/>
      </c>
      <c r="C38" s="495">
        <f>IF(D11="","-",+C37+1)</f>
        <v>2035</v>
      </c>
      <c r="D38" s="508">
        <f>IF(F37+SUM(E$17:E37)=D$10,F37,D$10-SUM(E$17:E37))</f>
        <v>4071267.2084296038</v>
      </c>
      <c r="E38" s="509">
        <f t="shared" si="17"/>
        <v>329616.07645161287</v>
      </c>
      <c r="F38" s="510">
        <f t="shared" si="18"/>
        <v>3741651.1319779912</v>
      </c>
      <c r="G38" s="511">
        <f t="shared" si="19"/>
        <v>774685.34955665551</v>
      </c>
      <c r="H38" s="477">
        <f t="shared" si="20"/>
        <v>774685.34955665551</v>
      </c>
      <c r="I38" s="500">
        <f t="shared" si="6"/>
        <v>0</v>
      </c>
      <c r="J38" s="500"/>
      <c r="K38" s="512"/>
      <c r="L38" s="504">
        <f t="shared" si="16"/>
        <v>0</v>
      </c>
      <c r="M38" s="512"/>
      <c r="N38" s="504">
        <f t="shared" si="4"/>
        <v>0</v>
      </c>
      <c r="O38" s="504">
        <f t="shared" si="5"/>
        <v>0</v>
      </c>
      <c r="P38" s="278"/>
      <c r="R38" s="243"/>
      <c r="S38" s="243"/>
      <c r="T38" s="243"/>
      <c r="U38" s="243"/>
    </row>
    <row r="39" spans="2:21">
      <c r="B39" s="145" t="str">
        <f t="shared" si="0"/>
        <v/>
      </c>
      <c r="C39" s="495">
        <f>IF(D11="","-",+C38+1)</f>
        <v>2036</v>
      </c>
      <c r="D39" s="508">
        <f>IF(F38+SUM(E$17:E38)=D$10,F38,D$10-SUM(E$17:E38))</f>
        <v>3741651.1319779912</v>
      </c>
      <c r="E39" s="509">
        <f t="shared" si="17"/>
        <v>329616.07645161287</v>
      </c>
      <c r="F39" s="510">
        <f t="shared" si="18"/>
        <v>3412035.0555263786</v>
      </c>
      <c r="G39" s="511">
        <f t="shared" si="19"/>
        <v>737131.65165319014</v>
      </c>
      <c r="H39" s="477">
        <f t="shared" si="20"/>
        <v>737131.65165319014</v>
      </c>
      <c r="I39" s="500">
        <f t="shared" si="6"/>
        <v>0</v>
      </c>
      <c r="J39" s="500"/>
      <c r="K39" s="512"/>
      <c r="L39" s="504">
        <f t="shared" si="16"/>
        <v>0</v>
      </c>
      <c r="M39" s="512"/>
      <c r="N39" s="504">
        <f t="shared" si="4"/>
        <v>0</v>
      </c>
      <c r="O39" s="504">
        <f t="shared" si="5"/>
        <v>0</v>
      </c>
      <c r="P39" s="278"/>
      <c r="R39" s="243"/>
      <c r="S39" s="243"/>
      <c r="T39" s="243"/>
      <c r="U39" s="243"/>
    </row>
    <row r="40" spans="2:21">
      <c r="B40" s="145" t="str">
        <f t="shared" si="0"/>
        <v/>
      </c>
      <c r="C40" s="495">
        <f>IF(D11="","-",+C39+1)</f>
        <v>2037</v>
      </c>
      <c r="D40" s="508">
        <f>IF(F39+SUM(E$17:E39)=D$10,F39,D$10-SUM(E$17:E39))</f>
        <v>3412035.0555263786</v>
      </c>
      <c r="E40" s="509">
        <f t="shared" si="17"/>
        <v>329616.07645161287</v>
      </c>
      <c r="F40" s="510">
        <f t="shared" si="18"/>
        <v>3082418.9790747659</v>
      </c>
      <c r="G40" s="511">
        <f t="shared" si="19"/>
        <v>699577.95374972478</v>
      </c>
      <c r="H40" s="477">
        <f t="shared" si="20"/>
        <v>699577.95374972478</v>
      </c>
      <c r="I40" s="500">
        <f t="shared" si="6"/>
        <v>0</v>
      </c>
      <c r="J40" s="500"/>
      <c r="K40" s="512"/>
      <c r="L40" s="504">
        <f t="shared" si="16"/>
        <v>0</v>
      </c>
      <c r="M40" s="512"/>
      <c r="N40" s="504">
        <f t="shared" si="4"/>
        <v>0</v>
      </c>
      <c r="O40" s="504">
        <f t="shared" si="5"/>
        <v>0</v>
      </c>
      <c r="P40" s="278"/>
      <c r="R40" s="243"/>
      <c r="S40" s="243"/>
      <c r="T40" s="243"/>
      <c r="U40" s="243"/>
    </row>
    <row r="41" spans="2:21">
      <c r="B41" s="145" t="str">
        <f t="shared" si="0"/>
        <v/>
      </c>
      <c r="C41" s="495">
        <f>IF(D12="","-",+C40+1)</f>
        <v>2038</v>
      </c>
      <c r="D41" s="508">
        <f>IF(F40+SUM(E$17:E40)=D$10,F40,D$10-SUM(E$17:E40))</f>
        <v>3082418.9790747659</v>
      </c>
      <c r="E41" s="509">
        <f t="shared" si="17"/>
        <v>329616.07645161287</v>
      </c>
      <c r="F41" s="510">
        <f t="shared" si="18"/>
        <v>2752802.9026231533</v>
      </c>
      <c r="G41" s="511">
        <f t="shared" si="19"/>
        <v>662024.25584625942</v>
      </c>
      <c r="H41" s="477">
        <f t="shared" si="20"/>
        <v>662024.25584625942</v>
      </c>
      <c r="I41" s="500">
        <f t="shared" si="6"/>
        <v>0</v>
      </c>
      <c r="J41" s="500"/>
      <c r="K41" s="512"/>
      <c r="L41" s="504">
        <f t="shared" si="16"/>
        <v>0</v>
      </c>
      <c r="M41" s="512"/>
      <c r="N41" s="504">
        <f t="shared" si="4"/>
        <v>0</v>
      </c>
      <c r="O41" s="504">
        <f t="shared" si="5"/>
        <v>0</v>
      </c>
      <c r="P41" s="278"/>
      <c r="R41" s="243"/>
      <c r="S41" s="243"/>
      <c r="T41" s="243"/>
      <c r="U41" s="243"/>
    </row>
    <row r="42" spans="2:21">
      <c r="B42" s="145" t="str">
        <f t="shared" si="0"/>
        <v/>
      </c>
      <c r="C42" s="495">
        <f>IF(D13="","-",+C41+1)</f>
        <v>2039</v>
      </c>
      <c r="D42" s="508">
        <f>IF(F41+SUM(E$17:E41)=D$10,F41,D$10-SUM(E$17:E41))</f>
        <v>2752802.9026231533</v>
      </c>
      <c r="E42" s="509">
        <f t="shared" si="17"/>
        <v>329616.07645161287</v>
      </c>
      <c r="F42" s="510">
        <f t="shared" si="18"/>
        <v>2423186.8261715407</v>
      </c>
      <c r="G42" s="511">
        <f t="shared" si="19"/>
        <v>624470.55794279405</v>
      </c>
      <c r="H42" s="477">
        <f t="shared" si="20"/>
        <v>624470.55794279405</v>
      </c>
      <c r="I42" s="500">
        <f t="shared" si="6"/>
        <v>0</v>
      </c>
      <c r="J42" s="500"/>
      <c r="K42" s="512"/>
      <c r="L42" s="504">
        <f t="shared" si="16"/>
        <v>0</v>
      </c>
      <c r="M42" s="512"/>
      <c r="N42" s="504">
        <f t="shared" si="4"/>
        <v>0</v>
      </c>
      <c r="O42" s="504">
        <f t="shared" si="5"/>
        <v>0</v>
      </c>
      <c r="P42" s="278"/>
      <c r="R42" s="243"/>
      <c r="S42" s="243"/>
      <c r="T42" s="243"/>
      <c r="U42" s="243"/>
    </row>
    <row r="43" spans="2:21">
      <c r="B43" s="145" t="str">
        <f t="shared" si="0"/>
        <v/>
      </c>
      <c r="C43" s="495">
        <f>IF(D11="","-",+C42+1)</f>
        <v>2040</v>
      </c>
      <c r="D43" s="508">
        <f>IF(F42+SUM(E$17:E42)=D$10,F42,D$10-SUM(E$17:E42))</f>
        <v>2423186.8261715407</v>
      </c>
      <c r="E43" s="509">
        <f t="shared" si="17"/>
        <v>329616.07645161287</v>
      </c>
      <c r="F43" s="510">
        <f t="shared" si="18"/>
        <v>2093570.7497199278</v>
      </c>
      <c r="G43" s="511">
        <f t="shared" si="19"/>
        <v>586916.86003932869</v>
      </c>
      <c r="H43" s="477">
        <f t="shared" si="20"/>
        <v>586916.86003932869</v>
      </c>
      <c r="I43" s="500">
        <f t="shared" si="6"/>
        <v>0</v>
      </c>
      <c r="J43" s="500"/>
      <c r="K43" s="512"/>
      <c r="L43" s="504">
        <f t="shared" si="16"/>
        <v>0</v>
      </c>
      <c r="M43" s="512"/>
      <c r="N43" s="504">
        <f t="shared" si="4"/>
        <v>0</v>
      </c>
      <c r="O43" s="504">
        <f t="shared" si="5"/>
        <v>0</v>
      </c>
      <c r="P43" s="278"/>
      <c r="R43" s="243"/>
      <c r="S43" s="243"/>
      <c r="T43" s="243"/>
      <c r="U43" s="243"/>
    </row>
    <row r="44" spans="2:21">
      <c r="B44" s="145" t="str">
        <f t="shared" si="0"/>
        <v/>
      </c>
      <c r="C44" s="495">
        <f>IF(D11="","-",+C43+1)</f>
        <v>2041</v>
      </c>
      <c r="D44" s="508">
        <f>IF(F43+SUM(E$17:E43)=D$10,F43,D$10-SUM(E$17:E43))</f>
        <v>2093570.7497199278</v>
      </c>
      <c r="E44" s="509">
        <f t="shared" si="17"/>
        <v>329616.07645161287</v>
      </c>
      <c r="F44" s="510">
        <f t="shared" si="18"/>
        <v>1763954.6732683149</v>
      </c>
      <c r="G44" s="511">
        <f t="shared" si="19"/>
        <v>549363.16213586321</v>
      </c>
      <c r="H44" s="477">
        <f t="shared" si="20"/>
        <v>549363.16213586321</v>
      </c>
      <c r="I44" s="500">
        <f t="shared" si="6"/>
        <v>0</v>
      </c>
      <c r="J44" s="500"/>
      <c r="K44" s="512"/>
      <c r="L44" s="504">
        <f t="shared" si="16"/>
        <v>0</v>
      </c>
      <c r="M44" s="512"/>
      <c r="N44" s="504">
        <f t="shared" si="4"/>
        <v>0</v>
      </c>
      <c r="O44" s="504">
        <f t="shared" si="5"/>
        <v>0</v>
      </c>
      <c r="P44" s="278"/>
      <c r="R44" s="243"/>
      <c r="S44" s="243"/>
      <c r="T44" s="243"/>
      <c r="U44" s="243"/>
    </row>
    <row r="45" spans="2:21">
      <c r="B45" s="145" t="str">
        <f t="shared" si="0"/>
        <v/>
      </c>
      <c r="C45" s="495">
        <f>IF(D11="","-",+C44+1)</f>
        <v>2042</v>
      </c>
      <c r="D45" s="508">
        <f>IF(F44+SUM(E$17:E44)=D$10,F44,D$10-SUM(E$17:E44))</f>
        <v>1763954.6732683149</v>
      </c>
      <c r="E45" s="509">
        <f t="shared" si="17"/>
        <v>329616.07645161287</v>
      </c>
      <c r="F45" s="510">
        <f t="shared" si="18"/>
        <v>1434338.596816702</v>
      </c>
      <c r="G45" s="511">
        <f t="shared" si="19"/>
        <v>511809.46423239791</v>
      </c>
      <c r="H45" s="477">
        <f t="shared" si="20"/>
        <v>511809.46423239791</v>
      </c>
      <c r="I45" s="500">
        <f t="shared" si="6"/>
        <v>0</v>
      </c>
      <c r="J45" s="500"/>
      <c r="K45" s="512"/>
      <c r="L45" s="504">
        <f t="shared" si="16"/>
        <v>0</v>
      </c>
      <c r="M45" s="512"/>
      <c r="N45" s="504">
        <f t="shared" si="4"/>
        <v>0</v>
      </c>
      <c r="O45" s="504">
        <f t="shared" si="5"/>
        <v>0</v>
      </c>
      <c r="P45" s="278"/>
      <c r="R45" s="243"/>
      <c r="S45" s="243"/>
      <c r="T45" s="243"/>
      <c r="U45" s="243"/>
    </row>
    <row r="46" spans="2:21">
      <c r="B46" s="145" t="str">
        <f t="shared" si="0"/>
        <v/>
      </c>
      <c r="C46" s="495">
        <f>IF(D11="","-",+C45+1)</f>
        <v>2043</v>
      </c>
      <c r="D46" s="508">
        <f>IF(F45+SUM(E$17:E45)=D$10,F45,D$10-SUM(E$17:E45))</f>
        <v>1434338.596816702</v>
      </c>
      <c r="E46" s="509">
        <f t="shared" si="17"/>
        <v>329616.07645161287</v>
      </c>
      <c r="F46" s="510">
        <f t="shared" si="18"/>
        <v>1104722.5203650892</v>
      </c>
      <c r="G46" s="511">
        <f t="shared" si="19"/>
        <v>474255.76632893248</v>
      </c>
      <c r="H46" s="477">
        <f t="shared" si="20"/>
        <v>474255.76632893248</v>
      </c>
      <c r="I46" s="500">
        <f t="shared" si="6"/>
        <v>0</v>
      </c>
      <c r="J46" s="500"/>
      <c r="K46" s="512"/>
      <c r="L46" s="504">
        <f t="shared" si="16"/>
        <v>0</v>
      </c>
      <c r="M46" s="512"/>
      <c r="N46" s="504">
        <f t="shared" si="4"/>
        <v>0</v>
      </c>
      <c r="O46" s="504">
        <f t="shared" si="5"/>
        <v>0</v>
      </c>
      <c r="P46" s="278"/>
      <c r="R46" s="243"/>
      <c r="S46" s="243"/>
      <c r="T46" s="243"/>
      <c r="U46" s="243"/>
    </row>
    <row r="47" spans="2:21">
      <c r="B47" s="145" t="str">
        <f t="shared" si="0"/>
        <v/>
      </c>
      <c r="C47" s="495">
        <f>IF(D11="","-",+C46+1)</f>
        <v>2044</v>
      </c>
      <c r="D47" s="508">
        <f>IF(F46+SUM(E$17:E46)=D$10,F46,D$10-SUM(E$17:E46))</f>
        <v>1104722.5203650892</v>
      </c>
      <c r="E47" s="509">
        <f t="shared" si="17"/>
        <v>329616.07645161287</v>
      </c>
      <c r="F47" s="510">
        <f t="shared" si="18"/>
        <v>775106.44391347631</v>
      </c>
      <c r="G47" s="511">
        <f t="shared" si="19"/>
        <v>436702.06842546712</v>
      </c>
      <c r="H47" s="477">
        <f t="shared" si="20"/>
        <v>436702.06842546712</v>
      </c>
      <c r="I47" s="500">
        <f t="shared" si="6"/>
        <v>0</v>
      </c>
      <c r="J47" s="500"/>
      <c r="K47" s="512"/>
      <c r="L47" s="504">
        <f t="shared" si="16"/>
        <v>0</v>
      </c>
      <c r="M47" s="512"/>
      <c r="N47" s="504">
        <f t="shared" si="4"/>
        <v>0</v>
      </c>
      <c r="O47" s="504">
        <f t="shared" si="5"/>
        <v>0</v>
      </c>
      <c r="P47" s="278"/>
      <c r="R47" s="243"/>
      <c r="S47" s="243"/>
      <c r="T47" s="243"/>
      <c r="U47" s="243"/>
    </row>
    <row r="48" spans="2:21">
      <c r="B48" s="145" t="str">
        <f t="shared" si="0"/>
        <v/>
      </c>
      <c r="C48" s="495">
        <f>IF(D11="","-",+C47+1)</f>
        <v>2045</v>
      </c>
      <c r="D48" s="508">
        <f>IF(F47+SUM(E$17:E47)=D$10,F47,D$10-SUM(E$17:E47))</f>
        <v>775106.44391347631</v>
      </c>
      <c r="E48" s="509">
        <f t="shared" si="17"/>
        <v>329616.07645161287</v>
      </c>
      <c r="F48" s="510">
        <f t="shared" si="18"/>
        <v>445490.36746186344</v>
      </c>
      <c r="G48" s="511">
        <f t="shared" si="19"/>
        <v>399148.3705220017</v>
      </c>
      <c r="H48" s="477">
        <f t="shared" si="20"/>
        <v>399148.3705220017</v>
      </c>
      <c r="I48" s="500">
        <f t="shared" si="6"/>
        <v>0</v>
      </c>
      <c r="J48" s="500"/>
      <c r="K48" s="512"/>
      <c r="L48" s="504">
        <f t="shared" si="16"/>
        <v>0</v>
      </c>
      <c r="M48" s="512"/>
      <c r="N48" s="504">
        <f t="shared" si="4"/>
        <v>0</v>
      </c>
      <c r="O48" s="504">
        <f t="shared" si="5"/>
        <v>0</v>
      </c>
      <c r="P48" s="278"/>
      <c r="R48" s="243"/>
      <c r="S48" s="243"/>
      <c r="T48" s="243"/>
      <c r="U48" s="243"/>
    </row>
    <row r="49" spans="2:21">
      <c r="B49" s="145" t="str">
        <f t="shared" si="0"/>
        <v/>
      </c>
      <c r="C49" s="495">
        <f>IF(D11="","-",+C48+1)</f>
        <v>2046</v>
      </c>
      <c r="D49" s="508">
        <f>IF(F48+SUM(E$17:E48)=D$10,F48,D$10-SUM(E$17:E48))</f>
        <v>445490.36746186344</v>
      </c>
      <c r="E49" s="509">
        <f t="shared" si="17"/>
        <v>329616.07645161287</v>
      </c>
      <c r="F49" s="510">
        <f t="shared" si="18"/>
        <v>115874.29101025057</v>
      </c>
      <c r="G49" s="511">
        <f t="shared" si="19"/>
        <v>361594.67261853634</v>
      </c>
      <c r="H49" s="477">
        <f t="shared" si="20"/>
        <v>361594.67261853634</v>
      </c>
      <c r="I49" s="500">
        <f t="shared" si="6"/>
        <v>0</v>
      </c>
      <c r="J49" s="500"/>
      <c r="K49" s="512"/>
      <c r="L49" s="504">
        <f t="shared" si="16"/>
        <v>0</v>
      </c>
      <c r="M49" s="512"/>
      <c r="N49" s="504">
        <f t="shared" si="4"/>
        <v>0</v>
      </c>
      <c r="O49" s="504">
        <f t="shared" si="5"/>
        <v>0</v>
      </c>
      <c r="P49" s="278"/>
      <c r="R49" s="243"/>
      <c r="S49" s="243"/>
      <c r="T49" s="243"/>
      <c r="U49" s="243"/>
    </row>
    <row r="50" spans="2:21">
      <c r="B50" s="145" t="str">
        <f t="shared" si="0"/>
        <v/>
      </c>
      <c r="C50" s="495">
        <f>IF(D11="","-",+C49+1)</f>
        <v>2047</v>
      </c>
      <c r="D50" s="508">
        <f>IF(F49+SUM(E$17:E49)=D$10,F49,D$10-SUM(E$17:E49))</f>
        <v>115874.29101025057</v>
      </c>
      <c r="E50" s="509">
        <f t="shared" si="17"/>
        <v>115874.29101025057</v>
      </c>
      <c r="F50" s="510">
        <f t="shared" si="18"/>
        <v>0</v>
      </c>
      <c r="G50" s="511">
        <f t="shared" si="19"/>
        <v>122475.16461784595</v>
      </c>
      <c r="H50" s="477">
        <f t="shared" si="20"/>
        <v>122475.16461784595</v>
      </c>
      <c r="I50" s="500">
        <f t="shared" si="6"/>
        <v>0</v>
      </c>
      <c r="J50" s="500"/>
      <c r="K50" s="512"/>
      <c r="L50" s="504">
        <f t="shared" si="16"/>
        <v>0</v>
      </c>
      <c r="M50" s="512"/>
      <c r="N50" s="504">
        <f t="shared" si="4"/>
        <v>0</v>
      </c>
      <c r="O50" s="504">
        <f t="shared" si="5"/>
        <v>0</v>
      </c>
      <c r="P50" s="278"/>
      <c r="R50" s="243"/>
      <c r="S50" s="243"/>
      <c r="T50" s="243"/>
      <c r="U50" s="243"/>
    </row>
    <row r="51" spans="2:21">
      <c r="B51" s="145" t="str">
        <f t="shared" si="0"/>
        <v/>
      </c>
      <c r="C51" s="495">
        <f>IF(D11="","-",+C50+1)</f>
        <v>2048</v>
      </c>
      <c r="D51" s="508">
        <f>IF(F50+SUM(E$17:E50)=D$10,F50,D$10-SUM(E$17:E50))</f>
        <v>0</v>
      </c>
      <c r="E51" s="509">
        <f t="shared" si="17"/>
        <v>0</v>
      </c>
      <c r="F51" s="510">
        <f t="shared" si="18"/>
        <v>0</v>
      </c>
      <c r="G51" s="511">
        <f t="shared" si="19"/>
        <v>0</v>
      </c>
      <c r="H51" s="477">
        <f t="shared" si="20"/>
        <v>0</v>
      </c>
      <c r="I51" s="500">
        <f t="shared" si="6"/>
        <v>0</v>
      </c>
      <c r="J51" s="500"/>
      <c r="K51" s="512"/>
      <c r="L51" s="504">
        <f t="shared" si="16"/>
        <v>0</v>
      </c>
      <c r="M51" s="512"/>
      <c r="N51" s="504">
        <f t="shared" si="4"/>
        <v>0</v>
      </c>
      <c r="O51" s="504">
        <f t="shared" si="5"/>
        <v>0</v>
      </c>
      <c r="P51" s="278"/>
      <c r="R51" s="243"/>
      <c r="S51" s="243"/>
      <c r="T51" s="243"/>
      <c r="U51" s="243"/>
    </row>
    <row r="52" spans="2:21">
      <c r="B52" s="145" t="str">
        <f t="shared" si="0"/>
        <v/>
      </c>
      <c r="C52" s="495">
        <f>IF(D11="","-",+C51+1)</f>
        <v>2049</v>
      </c>
      <c r="D52" s="508">
        <f>IF(F51+SUM(E$17:E51)=D$10,F51,D$10-SUM(E$17:E51))</f>
        <v>0</v>
      </c>
      <c r="E52" s="509">
        <f t="shared" si="17"/>
        <v>0</v>
      </c>
      <c r="F52" s="510">
        <f t="shared" si="18"/>
        <v>0</v>
      </c>
      <c r="G52" s="511">
        <f t="shared" si="19"/>
        <v>0</v>
      </c>
      <c r="H52" s="477">
        <f t="shared" si="20"/>
        <v>0</v>
      </c>
      <c r="I52" s="500">
        <f t="shared" si="6"/>
        <v>0</v>
      </c>
      <c r="J52" s="500"/>
      <c r="K52" s="512"/>
      <c r="L52" s="504">
        <f t="shared" si="16"/>
        <v>0</v>
      </c>
      <c r="M52" s="512"/>
      <c r="N52" s="504">
        <f t="shared" si="4"/>
        <v>0</v>
      </c>
      <c r="O52" s="504">
        <f t="shared" si="5"/>
        <v>0</v>
      </c>
      <c r="P52" s="278"/>
      <c r="R52" s="243"/>
      <c r="S52" s="243"/>
      <c r="T52" s="243"/>
      <c r="U52" s="243"/>
    </row>
    <row r="53" spans="2:21">
      <c r="B53" s="145" t="str">
        <f t="shared" si="0"/>
        <v/>
      </c>
      <c r="C53" s="495">
        <f>IF(D11="","-",+C52+1)</f>
        <v>2050</v>
      </c>
      <c r="D53" s="508">
        <f>IF(F52+SUM(E$17:E52)=D$10,F52,D$10-SUM(E$17:E52))</f>
        <v>0</v>
      </c>
      <c r="E53" s="509">
        <f t="shared" si="17"/>
        <v>0</v>
      </c>
      <c r="F53" s="510">
        <f t="shared" si="18"/>
        <v>0</v>
      </c>
      <c r="G53" s="511">
        <f t="shared" si="19"/>
        <v>0</v>
      </c>
      <c r="H53" s="477">
        <f t="shared" si="20"/>
        <v>0</v>
      </c>
      <c r="I53" s="500">
        <f t="shared" si="6"/>
        <v>0</v>
      </c>
      <c r="J53" s="500"/>
      <c r="K53" s="512"/>
      <c r="L53" s="504">
        <f t="shared" si="16"/>
        <v>0</v>
      </c>
      <c r="M53" s="512"/>
      <c r="N53" s="504">
        <f t="shared" si="4"/>
        <v>0</v>
      </c>
      <c r="O53" s="504">
        <f t="shared" si="5"/>
        <v>0</v>
      </c>
      <c r="P53" s="278"/>
      <c r="R53" s="243"/>
      <c r="S53" s="243"/>
      <c r="T53" s="243"/>
      <c r="U53" s="243"/>
    </row>
    <row r="54" spans="2:21">
      <c r="B54" s="145" t="str">
        <f t="shared" si="0"/>
        <v/>
      </c>
      <c r="C54" s="495">
        <f>IF(D11="","-",+C53+1)</f>
        <v>2051</v>
      </c>
      <c r="D54" s="508">
        <f>IF(F53+SUM(E$17:E53)=D$10,F53,D$10-SUM(E$17:E53))</f>
        <v>0</v>
      </c>
      <c r="E54" s="509">
        <f t="shared" si="17"/>
        <v>0</v>
      </c>
      <c r="F54" s="510">
        <f t="shared" si="18"/>
        <v>0</v>
      </c>
      <c r="G54" s="511">
        <f t="shared" si="19"/>
        <v>0</v>
      </c>
      <c r="H54" s="477">
        <f t="shared" si="20"/>
        <v>0</v>
      </c>
      <c r="I54" s="500">
        <f t="shared" si="6"/>
        <v>0</v>
      </c>
      <c r="J54" s="500"/>
      <c r="K54" s="512"/>
      <c r="L54" s="504">
        <f t="shared" si="16"/>
        <v>0</v>
      </c>
      <c r="M54" s="512"/>
      <c r="N54" s="504">
        <f t="shared" si="4"/>
        <v>0</v>
      </c>
      <c r="O54" s="504">
        <f t="shared" si="5"/>
        <v>0</v>
      </c>
      <c r="P54" s="278"/>
      <c r="R54" s="243"/>
      <c r="S54" s="243"/>
      <c r="T54" s="243"/>
      <c r="U54" s="243"/>
    </row>
    <row r="55" spans="2:21">
      <c r="B55" s="145" t="str">
        <f t="shared" si="0"/>
        <v/>
      </c>
      <c r="C55" s="495">
        <f>IF(D11="","-",+C54+1)</f>
        <v>2052</v>
      </c>
      <c r="D55" s="508">
        <f>IF(F54+SUM(E$17:E54)=D$10,F54,D$10-SUM(E$17:E54))</f>
        <v>0</v>
      </c>
      <c r="E55" s="509">
        <f t="shared" si="17"/>
        <v>0</v>
      </c>
      <c r="F55" s="510">
        <f t="shared" si="18"/>
        <v>0</v>
      </c>
      <c r="G55" s="511">
        <f t="shared" si="19"/>
        <v>0</v>
      </c>
      <c r="H55" s="477">
        <f t="shared" si="20"/>
        <v>0</v>
      </c>
      <c r="I55" s="500">
        <f t="shared" si="6"/>
        <v>0</v>
      </c>
      <c r="J55" s="500"/>
      <c r="K55" s="512"/>
      <c r="L55" s="504">
        <f t="shared" si="16"/>
        <v>0</v>
      </c>
      <c r="M55" s="512"/>
      <c r="N55" s="504">
        <f t="shared" si="4"/>
        <v>0</v>
      </c>
      <c r="O55" s="504">
        <f t="shared" si="5"/>
        <v>0</v>
      </c>
      <c r="P55" s="278"/>
      <c r="R55" s="243"/>
      <c r="S55" s="243"/>
      <c r="T55" s="243"/>
      <c r="U55" s="243"/>
    </row>
    <row r="56" spans="2:21">
      <c r="B56" s="145" t="str">
        <f t="shared" si="0"/>
        <v/>
      </c>
      <c r="C56" s="495">
        <f>IF(D11="","-",+C55+1)</f>
        <v>2053</v>
      </c>
      <c r="D56" s="508">
        <f>IF(F55+SUM(E$17:E55)=D$10,F55,D$10-SUM(E$17:E55))</f>
        <v>0</v>
      </c>
      <c r="E56" s="509">
        <f t="shared" si="17"/>
        <v>0</v>
      </c>
      <c r="F56" s="510">
        <f t="shared" si="18"/>
        <v>0</v>
      </c>
      <c r="G56" s="511">
        <f t="shared" si="19"/>
        <v>0</v>
      </c>
      <c r="H56" s="477">
        <f t="shared" si="20"/>
        <v>0</v>
      </c>
      <c r="I56" s="500">
        <f t="shared" si="6"/>
        <v>0</v>
      </c>
      <c r="J56" s="500"/>
      <c r="K56" s="512"/>
      <c r="L56" s="504">
        <f t="shared" si="16"/>
        <v>0</v>
      </c>
      <c r="M56" s="512"/>
      <c r="N56" s="504">
        <f t="shared" si="4"/>
        <v>0</v>
      </c>
      <c r="O56" s="504">
        <f t="shared" si="5"/>
        <v>0</v>
      </c>
      <c r="P56" s="278"/>
      <c r="R56" s="243"/>
      <c r="S56" s="243"/>
      <c r="T56" s="243"/>
      <c r="U56" s="243"/>
    </row>
    <row r="57" spans="2:21">
      <c r="B57" s="145" t="str">
        <f t="shared" si="0"/>
        <v/>
      </c>
      <c r="C57" s="495">
        <f>IF(D11="","-",+C56+1)</f>
        <v>2054</v>
      </c>
      <c r="D57" s="508">
        <f>IF(F56+SUM(E$17:E56)=D$10,F56,D$10-SUM(E$17:E56))</f>
        <v>0</v>
      </c>
      <c r="E57" s="509">
        <f t="shared" si="17"/>
        <v>0</v>
      </c>
      <c r="F57" s="510">
        <f t="shared" si="18"/>
        <v>0</v>
      </c>
      <c r="G57" s="511">
        <f t="shared" si="19"/>
        <v>0</v>
      </c>
      <c r="H57" s="477">
        <f t="shared" si="20"/>
        <v>0</v>
      </c>
      <c r="I57" s="500">
        <f t="shared" si="6"/>
        <v>0</v>
      </c>
      <c r="J57" s="500"/>
      <c r="K57" s="512"/>
      <c r="L57" s="504">
        <f t="shared" si="16"/>
        <v>0</v>
      </c>
      <c r="M57" s="512"/>
      <c r="N57" s="504">
        <f t="shared" si="4"/>
        <v>0</v>
      </c>
      <c r="O57" s="504">
        <f t="shared" si="5"/>
        <v>0</v>
      </c>
      <c r="P57" s="278"/>
      <c r="R57" s="243"/>
      <c r="S57" s="243"/>
      <c r="T57" s="243"/>
      <c r="U57" s="243"/>
    </row>
    <row r="58" spans="2:21">
      <c r="B58" s="145" t="str">
        <f t="shared" si="0"/>
        <v/>
      </c>
      <c r="C58" s="495">
        <f>IF(D11="","-",+C57+1)</f>
        <v>2055</v>
      </c>
      <c r="D58" s="508">
        <f>IF(F57+SUM(E$17:E57)=D$10,F57,D$10-SUM(E$17:E57))</f>
        <v>0</v>
      </c>
      <c r="E58" s="509">
        <f t="shared" si="17"/>
        <v>0</v>
      </c>
      <c r="F58" s="510">
        <f t="shared" si="18"/>
        <v>0</v>
      </c>
      <c r="G58" s="511">
        <f t="shared" si="19"/>
        <v>0</v>
      </c>
      <c r="H58" s="477">
        <f t="shared" si="20"/>
        <v>0</v>
      </c>
      <c r="I58" s="500">
        <f t="shared" si="6"/>
        <v>0</v>
      </c>
      <c r="J58" s="500"/>
      <c r="K58" s="512"/>
      <c r="L58" s="504">
        <f t="shared" si="16"/>
        <v>0</v>
      </c>
      <c r="M58" s="512"/>
      <c r="N58" s="504">
        <f t="shared" si="4"/>
        <v>0</v>
      </c>
      <c r="O58" s="504">
        <f t="shared" si="5"/>
        <v>0</v>
      </c>
      <c r="P58" s="278"/>
      <c r="R58" s="243"/>
      <c r="S58" s="243"/>
      <c r="T58" s="243"/>
      <c r="U58" s="243"/>
    </row>
    <row r="59" spans="2:21">
      <c r="B59" s="145" t="str">
        <f t="shared" si="0"/>
        <v/>
      </c>
      <c r="C59" s="495">
        <f>IF(D11="","-",+C58+1)</f>
        <v>2056</v>
      </c>
      <c r="D59" s="508">
        <f>IF(F58+SUM(E$17:E58)=D$10,F58,D$10-SUM(E$17:E58))</f>
        <v>0</v>
      </c>
      <c r="E59" s="509">
        <f t="shared" si="17"/>
        <v>0</v>
      </c>
      <c r="F59" s="510">
        <f t="shared" si="18"/>
        <v>0</v>
      </c>
      <c r="G59" s="511">
        <f t="shared" si="19"/>
        <v>0</v>
      </c>
      <c r="H59" s="477">
        <f t="shared" si="20"/>
        <v>0</v>
      </c>
      <c r="I59" s="500">
        <f t="shared" si="6"/>
        <v>0</v>
      </c>
      <c r="J59" s="500"/>
      <c r="K59" s="512"/>
      <c r="L59" s="504">
        <f t="shared" si="16"/>
        <v>0</v>
      </c>
      <c r="M59" s="512"/>
      <c r="N59" s="504">
        <f t="shared" si="4"/>
        <v>0</v>
      </c>
      <c r="O59" s="504">
        <f t="shared" si="5"/>
        <v>0</v>
      </c>
      <c r="P59" s="278"/>
      <c r="R59" s="243"/>
      <c r="S59" s="243"/>
      <c r="T59" s="243"/>
      <c r="U59" s="243"/>
    </row>
    <row r="60" spans="2:21">
      <c r="B60" s="145" t="str">
        <f t="shared" si="0"/>
        <v/>
      </c>
      <c r="C60" s="495">
        <f>IF(D11="","-",+C59+1)</f>
        <v>2057</v>
      </c>
      <c r="D60" s="508">
        <f>IF(F59+SUM(E$17:E59)=D$10,F59,D$10-SUM(E$17:E59))</f>
        <v>0</v>
      </c>
      <c r="E60" s="509">
        <f t="shared" si="17"/>
        <v>0</v>
      </c>
      <c r="F60" s="510">
        <f t="shared" si="18"/>
        <v>0</v>
      </c>
      <c r="G60" s="511">
        <f t="shared" si="19"/>
        <v>0</v>
      </c>
      <c r="H60" s="477">
        <f t="shared" si="20"/>
        <v>0</v>
      </c>
      <c r="I60" s="500">
        <f t="shared" si="6"/>
        <v>0</v>
      </c>
      <c r="J60" s="500"/>
      <c r="K60" s="512"/>
      <c r="L60" s="504">
        <f t="shared" si="16"/>
        <v>0</v>
      </c>
      <c r="M60" s="512"/>
      <c r="N60" s="504">
        <f t="shared" si="4"/>
        <v>0</v>
      </c>
      <c r="O60" s="504">
        <f t="shared" si="5"/>
        <v>0</v>
      </c>
      <c r="P60" s="278"/>
      <c r="R60" s="243"/>
      <c r="S60" s="243"/>
      <c r="T60" s="243"/>
      <c r="U60" s="243"/>
    </row>
    <row r="61" spans="2:21">
      <c r="B61" s="145" t="str">
        <f t="shared" si="0"/>
        <v/>
      </c>
      <c r="C61" s="495">
        <f>IF(D11="","-",+C60+1)</f>
        <v>2058</v>
      </c>
      <c r="D61" s="508">
        <f>IF(F60+SUM(E$17:E60)=D$10,F60,D$10-SUM(E$17:E60))</f>
        <v>0</v>
      </c>
      <c r="E61" s="509">
        <f t="shared" si="17"/>
        <v>0</v>
      </c>
      <c r="F61" s="510">
        <f t="shared" si="18"/>
        <v>0</v>
      </c>
      <c r="G61" s="511">
        <f t="shared" si="19"/>
        <v>0</v>
      </c>
      <c r="H61" s="477">
        <f t="shared" si="20"/>
        <v>0</v>
      </c>
      <c r="I61" s="500">
        <f t="shared" si="6"/>
        <v>0</v>
      </c>
      <c r="J61" s="500"/>
      <c r="K61" s="512"/>
      <c r="L61" s="504">
        <f t="shared" si="16"/>
        <v>0</v>
      </c>
      <c r="M61" s="512"/>
      <c r="N61" s="504">
        <f t="shared" si="4"/>
        <v>0</v>
      </c>
      <c r="O61" s="504">
        <f t="shared" si="5"/>
        <v>0</v>
      </c>
      <c r="P61" s="278"/>
      <c r="R61" s="243"/>
      <c r="S61" s="243"/>
      <c r="T61" s="243"/>
      <c r="U61" s="243"/>
    </row>
    <row r="62" spans="2:21">
      <c r="B62" s="145" t="str">
        <f t="shared" si="0"/>
        <v/>
      </c>
      <c r="C62" s="495">
        <f>IF(D11="","-",+C61+1)</f>
        <v>2059</v>
      </c>
      <c r="D62" s="508">
        <f>IF(F61+SUM(E$17:E61)=D$10,F61,D$10-SUM(E$17:E61))</f>
        <v>0</v>
      </c>
      <c r="E62" s="509">
        <f t="shared" si="17"/>
        <v>0</v>
      </c>
      <c r="F62" s="510">
        <f t="shared" si="18"/>
        <v>0</v>
      </c>
      <c r="G62" s="511">
        <f t="shared" si="19"/>
        <v>0</v>
      </c>
      <c r="H62" s="477">
        <f t="shared" si="20"/>
        <v>0</v>
      </c>
      <c r="I62" s="500">
        <f t="shared" si="6"/>
        <v>0</v>
      </c>
      <c r="J62" s="500"/>
      <c r="K62" s="512"/>
      <c r="L62" s="504">
        <f t="shared" si="16"/>
        <v>0</v>
      </c>
      <c r="M62" s="512"/>
      <c r="N62" s="504">
        <f t="shared" si="4"/>
        <v>0</v>
      </c>
      <c r="O62" s="504">
        <f t="shared" si="5"/>
        <v>0</v>
      </c>
      <c r="P62" s="278"/>
      <c r="R62" s="243"/>
      <c r="S62" s="243"/>
      <c r="T62" s="243"/>
      <c r="U62" s="243"/>
    </row>
    <row r="63" spans="2:21">
      <c r="B63" s="145" t="str">
        <f t="shared" si="0"/>
        <v/>
      </c>
      <c r="C63" s="495">
        <f>IF(D11="","-",+C62+1)</f>
        <v>2060</v>
      </c>
      <c r="D63" s="508">
        <f>IF(F62+SUM(E$17:E62)=D$10,F62,D$10-SUM(E$17:E62))</f>
        <v>0</v>
      </c>
      <c r="E63" s="509">
        <f t="shared" si="17"/>
        <v>0</v>
      </c>
      <c r="F63" s="510">
        <f t="shared" si="18"/>
        <v>0</v>
      </c>
      <c r="G63" s="511">
        <f t="shared" si="19"/>
        <v>0</v>
      </c>
      <c r="H63" s="477">
        <f t="shared" si="20"/>
        <v>0</v>
      </c>
      <c r="I63" s="500">
        <f t="shared" si="6"/>
        <v>0</v>
      </c>
      <c r="J63" s="500"/>
      <c r="K63" s="512"/>
      <c r="L63" s="504">
        <f t="shared" si="16"/>
        <v>0</v>
      </c>
      <c r="M63" s="512"/>
      <c r="N63" s="504">
        <f t="shared" si="4"/>
        <v>0</v>
      </c>
      <c r="O63" s="504">
        <f t="shared" si="5"/>
        <v>0</v>
      </c>
      <c r="P63" s="278"/>
      <c r="R63" s="243"/>
      <c r="S63" s="243"/>
      <c r="T63" s="243"/>
      <c r="U63" s="243"/>
    </row>
    <row r="64" spans="2:21">
      <c r="B64" s="145" t="str">
        <f t="shared" si="0"/>
        <v/>
      </c>
      <c r="C64" s="495">
        <f>IF(D11="","-",+C63+1)</f>
        <v>2061</v>
      </c>
      <c r="D64" s="508">
        <f>IF(F63+SUM(E$17:E63)=D$10,F63,D$10-SUM(E$17:E63))</f>
        <v>0</v>
      </c>
      <c r="E64" s="509">
        <f t="shared" si="17"/>
        <v>0</v>
      </c>
      <c r="F64" s="510">
        <f t="shared" si="18"/>
        <v>0</v>
      </c>
      <c r="G64" s="511">
        <f t="shared" si="19"/>
        <v>0</v>
      </c>
      <c r="H64" s="477">
        <f t="shared" si="20"/>
        <v>0</v>
      </c>
      <c r="I64" s="500">
        <f t="shared" si="6"/>
        <v>0</v>
      </c>
      <c r="J64" s="500"/>
      <c r="K64" s="512"/>
      <c r="L64" s="504">
        <f t="shared" si="16"/>
        <v>0</v>
      </c>
      <c r="M64" s="512"/>
      <c r="N64" s="504">
        <f t="shared" si="4"/>
        <v>0</v>
      </c>
      <c r="O64" s="504">
        <f t="shared" si="5"/>
        <v>0</v>
      </c>
      <c r="P64" s="278"/>
      <c r="R64" s="243"/>
      <c r="S64" s="243"/>
      <c r="T64" s="243"/>
      <c r="U64" s="243"/>
    </row>
    <row r="65" spans="2:21">
      <c r="B65" s="145" t="str">
        <f t="shared" si="0"/>
        <v/>
      </c>
      <c r="C65" s="495">
        <f>IF(D11="","-",+C64+1)</f>
        <v>2062</v>
      </c>
      <c r="D65" s="508">
        <f>IF(F64+SUM(E$17:E64)=D$10,F64,D$10-SUM(E$17:E64))</f>
        <v>0</v>
      </c>
      <c r="E65" s="509">
        <f t="shared" si="17"/>
        <v>0</v>
      </c>
      <c r="F65" s="510">
        <f t="shared" si="18"/>
        <v>0</v>
      </c>
      <c r="G65" s="511">
        <f t="shared" si="19"/>
        <v>0</v>
      </c>
      <c r="H65" s="477">
        <f t="shared" si="20"/>
        <v>0</v>
      </c>
      <c r="I65" s="500">
        <f t="shared" si="6"/>
        <v>0</v>
      </c>
      <c r="J65" s="500"/>
      <c r="K65" s="512"/>
      <c r="L65" s="504">
        <f t="shared" si="16"/>
        <v>0</v>
      </c>
      <c r="M65" s="512"/>
      <c r="N65" s="504">
        <f t="shared" si="4"/>
        <v>0</v>
      </c>
      <c r="O65" s="504">
        <f t="shared" si="5"/>
        <v>0</v>
      </c>
      <c r="P65" s="278"/>
      <c r="R65" s="243"/>
      <c r="S65" s="243"/>
      <c r="T65" s="243"/>
      <c r="U65" s="243"/>
    </row>
    <row r="66" spans="2:21">
      <c r="B66" s="145" t="str">
        <f t="shared" si="0"/>
        <v/>
      </c>
      <c r="C66" s="495">
        <f>IF(D11="","-",+C65+1)</f>
        <v>2063</v>
      </c>
      <c r="D66" s="508">
        <f>IF(F65+SUM(E$17:E65)=D$10,F65,D$10-SUM(E$17:E65))</f>
        <v>0</v>
      </c>
      <c r="E66" s="509">
        <f t="shared" si="17"/>
        <v>0</v>
      </c>
      <c r="F66" s="510">
        <f t="shared" si="18"/>
        <v>0</v>
      </c>
      <c r="G66" s="511">
        <f t="shared" si="19"/>
        <v>0</v>
      </c>
      <c r="H66" s="477">
        <f t="shared" si="20"/>
        <v>0</v>
      </c>
      <c r="I66" s="500">
        <f t="shared" si="6"/>
        <v>0</v>
      </c>
      <c r="J66" s="500"/>
      <c r="K66" s="512"/>
      <c r="L66" s="504">
        <f t="shared" si="16"/>
        <v>0</v>
      </c>
      <c r="M66" s="512"/>
      <c r="N66" s="504">
        <f t="shared" si="4"/>
        <v>0</v>
      </c>
      <c r="O66" s="504">
        <f t="shared" si="5"/>
        <v>0</v>
      </c>
      <c r="P66" s="278"/>
      <c r="R66" s="243"/>
      <c r="S66" s="243"/>
      <c r="T66" s="243"/>
      <c r="U66" s="243"/>
    </row>
    <row r="67" spans="2:21">
      <c r="B67" s="145" t="str">
        <f t="shared" si="0"/>
        <v/>
      </c>
      <c r="C67" s="495">
        <f>IF(D11="","-",+C66+1)</f>
        <v>2064</v>
      </c>
      <c r="D67" s="508">
        <f>IF(F66+SUM(E$17:E66)=D$10,F66,D$10-SUM(E$17:E66))</f>
        <v>0</v>
      </c>
      <c r="E67" s="509">
        <f t="shared" si="17"/>
        <v>0</v>
      </c>
      <c r="F67" s="510">
        <f t="shared" si="18"/>
        <v>0</v>
      </c>
      <c r="G67" s="511">
        <f t="shared" si="19"/>
        <v>0</v>
      </c>
      <c r="H67" s="477">
        <f t="shared" si="20"/>
        <v>0</v>
      </c>
      <c r="I67" s="500">
        <f t="shared" si="6"/>
        <v>0</v>
      </c>
      <c r="J67" s="500"/>
      <c r="K67" s="512"/>
      <c r="L67" s="504">
        <f t="shared" si="16"/>
        <v>0</v>
      </c>
      <c r="M67" s="512"/>
      <c r="N67" s="504">
        <f t="shared" si="4"/>
        <v>0</v>
      </c>
      <c r="O67" s="504">
        <f t="shared" si="5"/>
        <v>0</v>
      </c>
      <c r="P67" s="278"/>
      <c r="R67" s="243"/>
      <c r="S67" s="243"/>
      <c r="T67" s="243"/>
      <c r="U67" s="243"/>
    </row>
    <row r="68" spans="2:21">
      <c r="B68" s="145" t="str">
        <f t="shared" si="0"/>
        <v/>
      </c>
      <c r="C68" s="495">
        <f>IF(D11="","-",+C67+1)</f>
        <v>2065</v>
      </c>
      <c r="D68" s="508">
        <f>IF(F67+SUM(E$17:E67)=D$10,F67,D$10-SUM(E$17:E67))</f>
        <v>0</v>
      </c>
      <c r="E68" s="509">
        <f t="shared" si="17"/>
        <v>0</v>
      </c>
      <c r="F68" s="510">
        <f t="shared" si="18"/>
        <v>0</v>
      </c>
      <c r="G68" s="511">
        <f t="shared" si="19"/>
        <v>0</v>
      </c>
      <c r="H68" s="477">
        <f t="shared" si="20"/>
        <v>0</v>
      </c>
      <c r="I68" s="500">
        <f t="shared" si="6"/>
        <v>0</v>
      </c>
      <c r="J68" s="500"/>
      <c r="K68" s="512"/>
      <c r="L68" s="504">
        <f t="shared" si="16"/>
        <v>0</v>
      </c>
      <c r="M68" s="512"/>
      <c r="N68" s="504">
        <f t="shared" si="4"/>
        <v>0</v>
      </c>
      <c r="O68" s="504">
        <f t="shared" si="5"/>
        <v>0</v>
      </c>
      <c r="P68" s="278"/>
      <c r="R68" s="243"/>
      <c r="S68" s="243"/>
      <c r="T68" s="243"/>
      <c r="U68" s="243"/>
    </row>
    <row r="69" spans="2:21">
      <c r="B69" s="145" t="str">
        <f t="shared" si="0"/>
        <v/>
      </c>
      <c r="C69" s="495">
        <f>IF(D11="","-",+C68+1)</f>
        <v>2066</v>
      </c>
      <c r="D69" s="508">
        <f>IF(F68+SUM(E$17:E68)=D$10,F68,D$10-SUM(E$17:E68))</f>
        <v>0</v>
      </c>
      <c r="E69" s="509">
        <f t="shared" si="17"/>
        <v>0</v>
      </c>
      <c r="F69" s="510">
        <f t="shared" si="18"/>
        <v>0</v>
      </c>
      <c r="G69" s="511">
        <f t="shared" si="19"/>
        <v>0</v>
      </c>
      <c r="H69" s="477">
        <f t="shared" si="20"/>
        <v>0</v>
      </c>
      <c r="I69" s="500">
        <f t="shared" si="6"/>
        <v>0</v>
      </c>
      <c r="J69" s="500"/>
      <c r="K69" s="512"/>
      <c r="L69" s="504">
        <f t="shared" si="16"/>
        <v>0</v>
      </c>
      <c r="M69" s="512"/>
      <c r="N69" s="504">
        <f t="shared" si="4"/>
        <v>0</v>
      </c>
      <c r="O69" s="504">
        <f t="shared" si="5"/>
        <v>0</v>
      </c>
      <c r="P69" s="278"/>
      <c r="R69" s="243"/>
      <c r="S69" s="243"/>
      <c r="T69" s="243"/>
      <c r="U69" s="243"/>
    </row>
    <row r="70" spans="2:21">
      <c r="B70" s="145" t="str">
        <f t="shared" si="0"/>
        <v/>
      </c>
      <c r="C70" s="495">
        <f>IF(D11="","-",+C69+1)</f>
        <v>2067</v>
      </c>
      <c r="D70" s="508">
        <f>IF(F69+SUM(E$17:E69)=D$10,F69,D$10-SUM(E$17:E69))</f>
        <v>0</v>
      </c>
      <c r="E70" s="509">
        <f t="shared" si="17"/>
        <v>0</v>
      </c>
      <c r="F70" s="510">
        <f t="shared" si="18"/>
        <v>0</v>
      </c>
      <c r="G70" s="511">
        <f t="shared" si="19"/>
        <v>0</v>
      </c>
      <c r="H70" s="477">
        <f t="shared" si="20"/>
        <v>0</v>
      </c>
      <c r="I70" s="500">
        <f t="shared" si="6"/>
        <v>0</v>
      </c>
      <c r="J70" s="500"/>
      <c r="K70" s="512"/>
      <c r="L70" s="504">
        <f t="shared" si="16"/>
        <v>0</v>
      </c>
      <c r="M70" s="512"/>
      <c r="N70" s="504">
        <f t="shared" si="4"/>
        <v>0</v>
      </c>
      <c r="O70" s="504">
        <f t="shared" si="5"/>
        <v>0</v>
      </c>
      <c r="P70" s="278"/>
      <c r="R70" s="243"/>
      <c r="S70" s="243"/>
      <c r="T70" s="243"/>
      <c r="U70" s="243"/>
    </row>
    <row r="71" spans="2:21">
      <c r="B71" s="145" t="str">
        <f t="shared" si="0"/>
        <v/>
      </c>
      <c r="C71" s="495">
        <f>IF(D11="","-",+C70+1)</f>
        <v>2068</v>
      </c>
      <c r="D71" s="508">
        <f>IF(F70+SUM(E$17:E70)=D$10,F70,D$10-SUM(E$17:E70))</f>
        <v>0</v>
      </c>
      <c r="E71" s="509">
        <f t="shared" si="17"/>
        <v>0</v>
      </c>
      <c r="F71" s="510">
        <f t="shared" si="18"/>
        <v>0</v>
      </c>
      <c r="G71" s="511">
        <f t="shared" si="19"/>
        <v>0</v>
      </c>
      <c r="H71" s="477">
        <f t="shared" si="20"/>
        <v>0</v>
      </c>
      <c r="I71" s="500">
        <f t="shared" si="6"/>
        <v>0</v>
      </c>
      <c r="J71" s="500"/>
      <c r="K71" s="512"/>
      <c r="L71" s="504">
        <f t="shared" si="16"/>
        <v>0</v>
      </c>
      <c r="M71" s="512"/>
      <c r="N71" s="504">
        <f t="shared" si="4"/>
        <v>0</v>
      </c>
      <c r="O71" s="504">
        <f t="shared" si="5"/>
        <v>0</v>
      </c>
      <c r="P71" s="278"/>
      <c r="R71" s="243"/>
      <c r="S71" s="243"/>
      <c r="T71" s="243"/>
      <c r="U71" s="243"/>
    </row>
    <row r="72" spans="2:21">
      <c r="B72" s="145" t="str">
        <f t="shared" si="0"/>
        <v/>
      </c>
      <c r="C72" s="495">
        <f>IF(D11="","-",+C71+1)</f>
        <v>2069</v>
      </c>
      <c r="D72" s="508">
        <f>IF(F71+SUM(E$17:E71)=D$10,F71,D$10-SUM(E$17:E71))</f>
        <v>0</v>
      </c>
      <c r="E72" s="509">
        <f t="shared" si="17"/>
        <v>0</v>
      </c>
      <c r="F72" s="510">
        <f t="shared" si="18"/>
        <v>0</v>
      </c>
      <c r="G72" s="511">
        <f t="shared" si="19"/>
        <v>0</v>
      </c>
      <c r="H72" s="477">
        <f t="shared" si="20"/>
        <v>0</v>
      </c>
      <c r="I72" s="500">
        <f t="shared" si="6"/>
        <v>0</v>
      </c>
      <c r="J72" s="500"/>
      <c r="K72" s="512"/>
      <c r="L72" s="504">
        <f t="shared" si="16"/>
        <v>0</v>
      </c>
      <c r="M72" s="512"/>
      <c r="N72" s="504">
        <f t="shared" si="4"/>
        <v>0</v>
      </c>
      <c r="O72" s="504">
        <f t="shared" si="5"/>
        <v>0</v>
      </c>
      <c r="P72" s="278"/>
      <c r="R72" s="243"/>
      <c r="S72" s="243"/>
      <c r="T72" s="243"/>
      <c r="U72" s="243"/>
    </row>
    <row r="73" spans="2:21" ht="13.5" thickBot="1">
      <c r="B73" s="145" t="str">
        <f t="shared" si="0"/>
        <v/>
      </c>
      <c r="C73" s="524">
        <f>IF(D11="","-",+C72+1)</f>
        <v>2070</v>
      </c>
      <c r="D73" s="525">
        <f>IF(F72+SUM(E$17:E72)=D$10,F72,D$10-SUM(E$17:E72))</f>
        <v>0</v>
      </c>
      <c r="E73" s="526">
        <f t="shared" si="17"/>
        <v>0</v>
      </c>
      <c r="F73" s="527">
        <f t="shared" si="18"/>
        <v>0</v>
      </c>
      <c r="G73" s="611">
        <f t="shared" si="19"/>
        <v>0</v>
      </c>
      <c r="H73" s="458">
        <f t="shared" si="20"/>
        <v>0</v>
      </c>
      <c r="I73" s="529">
        <f t="shared" si="6"/>
        <v>0</v>
      </c>
      <c r="J73" s="500"/>
      <c r="K73" s="530"/>
      <c r="L73" s="531">
        <f t="shared" si="16"/>
        <v>0</v>
      </c>
      <c r="M73" s="530"/>
      <c r="N73" s="531">
        <f t="shared" si="4"/>
        <v>0</v>
      </c>
      <c r="O73" s="531">
        <f t="shared" si="5"/>
        <v>0</v>
      </c>
      <c r="P73" s="278"/>
      <c r="R73" s="243"/>
      <c r="S73" s="243"/>
      <c r="T73" s="243"/>
      <c r="U73" s="243"/>
    </row>
    <row r="74" spans="2:21">
      <c r="C74" s="349" t="s">
        <v>75</v>
      </c>
      <c r="D74" s="294"/>
      <c r="E74" s="294">
        <f>SUM(E17:E73)</f>
        <v>10218098.369999999</v>
      </c>
      <c r="F74" s="294"/>
      <c r="G74" s="294">
        <f>SUM(G17:G73)</f>
        <v>30011584.854264989</v>
      </c>
      <c r="H74" s="294">
        <f>SUM(H17:H73)</f>
        <v>30011584.854264989</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7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1249308.9096017922</v>
      </c>
      <c r="N88" s="544">
        <f>IF(J93&lt;D11,0,VLOOKUP(J93,C17:O73,11))</f>
        <v>1249308.9096017922</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1389012.6640162549</v>
      </c>
      <c r="N89" s="548">
        <f>IF(J93&lt;D11,0,VLOOKUP(J93,C100:P155,7))</f>
        <v>1389012.6640162549</v>
      </c>
      <c r="O89" s="549">
        <f>+N89-M89</f>
        <v>0</v>
      </c>
      <c r="P89" s="243"/>
      <c r="Q89" s="243"/>
      <c r="R89" s="243"/>
      <c r="S89" s="243"/>
      <c r="T89" s="243"/>
      <c r="U89" s="243"/>
    </row>
    <row r="90" spans="1:21" ht="13.5" thickBot="1">
      <c r="C90" s="454" t="s">
        <v>82</v>
      </c>
      <c r="D90" s="550" t="str">
        <f>+D7</f>
        <v xml:space="preserve">Cornville Station Conversion </v>
      </c>
      <c r="E90" s="243"/>
      <c r="F90" s="243"/>
      <c r="G90" s="243"/>
      <c r="H90" s="243"/>
      <c r="I90" s="325"/>
      <c r="J90" s="325"/>
      <c r="K90" s="551"/>
      <c r="L90" s="552" t="s">
        <v>135</v>
      </c>
      <c r="M90" s="553">
        <f>+M89-M88</f>
        <v>139703.75441446272</v>
      </c>
      <c r="N90" s="553">
        <f>+N89-N88</f>
        <v>139703.75441446272</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TP2011093</v>
      </c>
      <c r="E92" s="558"/>
      <c r="F92" s="558"/>
      <c r="G92" s="558"/>
      <c r="H92" s="558"/>
      <c r="I92" s="558"/>
      <c r="J92" s="558"/>
      <c r="K92" s="560"/>
      <c r="P92" s="468"/>
      <c r="Q92" s="243"/>
      <c r="R92" s="243"/>
      <c r="S92" s="243"/>
      <c r="T92" s="243"/>
      <c r="U92" s="243"/>
    </row>
    <row r="93" spans="1:21">
      <c r="C93" s="472" t="s">
        <v>49</v>
      </c>
      <c r="D93" s="470">
        <f>IF(D11=I10,0,D10)</f>
        <v>10218098.369999999</v>
      </c>
      <c r="E93" s="248" t="s">
        <v>84</v>
      </c>
      <c r="H93" s="408"/>
      <c r="I93" s="408"/>
      <c r="J93" s="471">
        <f>+'OKT.WS.G.BPU.ATRR.True-up'!M16</f>
        <v>2021</v>
      </c>
      <c r="K93" s="467"/>
      <c r="L93" s="294" t="s">
        <v>85</v>
      </c>
      <c r="P93" s="278"/>
      <c r="Q93" s="243"/>
      <c r="R93" s="243"/>
      <c r="S93" s="243"/>
      <c r="T93" s="243"/>
      <c r="U93" s="243"/>
    </row>
    <row r="94" spans="1:21">
      <c r="C94" s="472" t="s">
        <v>52</v>
      </c>
      <c r="D94" s="561">
        <f>IF(D11=I10,"",D11)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10</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408723.93479999999</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55" si="21">IF(D100=F99,"","IU")</f>
        <v>IU</v>
      </c>
      <c r="C100" s="495">
        <f>IF(D94= "","-",D94)</f>
        <v>2014</v>
      </c>
      <c r="D100" s="612">
        <v>0</v>
      </c>
      <c r="E100" s="613">
        <v>102248.51895114942</v>
      </c>
      <c r="F100" s="614">
        <v>10064175.65104885</v>
      </c>
      <c r="G100" s="615">
        <v>5032087.8255244251</v>
      </c>
      <c r="H100" s="615">
        <v>643416.4924496013</v>
      </c>
      <c r="I100" s="615">
        <v>643416.4924496013</v>
      </c>
      <c r="J100" s="616">
        <v>0</v>
      </c>
      <c r="K100" s="504"/>
      <c r="L100" s="506">
        <f t="shared" ref="L100:L106" si="22">H100</f>
        <v>643416.4924496013</v>
      </c>
      <c r="M100" s="504">
        <f t="shared" ref="M100:M106" si="23">IF(L100&lt;&gt;0,+H100-L100,0)</f>
        <v>0</v>
      </c>
      <c r="N100" s="506">
        <f t="shared" ref="N100:N106" si="24">I100</f>
        <v>643416.4924496013</v>
      </c>
      <c r="O100" s="504">
        <f>IF(N100&lt;&gt;0,+I100-N100,0)</f>
        <v>0</v>
      </c>
      <c r="P100" s="504">
        <f>+O100-M100</f>
        <v>0</v>
      </c>
      <c r="Q100" s="243"/>
      <c r="R100" s="243"/>
      <c r="S100" s="243"/>
      <c r="T100" s="243"/>
      <c r="U100" s="243"/>
    </row>
    <row r="101" spans="1:21">
      <c r="B101" s="145" t="str">
        <f t="shared" si="21"/>
        <v>IU</v>
      </c>
      <c r="C101" s="495">
        <f>IF(D94="","-",+C100+1)</f>
        <v>2015</v>
      </c>
      <c r="D101" s="617">
        <v>10115489.48104885</v>
      </c>
      <c r="E101" s="617">
        <v>212869.54166666666</v>
      </c>
      <c r="F101" s="617">
        <v>9902619.9393821843</v>
      </c>
      <c r="G101" s="617">
        <v>10009054.710215516</v>
      </c>
      <c r="H101" s="617">
        <v>1327171.8833094309</v>
      </c>
      <c r="I101" s="617">
        <v>1327171.8833094309</v>
      </c>
      <c r="J101" s="617">
        <v>0</v>
      </c>
      <c r="K101" s="504"/>
      <c r="L101" s="506">
        <f t="shared" si="22"/>
        <v>1327171.8833094309</v>
      </c>
      <c r="M101" s="504">
        <f t="shared" si="23"/>
        <v>0</v>
      </c>
      <c r="N101" s="506">
        <f t="shared" si="24"/>
        <v>1327171.8833094309</v>
      </c>
      <c r="O101" s="504">
        <f t="shared" ref="O101:O131" si="25">IF(N101&lt;&gt;0,+I101-N101,0)</f>
        <v>0</v>
      </c>
      <c r="P101" s="504">
        <f t="shared" ref="P101:P131" si="26">+O101-M101</f>
        <v>0</v>
      </c>
      <c r="Q101" s="243"/>
      <c r="R101" s="243"/>
      <c r="S101" s="243"/>
      <c r="T101" s="243"/>
      <c r="U101" s="243"/>
    </row>
    <row r="102" spans="1:21">
      <c r="B102" s="145" t="str">
        <f t="shared" si="21"/>
        <v>IU</v>
      </c>
      <c r="C102" s="495">
        <f>IF(D94="","-",+C101+1)</f>
        <v>2016</v>
      </c>
      <c r="D102" s="617">
        <v>9902979.9393821843</v>
      </c>
      <c r="E102" s="617">
        <v>200354.86274509804</v>
      </c>
      <c r="F102" s="617">
        <v>9702625.0766370855</v>
      </c>
      <c r="G102" s="617">
        <v>9802802.5080096349</v>
      </c>
      <c r="H102" s="617">
        <v>1262679.2712885526</v>
      </c>
      <c r="I102" s="617">
        <v>1262679.2712885526</v>
      </c>
      <c r="J102" s="504">
        <f t="shared" ref="J102:J155" si="27">+I102-H102</f>
        <v>0</v>
      </c>
      <c r="K102" s="504"/>
      <c r="L102" s="506">
        <f t="shared" si="22"/>
        <v>1262679.2712885526</v>
      </c>
      <c r="M102" s="504">
        <f t="shared" si="23"/>
        <v>0</v>
      </c>
      <c r="N102" s="506">
        <f t="shared" si="24"/>
        <v>1262679.2712885526</v>
      </c>
      <c r="O102" s="504">
        <f>IF(N102&lt;&gt;0,+I102-N102,0)</f>
        <v>0</v>
      </c>
      <c r="P102" s="504">
        <f>+O102-M102</f>
        <v>0</v>
      </c>
      <c r="Q102" s="243"/>
      <c r="R102" s="243"/>
      <c r="S102" s="243"/>
      <c r="T102" s="243"/>
      <c r="U102" s="243"/>
    </row>
    <row r="103" spans="1:21">
      <c r="B103" s="145" t="str">
        <f t="shared" si="21"/>
        <v/>
      </c>
      <c r="C103" s="495">
        <f>IF(D94="","-",+C102+1)</f>
        <v>2017</v>
      </c>
      <c r="D103" s="617">
        <v>9702625.0766370855</v>
      </c>
      <c r="E103" s="617">
        <v>255452.45</v>
      </c>
      <c r="F103" s="617">
        <v>9447172.6266370863</v>
      </c>
      <c r="G103" s="617">
        <v>9574898.8516370859</v>
      </c>
      <c r="H103" s="617">
        <v>1378931.4814948814</v>
      </c>
      <c r="I103" s="617">
        <v>1378931.4814948814</v>
      </c>
      <c r="J103" s="504">
        <f t="shared" si="27"/>
        <v>0</v>
      </c>
      <c r="K103" s="504"/>
      <c r="L103" s="506">
        <f t="shared" si="22"/>
        <v>1378931.4814948814</v>
      </c>
      <c r="M103" s="504">
        <f t="shared" si="23"/>
        <v>0</v>
      </c>
      <c r="N103" s="506">
        <f t="shared" si="24"/>
        <v>1378931.4814948814</v>
      </c>
      <c r="O103" s="504">
        <f>IF(N103&lt;&gt;0,+I103-N103,0)</f>
        <v>0</v>
      </c>
      <c r="P103" s="504">
        <f>+O103-M103</f>
        <v>0</v>
      </c>
      <c r="Q103" s="243"/>
      <c r="R103" s="243"/>
      <c r="S103" s="243"/>
      <c r="T103" s="243"/>
      <c r="U103" s="243"/>
    </row>
    <row r="104" spans="1:21">
      <c r="B104" s="145" t="str">
        <f t="shared" si="21"/>
        <v/>
      </c>
      <c r="C104" s="495">
        <f>IF(D94="","-",+C103+1)</f>
        <v>2018</v>
      </c>
      <c r="D104" s="617">
        <v>9447172.6266370863</v>
      </c>
      <c r="E104" s="617">
        <v>283836.05555555556</v>
      </c>
      <c r="F104" s="617">
        <v>9163336.5710815303</v>
      </c>
      <c r="G104" s="617">
        <v>9305254.5988593083</v>
      </c>
      <c r="H104" s="617">
        <v>1266121.5205016474</v>
      </c>
      <c r="I104" s="617">
        <v>1266121.5205016474</v>
      </c>
      <c r="J104" s="504">
        <f t="shared" si="27"/>
        <v>0</v>
      </c>
      <c r="K104" s="504"/>
      <c r="L104" s="506">
        <f t="shared" si="22"/>
        <v>1266121.5205016474</v>
      </c>
      <c r="M104" s="504">
        <f t="shared" si="23"/>
        <v>0</v>
      </c>
      <c r="N104" s="506">
        <f t="shared" si="24"/>
        <v>1266121.5205016474</v>
      </c>
      <c r="O104" s="504">
        <f>IF(N104&lt;&gt;0,+I104-N104,0)</f>
        <v>0</v>
      </c>
      <c r="P104" s="504">
        <f>+O104-M104</f>
        <v>0</v>
      </c>
      <c r="Q104" s="243"/>
      <c r="R104" s="243"/>
      <c r="S104" s="243"/>
      <c r="T104" s="243"/>
      <c r="U104" s="243"/>
    </row>
    <row r="105" spans="1:21">
      <c r="B105" s="145" t="str">
        <f t="shared" si="21"/>
        <v/>
      </c>
      <c r="C105" s="495">
        <f>IF(D94="","-",+C104+1)</f>
        <v>2019</v>
      </c>
      <c r="D105" s="617">
        <v>9163336.5710815303</v>
      </c>
      <c r="E105" s="617">
        <v>283836.05555555556</v>
      </c>
      <c r="F105" s="617">
        <v>8879500.5155259743</v>
      </c>
      <c r="G105" s="617">
        <v>9021418.5433037523</v>
      </c>
      <c r="H105" s="617">
        <v>1236159.0913345795</v>
      </c>
      <c r="I105" s="617">
        <v>1236159.0913345795</v>
      </c>
      <c r="J105" s="504">
        <f t="shared" si="27"/>
        <v>0</v>
      </c>
      <c r="K105" s="504"/>
      <c r="L105" s="506">
        <f t="shared" si="22"/>
        <v>1236159.0913345795</v>
      </c>
      <c r="M105" s="504">
        <f t="shared" si="23"/>
        <v>0</v>
      </c>
      <c r="N105" s="506">
        <f t="shared" si="24"/>
        <v>1236159.0913345795</v>
      </c>
      <c r="O105" s="504">
        <f t="shared" si="25"/>
        <v>0</v>
      </c>
      <c r="P105" s="504">
        <f t="shared" si="26"/>
        <v>0</v>
      </c>
      <c r="Q105" s="243"/>
      <c r="R105" s="243"/>
      <c r="S105" s="243"/>
      <c r="T105" s="243"/>
      <c r="U105" s="243"/>
    </row>
    <row r="106" spans="1:21">
      <c r="B106" s="145" t="str">
        <f t="shared" si="21"/>
        <v/>
      </c>
      <c r="C106" s="495">
        <f>IF(D94="","-",+C105+1)</f>
        <v>2020</v>
      </c>
      <c r="D106" s="617">
        <v>8879500.5155259743</v>
      </c>
      <c r="E106" s="617">
        <v>364932.07142857142</v>
      </c>
      <c r="F106" s="617">
        <v>8514568.4440974034</v>
      </c>
      <c r="G106" s="617">
        <v>8697034.4798116889</v>
      </c>
      <c r="H106" s="617">
        <v>1290413.9410906809</v>
      </c>
      <c r="I106" s="617">
        <v>1290413.9410906809</v>
      </c>
      <c r="J106" s="504">
        <f t="shared" si="27"/>
        <v>0</v>
      </c>
      <c r="K106" s="504"/>
      <c r="L106" s="506">
        <f t="shared" si="22"/>
        <v>1290413.9410906809</v>
      </c>
      <c r="M106" s="504">
        <f t="shared" si="23"/>
        <v>0</v>
      </c>
      <c r="N106" s="506">
        <f t="shared" si="24"/>
        <v>1290413.9410906809</v>
      </c>
      <c r="O106" s="504">
        <f t="shared" si="25"/>
        <v>0</v>
      </c>
      <c r="P106" s="504">
        <f t="shared" si="26"/>
        <v>0</v>
      </c>
      <c r="Q106" s="243"/>
      <c r="R106" s="243"/>
      <c r="S106" s="243"/>
      <c r="T106" s="243"/>
      <c r="U106" s="243"/>
    </row>
    <row r="107" spans="1:21">
      <c r="B107" s="145" t="str">
        <f t="shared" si="21"/>
        <v>IU</v>
      </c>
      <c r="C107" s="495">
        <f>IF(D94="","-",+C106+1)</f>
        <v>2021</v>
      </c>
      <c r="D107" s="349">
        <f>IF(F106+SUM(E$100:E106)=D$93,F106,D$93-SUM(E$100:E106))</f>
        <v>8514568.8140974026</v>
      </c>
      <c r="E107" s="509">
        <f t="shared" ref="E107:E155" si="28">IF(+$J$97&lt;F106,$J$97,D107)</f>
        <v>408723.93479999999</v>
      </c>
      <c r="F107" s="510">
        <f t="shared" ref="F107:F155" si="29">+D107-E107</f>
        <v>8105844.8792974027</v>
      </c>
      <c r="G107" s="510">
        <f t="shared" ref="G107:G155" si="30">+(F107+D107)/2</f>
        <v>8310206.8466974031</v>
      </c>
      <c r="H107" s="523">
        <f t="shared" ref="H107:H155" si="31">+J$95*G107+E107</f>
        <v>1389012.6640162549</v>
      </c>
      <c r="I107" s="572">
        <f t="shared" ref="I107:I155" si="32">+J$96*G107+E107</f>
        <v>1389012.6640162549</v>
      </c>
      <c r="J107" s="504">
        <f t="shared" si="27"/>
        <v>0</v>
      </c>
      <c r="K107" s="504"/>
      <c r="L107" s="512"/>
      <c r="M107" s="504">
        <f t="shared" ref="M107:M131" si="33">IF(L107&lt;&gt;0,+H107-L107,0)</f>
        <v>0</v>
      </c>
      <c r="N107" s="512"/>
      <c r="O107" s="504">
        <f t="shared" si="25"/>
        <v>0</v>
      </c>
      <c r="P107" s="504">
        <f t="shared" si="26"/>
        <v>0</v>
      </c>
      <c r="Q107" s="243"/>
      <c r="R107" s="243"/>
      <c r="S107" s="243"/>
      <c r="T107" s="243"/>
      <c r="U107" s="243"/>
    </row>
    <row r="108" spans="1:21">
      <c r="B108" s="145" t="str">
        <f t="shared" si="21"/>
        <v/>
      </c>
      <c r="C108" s="495">
        <f>IF(D94="","-",+C107+1)</f>
        <v>2022</v>
      </c>
      <c r="D108" s="349">
        <f>IF(F107+SUM(E$100:E107)=D$93,F107,D$93-SUM(E$100:E107))</f>
        <v>8105844.8792974027</v>
      </c>
      <c r="E108" s="509">
        <f t="shared" si="28"/>
        <v>408723.93479999999</v>
      </c>
      <c r="F108" s="510">
        <f t="shared" si="29"/>
        <v>7697120.9444974028</v>
      </c>
      <c r="G108" s="510">
        <f t="shared" si="30"/>
        <v>7901482.9118974023</v>
      </c>
      <c r="H108" s="523">
        <f t="shared" si="31"/>
        <v>1340798.7658502194</v>
      </c>
      <c r="I108" s="572">
        <f t="shared" si="32"/>
        <v>1340798.7658502194</v>
      </c>
      <c r="J108" s="504">
        <f t="shared" si="27"/>
        <v>0</v>
      </c>
      <c r="K108" s="504"/>
      <c r="L108" s="512"/>
      <c r="M108" s="504">
        <f t="shared" si="33"/>
        <v>0</v>
      </c>
      <c r="N108" s="512"/>
      <c r="O108" s="504">
        <f t="shared" si="25"/>
        <v>0</v>
      </c>
      <c r="P108" s="504">
        <f t="shared" si="26"/>
        <v>0</v>
      </c>
      <c r="Q108" s="243"/>
      <c r="R108" s="243"/>
      <c r="S108" s="243"/>
      <c r="T108" s="243"/>
      <c r="U108" s="243"/>
    </row>
    <row r="109" spans="1:21">
      <c r="B109" s="145" t="str">
        <f t="shared" si="21"/>
        <v/>
      </c>
      <c r="C109" s="495">
        <f>IF(D94="","-",+C108+1)</f>
        <v>2023</v>
      </c>
      <c r="D109" s="349">
        <f>IF(F108+SUM(E$100:E108)=D$93,F108,D$93-SUM(E$100:E108))</f>
        <v>7697120.9444974028</v>
      </c>
      <c r="E109" s="509">
        <f t="shared" si="28"/>
        <v>408723.93479999999</v>
      </c>
      <c r="F109" s="510">
        <f t="shared" si="29"/>
        <v>7288397.0096974028</v>
      </c>
      <c r="G109" s="510">
        <f t="shared" si="30"/>
        <v>7492758.9770974033</v>
      </c>
      <c r="H109" s="523">
        <f t="shared" si="31"/>
        <v>1292584.8676841839</v>
      </c>
      <c r="I109" s="572">
        <f t="shared" si="32"/>
        <v>1292584.8676841839</v>
      </c>
      <c r="J109" s="504">
        <f t="shared" si="27"/>
        <v>0</v>
      </c>
      <c r="K109" s="504"/>
      <c r="L109" s="512"/>
      <c r="M109" s="504">
        <f t="shared" si="33"/>
        <v>0</v>
      </c>
      <c r="N109" s="512"/>
      <c r="O109" s="504">
        <f t="shared" si="25"/>
        <v>0</v>
      </c>
      <c r="P109" s="504">
        <f t="shared" si="26"/>
        <v>0</v>
      </c>
      <c r="Q109" s="243"/>
      <c r="R109" s="243"/>
      <c r="S109" s="243"/>
      <c r="T109" s="243"/>
      <c r="U109" s="243"/>
    </row>
    <row r="110" spans="1:21">
      <c r="B110" s="145" t="str">
        <f t="shared" si="21"/>
        <v/>
      </c>
      <c r="C110" s="495">
        <f>IF(D94="","-",+C109+1)</f>
        <v>2024</v>
      </c>
      <c r="D110" s="349">
        <f>IF(F109+SUM(E$100:E109)=D$93,F109,D$93-SUM(E$100:E109))</f>
        <v>7288397.0096974028</v>
      </c>
      <c r="E110" s="509">
        <f t="shared" si="28"/>
        <v>408723.93479999999</v>
      </c>
      <c r="F110" s="510">
        <f t="shared" si="29"/>
        <v>6879673.0748974029</v>
      </c>
      <c r="G110" s="510">
        <f t="shared" si="30"/>
        <v>7084035.0422974024</v>
      </c>
      <c r="H110" s="523">
        <f t="shared" si="31"/>
        <v>1244370.9695181483</v>
      </c>
      <c r="I110" s="572">
        <f t="shared" si="32"/>
        <v>1244370.9695181483</v>
      </c>
      <c r="J110" s="504">
        <f t="shared" si="27"/>
        <v>0</v>
      </c>
      <c r="K110" s="504"/>
      <c r="L110" s="512"/>
      <c r="M110" s="504">
        <f t="shared" si="33"/>
        <v>0</v>
      </c>
      <c r="N110" s="512"/>
      <c r="O110" s="504">
        <f t="shared" si="25"/>
        <v>0</v>
      </c>
      <c r="P110" s="504">
        <f t="shared" si="26"/>
        <v>0</v>
      </c>
      <c r="Q110" s="243"/>
      <c r="R110" s="243"/>
      <c r="S110" s="243"/>
      <c r="T110" s="243"/>
      <c r="U110" s="243"/>
    </row>
    <row r="111" spans="1:21">
      <c r="B111" s="145" t="str">
        <f t="shared" si="21"/>
        <v/>
      </c>
      <c r="C111" s="495">
        <f>IF(D94="","-",+C110+1)</f>
        <v>2025</v>
      </c>
      <c r="D111" s="349">
        <f>IF(F110+SUM(E$100:E110)=D$93,F110,D$93-SUM(E$100:E110))</f>
        <v>6879673.0748974029</v>
      </c>
      <c r="E111" s="509">
        <f t="shared" si="28"/>
        <v>408723.93479999999</v>
      </c>
      <c r="F111" s="510">
        <f t="shared" si="29"/>
        <v>6470949.140097403</v>
      </c>
      <c r="G111" s="510">
        <f t="shared" si="30"/>
        <v>6675311.1074974034</v>
      </c>
      <c r="H111" s="523">
        <f t="shared" si="31"/>
        <v>1196157.071352113</v>
      </c>
      <c r="I111" s="572">
        <f t="shared" si="32"/>
        <v>1196157.071352113</v>
      </c>
      <c r="J111" s="504">
        <f t="shared" si="27"/>
        <v>0</v>
      </c>
      <c r="K111" s="504"/>
      <c r="L111" s="512"/>
      <c r="M111" s="504">
        <f t="shared" si="33"/>
        <v>0</v>
      </c>
      <c r="N111" s="512"/>
      <c r="O111" s="504">
        <f t="shared" si="25"/>
        <v>0</v>
      </c>
      <c r="P111" s="504">
        <f t="shared" si="26"/>
        <v>0</v>
      </c>
      <c r="Q111" s="243"/>
      <c r="R111" s="243"/>
      <c r="S111" s="243"/>
      <c r="T111" s="243"/>
      <c r="U111" s="243"/>
    </row>
    <row r="112" spans="1:21">
      <c r="B112" s="145" t="str">
        <f t="shared" si="21"/>
        <v/>
      </c>
      <c r="C112" s="495">
        <f>IF(D94="","-",+C111+1)</f>
        <v>2026</v>
      </c>
      <c r="D112" s="349">
        <f>IF(F111+SUM(E$100:E111)=D$93,F111,D$93-SUM(E$100:E111))</f>
        <v>6470949.140097403</v>
      </c>
      <c r="E112" s="509">
        <f t="shared" si="28"/>
        <v>408723.93479999999</v>
      </c>
      <c r="F112" s="510">
        <f t="shared" si="29"/>
        <v>6062225.205297403</v>
      </c>
      <c r="G112" s="510">
        <f t="shared" si="30"/>
        <v>6266587.1726974025</v>
      </c>
      <c r="H112" s="523">
        <f t="shared" si="31"/>
        <v>1147943.1731860775</v>
      </c>
      <c r="I112" s="572">
        <f t="shared" si="32"/>
        <v>1147943.1731860775</v>
      </c>
      <c r="J112" s="504">
        <f t="shared" si="27"/>
        <v>0</v>
      </c>
      <c r="K112" s="504"/>
      <c r="L112" s="512"/>
      <c r="M112" s="504">
        <f t="shared" si="33"/>
        <v>0</v>
      </c>
      <c r="N112" s="512"/>
      <c r="O112" s="504">
        <f t="shared" si="25"/>
        <v>0</v>
      </c>
      <c r="P112" s="504">
        <f t="shared" si="26"/>
        <v>0</v>
      </c>
      <c r="Q112" s="243"/>
      <c r="R112" s="243"/>
      <c r="S112" s="243"/>
      <c r="T112" s="243"/>
      <c r="U112" s="243"/>
    </row>
    <row r="113" spans="2:21">
      <c r="B113" s="145" t="str">
        <f t="shared" si="21"/>
        <v/>
      </c>
      <c r="C113" s="495">
        <f>IF(D94="","-",+C112+1)</f>
        <v>2027</v>
      </c>
      <c r="D113" s="349">
        <f>IF(F112+SUM(E$100:E112)=D$93,F112,D$93-SUM(E$100:E112))</f>
        <v>6062225.205297403</v>
      </c>
      <c r="E113" s="509">
        <f t="shared" si="28"/>
        <v>408723.93479999999</v>
      </c>
      <c r="F113" s="510">
        <f t="shared" si="29"/>
        <v>5653501.2704974031</v>
      </c>
      <c r="G113" s="510">
        <f t="shared" si="30"/>
        <v>5857863.2378974035</v>
      </c>
      <c r="H113" s="523">
        <f t="shared" si="31"/>
        <v>1099729.2750200422</v>
      </c>
      <c r="I113" s="572">
        <f t="shared" si="32"/>
        <v>1099729.2750200422</v>
      </c>
      <c r="J113" s="504">
        <f t="shared" si="27"/>
        <v>0</v>
      </c>
      <c r="K113" s="504"/>
      <c r="L113" s="512"/>
      <c r="M113" s="504">
        <f t="shared" si="33"/>
        <v>0</v>
      </c>
      <c r="N113" s="512"/>
      <c r="O113" s="504">
        <f t="shared" si="25"/>
        <v>0</v>
      </c>
      <c r="P113" s="504">
        <f t="shared" si="26"/>
        <v>0</v>
      </c>
      <c r="Q113" s="243"/>
      <c r="R113" s="243"/>
      <c r="S113" s="243"/>
      <c r="T113" s="243"/>
      <c r="U113" s="243"/>
    </row>
    <row r="114" spans="2:21">
      <c r="B114" s="145" t="str">
        <f t="shared" si="21"/>
        <v/>
      </c>
      <c r="C114" s="495">
        <f>IF(D94="","-",+C113+1)</f>
        <v>2028</v>
      </c>
      <c r="D114" s="349">
        <f>IF(F113+SUM(E$100:E113)=D$93,F113,D$93-SUM(E$100:E113))</f>
        <v>5653501.2704974031</v>
      </c>
      <c r="E114" s="509">
        <f t="shared" si="28"/>
        <v>408723.93479999999</v>
      </c>
      <c r="F114" s="510">
        <f t="shared" si="29"/>
        <v>5244777.3356974032</v>
      </c>
      <c r="G114" s="510">
        <f t="shared" si="30"/>
        <v>5449139.3030974027</v>
      </c>
      <c r="H114" s="523">
        <f t="shared" si="31"/>
        <v>1051515.3768540064</v>
      </c>
      <c r="I114" s="572">
        <f t="shared" si="32"/>
        <v>1051515.3768540064</v>
      </c>
      <c r="J114" s="504">
        <f t="shared" si="27"/>
        <v>0</v>
      </c>
      <c r="K114" s="504"/>
      <c r="L114" s="512"/>
      <c r="M114" s="504">
        <f t="shared" si="33"/>
        <v>0</v>
      </c>
      <c r="N114" s="512"/>
      <c r="O114" s="504">
        <f t="shared" si="25"/>
        <v>0</v>
      </c>
      <c r="P114" s="504">
        <f t="shared" si="26"/>
        <v>0</v>
      </c>
      <c r="Q114" s="243"/>
      <c r="R114" s="243"/>
      <c r="S114" s="243"/>
      <c r="T114" s="243"/>
      <c r="U114" s="243"/>
    </row>
    <row r="115" spans="2:21">
      <c r="B115" s="145" t="str">
        <f t="shared" si="21"/>
        <v/>
      </c>
      <c r="C115" s="495">
        <f>IF(D94="","-",+C114+1)</f>
        <v>2029</v>
      </c>
      <c r="D115" s="349">
        <f>IF(F114+SUM(E$100:E114)=D$93,F114,D$93-SUM(E$100:E114))</f>
        <v>5244777.3356974032</v>
      </c>
      <c r="E115" s="509">
        <f t="shared" si="28"/>
        <v>408723.93479999999</v>
      </c>
      <c r="F115" s="510">
        <f t="shared" si="29"/>
        <v>4836053.4008974032</v>
      </c>
      <c r="G115" s="510">
        <f t="shared" si="30"/>
        <v>5040415.3682974037</v>
      </c>
      <c r="H115" s="523">
        <f t="shared" si="31"/>
        <v>1003301.4786879711</v>
      </c>
      <c r="I115" s="572">
        <f t="shared" si="32"/>
        <v>1003301.4786879711</v>
      </c>
      <c r="J115" s="504">
        <f t="shared" si="27"/>
        <v>0</v>
      </c>
      <c r="K115" s="504"/>
      <c r="L115" s="512"/>
      <c r="M115" s="504">
        <f t="shared" si="33"/>
        <v>0</v>
      </c>
      <c r="N115" s="512"/>
      <c r="O115" s="504">
        <f t="shared" si="25"/>
        <v>0</v>
      </c>
      <c r="P115" s="504">
        <f t="shared" si="26"/>
        <v>0</v>
      </c>
      <c r="Q115" s="243"/>
      <c r="R115" s="243"/>
      <c r="S115" s="243"/>
      <c r="T115" s="243"/>
      <c r="U115" s="243"/>
    </row>
    <row r="116" spans="2:21">
      <c r="B116" s="145" t="str">
        <f t="shared" si="21"/>
        <v/>
      </c>
      <c r="C116" s="495">
        <f>IF(D94="","-",+C115+1)</f>
        <v>2030</v>
      </c>
      <c r="D116" s="349">
        <f>IF(F115+SUM(E$100:E115)=D$93,F115,D$93-SUM(E$100:E115))</f>
        <v>4836053.4008974032</v>
      </c>
      <c r="E116" s="509">
        <f t="shared" si="28"/>
        <v>408723.93479999999</v>
      </c>
      <c r="F116" s="510">
        <f t="shared" si="29"/>
        <v>4427329.4660974033</v>
      </c>
      <c r="G116" s="510">
        <f t="shared" si="30"/>
        <v>4631691.4334974028</v>
      </c>
      <c r="H116" s="523">
        <f t="shared" si="31"/>
        <v>955087.5805219356</v>
      </c>
      <c r="I116" s="572">
        <f t="shared" si="32"/>
        <v>955087.5805219356</v>
      </c>
      <c r="J116" s="504">
        <f t="shared" si="27"/>
        <v>0</v>
      </c>
      <c r="K116" s="504"/>
      <c r="L116" s="512"/>
      <c r="M116" s="504">
        <f t="shared" si="33"/>
        <v>0</v>
      </c>
      <c r="N116" s="512"/>
      <c r="O116" s="504">
        <f t="shared" si="25"/>
        <v>0</v>
      </c>
      <c r="P116" s="504">
        <f t="shared" si="26"/>
        <v>0</v>
      </c>
      <c r="Q116" s="243"/>
      <c r="R116" s="243"/>
      <c r="S116" s="243"/>
      <c r="T116" s="243"/>
      <c r="U116" s="243"/>
    </row>
    <row r="117" spans="2:21">
      <c r="B117" s="145" t="str">
        <f t="shared" si="21"/>
        <v/>
      </c>
      <c r="C117" s="495">
        <f>IF(D94="","-",+C116+1)</f>
        <v>2031</v>
      </c>
      <c r="D117" s="349">
        <f>IF(F116+SUM(E$100:E116)=D$93,F116,D$93-SUM(E$100:E116))</f>
        <v>4427329.4660974033</v>
      </c>
      <c r="E117" s="509">
        <f t="shared" si="28"/>
        <v>408723.93479999999</v>
      </c>
      <c r="F117" s="510">
        <f t="shared" si="29"/>
        <v>4018605.5312974034</v>
      </c>
      <c r="G117" s="510">
        <f t="shared" si="30"/>
        <v>4222967.4986974038</v>
      </c>
      <c r="H117" s="523">
        <f t="shared" si="31"/>
        <v>906873.68235590018</v>
      </c>
      <c r="I117" s="572">
        <f t="shared" si="32"/>
        <v>906873.68235590018</v>
      </c>
      <c r="J117" s="504">
        <f t="shared" si="27"/>
        <v>0</v>
      </c>
      <c r="K117" s="504"/>
      <c r="L117" s="512"/>
      <c r="M117" s="504">
        <f t="shared" si="33"/>
        <v>0</v>
      </c>
      <c r="N117" s="512"/>
      <c r="O117" s="504">
        <f t="shared" si="25"/>
        <v>0</v>
      </c>
      <c r="P117" s="504">
        <f t="shared" si="26"/>
        <v>0</v>
      </c>
      <c r="Q117" s="243"/>
      <c r="R117" s="243"/>
      <c r="S117" s="243"/>
      <c r="T117" s="243"/>
      <c r="U117" s="243"/>
    </row>
    <row r="118" spans="2:21">
      <c r="B118" s="145" t="str">
        <f t="shared" si="21"/>
        <v/>
      </c>
      <c r="C118" s="495">
        <f>IF(D94="","-",+C117+1)</f>
        <v>2032</v>
      </c>
      <c r="D118" s="349">
        <f>IF(F117+SUM(E$100:E117)=D$93,F117,D$93-SUM(E$100:E117))</f>
        <v>4018605.5312974034</v>
      </c>
      <c r="E118" s="509">
        <f t="shared" si="28"/>
        <v>408723.93479999999</v>
      </c>
      <c r="F118" s="510">
        <f t="shared" si="29"/>
        <v>3609881.5964974035</v>
      </c>
      <c r="G118" s="510">
        <f t="shared" si="30"/>
        <v>3814243.5638974034</v>
      </c>
      <c r="H118" s="523">
        <f t="shared" si="31"/>
        <v>858659.78418986464</v>
      </c>
      <c r="I118" s="572">
        <f t="shared" si="32"/>
        <v>858659.78418986464</v>
      </c>
      <c r="J118" s="504">
        <f t="shared" si="27"/>
        <v>0</v>
      </c>
      <c r="K118" s="504"/>
      <c r="L118" s="512"/>
      <c r="M118" s="504">
        <f t="shared" si="33"/>
        <v>0</v>
      </c>
      <c r="N118" s="512"/>
      <c r="O118" s="504">
        <f t="shared" si="25"/>
        <v>0</v>
      </c>
      <c r="P118" s="504">
        <f t="shared" si="26"/>
        <v>0</v>
      </c>
      <c r="Q118" s="243"/>
      <c r="R118" s="243"/>
      <c r="S118" s="243"/>
      <c r="T118" s="243"/>
      <c r="U118" s="243"/>
    </row>
    <row r="119" spans="2:21">
      <c r="B119" s="145" t="str">
        <f t="shared" si="21"/>
        <v/>
      </c>
      <c r="C119" s="495">
        <f>IF(D94="","-",+C118+1)</f>
        <v>2033</v>
      </c>
      <c r="D119" s="349">
        <f>IF(F118+SUM(E$100:E118)=D$93,F118,D$93-SUM(E$100:E118))</f>
        <v>3609881.5964974035</v>
      </c>
      <c r="E119" s="509">
        <f t="shared" si="28"/>
        <v>408723.93479999999</v>
      </c>
      <c r="F119" s="510">
        <f t="shared" si="29"/>
        <v>3201157.6616974035</v>
      </c>
      <c r="G119" s="510">
        <f t="shared" si="30"/>
        <v>3405519.6290974035</v>
      </c>
      <c r="H119" s="523">
        <f t="shared" si="31"/>
        <v>810445.88602382923</v>
      </c>
      <c r="I119" s="572">
        <f t="shared" si="32"/>
        <v>810445.88602382923</v>
      </c>
      <c r="J119" s="504">
        <f t="shared" si="27"/>
        <v>0</v>
      </c>
      <c r="K119" s="504"/>
      <c r="L119" s="512"/>
      <c r="M119" s="504">
        <f t="shared" si="33"/>
        <v>0</v>
      </c>
      <c r="N119" s="512"/>
      <c r="O119" s="504">
        <f t="shared" si="25"/>
        <v>0</v>
      </c>
      <c r="P119" s="504">
        <f t="shared" si="26"/>
        <v>0</v>
      </c>
      <c r="Q119" s="243"/>
      <c r="R119" s="243"/>
      <c r="S119" s="243"/>
      <c r="T119" s="243"/>
      <c r="U119" s="243"/>
    </row>
    <row r="120" spans="2:21">
      <c r="B120" s="145" t="str">
        <f t="shared" si="21"/>
        <v/>
      </c>
      <c r="C120" s="495">
        <f>IF(D94="","-",+C119+1)</f>
        <v>2034</v>
      </c>
      <c r="D120" s="349">
        <f>IF(F119+SUM(E$100:E119)=D$93,F119,D$93-SUM(E$100:E119))</f>
        <v>3201157.6616974035</v>
      </c>
      <c r="E120" s="509">
        <f t="shared" si="28"/>
        <v>408723.93479999999</v>
      </c>
      <c r="F120" s="510">
        <f t="shared" si="29"/>
        <v>2792433.7268974036</v>
      </c>
      <c r="G120" s="510">
        <f t="shared" si="30"/>
        <v>2996795.6942974036</v>
      </c>
      <c r="H120" s="523">
        <f t="shared" si="31"/>
        <v>762231.98785779369</v>
      </c>
      <c r="I120" s="572">
        <f t="shared" si="32"/>
        <v>762231.98785779369</v>
      </c>
      <c r="J120" s="504">
        <f t="shared" si="27"/>
        <v>0</v>
      </c>
      <c r="K120" s="504"/>
      <c r="L120" s="512"/>
      <c r="M120" s="504">
        <f t="shared" si="33"/>
        <v>0</v>
      </c>
      <c r="N120" s="512"/>
      <c r="O120" s="504">
        <f t="shared" si="25"/>
        <v>0</v>
      </c>
      <c r="P120" s="504">
        <f t="shared" si="26"/>
        <v>0</v>
      </c>
      <c r="Q120" s="243"/>
      <c r="R120" s="243"/>
      <c r="S120" s="243"/>
      <c r="T120" s="243"/>
      <c r="U120" s="243"/>
    </row>
    <row r="121" spans="2:21">
      <c r="B121" s="145" t="str">
        <f t="shared" si="21"/>
        <v/>
      </c>
      <c r="C121" s="495">
        <f>IF(D94="","-",+C120+1)</f>
        <v>2035</v>
      </c>
      <c r="D121" s="349">
        <f>IF(F120+SUM(E$100:E120)=D$93,F120,D$93-SUM(E$100:E120))</f>
        <v>2792433.7268974036</v>
      </c>
      <c r="E121" s="509">
        <f t="shared" si="28"/>
        <v>408723.93479999999</v>
      </c>
      <c r="F121" s="510">
        <f t="shared" si="29"/>
        <v>2383709.7920974037</v>
      </c>
      <c r="G121" s="510">
        <f t="shared" si="30"/>
        <v>2588071.7594974036</v>
      </c>
      <c r="H121" s="523">
        <f t="shared" si="31"/>
        <v>714018.08969175816</v>
      </c>
      <c r="I121" s="572">
        <f t="shared" si="32"/>
        <v>714018.08969175816</v>
      </c>
      <c r="J121" s="504">
        <f t="shared" si="27"/>
        <v>0</v>
      </c>
      <c r="K121" s="504"/>
      <c r="L121" s="512"/>
      <c r="M121" s="504">
        <f t="shared" si="33"/>
        <v>0</v>
      </c>
      <c r="N121" s="512"/>
      <c r="O121" s="504">
        <f t="shared" si="25"/>
        <v>0</v>
      </c>
      <c r="P121" s="504">
        <f t="shared" si="26"/>
        <v>0</v>
      </c>
      <c r="Q121" s="243"/>
      <c r="R121" s="243"/>
      <c r="S121" s="243"/>
      <c r="T121" s="243"/>
      <c r="U121" s="243"/>
    </row>
    <row r="122" spans="2:21">
      <c r="B122" s="145" t="str">
        <f t="shared" si="21"/>
        <v/>
      </c>
      <c r="C122" s="495">
        <f>IF(D94="","-",+C121+1)</f>
        <v>2036</v>
      </c>
      <c r="D122" s="349">
        <f>IF(F121+SUM(E$100:E121)=D$93,F121,D$93-SUM(E$100:E121))</f>
        <v>2383709.7920974037</v>
      </c>
      <c r="E122" s="509">
        <f t="shared" si="28"/>
        <v>408723.93479999999</v>
      </c>
      <c r="F122" s="510">
        <f t="shared" si="29"/>
        <v>1974985.8572974037</v>
      </c>
      <c r="G122" s="510">
        <f t="shared" si="30"/>
        <v>2179347.8246974037</v>
      </c>
      <c r="H122" s="523">
        <f t="shared" si="31"/>
        <v>665804.19152572274</v>
      </c>
      <c r="I122" s="572">
        <f t="shared" si="32"/>
        <v>665804.19152572274</v>
      </c>
      <c r="J122" s="504">
        <f t="shared" si="27"/>
        <v>0</v>
      </c>
      <c r="K122" s="504"/>
      <c r="L122" s="512"/>
      <c r="M122" s="504">
        <f t="shared" si="33"/>
        <v>0</v>
      </c>
      <c r="N122" s="512"/>
      <c r="O122" s="504">
        <f t="shared" si="25"/>
        <v>0</v>
      </c>
      <c r="P122" s="504">
        <f t="shared" si="26"/>
        <v>0</v>
      </c>
      <c r="Q122" s="243"/>
      <c r="R122" s="243"/>
      <c r="S122" s="243"/>
      <c r="T122" s="243"/>
      <c r="U122" s="243"/>
    </row>
    <row r="123" spans="2:21">
      <c r="B123" s="145" t="str">
        <f t="shared" si="21"/>
        <v/>
      </c>
      <c r="C123" s="495">
        <f>IF(D94="","-",+C122+1)</f>
        <v>2037</v>
      </c>
      <c r="D123" s="349">
        <f>IF(F122+SUM(E$100:E122)=D$93,F122,D$93-SUM(E$100:E122))</f>
        <v>1974985.8572974037</v>
      </c>
      <c r="E123" s="509">
        <f t="shared" si="28"/>
        <v>408723.93479999999</v>
      </c>
      <c r="F123" s="510">
        <f t="shared" si="29"/>
        <v>1566261.9224974038</v>
      </c>
      <c r="G123" s="510">
        <f t="shared" si="30"/>
        <v>1770623.8898974038</v>
      </c>
      <c r="H123" s="523">
        <f t="shared" si="31"/>
        <v>617590.29335968732</v>
      </c>
      <c r="I123" s="572">
        <f t="shared" si="32"/>
        <v>617590.29335968732</v>
      </c>
      <c r="J123" s="504">
        <f t="shared" si="27"/>
        <v>0</v>
      </c>
      <c r="K123" s="504"/>
      <c r="L123" s="512"/>
      <c r="M123" s="504">
        <f t="shared" si="33"/>
        <v>0</v>
      </c>
      <c r="N123" s="512"/>
      <c r="O123" s="504">
        <f t="shared" si="25"/>
        <v>0</v>
      </c>
      <c r="P123" s="504">
        <f t="shared" si="26"/>
        <v>0</v>
      </c>
      <c r="Q123" s="243"/>
      <c r="R123" s="243"/>
      <c r="S123" s="243"/>
      <c r="T123" s="243"/>
      <c r="U123" s="243"/>
    </row>
    <row r="124" spans="2:21">
      <c r="B124" s="145" t="str">
        <f t="shared" si="21"/>
        <v/>
      </c>
      <c r="C124" s="495">
        <f>IF(D94="","-",+C123+1)</f>
        <v>2038</v>
      </c>
      <c r="D124" s="349">
        <f>IF(F123+SUM(E$100:E123)=D$93,F123,D$93-SUM(E$100:E123))</f>
        <v>1566261.9224974038</v>
      </c>
      <c r="E124" s="509">
        <f t="shared" si="28"/>
        <v>408723.93479999999</v>
      </c>
      <c r="F124" s="510">
        <f t="shared" si="29"/>
        <v>1157537.9876974039</v>
      </c>
      <c r="G124" s="510">
        <f t="shared" si="30"/>
        <v>1361899.9550974038</v>
      </c>
      <c r="H124" s="523">
        <f t="shared" si="31"/>
        <v>569376.39519365178</v>
      </c>
      <c r="I124" s="572">
        <f t="shared" si="32"/>
        <v>569376.39519365178</v>
      </c>
      <c r="J124" s="504">
        <f t="shared" si="27"/>
        <v>0</v>
      </c>
      <c r="K124" s="504"/>
      <c r="L124" s="512"/>
      <c r="M124" s="504">
        <f t="shared" si="33"/>
        <v>0</v>
      </c>
      <c r="N124" s="512"/>
      <c r="O124" s="504">
        <f t="shared" si="25"/>
        <v>0</v>
      </c>
      <c r="P124" s="504">
        <f t="shared" si="26"/>
        <v>0</v>
      </c>
      <c r="Q124" s="243"/>
      <c r="R124" s="243"/>
      <c r="S124" s="243"/>
      <c r="T124" s="243"/>
      <c r="U124" s="243"/>
    </row>
    <row r="125" spans="2:21">
      <c r="B125" s="145" t="str">
        <f t="shared" si="21"/>
        <v/>
      </c>
      <c r="C125" s="495">
        <f>IF(D94="","-",+C124+1)</f>
        <v>2039</v>
      </c>
      <c r="D125" s="349">
        <f>IF(F124+SUM(E$100:E124)=D$93,F124,D$93-SUM(E$100:E124))</f>
        <v>1157537.9876974039</v>
      </c>
      <c r="E125" s="509">
        <f t="shared" si="28"/>
        <v>408723.93479999999</v>
      </c>
      <c r="F125" s="510">
        <f t="shared" si="29"/>
        <v>748814.05289740395</v>
      </c>
      <c r="G125" s="510">
        <f t="shared" si="30"/>
        <v>953176.02029740391</v>
      </c>
      <c r="H125" s="523">
        <f t="shared" si="31"/>
        <v>521162.49702761631</v>
      </c>
      <c r="I125" s="572">
        <f t="shared" si="32"/>
        <v>521162.49702761631</v>
      </c>
      <c r="J125" s="504">
        <f t="shared" si="27"/>
        <v>0</v>
      </c>
      <c r="K125" s="504"/>
      <c r="L125" s="512"/>
      <c r="M125" s="504">
        <f t="shared" si="33"/>
        <v>0</v>
      </c>
      <c r="N125" s="512"/>
      <c r="O125" s="504">
        <f t="shared" si="25"/>
        <v>0</v>
      </c>
      <c r="P125" s="504">
        <f t="shared" si="26"/>
        <v>0</v>
      </c>
      <c r="Q125" s="243"/>
      <c r="R125" s="243"/>
      <c r="S125" s="243"/>
      <c r="T125" s="243"/>
      <c r="U125" s="243"/>
    </row>
    <row r="126" spans="2:21">
      <c r="B126" s="145" t="str">
        <f t="shared" si="21"/>
        <v/>
      </c>
      <c r="C126" s="495">
        <f>IF(D94="","-",+C125+1)</f>
        <v>2040</v>
      </c>
      <c r="D126" s="349">
        <f>IF(F125+SUM(E$100:E125)=D$93,F125,D$93-SUM(E$100:E125))</f>
        <v>748814.05289740395</v>
      </c>
      <c r="E126" s="509">
        <f t="shared" si="28"/>
        <v>408723.93479999999</v>
      </c>
      <c r="F126" s="510">
        <f t="shared" si="29"/>
        <v>340090.11809740396</v>
      </c>
      <c r="G126" s="510">
        <f t="shared" si="30"/>
        <v>544452.08549740398</v>
      </c>
      <c r="H126" s="523">
        <f t="shared" si="31"/>
        <v>472948.59886158083</v>
      </c>
      <c r="I126" s="572">
        <f t="shared" si="32"/>
        <v>472948.59886158083</v>
      </c>
      <c r="J126" s="504">
        <f t="shared" si="27"/>
        <v>0</v>
      </c>
      <c r="K126" s="504"/>
      <c r="L126" s="512"/>
      <c r="M126" s="504">
        <f t="shared" si="33"/>
        <v>0</v>
      </c>
      <c r="N126" s="512"/>
      <c r="O126" s="504">
        <f t="shared" si="25"/>
        <v>0</v>
      </c>
      <c r="P126" s="504">
        <f t="shared" si="26"/>
        <v>0</v>
      </c>
      <c r="Q126" s="243"/>
      <c r="R126" s="243"/>
      <c r="S126" s="243"/>
      <c r="T126" s="243"/>
      <c r="U126" s="243"/>
    </row>
    <row r="127" spans="2:21">
      <c r="B127" s="145" t="str">
        <f t="shared" si="21"/>
        <v/>
      </c>
      <c r="C127" s="495">
        <f>IF(D94="","-",+C126+1)</f>
        <v>2041</v>
      </c>
      <c r="D127" s="349">
        <f>IF(F126+SUM(E$100:E126)=D$93,F126,D$93-SUM(E$100:E126))</f>
        <v>340090.11809740396</v>
      </c>
      <c r="E127" s="509">
        <f t="shared" si="28"/>
        <v>340090.11809740396</v>
      </c>
      <c r="F127" s="510">
        <f t="shared" si="29"/>
        <v>0</v>
      </c>
      <c r="G127" s="510">
        <f t="shared" si="30"/>
        <v>170045.05904870198</v>
      </c>
      <c r="H127" s="523">
        <f t="shared" si="31"/>
        <v>360148.97558668553</v>
      </c>
      <c r="I127" s="572">
        <f t="shared" si="32"/>
        <v>360148.97558668553</v>
      </c>
      <c r="J127" s="504">
        <f t="shared" si="27"/>
        <v>0</v>
      </c>
      <c r="K127" s="504"/>
      <c r="L127" s="512"/>
      <c r="M127" s="504">
        <f t="shared" si="33"/>
        <v>0</v>
      </c>
      <c r="N127" s="512"/>
      <c r="O127" s="504">
        <f t="shared" si="25"/>
        <v>0</v>
      </c>
      <c r="P127" s="504">
        <f t="shared" si="26"/>
        <v>0</v>
      </c>
      <c r="Q127" s="243"/>
      <c r="R127" s="243"/>
      <c r="S127" s="243"/>
      <c r="T127" s="243"/>
      <c r="U127" s="243"/>
    </row>
    <row r="128" spans="2:21">
      <c r="B128" s="145" t="str">
        <f t="shared" si="21"/>
        <v/>
      </c>
      <c r="C128" s="495">
        <f>IF(D94="","-",+C127+1)</f>
        <v>2042</v>
      </c>
      <c r="D128" s="349">
        <f>IF(F127+SUM(E$100:E127)=D$93,F127,D$93-SUM(E$100:E127))</f>
        <v>0</v>
      </c>
      <c r="E128" s="509">
        <f t="shared" si="28"/>
        <v>0</v>
      </c>
      <c r="F128" s="510">
        <f t="shared" si="29"/>
        <v>0</v>
      </c>
      <c r="G128" s="510">
        <f t="shared" si="30"/>
        <v>0</v>
      </c>
      <c r="H128" s="523">
        <f t="shared" si="31"/>
        <v>0</v>
      </c>
      <c r="I128" s="572">
        <f t="shared" si="32"/>
        <v>0</v>
      </c>
      <c r="J128" s="504">
        <f t="shared" si="27"/>
        <v>0</v>
      </c>
      <c r="K128" s="504"/>
      <c r="L128" s="512"/>
      <c r="M128" s="504">
        <f t="shared" si="33"/>
        <v>0</v>
      </c>
      <c r="N128" s="512"/>
      <c r="O128" s="504">
        <f t="shared" si="25"/>
        <v>0</v>
      </c>
      <c r="P128" s="504">
        <f t="shared" si="26"/>
        <v>0</v>
      </c>
      <c r="Q128" s="243"/>
      <c r="R128" s="243"/>
      <c r="S128" s="243"/>
      <c r="T128" s="243"/>
      <c r="U128" s="243"/>
    </row>
    <row r="129" spans="2:21">
      <c r="B129" s="145" t="str">
        <f t="shared" si="21"/>
        <v/>
      </c>
      <c r="C129" s="495">
        <f>IF(D94="","-",+C128+1)</f>
        <v>2043</v>
      </c>
      <c r="D129" s="349">
        <f>IF(F128+SUM(E$100:E128)=D$93,F128,D$93-SUM(E$100:E128))</f>
        <v>0</v>
      </c>
      <c r="E129" s="509">
        <f t="shared" si="28"/>
        <v>0</v>
      </c>
      <c r="F129" s="510">
        <f t="shared" si="29"/>
        <v>0</v>
      </c>
      <c r="G129" s="510">
        <f t="shared" si="30"/>
        <v>0</v>
      </c>
      <c r="H129" s="523">
        <f t="shared" si="31"/>
        <v>0</v>
      </c>
      <c r="I129" s="572">
        <f t="shared" si="32"/>
        <v>0</v>
      </c>
      <c r="J129" s="504">
        <f t="shared" si="27"/>
        <v>0</v>
      </c>
      <c r="K129" s="504"/>
      <c r="L129" s="512"/>
      <c r="M129" s="504">
        <f t="shared" si="33"/>
        <v>0</v>
      </c>
      <c r="N129" s="512"/>
      <c r="O129" s="504">
        <f t="shared" si="25"/>
        <v>0</v>
      </c>
      <c r="P129" s="504">
        <f t="shared" si="26"/>
        <v>0</v>
      </c>
      <c r="Q129" s="243"/>
      <c r="R129" s="243"/>
      <c r="S129" s="243"/>
      <c r="T129" s="243"/>
      <c r="U129" s="243"/>
    </row>
    <row r="130" spans="2:21">
      <c r="B130" s="145" t="str">
        <f t="shared" si="21"/>
        <v/>
      </c>
      <c r="C130" s="495">
        <f>IF(D94="","-",+C129+1)</f>
        <v>2044</v>
      </c>
      <c r="D130" s="349">
        <f>IF(F129+SUM(E$100:E129)=D$93,F129,D$93-SUM(E$100:E129))</f>
        <v>0</v>
      </c>
      <c r="E130" s="509">
        <f t="shared" si="28"/>
        <v>0</v>
      </c>
      <c r="F130" s="510">
        <f t="shared" si="29"/>
        <v>0</v>
      </c>
      <c r="G130" s="510">
        <f t="shared" si="30"/>
        <v>0</v>
      </c>
      <c r="H130" s="523">
        <f t="shared" si="31"/>
        <v>0</v>
      </c>
      <c r="I130" s="572">
        <f t="shared" si="32"/>
        <v>0</v>
      </c>
      <c r="J130" s="504">
        <f t="shared" si="27"/>
        <v>0</v>
      </c>
      <c r="K130" s="504"/>
      <c r="L130" s="512"/>
      <c r="M130" s="504">
        <f t="shared" si="33"/>
        <v>0</v>
      </c>
      <c r="N130" s="512"/>
      <c r="O130" s="504">
        <f t="shared" si="25"/>
        <v>0</v>
      </c>
      <c r="P130" s="504">
        <f t="shared" si="26"/>
        <v>0</v>
      </c>
      <c r="Q130" s="243"/>
      <c r="R130" s="243"/>
      <c r="S130" s="243"/>
      <c r="T130" s="243"/>
      <c r="U130" s="243"/>
    </row>
    <row r="131" spans="2:21">
      <c r="B131" s="145" t="str">
        <f t="shared" si="21"/>
        <v/>
      </c>
      <c r="C131" s="495">
        <f>IF(D94="","-",+C130+1)</f>
        <v>2045</v>
      </c>
      <c r="D131" s="349">
        <f>IF(F130+SUM(E$100:E130)=D$93,F130,D$93-SUM(E$100:E130))</f>
        <v>0</v>
      </c>
      <c r="E131" s="509">
        <f t="shared" si="28"/>
        <v>0</v>
      </c>
      <c r="F131" s="510">
        <f t="shared" si="29"/>
        <v>0</v>
      </c>
      <c r="G131" s="510">
        <f t="shared" si="30"/>
        <v>0</v>
      </c>
      <c r="H131" s="523">
        <f t="shared" si="31"/>
        <v>0</v>
      </c>
      <c r="I131" s="572">
        <f t="shared" si="32"/>
        <v>0</v>
      </c>
      <c r="J131" s="504">
        <f t="shared" si="27"/>
        <v>0</v>
      </c>
      <c r="K131" s="504"/>
      <c r="L131" s="512"/>
      <c r="M131" s="504">
        <f t="shared" si="33"/>
        <v>0</v>
      </c>
      <c r="N131" s="512"/>
      <c r="O131" s="504">
        <f t="shared" si="25"/>
        <v>0</v>
      </c>
      <c r="P131" s="504">
        <f t="shared" si="26"/>
        <v>0</v>
      </c>
      <c r="Q131" s="243"/>
      <c r="R131" s="243"/>
      <c r="S131" s="243"/>
      <c r="T131" s="243"/>
      <c r="U131" s="243"/>
    </row>
    <row r="132" spans="2:21">
      <c r="B132" s="145" t="str">
        <f t="shared" si="21"/>
        <v/>
      </c>
      <c r="C132" s="495">
        <f>IF(D94="","-",+C131+1)</f>
        <v>2046</v>
      </c>
      <c r="D132" s="349">
        <f>IF(F131+SUM(E$100:E131)=D$93,F131,D$93-SUM(E$100:E131))</f>
        <v>0</v>
      </c>
      <c r="E132" s="509">
        <f t="shared" si="28"/>
        <v>0</v>
      </c>
      <c r="F132" s="510">
        <f t="shared" si="29"/>
        <v>0</v>
      </c>
      <c r="G132" s="510">
        <f t="shared" si="30"/>
        <v>0</v>
      </c>
      <c r="H132" s="523">
        <f t="shared" si="31"/>
        <v>0</v>
      </c>
      <c r="I132" s="572">
        <f t="shared" si="32"/>
        <v>0</v>
      </c>
      <c r="J132" s="504">
        <f t="shared" si="27"/>
        <v>0</v>
      </c>
      <c r="K132" s="504"/>
      <c r="L132" s="512"/>
      <c r="M132" s="504">
        <f t="shared" ref="M132:M155" si="34">IF(L542&lt;&gt;0,+H542-L542,0)</f>
        <v>0</v>
      </c>
      <c r="N132" s="512"/>
      <c r="O132" s="504">
        <f t="shared" ref="O132:O155" si="35">IF(N542&lt;&gt;0,+I542-N542,0)</f>
        <v>0</v>
      </c>
      <c r="P132" s="504">
        <f t="shared" ref="P132:P155" si="36">+O542-M542</f>
        <v>0</v>
      </c>
      <c r="Q132" s="243"/>
      <c r="R132" s="243"/>
      <c r="S132" s="243"/>
      <c r="T132" s="243"/>
      <c r="U132" s="243"/>
    </row>
    <row r="133" spans="2:21">
      <c r="B133" s="145" t="str">
        <f t="shared" si="21"/>
        <v/>
      </c>
      <c r="C133" s="495">
        <f>IF(D94="","-",+C132+1)</f>
        <v>2047</v>
      </c>
      <c r="D133" s="349">
        <f>IF(F132+SUM(E$100:E132)=D$93,F132,D$93-SUM(E$100:E132))</f>
        <v>0</v>
      </c>
      <c r="E133" s="509">
        <f t="shared" si="28"/>
        <v>0</v>
      </c>
      <c r="F133" s="510">
        <f t="shared" si="29"/>
        <v>0</v>
      </c>
      <c r="G133" s="510">
        <f t="shared" si="30"/>
        <v>0</v>
      </c>
      <c r="H133" s="523">
        <f t="shared" si="31"/>
        <v>0</v>
      </c>
      <c r="I133" s="572">
        <f t="shared" si="32"/>
        <v>0</v>
      </c>
      <c r="J133" s="504">
        <f t="shared" si="27"/>
        <v>0</v>
      </c>
      <c r="K133" s="504"/>
      <c r="L133" s="512"/>
      <c r="M133" s="504">
        <f t="shared" si="34"/>
        <v>0</v>
      </c>
      <c r="N133" s="512"/>
      <c r="O133" s="504">
        <f t="shared" si="35"/>
        <v>0</v>
      </c>
      <c r="P133" s="504">
        <f t="shared" si="36"/>
        <v>0</v>
      </c>
      <c r="Q133" s="243"/>
      <c r="R133" s="243"/>
      <c r="S133" s="243"/>
      <c r="T133" s="243"/>
      <c r="U133" s="243"/>
    </row>
    <row r="134" spans="2:21">
      <c r="B134" s="145" t="str">
        <f t="shared" si="21"/>
        <v/>
      </c>
      <c r="C134" s="495">
        <f>IF(D94="","-",+C133+1)</f>
        <v>2048</v>
      </c>
      <c r="D134" s="349">
        <f>IF(F133+SUM(E$100:E133)=D$93,F133,D$93-SUM(E$100:E133))</f>
        <v>0</v>
      </c>
      <c r="E134" s="509">
        <f t="shared" si="28"/>
        <v>0</v>
      </c>
      <c r="F134" s="510">
        <f t="shared" si="29"/>
        <v>0</v>
      </c>
      <c r="G134" s="510">
        <f t="shared" si="30"/>
        <v>0</v>
      </c>
      <c r="H134" s="523">
        <f t="shared" si="31"/>
        <v>0</v>
      </c>
      <c r="I134" s="572">
        <f t="shared" si="32"/>
        <v>0</v>
      </c>
      <c r="J134" s="504">
        <f t="shared" si="27"/>
        <v>0</v>
      </c>
      <c r="K134" s="504"/>
      <c r="L134" s="512"/>
      <c r="M134" s="504">
        <f t="shared" si="34"/>
        <v>0</v>
      </c>
      <c r="N134" s="512"/>
      <c r="O134" s="504">
        <f t="shared" si="35"/>
        <v>0</v>
      </c>
      <c r="P134" s="504">
        <f t="shared" si="36"/>
        <v>0</v>
      </c>
      <c r="Q134" s="243"/>
      <c r="R134" s="243"/>
      <c r="S134" s="243"/>
      <c r="T134" s="243"/>
      <c r="U134" s="243"/>
    </row>
    <row r="135" spans="2:21">
      <c r="B135" s="145" t="str">
        <f t="shared" si="21"/>
        <v/>
      </c>
      <c r="C135" s="495">
        <f>IF(D94="","-",+C134+1)</f>
        <v>2049</v>
      </c>
      <c r="D135" s="349">
        <f>IF(F134+SUM(E$100:E134)=D$93,F134,D$93-SUM(E$100:E134))</f>
        <v>0</v>
      </c>
      <c r="E135" s="509">
        <f t="shared" si="28"/>
        <v>0</v>
      </c>
      <c r="F135" s="510">
        <f t="shared" si="29"/>
        <v>0</v>
      </c>
      <c r="G135" s="510">
        <f t="shared" si="30"/>
        <v>0</v>
      </c>
      <c r="H135" s="523">
        <f t="shared" si="31"/>
        <v>0</v>
      </c>
      <c r="I135" s="572">
        <f t="shared" si="32"/>
        <v>0</v>
      </c>
      <c r="J135" s="504">
        <f t="shared" si="27"/>
        <v>0</v>
      </c>
      <c r="K135" s="504"/>
      <c r="L135" s="512"/>
      <c r="M135" s="504">
        <f t="shared" si="34"/>
        <v>0</v>
      </c>
      <c r="N135" s="512"/>
      <c r="O135" s="504">
        <f t="shared" si="35"/>
        <v>0</v>
      </c>
      <c r="P135" s="504">
        <f t="shared" si="36"/>
        <v>0</v>
      </c>
      <c r="Q135" s="243"/>
      <c r="R135" s="243"/>
      <c r="S135" s="243"/>
      <c r="T135" s="243"/>
      <c r="U135" s="243"/>
    </row>
    <row r="136" spans="2:21">
      <c r="B136" s="145" t="str">
        <f t="shared" si="21"/>
        <v/>
      </c>
      <c r="C136" s="495">
        <f>IF(D94="","-",+C135+1)</f>
        <v>2050</v>
      </c>
      <c r="D136" s="349">
        <f>IF(F135+SUM(E$100:E135)=D$93,F135,D$93-SUM(E$100:E135))</f>
        <v>0</v>
      </c>
      <c r="E136" s="509">
        <f t="shared" si="28"/>
        <v>0</v>
      </c>
      <c r="F136" s="510">
        <f t="shared" si="29"/>
        <v>0</v>
      </c>
      <c r="G136" s="510">
        <f t="shared" si="30"/>
        <v>0</v>
      </c>
      <c r="H136" s="523">
        <f t="shared" si="31"/>
        <v>0</v>
      </c>
      <c r="I136" s="572">
        <f t="shared" si="32"/>
        <v>0</v>
      </c>
      <c r="J136" s="504">
        <f t="shared" si="27"/>
        <v>0</v>
      </c>
      <c r="K136" s="504"/>
      <c r="L136" s="512"/>
      <c r="M136" s="504">
        <f t="shared" si="34"/>
        <v>0</v>
      </c>
      <c r="N136" s="512"/>
      <c r="O136" s="504">
        <f t="shared" si="35"/>
        <v>0</v>
      </c>
      <c r="P136" s="504">
        <f t="shared" si="36"/>
        <v>0</v>
      </c>
      <c r="Q136" s="243"/>
      <c r="R136" s="243"/>
      <c r="S136" s="243"/>
      <c r="T136" s="243"/>
      <c r="U136" s="243"/>
    </row>
    <row r="137" spans="2:21">
      <c r="B137" s="145" t="str">
        <f t="shared" si="21"/>
        <v/>
      </c>
      <c r="C137" s="495">
        <f>IF(D94="","-",+C136+1)</f>
        <v>2051</v>
      </c>
      <c r="D137" s="349">
        <f>IF(F136+SUM(E$100:E136)=D$93,F136,D$93-SUM(E$100:E136))</f>
        <v>0</v>
      </c>
      <c r="E137" s="509">
        <f t="shared" si="28"/>
        <v>0</v>
      </c>
      <c r="F137" s="510">
        <f t="shared" si="29"/>
        <v>0</v>
      </c>
      <c r="G137" s="510">
        <f t="shared" si="30"/>
        <v>0</v>
      </c>
      <c r="H137" s="523">
        <f t="shared" si="31"/>
        <v>0</v>
      </c>
      <c r="I137" s="572">
        <f t="shared" si="32"/>
        <v>0</v>
      </c>
      <c r="J137" s="504">
        <f t="shared" si="27"/>
        <v>0</v>
      </c>
      <c r="K137" s="504"/>
      <c r="L137" s="512"/>
      <c r="M137" s="504">
        <f t="shared" si="34"/>
        <v>0</v>
      </c>
      <c r="N137" s="512"/>
      <c r="O137" s="504">
        <f t="shared" si="35"/>
        <v>0</v>
      </c>
      <c r="P137" s="504">
        <f t="shared" si="36"/>
        <v>0</v>
      </c>
      <c r="Q137" s="243"/>
      <c r="R137" s="243"/>
      <c r="S137" s="243"/>
      <c r="T137" s="243"/>
      <c r="U137" s="243"/>
    </row>
    <row r="138" spans="2:21">
      <c r="B138" s="145" t="str">
        <f t="shared" si="21"/>
        <v/>
      </c>
      <c r="C138" s="495">
        <f>IF(D94="","-",+C137+1)</f>
        <v>2052</v>
      </c>
      <c r="D138" s="349">
        <f>IF(F137+SUM(E$100:E137)=D$93,F137,D$93-SUM(E$100:E137))</f>
        <v>0</v>
      </c>
      <c r="E138" s="509">
        <f t="shared" si="28"/>
        <v>0</v>
      </c>
      <c r="F138" s="510">
        <f t="shared" si="29"/>
        <v>0</v>
      </c>
      <c r="G138" s="510">
        <f t="shared" si="30"/>
        <v>0</v>
      </c>
      <c r="H138" s="523">
        <f t="shared" si="31"/>
        <v>0</v>
      </c>
      <c r="I138" s="572">
        <f t="shared" si="32"/>
        <v>0</v>
      </c>
      <c r="J138" s="504">
        <f t="shared" si="27"/>
        <v>0</v>
      </c>
      <c r="K138" s="504"/>
      <c r="L138" s="512"/>
      <c r="M138" s="504">
        <f t="shared" si="34"/>
        <v>0</v>
      </c>
      <c r="N138" s="512"/>
      <c r="O138" s="504">
        <f t="shared" si="35"/>
        <v>0</v>
      </c>
      <c r="P138" s="504">
        <f t="shared" si="36"/>
        <v>0</v>
      </c>
      <c r="Q138" s="243"/>
      <c r="R138" s="243"/>
      <c r="S138" s="243"/>
      <c r="T138" s="243"/>
      <c r="U138" s="243"/>
    </row>
    <row r="139" spans="2:21">
      <c r="B139" s="145" t="str">
        <f t="shared" si="21"/>
        <v/>
      </c>
      <c r="C139" s="495">
        <f>IF(D94="","-",+C138+1)</f>
        <v>2053</v>
      </c>
      <c r="D139" s="349">
        <f>IF(F138+SUM(E$100:E138)=D$93,F138,D$93-SUM(E$100:E138))</f>
        <v>0</v>
      </c>
      <c r="E139" s="509">
        <f t="shared" si="28"/>
        <v>0</v>
      </c>
      <c r="F139" s="510">
        <f t="shared" si="29"/>
        <v>0</v>
      </c>
      <c r="G139" s="510">
        <f t="shared" si="30"/>
        <v>0</v>
      </c>
      <c r="H139" s="523">
        <f t="shared" si="31"/>
        <v>0</v>
      </c>
      <c r="I139" s="572">
        <f t="shared" si="32"/>
        <v>0</v>
      </c>
      <c r="J139" s="504">
        <f t="shared" si="27"/>
        <v>0</v>
      </c>
      <c r="K139" s="504"/>
      <c r="L139" s="512"/>
      <c r="M139" s="504">
        <f t="shared" si="34"/>
        <v>0</v>
      </c>
      <c r="N139" s="512"/>
      <c r="O139" s="504">
        <f t="shared" si="35"/>
        <v>0</v>
      </c>
      <c r="P139" s="504">
        <f t="shared" si="36"/>
        <v>0</v>
      </c>
      <c r="Q139" s="243"/>
      <c r="R139" s="243"/>
      <c r="S139" s="243"/>
      <c r="T139" s="243"/>
      <c r="U139" s="243"/>
    </row>
    <row r="140" spans="2:21">
      <c r="B140" s="145" t="str">
        <f t="shared" si="21"/>
        <v/>
      </c>
      <c r="C140" s="495">
        <f>IF(D94="","-",+C139+1)</f>
        <v>2054</v>
      </c>
      <c r="D140" s="349">
        <f>IF(F139+SUM(E$100:E139)=D$93,F139,D$93-SUM(E$100:E139))</f>
        <v>0</v>
      </c>
      <c r="E140" s="509">
        <f t="shared" si="28"/>
        <v>0</v>
      </c>
      <c r="F140" s="510">
        <f t="shared" si="29"/>
        <v>0</v>
      </c>
      <c r="G140" s="510">
        <f t="shared" si="30"/>
        <v>0</v>
      </c>
      <c r="H140" s="523">
        <f t="shared" si="31"/>
        <v>0</v>
      </c>
      <c r="I140" s="572">
        <f t="shared" si="32"/>
        <v>0</v>
      </c>
      <c r="J140" s="504">
        <f t="shared" si="27"/>
        <v>0</v>
      </c>
      <c r="K140" s="504"/>
      <c r="L140" s="512"/>
      <c r="M140" s="504">
        <f t="shared" si="34"/>
        <v>0</v>
      </c>
      <c r="N140" s="512"/>
      <c r="O140" s="504">
        <f t="shared" si="35"/>
        <v>0</v>
      </c>
      <c r="P140" s="504">
        <f t="shared" si="36"/>
        <v>0</v>
      </c>
      <c r="Q140" s="243"/>
      <c r="R140" s="243"/>
      <c r="S140" s="243"/>
      <c r="T140" s="243"/>
      <c r="U140" s="243"/>
    </row>
    <row r="141" spans="2:21">
      <c r="B141" s="145" t="str">
        <f t="shared" si="21"/>
        <v/>
      </c>
      <c r="C141" s="495">
        <f>IF(D94="","-",+C140+1)</f>
        <v>2055</v>
      </c>
      <c r="D141" s="349">
        <f>IF(F140+SUM(E$100:E140)=D$93,F140,D$93-SUM(E$100:E140))</f>
        <v>0</v>
      </c>
      <c r="E141" s="509">
        <f t="shared" si="28"/>
        <v>0</v>
      </c>
      <c r="F141" s="510">
        <f t="shared" si="29"/>
        <v>0</v>
      </c>
      <c r="G141" s="510">
        <f t="shared" si="30"/>
        <v>0</v>
      </c>
      <c r="H141" s="523">
        <f t="shared" si="31"/>
        <v>0</v>
      </c>
      <c r="I141" s="572">
        <f t="shared" si="32"/>
        <v>0</v>
      </c>
      <c r="J141" s="504">
        <f t="shared" si="27"/>
        <v>0</v>
      </c>
      <c r="K141" s="504"/>
      <c r="L141" s="512"/>
      <c r="M141" s="504">
        <f t="shared" si="34"/>
        <v>0</v>
      </c>
      <c r="N141" s="512"/>
      <c r="O141" s="504">
        <f t="shared" si="35"/>
        <v>0</v>
      </c>
      <c r="P141" s="504">
        <f t="shared" si="36"/>
        <v>0</v>
      </c>
      <c r="Q141" s="243"/>
      <c r="R141" s="243"/>
      <c r="S141" s="243"/>
      <c r="T141" s="243"/>
      <c r="U141" s="243"/>
    </row>
    <row r="142" spans="2:21">
      <c r="B142" s="145" t="str">
        <f t="shared" si="21"/>
        <v/>
      </c>
      <c r="C142" s="495">
        <f>IF(D94="","-",+C141+1)</f>
        <v>2056</v>
      </c>
      <c r="D142" s="349">
        <f>IF(F141+SUM(E$100:E141)=D$93,F141,D$93-SUM(E$100:E141))</f>
        <v>0</v>
      </c>
      <c r="E142" s="509">
        <f t="shared" si="28"/>
        <v>0</v>
      </c>
      <c r="F142" s="510">
        <f t="shared" si="29"/>
        <v>0</v>
      </c>
      <c r="G142" s="510">
        <f t="shared" si="30"/>
        <v>0</v>
      </c>
      <c r="H142" s="523">
        <f t="shared" si="31"/>
        <v>0</v>
      </c>
      <c r="I142" s="572">
        <f t="shared" si="32"/>
        <v>0</v>
      </c>
      <c r="J142" s="504">
        <f t="shared" si="27"/>
        <v>0</v>
      </c>
      <c r="K142" s="504"/>
      <c r="L142" s="512"/>
      <c r="M142" s="504">
        <f t="shared" si="34"/>
        <v>0</v>
      </c>
      <c r="N142" s="512"/>
      <c r="O142" s="504">
        <f t="shared" si="35"/>
        <v>0</v>
      </c>
      <c r="P142" s="504">
        <f t="shared" si="36"/>
        <v>0</v>
      </c>
      <c r="Q142" s="243"/>
      <c r="R142" s="243"/>
      <c r="S142" s="243"/>
      <c r="T142" s="243"/>
      <c r="U142" s="243"/>
    </row>
    <row r="143" spans="2:21">
      <c r="B143" s="145" t="str">
        <f t="shared" si="21"/>
        <v/>
      </c>
      <c r="C143" s="495">
        <f>IF(D94="","-",+C142+1)</f>
        <v>2057</v>
      </c>
      <c r="D143" s="349">
        <f>IF(F142+SUM(E$100:E142)=D$93,F142,D$93-SUM(E$100:E142))</f>
        <v>0</v>
      </c>
      <c r="E143" s="509">
        <f t="shared" si="28"/>
        <v>0</v>
      </c>
      <c r="F143" s="510">
        <f t="shared" si="29"/>
        <v>0</v>
      </c>
      <c r="G143" s="510">
        <f t="shared" si="30"/>
        <v>0</v>
      </c>
      <c r="H143" s="523">
        <f t="shared" si="31"/>
        <v>0</v>
      </c>
      <c r="I143" s="572">
        <f t="shared" si="32"/>
        <v>0</v>
      </c>
      <c r="J143" s="504">
        <f t="shared" si="27"/>
        <v>0</v>
      </c>
      <c r="K143" s="504"/>
      <c r="L143" s="512"/>
      <c r="M143" s="504">
        <f t="shared" si="34"/>
        <v>0</v>
      </c>
      <c r="N143" s="512"/>
      <c r="O143" s="504">
        <f t="shared" si="35"/>
        <v>0</v>
      </c>
      <c r="P143" s="504">
        <f t="shared" si="36"/>
        <v>0</v>
      </c>
      <c r="Q143" s="243"/>
      <c r="R143" s="243"/>
      <c r="S143" s="243"/>
      <c r="T143" s="243"/>
      <c r="U143" s="243"/>
    </row>
    <row r="144" spans="2:21">
      <c r="B144" s="145" t="str">
        <f t="shared" si="21"/>
        <v/>
      </c>
      <c r="C144" s="495">
        <f>IF(D94="","-",+C143+1)</f>
        <v>2058</v>
      </c>
      <c r="D144" s="349">
        <f>IF(F143+SUM(E$100:E143)=D$93,F143,D$93-SUM(E$100:E143))</f>
        <v>0</v>
      </c>
      <c r="E144" s="509">
        <f t="shared" si="28"/>
        <v>0</v>
      </c>
      <c r="F144" s="510">
        <f t="shared" si="29"/>
        <v>0</v>
      </c>
      <c r="G144" s="510">
        <f t="shared" si="30"/>
        <v>0</v>
      </c>
      <c r="H144" s="523">
        <f t="shared" si="31"/>
        <v>0</v>
      </c>
      <c r="I144" s="572">
        <f t="shared" si="32"/>
        <v>0</v>
      </c>
      <c r="J144" s="504">
        <f t="shared" si="27"/>
        <v>0</v>
      </c>
      <c r="K144" s="504"/>
      <c r="L144" s="512"/>
      <c r="M144" s="504">
        <f t="shared" si="34"/>
        <v>0</v>
      </c>
      <c r="N144" s="512"/>
      <c r="O144" s="504">
        <f t="shared" si="35"/>
        <v>0</v>
      </c>
      <c r="P144" s="504">
        <f t="shared" si="36"/>
        <v>0</v>
      </c>
      <c r="Q144" s="243"/>
      <c r="R144" s="243"/>
      <c r="S144" s="243"/>
      <c r="T144" s="243"/>
      <c r="U144" s="243"/>
    </row>
    <row r="145" spans="2:21">
      <c r="B145" s="145" t="str">
        <f t="shared" si="21"/>
        <v/>
      </c>
      <c r="C145" s="495">
        <f>IF(D94="","-",+C144+1)</f>
        <v>2059</v>
      </c>
      <c r="D145" s="349">
        <f>IF(F144+SUM(E$100:E144)=D$93,F144,D$93-SUM(E$100:E144))</f>
        <v>0</v>
      </c>
      <c r="E145" s="509">
        <f t="shared" si="28"/>
        <v>0</v>
      </c>
      <c r="F145" s="510">
        <f t="shared" si="29"/>
        <v>0</v>
      </c>
      <c r="G145" s="510">
        <f t="shared" si="30"/>
        <v>0</v>
      </c>
      <c r="H145" s="523">
        <f t="shared" si="31"/>
        <v>0</v>
      </c>
      <c r="I145" s="572">
        <f t="shared" si="32"/>
        <v>0</v>
      </c>
      <c r="J145" s="504">
        <f t="shared" si="27"/>
        <v>0</v>
      </c>
      <c r="K145" s="504"/>
      <c r="L145" s="512"/>
      <c r="M145" s="504">
        <f t="shared" si="34"/>
        <v>0</v>
      </c>
      <c r="N145" s="512"/>
      <c r="O145" s="504">
        <f t="shared" si="35"/>
        <v>0</v>
      </c>
      <c r="P145" s="504">
        <f t="shared" si="36"/>
        <v>0</v>
      </c>
      <c r="Q145" s="243"/>
      <c r="R145" s="243"/>
      <c r="S145" s="243"/>
      <c r="T145" s="243"/>
      <c r="U145" s="243"/>
    </row>
    <row r="146" spans="2:21">
      <c r="B146" s="145" t="str">
        <f t="shared" si="21"/>
        <v/>
      </c>
      <c r="C146" s="495">
        <f>IF(D94="","-",+C145+1)</f>
        <v>2060</v>
      </c>
      <c r="D146" s="349">
        <f>IF(F145+SUM(E$100:E145)=D$93,F145,D$93-SUM(E$100:E145))</f>
        <v>0</v>
      </c>
      <c r="E146" s="509">
        <f t="shared" si="28"/>
        <v>0</v>
      </c>
      <c r="F146" s="510">
        <f t="shared" si="29"/>
        <v>0</v>
      </c>
      <c r="G146" s="510">
        <f t="shared" si="30"/>
        <v>0</v>
      </c>
      <c r="H146" s="523">
        <f t="shared" si="31"/>
        <v>0</v>
      </c>
      <c r="I146" s="572">
        <f t="shared" si="32"/>
        <v>0</v>
      </c>
      <c r="J146" s="504">
        <f t="shared" si="27"/>
        <v>0</v>
      </c>
      <c r="K146" s="504"/>
      <c r="L146" s="512"/>
      <c r="M146" s="504">
        <f t="shared" si="34"/>
        <v>0</v>
      </c>
      <c r="N146" s="512"/>
      <c r="O146" s="504">
        <f t="shared" si="35"/>
        <v>0</v>
      </c>
      <c r="P146" s="504">
        <f t="shared" si="36"/>
        <v>0</v>
      </c>
      <c r="Q146" s="243"/>
      <c r="R146" s="243"/>
      <c r="S146" s="243"/>
      <c r="T146" s="243"/>
      <c r="U146" s="243"/>
    </row>
    <row r="147" spans="2:21">
      <c r="B147" s="145" t="str">
        <f t="shared" si="21"/>
        <v/>
      </c>
      <c r="C147" s="495">
        <f>IF(D94="","-",+C146+1)</f>
        <v>2061</v>
      </c>
      <c r="D147" s="349">
        <f>IF(F146+SUM(E$100:E146)=D$93,F146,D$93-SUM(E$100:E146))</f>
        <v>0</v>
      </c>
      <c r="E147" s="509">
        <f t="shared" si="28"/>
        <v>0</v>
      </c>
      <c r="F147" s="510">
        <f t="shared" si="29"/>
        <v>0</v>
      </c>
      <c r="G147" s="510">
        <f t="shared" si="30"/>
        <v>0</v>
      </c>
      <c r="H147" s="523">
        <f t="shared" si="31"/>
        <v>0</v>
      </c>
      <c r="I147" s="572">
        <f t="shared" si="32"/>
        <v>0</v>
      </c>
      <c r="J147" s="504">
        <f t="shared" si="27"/>
        <v>0</v>
      </c>
      <c r="K147" s="504"/>
      <c r="L147" s="512"/>
      <c r="M147" s="504">
        <f t="shared" si="34"/>
        <v>0</v>
      </c>
      <c r="N147" s="512"/>
      <c r="O147" s="504">
        <f t="shared" si="35"/>
        <v>0</v>
      </c>
      <c r="P147" s="504">
        <f t="shared" si="36"/>
        <v>0</v>
      </c>
      <c r="Q147" s="243"/>
      <c r="R147" s="243"/>
      <c r="S147" s="243"/>
      <c r="T147" s="243"/>
      <c r="U147" s="243"/>
    </row>
    <row r="148" spans="2:21">
      <c r="B148" s="145" t="str">
        <f t="shared" si="21"/>
        <v/>
      </c>
      <c r="C148" s="495">
        <f>IF(D94="","-",+C147+1)</f>
        <v>2062</v>
      </c>
      <c r="D148" s="349">
        <f>IF(F147+SUM(E$100:E147)=D$93,F147,D$93-SUM(E$100:E147))</f>
        <v>0</v>
      </c>
      <c r="E148" s="509">
        <f t="shared" si="28"/>
        <v>0</v>
      </c>
      <c r="F148" s="510">
        <f t="shared" si="29"/>
        <v>0</v>
      </c>
      <c r="G148" s="510">
        <f t="shared" si="30"/>
        <v>0</v>
      </c>
      <c r="H148" s="523">
        <f t="shared" si="31"/>
        <v>0</v>
      </c>
      <c r="I148" s="572">
        <f t="shared" si="32"/>
        <v>0</v>
      </c>
      <c r="J148" s="504">
        <f t="shared" si="27"/>
        <v>0</v>
      </c>
      <c r="K148" s="504"/>
      <c r="L148" s="512"/>
      <c r="M148" s="504">
        <f t="shared" si="34"/>
        <v>0</v>
      </c>
      <c r="N148" s="512"/>
      <c r="O148" s="504">
        <f t="shared" si="35"/>
        <v>0</v>
      </c>
      <c r="P148" s="504">
        <f t="shared" si="36"/>
        <v>0</v>
      </c>
      <c r="Q148" s="243"/>
      <c r="R148" s="243"/>
      <c r="S148" s="243"/>
      <c r="T148" s="243"/>
      <c r="U148" s="243"/>
    </row>
    <row r="149" spans="2:21">
      <c r="B149" s="145" t="str">
        <f t="shared" si="21"/>
        <v/>
      </c>
      <c r="C149" s="495">
        <f>IF(D94="","-",+C148+1)</f>
        <v>2063</v>
      </c>
      <c r="D149" s="349">
        <f>IF(F148+SUM(E$100:E148)=D$93,F148,D$93-SUM(E$100:E148))</f>
        <v>0</v>
      </c>
      <c r="E149" s="509">
        <f t="shared" si="28"/>
        <v>0</v>
      </c>
      <c r="F149" s="510">
        <f t="shared" si="29"/>
        <v>0</v>
      </c>
      <c r="G149" s="510">
        <f t="shared" si="30"/>
        <v>0</v>
      </c>
      <c r="H149" s="523">
        <f t="shared" si="31"/>
        <v>0</v>
      </c>
      <c r="I149" s="572">
        <f t="shared" si="32"/>
        <v>0</v>
      </c>
      <c r="J149" s="504">
        <f t="shared" si="27"/>
        <v>0</v>
      </c>
      <c r="K149" s="504"/>
      <c r="L149" s="512"/>
      <c r="M149" s="504">
        <f t="shared" si="34"/>
        <v>0</v>
      </c>
      <c r="N149" s="512"/>
      <c r="O149" s="504">
        <f t="shared" si="35"/>
        <v>0</v>
      </c>
      <c r="P149" s="504">
        <f t="shared" si="36"/>
        <v>0</v>
      </c>
      <c r="Q149" s="243"/>
      <c r="R149" s="243"/>
      <c r="S149" s="243"/>
      <c r="T149" s="243"/>
      <c r="U149" s="243"/>
    </row>
    <row r="150" spans="2:21">
      <c r="B150" s="145" t="str">
        <f t="shared" si="21"/>
        <v/>
      </c>
      <c r="C150" s="495">
        <f>IF(D94="","-",+C149+1)</f>
        <v>2064</v>
      </c>
      <c r="D150" s="349">
        <f>IF(F149+SUM(E$100:E149)=D$93,F149,D$93-SUM(E$100:E149))</f>
        <v>0</v>
      </c>
      <c r="E150" s="509">
        <f t="shared" si="28"/>
        <v>0</v>
      </c>
      <c r="F150" s="510">
        <f t="shared" si="29"/>
        <v>0</v>
      </c>
      <c r="G150" s="510">
        <f t="shared" si="30"/>
        <v>0</v>
      </c>
      <c r="H150" s="523">
        <f t="shared" si="31"/>
        <v>0</v>
      </c>
      <c r="I150" s="572">
        <f t="shared" si="32"/>
        <v>0</v>
      </c>
      <c r="J150" s="504">
        <f t="shared" si="27"/>
        <v>0</v>
      </c>
      <c r="K150" s="504"/>
      <c r="L150" s="512"/>
      <c r="M150" s="504">
        <f t="shared" si="34"/>
        <v>0</v>
      </c>
      <c r="N150" s="512"/>
      <c r="O150" s="504">
        <f t="shared" si="35"/>
        <v>0</v>
      </c>
      <c r="P150" s="504">
        <f t="shared" si="36"/>
        <v>0</v>
      </c>
      <c r="Q150" s="243"/>
      <c r="R150" s="243"/>
      <c r="S150" s="243"/>
      <c r="T150" s="243"/>
      <c r="U150" s="243"/>
    </row>
    <row r="151" spans="2:21">
      <c r="B151" s="145" t="str">
        <f t="shared" si="21"/>
        <v/>
      </c>
      <c r="C151" s="495">
        <f>IF(D94="","-",+C150+1)</f>
        <v>2065</v>
      </c>
      <c r="D151" s="349">
        <f>IF(F150+SUM(E$100:E150)=D$93,F150,D$93-SUM(E$100:E150))</f>
        <v>0</v>
      </c>
      <c r="E151" s="509">
        <f t="shared" si="28"/>
        <v>0</v>
      </c>
      <c r="F151" s="510">
        <f t="shared" si="29"/>
        <v>0</v>
      </c>
      <c r="G151" s="510">
        <f t="shared" si="30"/>
        <v>0</v>
      </c>
      <c r="H151" s="523">
        <f t="shared" si="31"/>
        <v>0</v>
      </c>
      <c r="I151" s="572">
        <f t="shared" si="32"/>
        <v>0</v>
      </c>
      <c r="J151" s="504">
        <f t="shared" si="27"/>
        <v>0</v>
      </c>
      <c r="K151" s="504"/>
      <c r="L151" s="512"/>
      <c r="M151" s="504">
        <f t="shared" si="34"/>
        <v>0</v>
      </c>
      <c r="N151" s="512"/>
      <c r="O151" s="504">
        <f t="shared" si="35"/>
        <v>0</v>
      </c>
      <c r="P151" s="504">
        <f t="shared" si="36"/>
        <v>0</v>
      </c>
      <c r="Q151" s="243"/>
      <c r="R151" s="243"/>
      <c r="S151" s="243"/>
      <c r="T151" s="243"/>
      <c r="U151" s="243"/>
    </row>
    <row r="152" spans="2:21">
      <c r="B152" s="145" t="str">
        <f t="shared" si="21"/>
        <v/>
      </c>
      <c r="C152" s="495">
        <f>IF(D94="","-",+C151+1)</f>
        <v>2066</v>
      </c>
      <c r="D152" s="349">
        <f>IF(F151+SUM(E$100:E151)=D$93,F151,D$93-SUM(E$100:E151))</f>
        <v>0</v>
      </c>
      <c r="E152" s="509">
        <f t="shared" si="28"/>
        <v>0</v>
      </c>
      <c r="F152" s="510">
        <f t="shared" si="29"/>
        <v>0</v>
      </c>
      <c r="G152" s="510">
        <f t="shared" si="30"/>
        <v>0</v>
      </c>
      <c r="H152" s="523">
        <f t="shared" si="31"/>
        <v>0</v>
      </c>
      <c r="I152" s="572">
        <f t="shared" si="32"/>
        <v>0</v>
      </c>
      <c r="J152" s="504">
        <f t="shared" si="27"/>
        <v>0</v>
      </c>
      <c r="K152" s="504"/>
      <c r="L152" s="512"/>
      <c r="M152" s="504">
        <f t="shared" si="34"/>
        <v>0</v>
      </c>
      <c r="N152" s="512"/>
      <c r="O152" s="504">
        <f t="shared" si="35"/>
        <v>0</v>
      </c>
      <c r="P152" s="504">
        <f t="shared" si="36"/>
        <v>0</v>
      </c>
      <c r="Q152" s="243"/>
      <c r="R152" s="243"/>
      <c r="S152" s="243"/>
      <c r="T152" s="243"/>
      <c r="U152" s="243"/>
    </row>
    <row r="153" spans="2:21">
      <c r="B153" s="145" t="str">
        <f t="shared" si="21"/>
        <v/>
      </c>
      <c r="C153" s="495">
        <f>IF(D94="","-",+C152+1)</f>
        <v>2067</v>
      </c>
      <c r="D153" s="349">
        <f>IF(F152+SUM(E$100:E152)=D$93,F152,D$93-SUM(E$100:E152))</f>
        <v>0</v>
      </c>
      <c r="E153" s="509">
        <f t="shared" si="28"/>
        <v>0</v>
      </c>
      <c r="F153" s="510">
        <f t="shared" si="29"/>
        <v>0</v>
      </c>
      <c r="G153" s="510">
        <f t="shared" si="30"/>
        <v>0</v>
      </c>
      <c r="H153" s="523">
        <f t="shared" si="31"/>
        <v>0</v>
      </c>
      <c r="I153" s="572">
        <f t="shared" si="32"/>
        <v>0</v>
      </c>
      <c r="J153" s="504">
        <f t="shared" si="27"/>
        <v>0</v>
      </c>
      <c r="K153" s="504"/>
      <c r="L153" s="512"/>
      <c r="M153" s="504">
        <f t="shared" si="34"/>
        <v>0</v>
      </c>
      <c r="N153" s="512"/>
      <c r="O153" s="504">
        <f t="shared" si="35"/>
        <v>0</v>
      </c>
      <c r="P153" s="504">
        <f t="shared" si="36"/>
        <v>0</v>
      </c>
      <c r="Q153" s="243"/>
      <c r="R153" s="243"/>
      <c r="S153" s="243"/>
      <c r="T153" s="243"/>
      <c r="U153" s="243"/>
    </row>
    <row r="154" spans="2:21">
      <c r="B154" s="145" t="str">
        <f t="shared" si="21"/>
        <v/>
      </c>
      <c r="C154" s="495">
        <f>IF(D94="","-",+C153+1)</f>
        <v>2068</v>
      </c>
      <c r="D154" s="349">
        <f>IF(F153+SUM(E$100:E153)=D$93,F153,D$93-SUM(E$100:E153))</f>
        <v>0</v>
      </c>
      <c r="E154" s="509">
        <f t="shared" si="28"/>
        <v>0</v>
      </c>
      <c r="F154" s="510">
        <f t="shared" si="29"/>
        <v>0</v>
      </c>
      <c r="G154" s="510">
        <f t="shared" si="30"/>
        <v>0</v>
      </c>
      <c r="H154" s="523">
        <f t="shared" si="31"/>
        <v>0</v>
      </c>
      <c r="I154" s="572">
        <f t="shared" si="32"/>
        <v>0</v>
      </c>
      <c r="J154" s="504">
        <f t="shared" si="27"/>
        <v>0</v>
      </c>
      <c r="K154" s="504"/>
      <c r="L154" s="512"/>
      <c r="M154" s="504">
        <f t="shared" si="34"/>
        <v>0</v>
      </c>
      <c r="N154" s="512"/>
      <c r="O154" s="504">
        <f t="shared" si="35"/>
        <v>0</v>
      </c>
      <c r="P154" s="504">
        <f t="shared" si="36"/>
        <v>0</v>
      </c>
      <c r="Q154" s="243"/>
      <c r="R154" s="243"/>
      <c r="S154" s="243"/>
      <c r="T154" s="243"/>
      <c r="U154" s="243"/>
    </row>
    <row r="155" spans="2:21" ht="13.5" thickBot="1">
      <c r="B155" s="145" t="str">
        <f t="shared" si="21"/>
        <v/>
      </c>
      <c r="C155" s="524">
        <f>IF(D94="","-",+C154+1)</f>
        <v>2069</v>
      </c>
      <c r="D155" s="618">
        <f>IF(F154+SUM(E$100:E154)=D$93,F154,D$93-SUM(E$100:E154))</f>
        <v>0</v>
      </c>
      <c r="E155" s="526">
        <f t="shared" si="28"/>
        <v>0</v>
      </c>
      <c r="F155" s="527">
        <f t="shared" si="29"/>
        <v>0</v>
      </c>
      <c r="G155" s="527">
        <f t="shared" si="30"/>
        <v>0</v>
      </c>
      <c r="H155" s="528">
        <f t="shared" si="31"/>
        <v>0</v>
      </c>
      <c r="I155" s="573">
        <f t="shared" si="32"/>
        <v>0</v>
      </c>
      <c r="J155" s="531">
        <f t="shared" si="27"/>
        <v>0</v>
      </c>
      <c r="K155" s="504"/>
      <c r="L155" s="530"/>
      <c r="M155" s="531">
        <f t="shared" si="34"/>
        <v>0</v>
      </c>
      <c r="N155" s="530"/>
      <c r="O155" s="531">
        <f t="shared" si="35"/>
        <v>0</v>
      </c>
      <c r="P155" s="531">
        <f t="shared" si="36"/>
        <v>0</v>
      </c>
      <c r="Q155" s="243"/>
      <c r="R155" s="243"/>
      <c r="S155" s="243"/>
      <c r="T155" s="243"/>
      <c r="U155" s="243"/>
    </row>
    <row r="156" spans="2:21">
      <c r="C156" s="349" t="s">
        <v>75</v>
      </c>
      <c r="D156" s="294"/>
      <c r="E156" s="294">
        <f>SUM(E100:E155)</f>
        <v>10218098.370000003</v>
      </c>
      <c r="F156" s="294"/>
      <c r="G156" s="294"/>
      <c r="H156" s="294">
        <f>SUM(H100:H155)</f>
        <v>27384655.28583442</v>
      </c>
      <c r="I156" s="294">
        <f>SUM(I100:I155)</f>
        <v>27384655.28583442</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50" priority="1" stopIfTrue="1" operator="equal">
      <formula>$I$10</formula>
    </cfRule>
  </conditionalFormatting>
  <conditionalFormatting sqref="C100:C155">
    <cfRule type="cellIs" dxfId="49"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0"/>
  <dimension ref="A1:U163"/>
  <sheetViews>
    <sheetView view="pageBreakPreview" zoomScale="78" zoomScaleNormal="100" zoomScaleSheetLayoutView="78"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8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218362.14192772453</v>
      </c>
      <c r="P5" s="243"/>
      <c r="R5" s="243"/>
      <c r="S5" s="243"/>
      <c r="T5" s="243"/>
      <c r="U5" s="243"/>
    </row>
    <row r="6" spans="1:21" ht="15.75">
      <c r="C6" s="235"/>
      <c r="D6" s="292"/>
      <c r="E6" s="243"/>
      <c r="F6" s="243"/>
      <c r="G6" s="243"/>
      <c r="H6" s="449"/>
      <c r="I6" s="449"/>
      <c r="J6" s="450"/>
      <c r="K6" s="451" t="s">
        <v>243</v>
      </c>
      <c r="L6" s="452"/>
      <c r="M6" s="278"/>
      <c r="N6" s="453">
        <f>VLOOKUP(I10,C17:I73,6)</f>
        <v>218362.14192772453</v>
      </c>
      <c r="O6" s="243"/>
      <c r="P6" s="243"/>
      <c r="R6" s="243"/>
      <c r="S6" s="243"/>
      <c r="T6" s="243"/>
      <c r="U6" s="243"/>
    </row>
    <row r="7" spans="1:21" ht="13.5" thickBot="1">
      <c r="C7" s="454" t="s">
        <v>46</v>
      </c>
      <c r="D7" s="455" t="s">
        <v>215</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c r="E9" s="646" t="s">
        <v>305</v>
      </c>
      <c r="F9" s="465"/>
      <c r="G9" s="465"/>
      <c r="H9" s="465"/>
      <c r="I9" s="466"/>
      <c r="J9" s="467"/>
      <c r="O9" s="468"/>
      <c r="P9" s="278"/>
      <c r="R9" s="243"/>
      <c r="S9" s="243"/>
      <c r="T9" s="243"/>
      <c r="U9" s="243"/>
    </row>
    <row r="10" spans="1:21">
      <c r="C10" s="469" t="s">
        <v>49</v>
      </c>
      <c r="D10" s="470">
        <v>1864625</v>
      </c>
      <c r="E10" s="299" t="s">
        <v>50</v>
      </c>
      <c r="F10" s="468"/>
      <c r="G10" s="408"/>
      <c r="H10" s="408"/>
      <c r="I10" s="471">
        <f>+'OKT.WS.F.BPU.ATRR.Projected'!R101</f>
        <v>2024</v>
      </c>
      <c r="J10" s="467"/>
      <c r="K10" s="294" t="s">
        <v>51</v>
      </c>
      <c r="O10" s="278"/>
      <c r="P10" s="278"/>
      <c r="R10" s="243"/>
      <c r="S10" s="243"/>
      <c r="T10" s="243"/>
      <c r="U10" s="243"/>
    </row>
    <row r="11" spans="1:21">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0.11393163315254198</v>
      </c>
      <c r="J12" s="413"/>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60149.193548387098</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2014</v>
      </c>
      <c r="D17" s="496">
        <v>669000</v>
      </c>
      <c r="E17" s="497">
        <v>5786.5857813386465</v>
      </c>
      <c r="F17" s="496">
        <v>663213.41421866138</v>
      </c>
      <c r="G17" s="497">
        <v>48353.352128136466</v>
      </c>
      <c r="H17" s="499">
        <v>48353.352128136466</v>
      </c>
      <c r="I17" s="500">
        <v>0</v>
      </c>
      <c r="J17" s="500"/>
      <c r="K17" s="501">
        <f t="shared" ref="K17:K22" si="1">G17</f>
        <v>48353.352128136466</v>
      </c>
      <c r="L17" s="502">
        <f t="shared" ref="L17:L22" si="2">IF(K17&lt;&gt;0,+G17-K17,0)</f>
        <v>0</v>
      </c>
      <c r="M17" s="501">
        <f t="shared" ref="M17:M22" si="3">H17</f>
        <v>48353.352128136466</v>
      </c>
      <c r="N17" s="503">
        <f>IF(M17&lt;&gt;0,+H17-M17,0)</f>
        <v>0</v>
      </c>
      <c r="O17" s="504">
        <f>+N17-L17</f>
        <v>0</v>
      </c>
      <c r="P17" s="278"/>
      <c r="R17" s="243"/>
      <c r="S17" s="243"/>
      <c r="T17" s="243"/>
      <c r="U17" s="243"/>
    </row>
    <row r="18" spans="2:21">
      <c r="B18" s="145" t="str">
        <f t="shared" si="0"/>
        <v/>
      </c>
      <c r="C18" s="495">
        <f>IF(D11="","-",+C17+1)</f>
        <v>2015</v>
      </c>
      <c r="D18" s="614">
        <v>663213.41421866138</v>
      </c>
      <c r="E18" s="613">
        <v>32256.539821806971</v>
      </c>
      <c r="F18" s="614">
        <v>630956.87439685443</v>
      </c>
      <c r="G18" s="613">
        <v>97286.386538537452</v>
      </c>
      <c r="H18" s="617">
        <v>97286.386538537452</v>
      </c>
      <c r="I18" s="500">
        <v>0</v>
      </c>
      <c r="J18" s="500"/>
      <c r="K18" s="506">
        <f t="shared" si="1"/>
        <v>97286.386538537452</v>
      </c>
      <c r="L18" s="507">
        <f t="shared" si="2"/>
        <v>0</v>
      </c>
      <c r="M18" s="506">
        <f t="shared" si="3"/>
        <v>97286.386538537452</v>
      </c>
      <c r="N18" s="504">
        <f>IF(M18&lt;&gt;0,+H18-M18,0)</f>
        <v>0</v>
      </c>
      <c r="O18" s="504">
        <f>+N18-L18</f>
        <v>0</v>
      </c>
      <c r="P18" s="278"/>
      <c r="R18" s="243"/>
      <c r="S18" s="243"/>
      <c r="T18" s="243"/>
      <c r="U18" s="243"/>
    </row>
    <row r="19" spans="2:21">
      <c r="B19" s="145" t="str">
        <f t="shared" si="0"/>
        <v>IU</v>
      </c>
      <c r="C19" s="495">
        <f>IF(D11="","-",+C18+1)</f>
        <v>2016</v>
      </c>
      <c r="D19" s="614">
        <v>1826581.8843968543</v>
      </c>
      <c r="E19" s="613">
        <v>38745.889906300305</v>
      </c>
      <c r="F19" s="614">
        <v>1787835.9944905541</v>
      </c>
      <c r="G19" s="613">
        <v>231618.29862330039</v>
      </c>
      <c r="H19" s="617">
        <v>231618.29862330039</v>
      </c>
      <c r="I19" s="500">
        <f>H19-G19</f>
        <v>0</v>
      </c>
      <c r="J19" s="500"/>
      <c r="K19" s="506">
        <f t="shared" si="1"/>
        <v>231618.29862330039</v>
      </c>
      <c r="L19" s="507">
        <f t="shared" si="2"/>
        <v>0</v>
      </c>
      <c r="M19" s="506">
        <f t="shared" si="3"/>
        <v>231618.29862330039</v>
      </c>
      <c r="N19" s="504">
        <f t="shared" ref="N19:N73" si="4">IF(M19&lt;&gt;0,+H19-M19,0)</f>
        <v>0</v>
      </c>
      <c r="O19" s="504">
        <f t="shared" ref="O19:O73" si="5">+N19-L19</f>
        <v>0</v>
      </c>
      <c r="P19" s="278"/>
      <c r="R19" s="243"/>
      <c r="S19" s="243"/>
      <c r="T19" s="243"/>
      <c r="U19" s="243"/>
    </row>
    <row r="20" spans="2:21">
      <c r="B20" s="145" t="str">
        <f t="shared" si="0"/>
        <v/>
      </c>
      <c r="C20" s="495">
        <f>IF(D11="","-",+C19+1)</f>
        <v>2017</v>
      </c>
      <c r="D20" s="614">
        <v>1787835.9944905541</v>
      </c>
      <c r="E20" s="613">
        <v>36662.21925080863</v>
      </c>
      <c r="F20" s="614">
        <v>1751173.7752397454</v>
      </c>
      <c r="G20" s="613">
        <v>231201.53737593384</v>
      </c>
      <c r="H20" s="617">
        <v>231201.53737593384</v>
      </c>
      <c r="I20" s="500">
        <f t="shared" ref="I20:I73" si="6">H20-G20</f>
        <v>0</v>
      </c>
      <c r="J20" s="500"/>
      <c r="K20" s="506">
        <f t="shared" si="1"/>
        <v>231201.53737593384</v>
      </c>
      <c r="L20" s="507">
        <f t="shared" si="2"/>
        <v>0</v>
      </c>
      <c r="M20" s="506">
        <f t="shared" si="3"/>
        <v>231201.53737593384</v>
      </c>
      <c r="N20" s="504">
        <f>IF(M20&lt;&gt;0,+H20-M20,0)</f>
        <v>0</v>
      </c>
      <c r="O20" s="504">
        <f>+N20-L20</f>
        <v>0</v>
      </c>
      <c r="P20" s="278"/>
      <c r="R20" s="243"/>
      <c r="S20" s="243"/>
      <c r="T20" s="243"/>
      <c r="U20" s="243"/>
    </row>
    <row r="21" spans="2:21">
      <c r="B21" s="145" t="str">
        <f t="shared" si="0"/>
        <v/>
      </c>
      <c r="C21" s="495">
        <f>IF(D11="","-",+C20+1)</f>
        <v>2018</v>
      </c>
      <c r="D21" s="614">
        <v>1751173.7752397454</v>
      </c>
      <c r="E21" s="613">
        <v>45729.148838219895</v>
      </c>
      <c r="F21" s="614">
        <v>1705444.6264015255</v>
      </c>
      <c r="G21" s="613">
        <v>221366.23750408986</v>
      </c>
      <c r="H21" s="617">
        <v>221366.23750408986</v>
      </c>
      <c r="I21" s="500">
        <v>0</v>
      </c>
      <c r="J21" s="500"/>
      <c r="K21" s="506">
        <f t="shared" si="1"/>
        <v>221366.23750408986</v>
      </c>
      <c r="L21" s="507">
        <f t="shared" si="2"/>
        <v>0</v>
      </c>
      <c r="M21" s="506">
        <f t="shared" si="3"/>
        <v>221366.23750408986</v>
      </c>
      <c r="N21" s="504">
        <f>IF(M21&lt;&gt;0,+H21-M21,0)</f>
        <v>0</v>
      </c>
      <c r="O21" s="504">
        <f>+N21-L21</f>
        <v>0</v>
      </c>
      <c r="P21" s="278"/>
      <c r="R21" s="243"/>
      <c r="S21" s="243"/>
      <c r="T21" s="243"/>
      <c r="U21" s="243"/>
    </row>
    <row r="22" spans="2:21">
      <c r="B22" s="145" t="str">
        <f t="shared" si="0"/>
        <v/>
      </c>
      <c r="C22" s="495">
        <f>IF(D11="","-",+C21+1)</f>
        <v>2019</v>
      </c>
      <c r="D22" s="614">
        <v>1705444.6264015255</v>
      </c>
      <c r="E22" s="613">
        <v>55302.6277388339</v>
      </c>
      <c r="F22" s="614">
        <v>1650141.9986626916</v>
      </c>
      <c r="G22" s="613">
        <v>229685.69393356299</v>
      </c>
      <c r="H22" s="617">
        <v>229685.69393356299</v>
      </c>
      <c r="I22" s="500">
        <f t="shared" si="6"/>
        <v>0</v>
      </c>
      <c r="J22" s="500"/>
      <c r="K22" s="506">
        <f t="shared" si="1"/>
        <v>229685.69393356299</v>
      </c>
      <c r="L22" s="507">
        <f t="shared" si="2"/>
        <v>0</v>
      </c>
      <c r="M22" s="506">
        <f t="shared" si="3"/>
        <v>229685.69393356299</v>
      </c>
      <c r="N22" s="504">
        <f>IF(M22&lt;&gt;0,+H22-M22,0)</f>
        <v>0</v>
      </c>
      <c r="O22" s="504">
        <f>+N22-L22</f>
        <v>0</v>
      </c>
      <c r="P22" s="278"/>
      <c r="R22" s="243"/>
      <c r="S22" s="243"/>
      <c r="T22" s="243"/>
      <c r="U22" s="243"/>
    </row>
    <row r="23" spans="2:21">
      <c r="B23" s="145" t="str">
        <f t="shared" si="0"/>
        <v>IU</v>
      </c>
      <c r="C23" s="495">
        <f>IF(D11="","-",+C22+1)</f>
        <v>2020</v>
      </c>
      <c r="D23" s="614">
        <v>1659715.4775633055</v>
      </c>
      <c r="E23" s="613">
        <v>54599.54020149546</v>
      </c>
      <c r="F23" s="614">
        <v>1605115.9373618101</v>
      </c>
      <c r="G23" s="613">
        <v>225892.94644088054</v>
      </c>
      <c r="H23" s="617">
        <v>225892.94644088054</v>
      </c>
      <c r="I23" s="500">
        <f t="shared" si="6"/>
        <v>0</v>
      </c>
      <c r="J23" s="500"/>
      <c r="K23" s="506">
        <f t="shared" ref="K23" si="7">G23</f>
        <v>225892.94644088054</v>
      </c>
      <c r="L23" s="507">
        <f t="shared" ref="L23" si="8">IF(K23&lt;&gt;0,+G23-K23,0)</f>
        <v>0</v>
      </c>
      <c r="M23" s="506">
        <f t="shared" ref="M23" si="9">H23</f>
        <v>225892.94644088054</v>
      </c>
      <c r="N23" s="504">
        <f>IF(M23&lt;&gt;0,+H23-M23,0)</f>
        <v>0</v>
      </c>
      <c r="O23" s="504">
        <f>+N23-L23</f>
        <v>0</v>
      </c>
      <c r="P23" s="278"/>
      <c r="R23" s="243"/>
      <c r="S23" s="243"/>
      <c r="T23" s="243"/>
      <c r="U23" s="243"/>
    </row>
    <row r="24" spans="2:21">
      <c r="B24" s="145" t="str">
        <f t="shared" si="0"/>
        <v>IU</v>
      </c>
      <c r="C24" s="495">
        <f>IF(D11="","-",+C23+1)</f>
        <v>2021</v>
      </c>
      <c r="D24" s="614">
        <v>1595542.4584611962</v>
      </c>
      <c r="E24" s="613">
        <v>60149.193870967742</v>
      </c>
      <c r="F24" s="614">
        <v>1535393.2645902284</v>
      </c>
      <c r="G24" s="613">
        <v>229509.43964714528</v>
      </c>
      <c r="H24" s="617">
        <v>229509.43964714528</v>
      </c>
      <c r="I24" s="500">
        <f t="shared" si="6"/>
        <v>0</v>
      </c>
      <c r="J24" s="500"/>
      <c r="K24" s="506">
        <f t="shared" ref="K24" si="10">G24</f>
        <v>229509.43964714528</v>
      </c>
      <c r="L24" s="507">
        <f t="shared" ref="L24" si="11">IF(K24&lt;&gt;0,+G24-K24,0)</f>
        <v>0</v>
      </c>
      <c r="M24" s="506">
        <f t="shared" ref="M24" si="12">H24</f>
        <v>229509.43964714528</v>
      </c>
      <c r="N24" s="504">
        <f t="shared" si="4"/>
        <v>0</v>
      </c>
      <c r="O24" s="504">
        <f t="shared" si="5"/>
        <v>0</v>
      </c>
      <c r="P24" s="278"/>
      <c r="R24" s="243"/>
      <c r="S24" s="243"/>
      <c r="T24" s="243"/>
      <c r="U24" s="243"/>
    </row>
    <row r="25" spans="2:21">
      <c r="B25" s="145" t="str">
        <f t="shared" si="0"/>
        <v/>
      </c>
      <c r="C25" s="580">
        <f>IF(D11="","-",+C24+1)</f>
        <v>2022</v>
      </c>
      <c r="D25" s="614">
        <v>1535393.2645902284</v>
      </c>
      <c r="E25" s="613">
        <v>56503.788181818185</v>
      </c>
      <c r="F25" s="614">
        <v>1478889.4764084104</v>
      </c>
      <c r="G25" s="613">
        <v>229461.48395077669</v>
      </c>
      <c r="H25" s="617">
        <v>229461.48395077669</v>
      </c>
      <c r="I25" s="500">
        <f t="shared" si="6"/>
        <v>0</v>
      </c>
      <c r="J25" s="500"/>
      <c r="K25" s="506">
        <f t="shared" ref="K25" si="13">G25</f>
        <v>229461.48395077669</v>
      </c>
      <c r="L25" s="507">
        <f t="shared" ref="L25" si="14">IF(K25&lt;&gt;0,+G25-K25,0)</f>
        <v>0</v>
      </c>
      <c r="M25" s="506">
        <f t="shared" ref="M25" si="15">H25</f>
        <v>229461.48395077669</v>
      </c>
      <c r="N25" s="504">
        <f t="shared" si="4"/>
        <v>0</v>
      </c>
      <c r="O25" s="504">
        <f t="shared" si="5"/>
        <v>0</v>
      </c>
      <c r="P25" s="278"/>
      <c r="R25" s="243"/>
      <c r="S25" s="243"/>
      <c r="T25" s="243"/>
      <c r="U25" s="243"/>
    </row>
    <row r="26" spans="2:21">
      <c r="B26" s="145" t="str">
        <f t="shared" si="0"/>
        <v>IU</v>
      </c>
      <c r="C26" s="495">
        <f>IF(D11="","-",+C25+1)</f>
        <v>2023</v>
      </c>
      <c r="D26" s="614">
        <v>1478889.4664084103</v>
      </c>
      <c r="E26" s="613">
        <v>60149.193548387098</v>
      </c>
      <c r="F26" s="614">
        <v>1418740.2728600232</v>
      </c>
      <c r="G26" s="613">
        <v>223912.8746819201</v>
      </c>
      <c r="H26" s="617">
        <v>223912.8746819201</v>
      </c>
      <c r="I26" s="500">
        <f t="shared" si="6"/>
        <v>0</v>
      </c>
      <c r="J26" s="500"/>
      <c r="K26" s="512"/>
      <c r="L26" s="504">
        <f t="shared" ref="L26:L73" si="16">IF(K26&lt;&gt;0,+G26-K26,0)</f>
        <v>0</v>
      </c>
      <c r="M26" s="512"/>
      <c r="N26" s="504">
        <f t="shared" si="4"/>
        <v>0</v>
      </c>
      <c r="O26" s="504">
        <f t="shared" si="5"/>
        <v>0</v>
      </c>
      <c r="P26" s="278"/>
      <c r="R26" s="243"/>
      <c r="S26" s="243"/>
      <c r="T26" s="243"/>
      <c r="U26" s="243"/>
    </row>
    <row r="27" spans="2:21">
      <c r="B27" s="145" t="str">
        <f t="shared" si="0"/>
        <v/>
      </c>
      <c r="C27" s="495">
        <f>IF(D11="","-",+C26+1)</f>
        <v>2024</v>
      </c>
      <c r="D27" s="508">
        <f>IF(F26+SUM(E$17:E26)=D$10,F26,D$10-SUM(E$17:E26))</f>
        <v>1418740.2728600232</v>
      </c>
      <c r="E27" s="509">
        <f t="shared" ref="E27:E73" si="17">IF(+$I$14&lt;F26,$I$14,D27)</f>
        <v>60149.193548387098</v>
      </c>
      <c r="F27" s="510">
        <f t="shared" ref="F27:F73" si="18">+D27-E27</f>
        <v>1358591.079311636</v>
      </c>
      <c r="G27" s="511">
        <f t="shared" ref="G27:G73" si="19">(D27+F27)/2*I$12+E27</f>
        <v>218362.14192772453</v>
      </c>
      <c r="H27" s="477">
        <f t="shared" ref="H27:H73" si="20">+(D27+F27)/2*I$13+E27</f>
        <v>218362.14192772453</v>
      </c>
      <c r="I27" s="500">
        <f t="shared" si="6"/>
        <v>0</v>
      </c>
      <c r="J27" s="500"/>
      <c r="K27" s="512"/>
      <c r="L27" s="504">
        <f t="shared" si="16"/>
        <v>0</v>
      </c>
      <c r="M27" s="512"/>
      <c r="N27" s="504">
        <f t="shared" si="4"/>
        <v>0</v>
      </c>
      <c r="O27" s="504">
        <f t="shared" si="5"/>
        <v>0</v>
      </c>
      <c r="P27" s="278"/>
      <c r="R27" s="243"/>
      <c r="S27" s="243"/>
      <c r="T27" s="243"/>
      <c r="U27" s="243"/>
    </row>
    <row r="28" spans="2:21">
      <c r="B28" s="145" t="str">
        <f t="shared" si="0"/>
        <v/>
      </c>
      <c r="C28" s="495">
        <f>IF(D11="","-",+C27+1)</f>
        <v>2025</v>
      </c>
      <c r="D28" s="508">
        <f>IF(F27+SUM(E$17:E27)=D$10,F27,D$10-SUM(E$17:E27))</f>
        <v>1358591.079311636</v>
      </c>
      <c r="E28" s="509">
        <f t="shared" si="17"/>
        <v>60149.193548387098</v>
      </c>
      <c r="F28" s="510">
        <f t="shared" si="18"/>
        <v>1298441.8857632489</v>
      </c>
      <c r="G28" s="511">
        <f t="shared" si="19"/>
        <v>211509.24607394842</v>
      </c>
      <c r="H28" s="477">
        <f t="shared" si="20"/>
        <v>211509.24607394842</v>
      </c>
      <c r="I28" s="500">
        <f t="shared" si="6"/>
        <v>0</v>
      </c>
      <c r="J28" s="500"/>
      <c r="K28" s="512"/>
      <c r="L28" s="504">
        <f t="shared" si="16"/>
        <v>0</v>
      </c>
      <c r="M28" s="512"/>
      <c r="N28" s="504">
        <f t="shared" si="4"/>
        <v>0</v>
      </c>
      <c r="O28" s="504">
        <f t="shared" si="5"/>
        <v>0</v>
      </c>
      <c r="P28" s="278"/>
      <c r="R28" s="243"/>
      <c r="S28" s="243"/>
      <c r="T28" s="243"/>
      <c r="U28" s="243"/>
    </row>
    <row r="29" spans="2:21">
      <c r="B29" s="145" t="str">
        <f t="shared" si="0"/>
        <v/>
      </c>
      <c r="C29" s="495">
        <f>IF(D11="","-",+C28+1)</f>
        <v>2026</v>
      </c>
      <c r="D29" s="508">
        <f>IF(F28+SUM(E$17:E28)=D$10,F28,D$10-SUM(E$17:E28))</f>
        <v>1298441.8857632489</v>
      </c>
      <c r="E29" s="509">
        <f t="shared" si="17"/>
        <v>60149.193548387098</v>
      </c>
      <c r="F29" s="510">
        <f t="shared" si="18"/>
        <v>1238292.6922148617</v>
      </c>
      <c r="G29" s="511">
        <f t="shared" si="19"/>
        <v>204656.35022017235</v>
      </c>
      <c r="H29" s="477">
        <f t="shared" si="20"/>
        <v>204656.35022017235</v>
      </c>
      <c r="I29" s="500">
        <f t="shared" si="6"/>
        <v>0</v>
      </c>
      <c r="J29" s="500"/>
      <c r="K29" s="512"/>
      <c r="L29" s="504">
        <f t="shared" si="16"/>
        <v>0</v>
      </c>
      <c r="M29" s="512"/>
      <c r="N29" s="504">
        <f t="shared" si="4"/>
        <v>0</v>
      </c>
      <c r="O29" s="504">
        <f t="shared" si="5"/>
        <v>0</v>
      </c>
      <c r="P29" s="278"/>
      <c r="R29" s="243"/>
      <c r="S29" s="243"/>
      <c r="T29" s="243"/>
      <c r="U29" s="243"/>
    </row>
    <row r="30" spans="2:21">
      <c r="B30" s="145" t="str">
        <f t="shared" si="0"/>
        <v/>
      </c>
      <c r="C30" s="495">
        <f>IF(D11="","-",+C29+1)</f>
        <v>2027</v>
      </c>
      <c r="D30" s="508">
        <f>IF(F29+SUM(E$17:E29)=D$10,F29,D$10-SUM(E$17:E29))</f>
        <v>1238292.6922148617</v>
      </c>
      <c r="E30" s="509">
        <f t="shared" si="17"/>
        <v>60149.193548387098</v>
      </c>
      <c r="F30" s="510">
        <f t="shared" si="18"/>
        <v>1178143.4986664746</v>
      </c>
      <c r="G30" s="511">
        <f t="shared" si="19"/>
        <v>197803.45436639624</v>
      </c>
      <c r="H30" s="477">
        <f t="shared" si="20"/>
        <v>197803.45436639624</v>
      </c>
      <c r="I30" s="500">
        <f t="shared" si="6"/>
        <v>0</v>
      </c>
      <c r="J30" s="500"/>
      <c r="K30" s="512"/>
      <c r="L30" s="504">
        <f t="shared" si="16"/>
        <v>0</v>
      </c>
      <c r="M30" s="512"/>
      <c r="N30" s="504">
        <f t="shared" si="4"/>
        <v>0</v>
      </c>
      <c r="O30" s="504">
        <f t="shared" si="5"/>
        <v>0</v>
      </c>
      <c r="P30" s="278"/>
      <c r="R30" s="243"/>
      <c r="S30" s="243"/>
      <c r="T30" s="243"/>
      <c r="U30" s="243"/>
    </row>
    <row r="31" spans="2:21">
      <c r="B31" s="145" t="str">
        <f t="shared" si="0"/>
        <v/>
      </c>
      <c r="C31" s="495">
        <f>IF(D11="","-",+C30+1)</f>
        <v>2028</v>
      </c>
      <c r="D31" s="508">
        <f>IF(F30+SUM(E$17:E30)=D$10,F30,D$10-SUM(E$17:E30))</f>
        <v>1178143.4986664746</v>
      </c>
      <c r="E31" s="509">
        <f t="shared" si="17"/>
        <v>60149.193548387098</v>
      </c>
      <c r="F31" s="510">
        <f t="shared" si="18"/>
        <v>1117994.3051180874</v>
      </c>
      <c r="G31" s="511">
        <f t="shared" si="19"/>
        <v>190950.55851262019</v>
      </c>
      <c r="H31" s="477">
        <f t="shared" si="20"/>
        <v>190950.55851262019</v>
      </c>
      <c r="I31" s="500">
        <f t="shared" si="6"/>
        <v>0</v>
      </c>
      <c r="J31" s="500"/>
      <c r="K31" s="512"/>
      <c r="L31" s="504">
        <f t="shared" si="16"/>
        <v>0</v>
      </c>
      <c r="M31" s="512"/>
      <c r="N31" s="504">
        <f t="shared" si="4"/>
        <v>0</v>
      </c>
      <c r="O31" s="504">
        <f t="shared" si="5"/>
        <v>0</v>
      </c>
      <c r="P31" s="278"/>
      <c r="Q31" s="220"/>
      <c r="R31" s="278"/>
      <c r="S31" s="278"/>
      <c r="T31" s="278"/>
      <c r="U31" s="243"/>
    </row>
    <row r="32" spans="2:21">
      <c r="B32" s="145" t="str">
        <f t="shared" si="0"/>
        <v/>
      </c>
      <c r="C32" s="495">
        <f>IF(D12="","-",+C31+1)</f>
        <v>2029</v>
      </c>
      <c r="D32" s="508">
        <f>IF(F31+SUM(E$17:E31)=D$10,F31,D$10-SUM(E$17:E31))</f>
        <v>1117994.3051180874</v>
      </c>
      <c r="E32" s="509">
        <f>IF(+$I$14&lt;F31,$I$14,D32)</f>
        <v>60149.193548387098</v>
      </c>
      <c r="F32" s="510">
        <f>+D32-E32</f>
        <v>1057845.1115697003</v>
      </c>
      <c r="G32" s="511">
        <f t="shared" si="19"/>
        <v>184097.66265884406</v>
      </c>
      <c r="H32" s="477">
        <f t="shared" si="20"/>
        <v>184097.66265884406</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2030</v>
      </c>
      <c r="D33" s="508">
        <f>IF(F32+SUM(E$17:E32)=D$10,F32,D$10-SUM(E$17:E32))</f>
        <v>1057845.1115697003</v>
      </c>
      <c r="E33" s="509">
        <f>IF(+$I$14&lt;F32,$I$14,D33)</f>
        <v>60149.193548387098</v>
      </c>
      <c r="F33" s="510">
        <f>+D33-E33</f>
        <v>997695.91802131315</v>
      </c>
      <c r="G33" s="511">
        <f t="shared" si="19"/>
        <v>177244.76680506801</v>
      </c>
      <c r="H33" s="477">
        <f t="shared" si="20"/>
        <v>177244.76680506801</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2031</v>
      </c>
      <c r="D34" s="514">
        <f>IF(F33+SUM(E$17:E33)=D$10,F33,D$10-SUM(E$17:E33))</f>
        <v>997695.91802131315</v>
      </c>
      <c r="E34" s="515">
        <f t="shared" si="17"/>
        <v>60149.193548387098</v>
      </c>
      <c r="F34" s="516">
        <f t="shared" si="18"/>
        <v>937546.724472926</v>
      </c>
      <c r="G34" s="517">
        <f t="shared" si="19"/>
        <v>170391.8709512919</v>
      </c>
      <c r="H34" s="518">
        <f t="shared" si="20"/>
        <v>170391.8709512919</v>
      </c>
      <c r="I34" s="519">
        <f t="shared" si="6"/>
        <v>0</v>
      </c>
      <c r="J34" s="519"/>
      <c r="K34" s="520"/>
      <c r="L34" s="521">
        <f t="shared" si="16"/>
        <v>0</v>
      </c>
      <c r="M34" s="520"/>
      <c r="N34" s="521">
        <f t="shared" si="4"/>
        <v>0</v>
      </c>
      <c r="O34" s="521">
        <f t="shared" si="5"/>
        <v>0</v>
      </c>
      <c r="P34" s="522"/>
      <c r="Q34" s="216"/>
      <c r="R34" s="522"/>
      <c r="S34" s="522"/>
      <c r="T34" s="522"/>
      <c r="U34" s="243"/>
    </row>
    <row r="35" spans="2:21">
      <c r="B35" s="145" t="str">
        <f t="shared" si="0"/>
        <v/>
      </c>
      <c r="C35" s="495">
        <f>IF(D11="","-",+C34+1)</f>
        <v>2032</v>
      </c>
      <c r="D35" s="508">
        <f>IF(F34+SUM(E$17:E34)=D$10,F34,D$10-SUM(E$17:E34))</f>
        <v>937546.724472926</v>
      </c>
      <c r="E35" s="509">
        <f t="shared" si="17"/>
        <v>60149.193548387098</v>
      </c>
      <c r="F35" s="510">
        <f t="shared" si="18"/>
        <v>877397.53092453885</v>
      </c>
      <c r="G35" s="511">
        <f t="shared" si="19"/>
        <v>163538.97509751582</v>
      </c>
      <c r="H35" s="477">
        <f t="shared" si="20"/>
        <v>163538.97509751582</v>
      </c>
      <c r="I35" s="500">
        <f t="shared" si="6"/>
        <v>0</v>
      </c>
      <c r="J35" s="500"/>
      <c r="K35" s="512"/>
      <c r="L35" s="504">
        <f t="shared" si="16"/>
        <v>0</v>
      </c>
      <c r="M35" s="512"/>
      <c r="N35" s="504">
        <f t="shared" si="4"/>
        <v>0</v>
      </c>
      <c r="O35" s="504">
        <f t="shared" si="5"/>
        <v>0</v>
      </c>
      <c r="P35" s="278"/>
      <c r="R35" s="243"/>
      <c r="S35" s="243"/>
      <c r="T35" s="243"/>
      <c r="U35" s="243"/>
    </row>
    <row r="36" spans="2:21">
      <c r="B36" s="145" t="str">
        <f t="shared" si="0"/>
        <v/>
      </c>
      <c r="C36" s="495">
        <f>IF(D11="","-",+C35+1)</f>
        <v>2033</v>
      </c>
      <c r="D36" s="508">
        <f>IF(F35+SUM(E$17:E35)=D$10,F35,D$10-SUM(E$17:E35))</f>
        <v>877397.53092453885</v>
      </c>
      <c r="E36" s="509">
        <f t="shared" si="17"/>
        <v>60149.193548387098</v>
      </c>
      <c r="F36" s="510">
        <f t="shared" si="18"/>
        <v>817248.3373761517</v>
      </c>
      <c r="G36" s="511">
        <f t="shared" si="19"/>
        <v>156686.07924373972</v>
      </c>
      <c r="H36" s="477">
        <f t="shared" si="20"/>
        <v>156686.07924373972</v>
      </c>
      <c r="I36" s="500">
        <f t="shared" si="6"/>
        <v>0</v>
      </c>
      <c r="J36" s="500"/>
      <c r="K36" s="512"/>
      <c r="L36" s="504">
        <f t="shared" si="16"/>
        <v>0</v>
      </c>
      <c r="M36" s="512"/>
      <c r="N36" s="504">
        <f t="shared" si="4"/>
        <v>0</v>
      </c>
      <c r="O36" s="504">
        <f t="shared" si="5"/>
        <v>0</v>
      </c>
      <c r="P36" s="278"/>
      <c r="R36" s="243"/>
      <c r="S36" s="243"/>
      <c r="T36" s="243"/>
      <c r="U36" s="243"/>
    </row>
    <row r="37" spans="2:21">
      <c r="B37" s="145" t="str">
        <f t="shared" si="0"/>
        <v/>
      </c>
      <c r="C37" s="495">
        <f>IF(D11="","-",+C36+1)</f>
        <v>2034</v>
      </c>
      <c r="D37" s="508">
        <f>IF(F36+SUM(E$17:E36)=D$10,F36,D$10-SUM(E$17:E36))</f>
        <v>817248.3373761517</v>
      </c>
      <c r="E37" s="509">
        <f t="shared" si="17"/>
        <v>60149.193548387098</v>
      </c>
      <c r="F37" s="510">
        <f t="shared" si="18"/>
        <v>757099.14382776455</v>
      </c>
      <c r="G37" s="511">
        <f t="shared" si="19"/>
        <v>149833.18338996364</v>
      </c>
      <c r="H37" s="477">
        <f t="shared" si="20"/>
        <v>149833.18338996364</v>
      </c>
      <c r="I37" s="500">
        <f t="shared" si="6"/>
        <v>0</v>
      </c>
      <c r="J37" s="500"/>
      <c r="K37" s="512"/>
      <c r="L37" s="504">
        <f t="shared" si="16"/>
        <v>0</v>
      </c>
      <c r="M37" s="512"/>
      <c r="N37" s="504">
        <f t="shared" si="4"/>
        <v>0</v>
      </c>
      <c r="O37" s="504">
        <f t="shared" si="5"/>
        <v>0</v>
      </c>
      <c r="P37" s="278"/>
      <c r="R37" s="243"/>
      <c r="S37" s="243"/>
      <c r="T37" s="243"/>
      <c r="U37" s="243"/>
    </row>
    <row r="38" spans="2:21">
      <c r="B38" s="145" t="str">
        <f t="shared" si="0"/>
        <v/>
      </c>
      <c r="C38" s="495">
        <f>IF(D11="","-",+C37+1)</f>
        <v>2035</v>
      </c>
      <c r="D38" s="508">
        <f>IF(F37+SUM(E$17:E37)=D$10,F37,D$10-SUM(E$17:E37))</f>
        <v>757099.14382776455</v>
      </c>
      <c r="E38" s="509">
        <f t="shared" si="17"/>
        <v>60149.193548387098</v>
      </c>
      <c r="F38" s="510">
        <f t="shared" si="18"/>
        <v>696949.9502793774</v>
      </c>
      <c r="G38" s="511">
        <f t="shared" si="19"/>
        <v>142980.28753618753</v>
      </c>
      <c r="H38" s="477">
        <f t="shared" si="20"/>
        <v>142980.28753618753</v>
      </c>
      <c r="I38" s="500">
        <f t="shared" si="6"/>
        <v>0</v>
      </c>
      <c r="J38" s="500"/>
      <c r="K38" s="512"/>
      <c r="L38" s="504">
        <f t="shared" si="16"/>
        <v>0</v>
      </c>
      <c r="M38" s="512"/>
      <c r="N38" s="504">
        <f t="shared" si="4"/>
        <v>0</v>
      </c>
      <c r="O38" s="504">
        <f t="shared" si="5"/>
        <v>0</v>
      </c>
      <c r="P38" s="278"/>
      <c r="R38" s="243"/>
      <c r="S38" s="243"/>
      <c r="T38" s="243"/>
      <c r="U38" s="243"/>
    </row>
    <row r="39" spans="2:21">
      <c r="B39" s="145" t="str">
        <f t="shared" si="0"/>
        <v/>
      </c>
      <c r="C39" s="495">
        <f>IF(D11="","-",+C38+1)</f>
        <v>2036</v>
      </c>
      <c r="D39" s="508">
        <f>IF(F38+SUM(E$17:E38)=D$10,F38,D$10-SUM(E$17:E38))</f>
        <v>696949.9502793774</v>
      </c>
      <c r="E39" s="509">
        <f t="shared" si="17"/>
        <v>60149.193548387098</v>
      </c>
      <c r="F39" s="510">
        <f t="shared" si="18"/>
        <v>636800.75673099025</v>
      </c>
      <c r="G39" s="511">
        <f t="shared" si="19"/>
        <v>136127.39168241146</v>
      </c>
      <c r="H39" s="477">
        <f t="shared" si="20"/>
        <v>136127.39168241146</v>
      </c>
      <c r="I39" s="500">
        <f t="shared" si="6"/>
        <v>0</v>
      </c>
      <c r="J39" s="500"/>
      <c r="K39" s="512"/>
      <c r="L39" s="504">
        <f t="shared" si="16"/>
        <v>0</v>
      </c>
      <c r="M39" s="512"/>
      <c r="N39" s="504">
        <f t="shared" si="4"/>
        <v>0</v>
      </c>
      <c r="O39" s="504">
        <f t="shared" si="5"/>
        <v>0</v>
      </c>
      <c r="P39" s="278"/>
      <c r="R39" s="243"/>
      <c r="S39" s="243"/>
      <c r="T39" s="243"/>
      <c r="U39" s="243"/>
    </row>
    <row r="40" spans="2:21">
      <c r="B40" s="145" t="str">
        <f t="shared" si="0"/>
        <v/>
      </c>
      <c r="C40" s="495">
        <f>IF(D11="","-",+C39+1)</f>
        <v>2037</v>
      </c>
      <c r="D40" s="508">
        <f>IF(F39+SUM(E$17:E39)=D$10,F39,D$10-SUM(E$17:E39))</f>
        <v>636800.75673099025</v>
      </c>
      <c r="E40" s="509">
        <f t="shared" si="17"/>
        <v>60149.193548387098</v>
      </c>
      <c r="F40" s="510">
        <f t="shared" si="18"/>
        <v>576651.5631826031</v>
      </c>
      <c r="G40" s="511">
        <f t="shared" si="19"/>
        <v>129274.49582863538</v>
      </c>
      <c r="H40" s="477">
        <f t="shared" si="20"/>
        <v>129274.49582863538</v>
      </c>
      <c r="I40" s="500">
        <f t="shared" si="6"/>
        <v>0</v>
      </c>
      <c r="J40" s="500"/>
      <c r="K40" s="512"/>
      <c r="L40" s="504">
        <f t="shared" si="16"/>
        <v>0</v>
      </c>
      <c r="M40" s="512"/>
      <c r="N40" s="504">
        <f t="shared" si="4"/>
        <v>0</v>
      </c>
      <c r="O40" s="504">
        <f t="shared" si="5"/>
        <v>0</v>
      </c>
      <c r="P40" s="278"/>
      <c r="R40" s="243"/>
      <c r="S40" s="243"/>
      <c r="T40" s="243"/>
      <c r="U40" s="243"/>
    </row>
    <row r="41" spans="2:21">
      <c r="B41" s="145" t="str">
        <f t="shared" si="0"/>
        <v/>
      </c>
      <c r="C41" s="495">
        <f>IF(D12="","-",+C40+1)</f>
        <v>2038</v>
      </c>
      <c r="D41" s="508">
        <f>IF(F40+SUM(E$17:E40)=D$10,F40,D$10-SUM(E$17:E40))</f>
        <v>576651.5631826031</v>
      </c>
      <c r="E41" s="509">
        <f t="shared" si="17"/>
        <v>60149.193548387098</v>
      </c>
      <c r="F41" s="510">
        <f t="shared" si="18"/>
        <v>516502.36963421601</v>
      </c>
      <c r="G41" s="511">
        <f t="shared" si="19"/>
        <v>122421.59997485927</v>
      </c>
      <c r="H41" s="477">
        <f t="shared" si="20"/>
        <v>122421.59997485927</v>
      </c>
      <c r="I41" s="500">
        <f t="shared" si="6"/>
        <v>0</v>
      </c>
      <c r="J41" s="500"/>
      <c r="K41" s="512"/>
      <c r="L41" s="504">
        <f t="shared" si="16"/>
        <v>0</v>
      </c>
      <c r="M41" s="512"/>
      <c r="N41" s="504">
        <f t="shared" si="4"/>
        <v>0</v>
      </c>
      <c r="O41" s="504">
        <f t="shared" si="5"/>
        <v>0</v>
      </c>
      <c r="P41" s="278"/>
      <c r="R41" s="243"/>
      <c r="S41" s="243"/>
      <c r="T41" s="243"/>
      <c r="U41" s="243"/>
    </row>
    <row r="42" spans="2:21">
      <c r="B42" s="145" t="str">
        <f t="shared" si="0"/>
        <v/>
      </c>
      <c r="C42" s="495">
        <f>IF(D13="","-",+C41+1)</f>
        <v>2039</v>
      </c>
      <c r="D42" s="508">
        <f>IF(F41+SUM(E$17:E41)=D$10,F41,D$10-SUM(E$17:E41))</f>
        <v>516502.36963421601</v>
      </c>
      <c r="E42" s="509">
        <f t="shared" si="17"/>
        <v>60149.193548387098</v>
      </c>
      <c r="F42" s="510">
        <f t="shared" si="18"/>
        <v>456353.17608582892</v>
      </c>
      <c r="G42" s="511">
        <f t="shared" si="19"/>
        <v>115568.7041210832</v>
      </c>
      <c r="H42" s="477">
        <f t="shared" si="20"/>
        <v>115568.7041210832</v>
      </c>
      <c r="I42" s="500">
        <f t="shared" si="6"/>
        <v>0</v>
      </c>
      <c r="J42" s="500"/>
      <c r="K42" s="512"/>
      <c r="L42" s="504">
        <f t="shared" si="16"/>
        <v>0</v>
      </c>
      <c r="M42" s="512"/>
      <c r="N42" s="504">
        <f t="shared" si="4"/>
        <v>0</v>
      </c>
      <c r="O42" s="504">
        <f t="shared" si="5"/>
        <v>0</v>
      </c>
      <c r="P42" s="278"/>
      <c r="R42" s="243"/>
      <c r="S42" s="243"/>
      <c r="T42" s="243"/>
      <c r="U42" s="243"/>
    </row>
    <row r="43" spans="2:21">
      <c r="B43" s="145" t="str">
        <f t="shared" si="0"/>
        <v/>
      </c>
      <c r="C43" s="495">
        <f>IF(D14="","-",+C42+1)</f>
        <v>2040</v>
      </c>
      <c r="D43" s="508">
        <f>IF(F42+SUM(E$17:E42)=D$10,F42,D$10-SUM(E$17:E42))</f>
        <v>456353.17608582892</v>
      </c>
      <c r="E43" s="509">
        <f t="shared" si="17"/>
        <v>60149.193548387098</v>
      </c>
      <c r="F43" s="510">
        <f t="shared" si="18"/>
        <v>396203.98253744183</v>
      </c>
      <c r="G43" s="511">
        <f t="shared" si="19"/>
        <v>108715.80826730712</v>
      </c>
      <c r="H43" s="477">
        <f t="shared" si="20"/>
        <v>108715.80826730712</v>
      </c>
      <c r="I43" s="500">
        <f t="shared" si="6"/>
        <v>0</v>
      </c>
      <c r="J43" s="500"/>
      <c r="K43" s="512"/>
      <c r="L43" s="504">
        <f t="shared" si="16"/>
        <v>0</v>
      </c>
      <c r="M43" s="512"/>
      <c r="N43" s="504">
        <f t="shared" si="4"/>
        <v>0</v>
      </c>
      <c r="O43" s="504">
        <f t="shared" si="5"/>
        <v>0</v>
      </c>
      <c r="P43" s="278"/>
      <c r="R43" s="243"/>
      <c r="S43" s="243"/>
      <c r="T43" s="243"/>
      <c r="U43" s="243"/>
    </row>
    <row r="44" spans="2:21">
      <c r="B44" s="145" t="str">
        <f t="shared" si="0"/>
        <v/>
      </c>
      <c r="C44" s="495">
        <f>IF(D15="","-",+C43+1)</f>
        <v>2041</v>
      </c>
      <c r="D44" s="508">
        <f>IF(F43+SUM(E$17:E43)=D$10,F43,D$10-SUM(E$17:E43))</f>
        <v>396203.98253744183</v>
      </c>
      <c r="E44" s="509">
        <f t="shared" si="17"/>
        <v>60149.193548387098</v>
      </c>
      <c r="F44" s="510">
        <f t="shared" si="18"/>
        <v>336054.78898905474</v>
      </c>
      <c r="G44" s="511">
        <f t="shared" si="19"/>
        <v>101862.91241353104</v>
      </c>
      <c r="H44" s="477">
        <f t="shared" si="20"/>
        <v>101862.91241353104</v>
      </c>
      <c r="I44" s="500">
        <f t="shared" si="6"/>
        <v>0</v>
      </c>
      <c r="J44" s="500"/>
      <c r="K44" s="512"/>
      <c r="L44" s="504">
        <f t="shared" si="16"/>
        <v>0</v>
      </c>
      <c r="M44" s="512"/>
      <c r="N44" s="504">
        <f t="shared" si="4"/>
        <v>0</v>
      </c>
      <c r="O44" s="504">
        <f t="shared" si="5"/>
        <v>0</v>
      </c>
      <c r="P44" s="278"/>
      <c r="R44" s="243"/>
      <c r="S44" s="243"/>
      <c r="T44" s="243"/>
      <c r="U44" s="243"/>
    </row>
    <row r="45" spans="2:21">
      <c r="B45" s="145" t="str">
        <f t="shared" si="0"/>
        <v/>
      </c>
      <c r="C45" s="495">
        <f>IF(D11="","-",+C44+1)</f>
        <v>2042</v>
      </c>
      <c r="D45" s="508">
        <f>IF(F44+SUM(E$17:E44)=D$10,F44,D$10-SUM(E$17:E44))</f>
        <v>336054.78898905474</v>
      </c>
      <c r="E45" s="509">
        <f t="shared" si="17"/>
        <v>60149.193548387098</v>
      </c>
      <c r="F45" s="510">
        <f t="shared" si="18"/>
        <v>275905.59544066765</v>
      </c>
      <c r="G45" s="511">
        <f t="shared" si="19"/>
        <v>95010.016559754935</v>
      </c>
      <c r="H45" s="477">
        <f t="shared" si="20"/>
        <v>95010.016559754935</v>
      </c>
      <c r="I45" s="500">
        <f t="shared" si="6"/>
        <v>0</v>
      </c>
      <c r="J45" s="500"/>
      <c r="K45" s="512"/>
      <c r="L45" s="504">
        <f t="shared" si="16"/>
        <v>0</v>
      </c>
      <c r="M45" s="512"/>
      <c r="N45" s="504">
        <f t="shared" si="4"/>
        <v>0</v>
      </c>
      <c r="O45" s="504">
        <f t="shared" si="5"/>
        <v>0</v>
      </c>
      <c r="P45" s="278"/>
      <c r="R45" s="243"/>
      <c r="S45" s="243"/>
      <c r="T45" s="243"/>
      <c r="U45" s="243"/>
    </row>
    <row r="46" spans="2:21">
      <c r="B46" s="145" t="str">
        <f t="shared" si="0"/>
        <v/>
      </c>
      <c r="C46" s="495">
        <f>IF(D11="","-",+C45+1)</f>
        <v>2043</v>
      </c>
      <c r="D46" s="508">
        <f>IF(F45+SUM(E$17:E45)=D$10,F45,D$10-SUM(E$17:E45))</f>
        <v>275905.59544066765</v>
      </c>
      <c r="E46" s="509">
        <f t="shared" si="17"/>
        <v>60149.193548387098</v>
      </c>
      <c r="F46" s="510">
        <f t="shared" si="18"/>
        <v>215756.40189228056</v>
      </c>
      <c r="G46" s="511">
        <f t="shared" si="19"/>
        <v>88157.120705978858</v>
      </c>
      <c r="H46" s="477">
        <f t="shared" si="20"/>
        <v>88157.120705978858</v>
      </c>
      <c r="I46" s="500">
        <f t="shared" si="6"/>
        <v>0</v>
      </c>
      <c r="J46" s="500"/>
      <c r="K46" s="512"/>
      <c r="L46" s="504">
        <f t="shared" si="16"/>
        <v>0</v>
      </c>
      <c r="M46" s="512"/>
      <c r="N46" s="504">
        <f t="shared" si="4"/>
        <v>0</v>
      </c>
      <c r="O46" s="504">
        <f t="shared" si="5"/>
        <v>0</v>
      </c>
      <c r="P46" s="278"/>
      <c r="R46" s="243"/>
      <c r="S46" s="243"/>
      <c r="T46" s="243"/>
      <c r="U46" s="243"/>
    </row>
    <row r="47" spans="2:21">
      <c r="B47" s="145" t="str">
        <f t="shared" si="0"/>
        <v/>
      </c>
      <c r="C47" s="495">
        <f>IF(D11="","-",+C46+1)</f>
        <v>2044</v>
      </c>
      <c r="D47" s="508">
        <f>IF(F46+SUM(E$17:E46)=D$10,F46,D$10-SUM(E$17:E46))</f>
        <v>215756.40189228056</v>
      </c>
      <c r="E47" s="509">
        <f t="shared" si="17"/>
        <v>60149.193548387098</v>
      </c>
      <c r="F47" s="510">
        <f t="shared" si="18"/>
        <v>155607.20834389346</v>
      </c>
      <c r="G47" s="511">
        <f t="shared" si="19"/>
        <v>81304.22485220278</v>
      </c>
      <c r="H47" s="477">
        <f t="shared" si="20"/>
        <v>81304.22485220278</v>
      </c>
      <c r="I47" s="500">
        <f t="shared" si="6"/>
        <v>0</v>
      </c>
      <c r="J47" s="500"/>
      <c r="K47" s="512"/>
      <c r="L47" s="504">
        <f t="shared" si="16"/>
        <v>0</v>
      </c>
      <c r="M47" s="512"/>
      <c r="N47" s="504">
        <f t="shared" si="4"/>
        <v>0</v>
      </c>
      <c r="O47" s="504">
        <f t="shared" si="5"/>
        <v>0</v>
      </c>
      <c r="P47" s="278"/>
      <c r="R47" s="243"/>
      <c r="S47" s="243"/>
      <c r="T47" s="243"/>
      <c r="U47" s="243"/>
    </row>
    <row r="48" spans="2:21">
      <c r="B48" s="145" t="str">
        <f t="shared" si="0"/>
        <v/>
      </c>
      <c r="C48" s="495">
        <f>IF(D11="","-",+C47+1)</f>
        <v>2045</v>
      </c>
      <c r="D48" s="508">
        <f>IF(F47+SUM(E$17:E47)=D$10,F47,D$10-SUM(E$17:E47))</f>
        <v>155607.20834389346</v>
      </c>
      <c r="E48" s="509">
        <f t="shared" si="17"/>
        <v>60149.193548387098</v>
      </c>
      <c r="F48" s="510">
        <f t="shared" si="18"/>
        <v>95458.014795506373</v>
      </c>
      <c r="G48" s="511">
        <f t="shared" si="19"/>
        <v>74451.328998426703</v>
      </c>
      <c r="H48" s="477">
        <f t="shared" si="20"/>
        <v>74451.328998426703</v>
      </c>
      <c r="I48" s="500">
        <f t="shared" si="6"/>
        <v>0</v>
      </c>
      <c r="J48" s="500"/>
      <c r="K48" s="512"/>
      <c r="L48" s="504">
        <f t="shared" si="16"/>
        <v>0</v>
      </c>
      <c r="M48" s="512"/>
      <c r="N48" s="504">
        <f t="shared" si="4"/>
        <v>0</v>
      </c>
      <c r="O48" s="504">
        <f t="shared" si="5"/>
        <v>0</v>
      </c>
      <c r="P48" s="278"/>
      <c r="R48" s="243"/>
      <c r="S48" s="243"/>
      <c r="T48" s="243"/>
      <c r="U48" s="243"/>
    </row>
    <row r="49" spans="2:21">
      <c r="B49" s="145" t="str">
        <f t="shared" si="0"/>
        <v/>
      </c>
      <c r="C49" s="495">
        <f>IF(D11="","-",+C48+1)</f>
        <v>2046</v>
      </c>
      <c r="D49" s="508">
        <f>IF(F48+SUM(E$17:E48)=D$10,F48,D$10-SUM(E$17:E48))</f>
        <v>95458.014795506373</v>
      </c>
      <c r="E49" s="509">
        <f t="shared" si="17"/>
        <v>60149.193548387098</v>
      </c>
      <c r="F49" s="510">
        <f t="shared" si="18"/>
        <v>35308.821247119275</v>
      </c>
      <c r="G49" s="511">
        <f t="shared" si="19"/>
        <v>67598.433144650611</v>
      </c>
      <c r="H49" s="477">
        <f t="shared" si="20"/>
        <v>67598.433144650611</v>
      </c>
      <c r="I49" s="500">
        <f t="shared" si="6"/>
        <v>0</v>
      </c>
      <c r="J49" s="500"/>
      <c r="K49" s="512"/>
      <c r="L49" s="504">
        <f t="shared" si="16"/>
        <v>0</v>
      </c>
      <c r="M49" s="512"/>
      <c r="N49" s="504">
        <f t="shared" si="4"/>
        <v>0</v>
      </c>
      <c r="O49" s="504">
        <f t="shared" si="5"/>
        <v>0</v>
      </c>
      <c r="P49" s="278"/>
      <c r="R49" s="243"/>
      <c r="S49" s="243"/>
      <c r="T49" s="243"/>
      <c r="U49" s="243"/>
    </row>
    <row r="50" spans="2:21">
      <c r="B50" s="145" t="str">
        <f t="shared" si="0"/>
        <v/>
      </c>
      <c r="C50" s="495">
        <f>IF(D11="","-",+C49+1)</f>
        <v>2047</v>
      </c>
      <c r="D50" s="508">
        <f>IF(F49+SUM(E$17:E49)=D$10,F49,D$10-SUM(E$17:E49))</f>
        <v>35308.821247119275</v>
      </c>
      <c r="E50" s="509">
        <f t="shared" si="17"/>
        <v>35308.821247119275</v>
      </c>
      <c r="F50" s="510">
        <f t="shared" si="18"/>
        <v>0</v>
      </c>
      <c r="G50" s="511">
        <f t="shared" si="19"/>
        <v>37320.217081807008</v>
      </c>
      <c r="H50" s="477">
        <f t="shared" si="20"/>
        <v>37320.217081807008</v>
      </c>
      <c r="I50" s="500">
        <f t="shared" si="6"/>
        <v>0</v>
      </c>
      <c r="J50" s="500"/>
      <c r="K50" s="512"/>
      <c r="L50" s="504">
        <f t="shared" si="16"/>
        <v>0</v>
      </c>
      <c r="M50" s="512"/>
      <c r="N50" s="504">
        <f t="shared" si="4"/>
        <v>0</v>
      </c>
      <c r="O50" s="504">
        <f t="shared" si="5"/>
        <v>0</v>
      </c>
      <c r="P50" s="278"/>
      <c r="R50" s="243"/>
      <c r="S50" s="243"/>
      <c r="T50" s="243"/>
      <c r="U50" s="243"/>
    </row>
    <row r="51" spans="2:21">
      <c r="B51" s="145" t="str">
        <f t="shared" si="0"/>
        <v/>
      </c>
      <c r="C51" s="495">
        <f>IF(D11="","-",+C50+1)</f>
        <v>2048</v>
      </c>
      <c r="D51" s="508">
        <f>IF(F50+SUM(E$17:E50)=D$10,F50,D$10-SUM(E$17:E50))</f>
        <v>0</v>
      </c>
      <c r="E51" s="509">
        <f t="shared" si="17"/>
        <v>0</v>
      </c>
      <c r="F51" s="510">
        <f t="shared" si="18"/>
        <v>0</v>
      </c>
      <c r="G51" s="511">
        <f t="shared" si="19"/>
        <v>0</v>
      </c>
      <c r="H51" s="477">
        <f t="shared" si="20"/>
        <v>0</v>
      </c>
      <c r="I51" s="500">
        <f t="shared" si="6"/>
        <v>0</v>
      </c>
      <c r="J51" s="500"/>
      <c r="K51" s="512"/>
      <c r="L51" s="504">
        <f t="shared" si="16"/>
        <v>0</v>
      </c>
      <c r="M51" s="512"/>
      <c r="N51" s="504">
        <f t="shared" si="4"/>
        <v>0</v>
      </c>
      <c r="O51" s="504">
        <f t="shared" si="5"/>
        <v>0</v>
      </c>
      <c r="P51" s="278"/>
      <c r="R51" s="243"/>
      <c r="S51" s="243"/>
      <c r="T51" s="243"/>
      <c r="U51" s="243"/>
    </row>
    <row r="52" spans="2:21">
      <c r="B52" s="145" t="str">
        <f t="shared" si="0"/>
        <v/>
      </c>
      <c r="C52" s="495">
        <f>IF(D11="","-",+C51+1)</f>
        <v>2049</v>
      </c>
      <c r="D52" s="508">
        <f>IF(F51+SUM(E$17:E51)=D$10,F51,D$10-SUM(E$17:E51))</f>
        <v>0</v>
      </c>
      <c r="E52" s="509">
        <f t="shared" si="17"/>
        <v>0</v>
      </c>
      <c r="F52" s="510">
        <f t="shared" si="18"/>
        <v>0</v>
      </c>
      <c r="G52" s="511">
        <f t="shared" si="19"/>
        <v>0</v>
      </c>
      <c r="H52" s="477">
        <f t="shared" si="20"/>
        <v>0</v>
      </c>
      <c r="I52" s="500">
        <f t="shared" si="6"/>
        <v>0</v>
      </c>
      <c r="J52" s="500"/>
      <c r="K52" s="512"/>
      <c r="L52" s="504">
        <f t="shared" si="16"/>
        <v>0</v>
      </c>
      <c r="M52" s="512"/>
      <c r="N52" s="504">
        <f t="shared" si="4"/>
        <v>0</v>
      </c>
      <c r="O52" s="504">
        <f t="shared" si="5"/>
        <v>0</v>
      </c>
      <c r="P52" s="278"/>
      <c r="R52" s="243"/>
      <c r="S52" s="243"/>
      <c r="T52" s="243"/>
      <c r="U52" s="243"/>
    </row>
    <row r="53" spans="2:21">
      <c r="B53" s="145" t="str">
        <f t="shared" si="0"/>
        <v/>
      </c>
      <c r="C53" s="495">
        <f>IF(D11="","-",+C52+1)</f>
        <v>2050</v>
      </c>
      <c r="D53" s="508">
        <f>IF(F52+SUM(E$17:E52)=D$10,F52,D$10-SUM(E$17:E52))</f>
        <v>0</v>
      </c>
      <c r="E53" s="509">
        <f t="shared" si="17"/>
        <v>0</v>
      </c>
      <c r="F53" s="510">
        <f t="shared" si="18"/>
        <v>0</v>
      </c>
      <c r="G53" s="511">
        <f t="shared" si="19"/>
        <v>0</v>
      </c>
      <c r="H53" s="477">
        <f t="shared" si="20"/>
        <v>0</v>
      </c>
      <c r="I53" s="500">
        <f t="shared" si="6"/>
        <v>0</v>
      </c>
      <c r="J53" s="500"/>
      <c r="K53" s="512"/>
      <c r="L53" s="504">
        <f t="shared" si="16"/>
        <v>0</v>
      </c>
      <c r="M53" s="512"/>
      <c r="N53" s="504">
        <f t="shared" si="4"/>
        <v>0</v>
      </c>
      <c r="O53" s="504">
        <f t="shared" si="5"/>
        <v>0</v>
      </c>
      <c r="P53" s="278"/>
      <c r="R53" s="243"/>
      <c r="S53" s="243"/>
      <c r="T53" s="243"/>
      <c r="U53" s="243"/>
    </row>
    <row r="54" spans="2:21">
      <c r="B54" s="145" t="str">
        <f t="shared" si="0"/>
        <v/>
      </c>
      <c r="C54" s="495">
        <f>IF(D11="","-",+C53+1)</f>
        <v>2051</v>
      </c>
      <c r="D54" s="508">
        <f>IF(F53+SUM(E$17:E53)=D$10,F53,D$10-SUM(E$17:E53))</f>
        <v>0</v>
      </c>
      <c r="E54" s="509">
        <f t="shared" si="17"/>
        <v>0</v>
      </c>
      <c r="F54" s="510">
        <f t="shared" si="18"/>
        <v>0</v>
      </c>
      <c r="G54" s="511">
        <f t="shared" si="19"/>
        <v>0</v>
      </c>
      <c r="H54" s="477">
        <f t="shared" si="20"/>
        <v>0</v>
      </c>
      <c r="I54" s="500">
        <f t="shared" si="6"/>
        <v>0</v>
      </c>
      <c r="J54" s="500"/>
      <c r="K54" s="512"/>
      <c r="L54" s="504">
        <f t="shared" si="16"/>
        <v>0</v>
      </c>
      <c r="M54" s="512"/>
      <c r="N54" s="504">
        <f t="shared" si="4"/>
        <v>0</v>
      </c>
      <c r="O54" s="504">
        <f t="shared" si="5"/>
        <v>0</v>
      </c>
      <c r="P54" s="278"/>
      <c r="R54" s="243"/>
      <c r="S54" s="243"/>
      <c r="T54" s="243"/>
      <c r="U54" s="243"/>
    </row>
    <row r="55" spans="2:21">
      <c r="B55" s="145" t="str">
        <f t="shared" si="0"/>
        <v/>
      </c>
      <c r="C55" s="495">
        <f>IF(D11="","-",+C54+1)</f>
        <v>2052</v>
      </c>
      <c r="D55" s="508">
        <f>IF(F54+SUM(E$17:E54)=D$10,F54,D$10-SUM(E$17:E54))</f>
        <v>0</v>
      </c>
      <c r="E55" s="509">
        <f t="shared" si="17"/>
        <v>0</v>
      </c>
      <c r="F55" s="510">
        <f t="shared" si="18"/>
        <v>0</v>
      </c>
      <c r="G55" s="511">
        <f t="shared" si="19"/>
        <v>0</v>
      </c>
      <c r="H55" s="477">
        <f t="shared" si="20"/>
        <v>0</v>
      </c>
      <c r="I55" s="500">
        <f t="shared" si="6"/>
        <v>0</v>
      </c>
      <c r="J55" s="500"/>
      <c r="K55" s="512"/>
      <c r="L55" s="504">
        <f t="shared" si="16"/>
        <v>0</v>
      </c>
      <c r="M55" s="512"/>
      <c r="N55" s="504">
        <f t="shared" si="4"/>
        <v>0</v>
      </c>
      <c r="O55" s="504">
        <f t="shared" si="5"/>
        <v>0</v>
      </c>
      <c r="P55" s="278"/>
      <c r="R55" s="243"/>
      <c r="S55" s="243"/>
      <c r="T55" s="243"/>
      <c r="U55" s="243"/>
    </row>
    <row r="56" spans="2:21">
      <c r="B56" s="145" t="str">
        <f t="shared" si="0"/>
        <v/>
      </c>
      <c r="C56" s="495">
        <f>IF(D11="","-",+C55+1)</f>
        <v>2053</v>
      </c>
      <c r="D56" s="508">
        <f>IF(F55+SUM(E$17:E55)=D$10,F55,D$10-SUM(E$17:E55))</f>
        <v>0</v>
      </c>
      <c r="E56" s="509">
        <f t="shared" si="17"/>
        <v>0</v>
      </c>
      <c r="F56" s="510">
        <f t="shared" si="18"/>
        <v>0</v>
      </c>
      <c r="G56" s="511">
        <f t="shared" si="19"/>
        <v>0</v>
      </c>
      <c r="H56" s="477">
        <f t="shared" si="20"/>
        <v>0</v>
      </c>
      <c r="I56" s="500">
        <f t="shared" si="6"/>
        <v>0</v>
      </c>
      <c r="J56" s="500"/>
      <c r="K56" s="512"/>
      <c r="L56" s="504">
        <f t="shared" si="16"/>
        <v>0</v>
      </c>
      <c r="M56" s="512"/>
      <c r="N56" s="504">
        <f t="shared" si="4"/>
        <v>0</v>
      </c>
      <c r="O56" s="504">
        <f t="shared" si="5"/>
        <v>0</v>
      </c>
      <c r="P56" s="278"/>
      <c r="R56" s="243"/>
      <c r="S56" s="243"/>
      <c r="T56" s="243"/>
      <c r="U56" s="243"/>
    </row>
    <row r="57" spans="2:21">
      <c r="B57" s="145" t="str">
        <f t="shared" si="0"/>
        <v/>
      </c>
      <c r="C57" s="495">
        <f>IF(D11="","-",+C56+1)</f>
        <v>2054</v>
      </c>
      <c r="D57" s="508">
        <f>IF(F56+SUM(E$17:E56)=D$10,F56,D$10-SUM(E$17:E56))</f>
        <v>0</v>
      </c>
      <c r="E57" s="509">
        <f t="shared" si="17"/>
        <v>0</v>
      </c>
      <c r="F57" s="510">
        <f t="shared" si="18"/>
        <v>0</v>
      </c>
      <c r="G57" s="511">
        <f t="shared" si="19"/>
        <v>0</v>
      </c>
      <c r="H57" s="477">
        <f t="shared" si="20"/>
        <v>0</v>
      </c>
      <c r="I57" s="500">
        <f t="shared" si="6"/>
        <v>0</v>
      </c>
      <c r="J57" s="500"/>
      <c r="K57" s="512"/>
      <c r="L57" s="504">
        <f t="shared" si="16"/>
        <v>0</v>
      </c>
      <c r="M57" s="512"/>
      <c r="N57" s="504">
        <f t="shared" si="4"/>
        <v>0</v>
      </c>
      <c r="O57" s="504">
        <f t="shared" si="5"/>
        <v>0</v>
      </c>
      <c r="P57" s="278"/>
      <c r="R57" s="243"/>
      <c r="S57" s="243"/>
      <c r="T57" s="243"/>
      <c r="U57" s="243"/>
    </row>
    <row r="58" spans="2:21">
      <c r="B58" s="145" t="str">
        <f t="shared" si="0"/>
        <v/>
      </c>
      <c r="C58" s="495">
        <f>IF(D11="","-",+C57+1)</f>
        <v>2055</v>
      </c>
      <c r="D58" s="508">
        <f>IF(F57+SUM(E$17:E57)=D$10,F57,D$10-SUM(E$17:E57))</f>
        <v>0</v>
      </c>
      <c r="E58" s="509">
        <f t="shared" si="17"/>
        <v>0</v>
      </c>
      <c r="F58" s="510">
        <f t="shared" si="18"/>
        <v>0</v>
      </c>
      <c r="G58" s="511">
        <f t="shared" si="19"/>
        <v>0</v>
      </c>
      <c r="H58" s="477">
        <f t="shared" si="20"/>
        <v>0</v>
      </c>
      <c r="I58" s="500">
        <f t="shared" si="6"/>
        <v>0</v>
      </c>
      <c r="J58" s="500"/>
      <c r="K58" s="512"/>
      <c r="L58" s="504">
        <f t="shared" si="16"/>
        <v>0</v>
      </c>
      <c r="M58" s="512"/>
      <c r="N58" s="504">
        <f t="shared" si="4"/>
        <v>0</v>
      </c>
      <c r="O58" s="504">
        <f t="shared" si="5"/>
        <v>0</v>
      </c>
      <c r="P58" s="278"/>
      <c r="R58" s="243"/>
      <c r="S58" s="243"/>
      <c r="T58" s="243"/>
      <c r="U58" s="243"/>
    </row>
    <row r="59" spans="2:21">
      <c r="B59" s="145" t="str">
        <f t="shared" si="0"/>
        <v/>
      </c>
      <c r="C59" s="495">
        <f>IF(D11="","-",+C58+1)</f>
        <v>2056</v>
      </c>
      <c r="D59" s="508">
        <f>IF(F58+SUM(E$17:E58)=D$10,F58,D$10-SUM(E$17:E58))</f>
        <v>0</v>
      </c>
      <c r="E59" s="509">
        <f t="shared" si="17"/>
        <v>0</v>
      </c>
      <c r="F59" s="510">
        <f t="shared" si="18"/>
        <v>0</v>
      </c>
      <c r="G59" s="511">
        <f t="shared" si="19"/>
        <v>0</v>
      </c>
      <c r="H59" s="477">
        <f t="shared" si="20"/>
        <v>0</v>
      </c>
      <c r="I59" s="500">
        <f t="shared" si="6"/>
        <v>0</v>
      </c>
      <c r="J59" s="500"/>
      <c r="K59" s="512"/>
      <c r="L59" s="504">
        <f t="shared" si="16"/>
        <v>0</v>
      </c>
      <c r="M59" s="512"/>
      <c r="N59" s="504">
        <f t="shared" si="4"/>
        <v>0</v>
      </c>
      <c r="O59" s="504">
        <f t="shared" si="5"/>
        <v>0</v>
      </c>
      <c r="P59" s="278"/>
      <c r="R59" s="243"/>
      <c r="S59" s="243"/>
      <c r="T59" s="243"/>
      <c r="U59" s="243"/>
    </row>
    <row r="60" spans="2:21">
      <c r="B60" s="145" t="str">
        <f t="shared" si="0"/>
        <v/>
      </c>
      <c r="C60" s="495">
        <f>IF(D11="","-",+C59+1)</f>
        <v>2057</v>
      </c>
      <c r="D60" s="508">
        <f>IF(F59+SUM(E$17:E59)=D$10,F59,D$10-SUM(E$17:E59))</f>
        <v>0</v>
      </c>
      <c r="E60" s="509">
        <f t="shared" si="17"/>
        <v>0</v>
      </c>
      <c r="F60" s="510">
        <f t="shared" si="18"/>
        <v>0</v>
      </c>
      <c r="G60" s="511">
        <f t="shared" si="19"/>
        <v>0</v>
      </c>
      <c r="H60" s="477">
        <f t="shared" si="20"/>
        <v>0</v>
      </c>
      <c r="I60" s="500">
        <f t="shared" si="6"/>
        <v>0</v>
      </c>
      <c r="J60" s="500"/>
      <c r="K60" s="512"/>
      <c r="L60" s="504">
        <f t="shared" si="16"/>
        <v>0</v>
      </c>
      <c r="M60" s="512"/>
      <c r="N60" s="504">
        <f t="shared" si="4"/>
        <v>0</v>
      </c>
      <c r="O60" s="504">
        <f t="shared" si="5"/>
        <v>0</v>
      </c>
      <c r="P60" s="278"/>
      <c r="R60" s="243"/>
      <c r="S60" s="243"/>
      <c r="T60" s="243"/>
      <c r="U60" s="243"/>
    </row>
    <row r="61" spans="2:21">
      <c r="B61" s="145" t="str">
        <f t="shared" si="0"/>
        <v/>
      </c>
      <c r="C61" s="495">
        <f>IF(D11="","-",+C60+1)</f>
        <v>2058</v>
      </c>
      <c r="D61" s="508">
        <f>IF(F60+SUM(E$17:E60)=D$10,F60,D$10-SUM(E$17:E60))</f>
        <v>0</v>
      </c>
      <c r="E61" s="509">
        <f t="shared" si="17"/>
        <v>0</v>
      </c>
      <c r="F61" s="510">
        <f t="shared" si="18"/>
        <v>0</v>
      </c>
      <c r="G61" s="511">
        <f t="shared" si="19"/>
        <v>0</v>
      </c>
      <c r="H61" s="477">
        <f t="shared" si="20"/>
        <v>0</v>
      </c>
      <c r="I61" s="500">
        <f t="shared" si="6"/>
        <v>0</v>
      </c>
      <c r="J61" s="500"/>
      <c r="K61" s="512"/>
      <c r="L61" s="504">
        <f t="shared" si="16"/>
        <v>0</v>
      </c>
      <c r="M61" s="512"/>
      <c r="N61" s="504">
        <f t="shared" si="4"/>
        <v>0</v>
      </c>
      <c r="O61" s="504">
        <f t="shared" si="5"/>
        <v>0</v>
      </c>
      <c r="P61" s="278"/>
      <c r="R61" s="243"/>
      <c r="S61" s="243"/>
      <c r="T61" s="243"/>
      <c r="U61" s="243"/>
    </row>
    <row r="62" spans="2:21">
      <c r="B62" s="145" t="str">
        <f t="shared" si="0"/>
        <v/>
      </c>
      <c r="C62" s="495">
        <f>IF(D11="","-",+C61+1)</f>
        <v>2059</v>
      </c>
      <c r="D62" s="508">
        <f>IF(F61+SUM(E$17:E61)=D$10,F61,D$10-SUM(E$17:E61))</f>
        <v>0</v>
      </c>
      <c r="E62" s="509">
        <f t="shared" si="17"/>
        <v>0</v>
      </c>
      <c r="F62" s="510">
        <f t="shared" si="18"/>
        <v>0</v>
      </c>
      <c r="G62" s="511">
        <f t="shared" si="19"/>
        <v>0</v>
      </c>
      <c r="H62" s="477">
        <f t="shared" si="20"/>
        <v>0</v>
      </c>
      <c r="I62" s="500">
        <f t="shared" si="6"/>
        <v>0</v>
      </c>
      <c r="J62" s="500"/>
      <c r="K62" s="512"/>
      <c r="L62" s="504">
        <f t="shared" si="16"/>
        <v>0</v>
      </c>
      <c r="M62" s="512"/>
      <c r="N62" s="504">
        <f t="shared" si="4"/>
        <v>0</v>
      </c>
      <c r="O62" s="504">
        <f t="shared" si="5"/>
        <v>0</v>
      </c>
      <c r="P62" s="278"/>
      <c r="R62" s="243"/>
      <c r="S62" s="243"/>
      <c r="T62" s="243"/>
      <c r="U62" s="243"/>
    </row>
    <row r="63" spans="2:21">
      <c r="B63" s="145" t="str">
        <f t="shared" si="0"/>
        <v/>
      </c>
      <c r="C63" s="495">
        <f>IF(D11="","-",+C62+1)</f>
        <v>2060</v>
      </c>
      <c r="D63" s="508">
        <f>IF(F62+SUM(E$17:E62)=D$10,F62,D$10-SUM(E$17:E62))</f>
        <v>0</v>
      </c>
      <c r="E63" s="509">
        <f t="shared" si="17"/>
        <v>0</v>
      </c>
      <c r="F63" s="510">
        <f t="shared" si="18"/>
        <v>0</v>
      </c>
      <c r="G63" s="511">
        <f t="shared" si="19"/>
        <v>0</v>
      </c>
      <c r="H63" s="477">
        <f t="shared" si="20"/>
        <v>0</v>
      </c>
      <c r="I63" s="500">
        <f t="shared" si="6"/>
        <v>0</v>
      </c>
      <c r="J63" s="500"/>
      <c r="K63" s="512"/>
      <c r="L63" s="504">
        <f t="shared" si="16"/>
        <v>0</v>
      </c>
      <c r="M63" s="512"/>
      <c r="N63" s="504">
        <f t="shared" si="4"/>
        <v>0</v>
      </c>
      <c r="O63" s="504">
        <f t="shared" si="5"/>
        <v>0</v>
      </c>
      <c r="P63" s="278"/>
      <c r="R63" s="243"/>
      <c r="S63" s="243"/>
      <c r="T63" s="243"/>
      <c r="U63" s="243"/>
    </row>
    <row r="64" spans="2:21">
      <c r="B64" s="145" t="str">
        <f t="shared" si="0"/>
        <v/>
      </c>
      <c r="C64" s="495">
        <f>IF(D11="","-",+C63+1)</f>
        <v>2061</v>
      </c>
      <c r="D64" s="508">
        <f>IF(F63+SUM(E$17:E63)=D$10,F63,D$10-SUM(E$17:E63))</f>
        <v>0</v>
      </c>
      <c r="E64" s="509">
        <f t="shared" si="17"/>
        <v>0</v>
      </c>
      <c r="F64" s="510">
        <f t="shared" si="18"/>
        <v>0</v>
      </c>
      <c r="G64" s="511">
        <f t="shared" si="19"/>
        <v>0</v>
      </c>
      <c r="H64" s="477">
        <f t="shared" si="20"/>
        <v>0</v>
      </c>
      <c r="I64" s="500">
        <f t="shared" si="6"/>
        <v>0</v>
      </c>
      <c r="J64" s="500"/>
      <c r="K64" s="512"/>
      <c r="L64" s="504">
        <f t="shared" si="16"/>
        <v>0</v>
      </c>
      <c r="M64" s="512"/>
      <c r="N64" s="504">
        <f t="shared" si="4"/>
        <v>0</v>
      </c>
      <c r="O64" s="504">
        <f t="shared" si="5"/>
        <v>0</v>
      </c>
      <c r="P64" s="278"/>
      <c r="R64" s="243"/>
      <c r="S64" s="243"/>
      <c r="T64" s="243"/>
      <c r="U64" s="243"/>
    </row>
    <row r="65" spans="2:21">
      <c r="B65" s="145" t="str">
        <f t="shared" si="0"/>
        <v/>
      </c>
      <c r="C65" s="495">
        <f>IF(D11="","-",+C64+1)</f>
        <v>2062</v>
      </c>
      <c r="D65" s="508">
        <f>IF(F64+SUM(E$17:E64)=D$10,F64,D$10-SUM(E$17:E64))</f>
        <v>0</v>
      </c>
      <c r="E65" s="509">
        <f t="shared" si="17"/>
        <v>0</v>
      </c>
      <c r="F65" s="510">
        <f t="shared" si="18"/>
        <v>0</v>
      </c>
      <c r="G65" s="511">
        <f t="shared" si="19"/>
        <v>0</v>
      </c>
      <c r="H65" s="477">
        <f t="shared" si="20"/>
        <v>0</v>
      </c>
      <c r="I65" s="500">
        <f t="shared" si="6"/>
        <v>0</v>
      </c>
      <c r="J65" s="500"/>
      <c r="K65" s="512"/>
      <c r="L65" s="504">
        <f t="shared" si="16"/>
        <v>0</v>
      </c>
      <c r="M65" s="512"/>
      <c r="N65" s="504">
        <f t="shared" si="4"/>
        <v>0</v>
      </c>
      <c r="O65" s="504">
        <f t="shared" si="5"/>
        <v>0</v>
      </c>
      <c r="P65" s="278"/>
      <c r="R65" s="243"/>
      <c r="S65" s="243"/>
      <c r="T65" s="243"/>
      <c r="U65" s="243"/>
    </row>
    <row r="66" spans="2:21">
      <c r="B66" s="145" t="str">
        <f t="shared" si="0"/>
        <v/>
      </c>
      <c r="C66" s="495">
        <f>IF(D11="","-",+C65+1)</f>
        <v>2063</v>
      </c>
      <c r="D66" s="508">
        <f>IF(F65+SUM(E$17:E65)=D$10,F65,D$10-SUM(E$17:E65))</f>
        <v>0</v>
      </c>
      <c r="E66" s="509">
        <f t="shared" si="17"/>
        <v>0</v>
      </c>
      <c r="F66" s="510">
        <f t="shared" si="18"/>
        <v>0</v>
      </c>
      <c r="G66" s="511">
        <f t="shared" si="19"/>
        <v>0</v>
      </c>
      <c r="H66" s="477">
        <f t="shared" si="20"/>
        <v>0</v>
      </c>
      <c r="I66" s="500">
        <f t="shared" si="6"/>
        <v>0</v>
      </c>
      <c r="J66" s="500"/>
      <c r="K66" s="512"/>
      <c r="L66" s="504">
        <f t="shared" si="16"/>
        <v>0</v>
      </c>
      <c r="M66" s="512"/>
      <c r="N66" s="504">
        <f t="shared" si="4"/>
        <v>0</v>
      </c>
      <c r="O66" s="504">
        <f t="shared" si="5"/>
        <v>0</v>
      </c>
      <c r="P66" s="278"/>
      <c r="R66" s="243"/>
      <c r="S66" s="243"/>
      <c r="T66" s="243"/>
      <c r="U66" s="243"/>
    </row>
    <row r="67" spans="2:21">
      <c r="B67" s="145" t="str">
        <f t="shared" si="0"/>
        <v/>
      </c>
      <c r="C67" s="495">
        <f>IF(D11="","-",+C66+1)</f>
        <v>2064</v>
      </c>
      <c r="D67" s="508">
        <f>IF(F66+SUM(E$17:E66)=D$10,F66,D$10-SUM(E$17:E66))</f>
        <v>0</v>
      </c>
      <c r="E67" s="509">
        <f t="shared" si="17"/>
        <v>0</v>
      </c>
      <c r="F67" s="510">
        <f t="shared" si="18"/>
        <v>0</v>
      </c>
      <c r="G67" s="511">
        <f t="shared" si="19"/>
        <v>0</v>
      </c>
      <c r="H67" s="477">
        <f t="shared" si="20"/>
        <v>0</v>
      </c>
      <c r="I67" s="500">
        <f t="shared" si="6"/>
        <v>0</v>
      </c>
      <c r="J67" s="500"/>
      <c r="K67" s="512"/>
      <c r="L67" s="504">
        <f t="shared" si="16"/>
        <v>0</v>
      </c>
      <c r="M67" s="512"/>
      <c r="N67" s="504">
        <f t="shared" si="4"/>
        <v>0</v>
      </c>
      <c r="O67" s="504">
        <f t="shared" si="5"/>
        <v>0</v>
      </c>
      <c r="P67" s="278"/>
      <c r="R67" s="243"/>
      <c r="S67" s="243"/>
      <c r="T67" s="243"/>
      <c r="U67" s="243"/>
    </row>
    <row r="68" spans="2:21">
      <c r="B68" s="145" t="str">
        <f t="shared" si="0"/>
        <v/>
      </c>
      <c r="C68" s="495">
        <f>IF(D11="","-",+C67+1)</f>
        <v>2065</v>
      </c>
      <c r="D68" s="508">
        <f>IF(F67+SUM(E$17:E67)=D$10,F67,D$10-SUM(E$17:E67))</f>
        <v>0</v>
      </c>
      <c r="E68" s="509">
        <f t="shared" si="17"/>
        <v>0</v>
      </c>
      <c r="F68" s="510">
        <f t="shared" si="18"/>
        <v>0</v>
      </c>
      <c r="G68" s="511">
        <f t="shared" si="19"/>
        <v>0</v>
      </c>
      <c r="H68" s="477">
        <f t="shared" si="20"/>
        <v>0</v>
      </c>
      <c r="I68" s="500">
        <f t="shared" si="6"/>
        <v>0</v>
      </c>
      <c r="J68" s="500"/>
      <c r="K68" s="512"/>
      <c r="L68" s="504">
        <f t="shared" si="16"/>
        <v>0</v>
      </c>
      <c r="M68" s="512"/>
      <c r="N68" s="504">
        <f t="shared" si="4"/>
        <v>0</v>
      </c>
      <c r="O68" s="504">
        <f t="shared" si="5"/>
        <v>0</v>
      </c>
      <c r="P68" s="278"/>
      <c r="R68" s="243"/>
      <c r="S68" s="243"/>
      <c r="T68" s="243"/>
      <c r="U68" s="243"/>
    </row>
    <row r="69" spans="2:21">
      <c r="B69" s="145" t="str">
        <f t="shared" si="0"/>
        <v/>
      </c>
      <c r="C69" s="495">
        <f>IF(D11="","-",+C68+1)</f>
        <v>2066</v>
      </c>
      <c r="D69" s="508">
        <f>IF(F68+SUM(E$17:E68)=D$10,F68,D$10-SUM(E$17:E68))</f>
        <v>0</v>
      </c>
      <c r="E69" s="509">
        <f t="shared" si="17"/>
        <v>0</v>
      </c>
      <c r="F69" s="510">
        <f t="shared" si="18"/>
        <v>0</v>
      </c>
      <c r="G69" s="511">
        <f t="shared" si="19"/>
        <v>0</v>
      </c>
      <c r="H69" s="477">
        <f t="shared" si="20"/>
        <v>0</v>
      </c>
      <c r="I69" s="500">
        <f t="shared" si="6"/>
        <v>0</v>
      </c>
      <c r="J69" s="500"/>
      <c r="K69" s="512"/>
      <c r="L69" s="504">
        <f t="shared" si="16"/>
        <v>0</v>
      </c>
      <c r="M69" s="512"/>
      <c r="N69" s="504">
        <f t="shared" si="4"/>
        <v>0</v>
      </c>
      <c r="O69" s="504">
        <f t="shared" si="5"/>
        <v>0</v>
      </c>
      <c r="P69" s="278"/>
      <c r="R69" s="243"/>
      <c r="S69" s="243"/>
      <c r="T69" s="243"/>
      <c r="U69" s="243"/>
    </row>
    <row r="70" spans="2:21">
      <c r="B70" s="145" t="str">
        <f t="shared" si="0"/>
        <v/>
      </c>
      <c r="C70" s="495">
        <f>IF(D11="","-",+C69+1)</f>
        <v>2067</v>
      </c>
      <c r="D70" s="508">
        <f>IF(F69+SUM(E$17:E69)=D$10,F69,D$10-SUM(E$17:E69))</f>
        <v>0</v>
      </c>
      <c r="E70" s="509">
        <f t="shared" si="17"/>
        <v>0</v>
      </c>
      <c r="F70" s="510">
        <f t="shared" si="18"/>
        <v>0</v>
      </c>
      <c r="G70" s="511">
        <f t="shared" si="19"/>
        <v>0</v>
      </c>
      <c r="H70" s="477">
        <f t="shared" si="20"/>
        <v>0</v>
      </c>
      <c r="I70" s="500">
        <f t="shared" si="6"/>
        <v>0</v>
      </c>
      <c r="J70" s="500"/>
      <c r="K70" s="512"/>
      <c r="L70" s="504">
        <f t="shared" si="16"/>
        <v>0</v>
      </c>
      <c r="M70" s="512"/>
      <c r="N70" s="504">
        <f t="shared" si="4"/>
        <v>0</v>
      </c>
      <c r="O70" s="504">
        <f t="shared" si="5"/>
        <v>0</v>
      </c>
      <c r="P70" s="278"/>
      <c r="R70" s="243"/>
      <c r="S70" s="243"/>
      <c r="T70" s="243"/>
      <c r="U70" s="243"/>
    </row>
    <row r="71" spans="2:21">
      <c r="B71" s="145" t="str">
        <f t="shared" si="0"/>
        <v/>
      </c>
      <c r="C71" s="495">
        <f>IF(D11="","-",+C70+1)</f>
        <v>2068</v>
      </c>
      <c r="D71" s="508">
        <f>IF(F70+SUM(E$17:E70)=D$10,F70,D$10-SUM(E$17:E70))</f>
        <v>0</v>
      </c>
      <c r="E71" s="509">
        <f t="shared" si="17"/>
        <v>0</v>
      </c>
      <c r="F71" s="510">
        <f t="shared" si="18"/>
        <v>0</v>
      </c>
      <c r="G71" s="511">
        <f t="shared" si="19"/>
        <v>0</v>
      </c>
      <c r="H71" s="477">
        <f t="shared" si="20"/>
        <v>0</v>
      </c>
      <c r="I71" s="500">
        <f t="shared" si="6"/>
        <v>0</v>
      </c>
      <c r="J71" s="500"/>
      <c r="K71" s="512"/>
      <c r="L71" s="504">
        <f t="shared" si="16"/>
        <v>0</v>
      </c>
      <c r="M71" s="512"/>
      <c r="N71" s="504">
        <f t="shared" si="4"/>
        <v>0</v>
      </c>
      <c r="O71" s="504">
        <f t="shared" si="5"/>
        <v>0</v>
      </c>
      <c r="P71" s="278"/>
      <c r="R71" s="243"/>
      <c r="S71" s="243"/>
      <c r="T71" s="243"/>
      <c r="U71" s="243"/>
    </row>
    <row r="72" spans="2:21">
      <c r="B72" s="145" t="str">
        <f t="shared" si="0"/>
        <v/>
      </c>
      <c r="C72" s="495">
        <f>IF(D11="","-",+C71+1)</f>
        <v>2069</v>
      </c>
      <c r="D72" s="508">
        <f>IF(F71+SUM(E$17:E71)=D$10,F71,D$10-SUM(E$17:E71))</f>
        <v>0</v>
      </c>
      <c r="E72" s="509">
        <f t="shared" si="17"/>
        <v>0</v>
      </c>
      <c r="F72" s="510">
        <f t="shared" si="18"/>
        <v>0</v>
      </c>
      <c r="G72" s="511">
        <f t="shared" si="19"/>
        <v>0</v>
      </c>
      <c r="H72" s="477">
        <f t="shared" si="20"/>
        <v>0</v>
      </c>
      <c r="I72" s="500">
        <f t="shared" si="6"/>
        <v>0</v>
      </c>
      <c r="J72" s="500"/>
      <c r="K72" s="512"/>
      <c r="L72" s="504">
        <f t="shared" si="16"/>
        <v>0</v>
      </c>
      <c r="M72" s="512"/>
      <c r="N72" s="504">
        <f t="shared" si="4"/>
        <v>0</v>
      </c>
      <c r="O72" s="504">
        <f t="shared" si="5"/>
        <v>0</v>
      </c>
      <c r="P72" s="278"/>
      <c r="R72" s="243"/>
      <c r="S72" s="243"/>
      <c r="T72" s="243"/>
      <c r="U72" s="243"/>
    </row>
    <row r="73" spans="2:21" ht="13.5" thickBot="1">
      <c r="B73" s="145" t="str">
        <f t="shared" si="0"/>
        <v/>
      </c>
      <c r="C73" s="524">
        <f>IF(D11="","-",+C72+1)</f>
        <v>2070</v>
      </c>
      <c r="D73" s="525">
        <f>IF(F72+SUM(E$17:E72)=D$10,F72,D$10-SUM(E$17:E72))</f>
        <v>0</v>
      </c>
      <c r="E73" s="526">
        <f t="shared" si="17"/>
        <v>0</v>
      </c>
      <c r="F73" s="527">
        <f t="shared" si="18"/>
        <v>0</v>
      </c>
      <c r="G73" s="611">
        <f t="shared" si="19"/>
        <v>0</v>
      </c>
      <c r="H73" s="458">
        <f t="shared" si="20"/>
        <v>0</v>
      </c>
      <c r="I73" s="529">
        <f t="shared" si="6"/>
        <v>0</v>
      </c>
      <c r="J73" s="500"/>
      <c r="K73" s="530"/>
      <c r="L73" s="531">
        <f t="shared" si="16"/>
        <v>0</v>
      </c>
      <c r="M73" s="530"/>
      <c r="N73" s="531">
        <f t="shared" si="4"/>
        <v>0</v>
      </c>
      <c r="O73" s="531">
        <f t="shared" si="5"/>
        <v>0</v>
      </c>
      <c r="P73" s="278"/>
      <c r="R73" s="243"/>
      <c r="S73" s="243"/>
      <c r="T73" s="243"/>
      <c r="U73" s="243"/>
    </row>
    <row r="74" spans="2:21">
      <c r="C74" s="349" t="s">
        <v>75</v>
      </c>
      <c r="D74" s="294"/>
      <c r="E74" s="294">
        <f>SUM(E17:E73)</f>
        <v>1864625.0000000002</v>
      </c>
      <c r="F74" s="294"/>
      <c r="G74" s="294">
        <f>SUM(G17:G73)</f>
        <v>5294155.081238403</v>
      </c>
      <c r="H74" s="294">
        <f>SUM(H17:H73)</f>
        <v>5294155.081238403</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8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229509.43964714528</v>
      </c>
      <c r="N88" s="544">
        <f>IF(J93&lt;D11,0,VLOOKUP(J93,C17:O73,11))</f>
        <v>229509.43964714528</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253775.29790844768</v>
      </c>
      <c r="N89" s="548">
        <f>IF(J93&lt;D11,0,VLOOKUP(J93,C100:P155,7))</f>
        <v>253775.29790844768</v>
      </c>
      <c r="O89" s="549">
        <f>+N89-M89</f>
        <v>0</v>
      </c>
      <c r="P89" s="243"/>
      <c r="Q89" s="243"/>
      <c r="R89" s="243"/>
      <c r="S89" s="243"/>
      <c r="T89" s="243"/>
      <c r="U89" s="243"/>
    </row>
    <row r="90" spans="1:21" ht="13.5" thickBot="1">
      <c r="C90" s="454" t="s">
        <v>82</v>
      </c>
      <c r="D90" s="550" t="str">
        <f>+D7</f>
        <v>Coweta 69 kV Capacitor</v>
      </c>
      <c r="E90" s="243"/>
      <c r="F90" s="243"/>
      <c r="G90" s="243"/>
      <c r="H90" s="243"/>
      <c r="I90" s="325"/>
      <c r="J90" s="325"/>
      <c r="K90" s="551"/>
      <c r="L90" s="552" t="s">
        <v>135</v>
      </c>
      <c r="M90" s="553">
        <f>+M89-M88</f>
        <v>24265.858261302405</v>
      </c>
      <c r="N90" s="553">
        <f>+N89-N88</f>
        <v>24265.858261302405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f>+D9</f>
        <v>0</v>
      </c>
      <c r="E92" s="558"/>
      <c r="F92" s="558"/>
      <c r="G92" s="558"/>
      <c r="H92" s="558"/>
      <c r="I92" s="558"/>
      <c r="J92" s="558"/>
      <c r="K92" s="560"/>
      <c r="P92" s="468"/>
      <c r="Q92" s="243"/>
      <c r="R92" s="243"/>
      <c r="S92" s="243"/>
      <c r="T92" s="243"/>
      <c r="U92" s="243"/>
    </row>
    <row r="93" spans="1:21">
      <c r="C93" s="472" t="s">
        <v>49</v>
      </c>
      <c r="D93" s="598">
        <f>IF(D11=I10,0,D10)</f>
        <v>1864625</v>
      </c>
      <c r="E93" s="248" t="s">
        <v>84</v>
      </c>
      <c r="H93" s="408"/>
      <c r="I93" s="408"/>
      <c r="J93" s="471">
        <f>+'OKT.WS.G.BPU.ATRR.True-up'!M16</f>
        <v>2021</v>
      </c>
      <c r="K93" s="467"/>
      <c r="L93" s="294" t="s">
        <v>85</v>
      </c>
      <c r="P93" s="278"/>
      <c r="Q93" s="243"/>
      <c r="R93" s="243"/>
      <c r="S93" s="243"/>
      <c r="T93" s="243"/>
      <c r="U93" s="243"/>
    </row>
    <row r="94" spans="1:21">
      <c r="C94" s="472" t="s">
        <v>52</v>
      </c>
      <c r="D94" s="561">
        <f>IF(D11=I10,"",D11)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6</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74585</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2014</v>
      </c>
      <c r="D100" s="612">
        <v>0</v>
      </c>
      <c r="E100" s="613">
        <v>16074.353534482758</v>
      </c>
      <c r="F100" s="614">
        <v>1848550.6564655174</v>
      </c>
      <c r="G100" s="615">
        <v>924275.32823275868</v>
      </c>
      <c r="H100" s="615">
        <v>115474.09051785123</v>
      </c>
      <c r="I100" s="615">
        <v>115474.09051785123</v>
      </c>
      <c r="J100" s="504">
        <v>0</v>
      </c>
      <c r="K100" s="504"/>
      <c r="L100" s="506">
        <f t="shared" ref="L100:L106" si="21">H100</f>
        <v>115474.09051785123</v>
      </c>
      <c r="M100" s="504">
        <f t="shared" ref="M100:M106" si="22">IF(L100&lt;&gt;0,+H100-L100,0)</f>
        <v>0</v>
      </c>
      <c r="N100" s="506">
        <f t="shared" ref="N100:N106" si="23">I100</f>
        <v>115474.09051785123</v>
      </c>
      <c r="O100" s="504">
        <f>IF(N100&lt;&gt;0,+I100-N100,0)</f>
        <v>0</v>
      </c>
      <c r="P100" s="504">
        <f>+O100-M100</f>
        <v>0</v>
      </c>
      <c r="Q100" s="243"/>
      <c r="R100" s="243"/>
      <c r="S100" s="243"/>
      <c r="T100" s="243"/>
      <c r="U100" s="243"/>
    </row>
    <row r="101" spans="1:21">
      <c r="C101" s="495">
        <f>IF(D94="","-",+C100+1)</f>
        <v>2015</v>
      </c>
      <c r="D101" s="505">
        <v>1848550.6564655174</v>
      </c>
      <c r="E101" s="498">
        <v>38846.354375000003</v>
      </c>
      <c r="F101" s="505">
        <v>1809704.3020905172</v>
      </c>
      <c r="G101" s="498">
        <v>1829127.4792780173</v>
      </c>
      <c r="H101" s="499">
        <v>242482.07146648291</v>
      </c>
      <c r="I101" s="499">
        <v>242482.07146648291</v>
      </c>
      <c r="J101" s="499">
        <v>0</v>
      </c>
      <c r="K101" s="504"/>
      <c r="L101" s="506">
        <f t="shared" si="21"/>
        <v>242482.07146648291</v>
      </c>
      <c r="M101" s="504">
        <f t="shared" si="22"/>
        <v>0</v>
      </c>
      <c r="N101" s="506">
        <f t="shared" si="23"/>
        <v>242482.07146648291</v>
      </c>
      <c r="O101" s="504">
        <f t="shared" ref="O101:O131" si="24">IF(N101&lt;&gt;0,+I101-N101,0)</f>
        <v>0</v>
      </c>
      <c r="P101" s="504">
        <f t="shared" ref="P101:P131" si="25">+O101-M101</f>
        <v>0</v>
      </c>
      <c r="Q101" s="243"/>
      <c r="R101" s="243"/>
      <c r="S101" s="243"/>
      <c r="T101" s="243"/>
      <c r="U101" s="243"/>
    </row>
    <row r="102" spans="1:21">
      <c r="C102" s="495">
        <f>IF(D94="","-",+C101+1)</f>
        <v>2016</v>
      </c>
      <c r="D102" s="505">
        <v>1809704.3020905172</v>
      </c>
      <c r="E102" s="498">
        <v>36561.274705882352</v>
      </c>
      <c r="F102" s="505">
        <v>1773143.0273846348</v>
      </c>
      <c r="G102" s="498">
        <v>1791423.6647375762</v>
      </c>
      <c r="H102" s="499">
        <v>230696.88883644732</v>
      </c>
      <c r="I102" s="499">
        <v>230696.88883644732</v>
      </c>
      <c r="J102" s="504">
        <f t="shared" ref="J102:J155" si="26">+I102-H102</f>
        <v>0</v>
      </c>
      <c r="K102" s="504"/>
      <c r="L102" s="506">
        <f t="shared" si="21"/>
        <v>230696.88883644732</v>
      </c>
      <c r="M102" s="504">
        <f t="shared" si="22"/>
        <v>0</v>
      </c>
      <c r="N102" s="506">
        <f t="shared" si="23"/>
        <v>230696.88883644732</v>
      </c>
      <c r="O102" s="504">
        <f>IF(N102&lt;&gt;0,+I102-N102,0)</f>
        <v>0</v>
      </c>
      <c r="P102" s="504">
        <f>+O102-M102</f>
        <v>0</v>
      </c>
      <c r="Q102" s="243"/>
      <c r="R102" s="243"/>
      <c r="S102" s="243"/>
      <c r="T102" s="243"/>
      <c r="U102" s="243"/>
    </row>
    <row r="103" spans="1:21">
      <c r="C103" s="495">
        <f>IF(D94="","-",+C102+1)</f>
        <v>2017</v>
      </c>
      <c r="D103" s="505">
        <v>1773143.0273846348</v>
      </c>
      <c r="E103" s="498">
        <v>46615.625249999997</v>
      </c>
      <c r="F103" s="505">
        <v>1726527.4021346348</v>
      </c>
      <c r="G103" s="498">
        <v>1749835.2147596348</v>
      </c>
      <c r="H103" s="499">
        <v>251934.05240160052</v>
      </c>
      <c r="I103" s="499">
        <v>251934.05240160052</v>
      </c>
      <c r="J103" s="504">
        <v>0</v>
      </c>
      <c r="K103" s="504"/>
      <c r="L103" s="506">
        <f t="shared" si="21"/>
        <v>251934.05240160052</v>
      </c>
      <c r="M103" s="504">
        <f t="shared" si="22"/>
        <v>0</v>
      </c>
      <c r="N103" s="506">
        <f t="shared" si="23"/>
        <v>251934.05240160052</v>
      </c>
      <c r="O103" s="504">
        <f>IF(N103&lt;&gt;0,+I103-N103,0)</f>
        <v>0</v>
      </c>
      <c r="P103" s="504">
        <f>+O103-M103</f>
        <v>0</v>
      </c>
      <c r="Q103" s="243"/>
      <c r="R103" s="243"/>
      <c r="S103" s="243"/>
      <c r="T103" s="243"/>
      <c r="U103" s="243"/>
    </row>
    <row r="104" spans="1:21">
      <c r="C104" s="495">
        <f>IF(D94="","-",+C103+1)</f>
        <v>2018</v>
      </c>
      <c r="D104" s="505">
        <v>1726527.4021346348</v>
      </c>
      <c r="E104" s="498">
        <v>51795.139166666668</v>
      </c>
      <c r="F104" s="505">
        <v>1674732.2629679681</v>
      </c>
      <c r="G104" s="498">
        <v>1700629.8325513015</v>
      </c>
      <c r="H104" s="499">
        <v>231317.7893017451</v>
      </c>
      <c r="I104" s="499">
        <v>231317.7893017451</v>
      </c>
      <c r="J104" s="504">
        <f t="shared" si="26"/>
        <v>0</v>
      </c>
      <c r="K104" s="504"/>
      <c r="L104" s="506">
        <f t="shared" si="21"/>
        <v>231317.7893017451</v>
      </c>
      <c r="M104" s="504">
        <f t="shared" si="22"/>
        <v>0</v>
      </c>
      <c r="N104" s="506">
        <f t="shared" si="23"/>
        <v>231317.7893017451</v>
      </c>
      <c r="O104" s="504">
        <f>IF(N104&lt;&gt;0,+I104-N104,0)</f>
        <v>0</v>
      </c>
      <c r="P104" s="504">
        <f>+O104-M104</f>
        <v>0</v>
      </c>
      <c r="Q104" s="243"/>
      <c r="R104" s="243"/>
      <c r="S104" s="243"/>
      <c r="T104" s="243"/>
      <c r="U104" s="243"/>
    </row>
    <row r="105" spans="1:21">
      <c r="C105" s="495">
        <f>IF(D94="","-",+C104+1)</f>
        <v>2019</v>
      </c>
      <c r="D105" s="505">
        <v>1674732.2629679681</v>
      </c>
      <c r="E105" s="498">
        <v>51795.139166666668</v>
      </c>
      <c r="F105" s="505">
        <v>1622937.1238013015</v>
      </c>
      <c r="G105" s="498">
        <v>1648834.6933846348</v>
      </c>
      <c r="H105" s="499">
        <v>225850.16755988394</v>
      </c>
      <c r="I105" s="499">
        <v>225850.16755988394</v>
      </c>
      <c r="J105" s="504">
        <f t="shared" si="26"/>
        <v>0</v>
      </c>
      <c r="K105" s="504"/>
      <c r="L105" s="506">
        <f t="shared" si="21"/>
        <v>225850.16755988394</v>
      </c>
      <c r="M105" s="504">
        <f t="shared" si="22"/>
        <v>0</v>
      </c>
      <c r="N105" s="506">
        <f t="shared" si="23"/>
        <v>225850.16755988394</v>
      </c>
      <c r="O105" s="504">
        <f t="shared" si="24"/>
        <v>0</v>
      </c>
      <c r="P105" s="504">
        <f t="shared" si="25"/>
        <v>0</v>
      </c>
      <c r="Q105" s="243"/>
      <c r="R105" s="243"/>
      <c r="S105" s="243"/>
      <c r="T105" s="243"/>
      <c r="U105" s="243"/>
    </row>
    <row r="106" spans="1:21">
      <c r="C106" s="495">
        <f>IF(D94="","-",+C105+1)</f>
        <v>2020</v>
      </c>
      <c r="D106" s="505">
        <v>1622937.1238013015</v>
      </c>
      <c r="E106" s="498">
        <v>66593.750357142853</v>
      </c>
      <c r="F106" s="505">
        <v>1556343.3734441586</v>
      </c>
      <c r="G106" s="498">
        <v>1589640.2486227299</v>
      </c>
      <c r="H106" s="499">
        <v>235752.93131710603</v>
      </c>
      <c r="I106" s="499">
        <v>235752.93131710603</v>
      </c>
      <c r="J106" s="504">
        <f t="shared" si="26"/>
        <v>0</v>
      </c>
      <c r="K106" s="504"/>
      <c r="L106" s="506">
        <f t="shared" si="21"/>
        <v>235752.93131710603</v>
      </c>
      <c r="M106" s="504">
        <f t="shared" si="22"/>
        <v>0</v>
      </c>
      <c r="N106" s="506">
        <f t="shared" si="23"/>
        <v>235752.93131710603</v>
      </c>
      <c r="O106" s="504">
        <f t="shared" si="24"/>
        <v>0</v>
      </c>
      <c r="P106" s="504">
        <f t="shared" si="25"/>
        <v>0</v>
      </c>
      <c r="Q106" s="243"/>
      <c r="R106" s="243"/>
      <c r="S106" s="243"/>
      <c r="T106" s="243"/>
      <c r="U106" s="243"/>
    </row>
    <row r="107" spans="1:21">
      <c r="C107" s="495">
        <f>IF(D94="","-",+C106+1)</f>
        <v>2021</v>
      </c>
      <c r="D107" s="349">
        <f>IF(F106+SUM(E$100:E106)=D$93,F106,D$93-SUM(E$100:E106))</f>
        <v>1556343.3634441588</v>
      </c>
      <c r="E107" s="509">
        <f t="shared" ref="E107:E155" si="27">IF(+$J$97&lt;F106,$J$97,D107)</f>
        <v>74585</v>
      </c>
      <c r="F107" s="510">
        <f t="shared" ref="F107:F155" si="28">+D107-E107</f>
        <v>1481758.3634441588</v>
      </c>
      <c r="G107" s="510">
        <f t="shared" ref="G107:G155" si="29">+(F107+D107)/2</f>
        <v>1519050.8634441588</v>
      </c>
      <c r="H107" s="523">
        <f t="shared" ref="H107:H155" si="30">+J$95*G107+E107</f>
        <v>253775.29790844768</v>
      </c>
      <c r="I107" s="572">
        <f t="shared" ref="I107:I155" si="31">+J$96*G107+E107</f>
        <v>253775.29790844768</v>
      </c>
      <c r="J107" s="504">
        <f t="shared" si="26"/>
        <v>0</v>
      </c>
      <c r="K107" s="504"/>
      <c r="L107" s="512"/>
      <c r="M107" s="504">
        <f t="shared" ref="M107:M131" si="32">IF(L107&lt;&gt;0,+H107-L107,0)</f>
        <v>0</v>
      </c>
      <c r="N107" s="512"/>
      <c r="O107" s="504">
        <f t="shared" si="24"/>
        <v>0</v>
      </c>
      <c r="P107" s="504">
        <f t="shared" si="25"/>
        <v>0</v>
      </c>
      <c r="Q107" s="243"/>
      <c r="R107" s="243"/>
      <c r="S107" s="243"/>
      <c r="T107" s="243"/>
      <c r="U107" s="243"/>
    </row>
    <row r="108" spans="1:21">
      <c r="C108" s="495">
        <f>IF(D94="","-",+C107+1)</f>
        <v>2022</v>
      </c>
      <c r="D108" s="349">
        <f>IF(F107+SUM(E$100:E107)=D$93,F107,D$93-SUM(E$100:E107))</f>
        <v>1481758.3634441588</v>
      </c>
      <c r="E108" s="509">
        <f t="shared" si="27"/>
        <v>74585</v>
      </c>
      <c r="F108" s="510">
        <f t="shared" si="28"/>
        <v>1407173.3634441588</v>
      </c>
      <c r="G108" s="510">
        <f t="shared" si="29"/>
        <v>1444465.8634441588</v>
      </c>
      <c r="H108" s="523">
        <f t="shared" si="30"/>
        <v>244977.10115866989</v>
      </c>
      <c r="I108" s="572">
        <f t="shared" si="31"/>
        <v>244977.10115866989</v>
      </c>
      <c r="J108" s="504">
        <f t="shared" si="26"/>
        <v>0</v>
      </c>
      <c r="K108" s="504"/>
      <c r="L108" s="512"/>
      <c r="M108" s="504">
        <f t="shared" si="32"/>
        <v>0</v>
      </c>
      <c r="N108" s="512"/>
      <c r="O108" s="504">
        <f t="shared" si="24"/>
        <v>0</v>
      </c>
      <c r="P108" s="504">
        <f t="shared" si="25"/>
        <v>0</v>
      </c>
      <c r="Q108" s="243"/>
      <c r="R108" s="243"/>
      <c r="S108" s="243"/>
      <c r="T108" s="243"/>
      <c r="U108" s="243"/>
    </row>
    <row r="109" spans="1:21">
      <c r="C109" s="495">
        <f>IF(D94="","-",+C108+1)</f>
        <v>2023</v>
      </c>
      <c r="D109" s="349">
        <f>IF(F108+SUM(E$100:E108)=D$93,F108,D$93-SUM(E$100:E108))</f>
        <v>1407173.3634441588</v>
      </c>
      <c r="E109" s="509">
        <f t="shared" si="27"/>
        <v>74585</v>
      </c>
      <c r="F109" s="510">
        <f t="shared" si="28"/>
        <v>1332588.3634441588</v>
      </c>
      <c r="G109" s="510">
        <f t="shared" si="29"/>
        <v>1369880.8634441588</v>
      </c>
      <c r="H109" s="523">
        <f t="shared" si="30"/>
        <v>236178.90440889206</v>
      </c>
      <c r="I109" s="572">
        <f t="shared" si="31"/>
        <v>236178.90440889206</v>
      </c>
      <c r="J109" s="504">
        <f t="shared" si="26"/>
        <v>0</v>
      </c>
      <c r="K109" s="504"/>
      <c r="L109" s="512"/>
      <c r="M109" s="504">
        <f t="shared" si="32"/>
        <v>0</v>
      </c>
      <c r="N109" s="512"/>
      <c r="O109" s="504">
        <f t="shared" si="24"/>
        <v>0</v>
      </c>
      <c r="P109" s="504">
        <f t="shared" si="25"/>
        <v>0</v>
      </c>
      <c r="Q109" s="243"/>
      <c r="R109" s="243"/>
      <c r="S109" s="243"/>
      <c r="T109" s="243"/>
      <c r="U109" s="243"/>
    </row>
    <row r="110" spans="1:21">
      <c r="C110" s="495">
        <f>IF(D94="","-",+C109+1)</f>
        <v>2024</v>
      </c>
      <c r="D110" s="349">
        <f>IF(F109+SUM(E$100:E109)=D$93,F109,D$93-SUM(E$100:E109))</f>
        <v>1332588.3634441588</v>
      </c>
      <c r="E110" s="509">
        <f t="shared" si="27"/>
        <v>74585</v>
      </c>
      <c r="F110" s="510">
        <f t="shared" si="28"/>
        <v>1258003.3634441588</v>
      </c>
      <c r="G110" s="510">
        <f t="shared" si="29"/>
        <v>1295295.8634441588</v>
      </c>
      <c r="H110" s="523">
        <f t="shared" si="30"/>
        <v>227380.70765911427</v>
      </c>
      <c r="I110" s="572">
        <f t="shared" si="31"/>
        <v>227380.70765911427</v>
      </c>
      <c r="J110" s="504">
        <f t="shared" si="26"/>
        <v>0</v>
      </c>
      <c r="K110" s="504"/>
      <c r="L110" s="512"/>
      <c r="M110" s="504">
        <f t="shared" si="32"/>
        <v>0</v>
      </c>
      <c r="N110" s="512"/>
      <c r="O110" s="504">
        <f t="shared" si="24"/>
        <v>0</v>
      </c>
      <c r="P110" s="504">
        <f t="shared" si="25"/>
        <v>0</v>
      </c>
      <c r="Q110" s="243"/>
      <c r="R110" s="243"/>
      <c r="S110" s="243"/>
      <c r="T110" s="243"/>
      <c r="U110" s="243"/>
    </row>
    <row r="111" spans="1:21">
      <c r="C111" s="495">
        <f>IF(D94="","-",+C110+1)</f>
        <v>2025</v>
      </c>
      <c r="D111" s="349">
        <f>IF(F110+SUM(E$100:E110)=D$93,F110,D$93-SUM(E$100:E110))</f>
        <v>1258003.3634441588</v>
      </c>
      <c r="E111" s="509">
        <f t="shared" si="27"/>
        <v>74585</v>
      </c>
      <c r="F111" s="510">
        <f t="shared" si="28"/>
        <v>1183418.3634441588</v>
      </c>
      <c r="G111" s="510">
        <f t="shared" si="29"/>
        <v>1220710.8634441588</v>
      </c>
      <c r="H111" s="523">
        <f t="shared" si="30"/>
        <v>218582.51090933644</v>
      </c>
      <c r="I111" s="572">
        <f t="shared" si="31"/>
        <v>218582.51090933644</v>
      </c>
      <c r="J111" s="504">
        <f t="shared" si="26"/>
        <v>0</v>
      </c>
      <c r="K111" s="504"/>
      <c r="L111" s="512"/>
      <c r="M111" s="504">
        <f t="shared" si="32"/>
        <v>0</v>
      </c>
      <c r="N111" s="512"/>
      <c r="O111" s="504">
        <f t="shared" si="24"/>
        <v>0</v>
      </c>
      <c r="P111" s="504">
        <f t="shared" si="25"/>
        <v>0</v>
      </c>
      <c r="Q111" s="243"/>
      <c r="R111" s="243"/>
      <c r="S111" s="243"/>
      <c r="T111" s="243"/>
      <c r="U111" s="243"/>
    </row>
    <row r="112" spans="1:21">
      <c r="C112" s="495">
        <f>IF(D94="","-",+C111+1)</f>
        <v>2026</v>
      </c>
      <c r="D112" s="349">
        <f>IF(F111+SUM(E$100:E111)=D$93,F111,D$93-SUM(E$100:E111))</f>
        <v>1183418.3634441588</v>
      </c>
      <c r="E112" s="509">
        <f t="shared" si="27"/>
        <v>74585</v>
      </c>
      <c r="F112" s="510">
        <f t="shared" si="28"/>
        <v>1108833.3634441588</v>
      </c>
      <c r="G112" s="510">
        <f t="shared" si="29"/>
        <v>1146125.8634441588</v>
      </c>
      <c r="H112" s="523">
        <f t="shared" si="30"/>
        <v>209784.31415955865</v>
      </c>
      <c r="I112" s="572">
        <f t="shared" si="31"/>
        <v>209784.31415955865</v>
      </c>
      <c r="J112" s="504">
        <f t="shared" si="26"/>
        <v>0</v>
      </c>
      <c r="K112" s="504"/>
      <c r="L112" s="512"/>
      <c r="M112" s="504">
        <f t="shared" si="32"/>
        <v>0</v>
      </c>
      <c r="N112" s="512"/>
      <c r="O112" s="504">
        <f t="shared" si="24"/>
        <v>0</v>
      </c>
      <c r="P112" s="504">
        <f t="shared" si="25"/>
        <v>0</v>
      </c>
      <c r="Q112" s="243"/>
      <c r="R112" s="243"/>
      <c r="S112" s="243"/>
      <c r="T112" s="243"/>
      <c r="U112" s="243"/>
    </row>
    <row r="113" spans="3:21">
      <c r="C113" s="495">
        <f>IF(D94="","-",+C112+1)</f>
        <v>2027</v>
      </c>
      <c r="D113" s="349">
        <f>IF(F112+SUM(E$100:E112)=D$93,F112,D$93-SUM(E$100:E112))</f>
        <v>1108833.3634441588</v>
      </c>
      <c r="E113" s="509">
        <f t="shared" si="27"/>
        <v>74585</v>
      </c>
      <c r="F113" s="510">
        <f t="shared" si="28"/>
        <v>1034248.3634441588</v>
      </c>
      <c r="G113" s="510">
        <f t="shared" si="29"/>
        <v>1071540.8634441588</v>
      </c>
      <c r="H113" s="523">
        <f t="shared" si="30"/>
        <v>200986.11740978085</v>
      </c>
      <c r="I113" s="572">
        <f t="shared" si="31"/>
        <v>200986.11740978085</v>
      </c>
      <c r="J113" s="504">
        <f t="shared" si="26"/>
        <v>0</v>
      </c>
      <c r="K113" s="504"/>
      <c r="L113" s="512"/>
      <c r="M113" s="504">
        <f t="shared" si="32"/>
        <v>0</v>
      </c>
      <c r="N113" s="512"/>
      <c r="O113" s="504">
        <f t="shared" si="24"/>
        <v>0</v>
      </c>
      <c r="P113" s="504">
        <f t="shared" si="25"/>
        <v>0</v>
      </c>
      <c r="Q113" s="243"/>
      <c r="R113" s="243"/>
      <c r="S113" s="243"/>
      <c r="T113" s="243"/>
      <c r="U113" s="243"/>
    </row>
    <row r="114" spans="3:21">
      <c r="C114" s="495">
        <f>IF(D94="","-",+C113+1)</f>
        <v>2028</v>
      </c>
      <c r="D114" s="349">
        <f>IF(F113+SUM(E$100:E113)=D$93,F113,D$93-SUM(E$100:E113))</f>
        <v>1034248.3634441588</v>
      </c>
      <c r="E114" s="509">
        <f t="shared" si="27"/>
        <v>74585</v>
      </c>
      <c r="F114" s="510">
        <f t="shared" si="28"/>
        <v>959663.36344415881</v>
      </c>
      <c r="G114" s="510">
        <f t="shared" si="29"/>
        <v>996955.86344415881</v>
      </c>
      <c r="H114" s="523">
        <f t="shared" si="30"/>
        <v>192187.92066000303</v>
      </c>
      <c r="I114" s="572">
        <f t="shared" si="31"/>
        <v>192187.92066000303</v>
      </c>
      <c r="J114" s="504">
        <f t="shared" si="26"/>
        <v>0</v>
      </c>
      <c r="K114" s="504"/>
      <c r="L114" s="512"/>
      <c r="M114" s="504">
        <f t="shared" si="32"/>
        <v>0</v>
      </c>
      <c r="N114" s="512"/>
      <c r="O114" s="504">
        <f t="shared" si="24"/>
        <v>0</v>
      </c>
      <c r="P114" s="504">
        <f t="shared" si="25"/>
        <v>0</v>
      </c>
      <c r="Q114" s="243"/>
      <c r="R114" s="243"/>
      <c r="S114" s="243"/>
      <c r="T114" s="243"/>
      <c r="U114" s="243"/>
    </row>
    <row r="115" spans="3:21">
      <c r="C115" s="495">
        <f>IF(D94="","-",+C114+1)</f>
        <v>2029</v>
      </c>
      <c r="D115" s="349">
        <f>IF(F114+SUM(E$100:E114)=D$93,F114,D$93-SUM(E$100:E114))</f>
        <v>959663.36344415881</v>
      </c>
      <c r="E115" s="509">
        <f t="shared" si="27"/>
        <v>74585</v>
      </c>
      <c r="F115" s="510">
        <f t="shared" si="28"/>
        <v>885078.36344415881</v>
      </c>
      <c r="G115" s="510">
        <f t="shared" si="29"/>
        <v>922370.86344415881</v>
      </c>
      <c r="H115" s="523">
        <f t="shared" si="30"/>
        <v>183389.72391022521</v>
      </c>
      <c r="I115" s="572">
        <f t="shared" si="31"/>
        <v>183389.72391022521</v>
      </c>
      <c r="J115" s="504">
        <f t="shared" si="26"/>
        <v>0</v>
      </c>
      <c r="K115" s="504"/>
      <c r="L115" s="512"/>
      <c r="M115" s="504">
        <f t="shared" si="32"/>
        <v>0</v>
      </c>
      <c r="N115" s="512"/>
      <c r="O115" s="504">
        <f t="shared" si="24"/>
        <v>0</v>
      </c>
      <c r="P115" s="504">
        <f t="shared" si="25"/>
        <v>0</v>
      </c>
      <c r="Q115" s="243"/>
      <c r="R115" s="243"/>
      <c r="S115" s="243"/>
      <c r="T115" s="243"/>
      <c r="U115" s="243"/>
    </row>
    <row r="116" spans="3:21">
      <c r="C116" s="495">
        <f>IF(D94="","-",+C115+1)</f>
        <v>2030</v>
      </c>
      <c r="D116" s="349">
        <f>IF(F115+SUM(E$100:E115)=D$93,F115,D$93-SUM(E$100:E115))</f>
        <v>885078.36344415881</v>
      </c>
      <c r="E116" s="509">
        <f t="shared" si="27"/>
        <v>74585</v>
      </c>
      <c r="F116" s="510">
        <f t="shared" si="28"/>
        <v>810493.36344415881</v>
      </c>
      <c r="G116" s="510">
        <f t="shared" si="29"/>
        <v>847785.86344415881</v>
      </c>
      <c r="H116" s="523">
        <f t="shared" si="30"/>
        <v>174591.52716044741</v>
      </c>
      <c r="I116" s="572">
        <f t="shared" si="31"/>
        <v>174591.52716044741</v>
      </c>
      <c r="J116" s="504">
        <f t="shared" si="26"/>
        <v>0</v>
      </c>
      <c r="K116" s="504"/>
      <c r="L116" s="512"/>
      <c r="M116" s="504">
        <f t="shared" si="32"/>
        <v>0</v>
      </c>
      <c r="N116" s="512"/>
      <c r="O116" s="504">
        <f t="shared" si="24"/>
        <v>0</v>
      </c>
      <c r="P116" s="504">
        <f t="shared" si="25"/>
        <v>0</v>
      </c>
      <c r="Q116" s="243"/>
      <c r="R116" s="243"/>
      <c r="S116" s="243"/>
      <c r="T116" s="243"/>
      <c r="U116" s="243"/>
    </row>
    <row r="117" spans="3:21">
      <c r="C117" s="495">
        <f>IF(D94="","-",+C116+1)</f>
        <v>2031</v>
      </c>
      <c r="D117" s="349">
        <f>IF(F116+SUM(E$100:E116)=D$93,F116,D$93-SUM(E$100:E116))</f>
        <v>810493.36344415881</v>
      </c>
      <c r="E117" s="509">
        <f t="shared" si="27"/>
        <v>74585</v>
      </c>
      <c r="F117" s="510">
        <f t="shared" si="28"/>
        <v>735908.36344415881</v>
      </c>
      <c r="G117" s="510">
        <f t="shared" si="29"/>
        <v>773200.86344415881</v>
      </c>
      <c r="H117" s="523">
        <f t="shared" si="30"/>
        <v>165793.33041066962</v>
      </c>
      <c r="I117" s="572">
        <f t="shared" si="31"/>
        <v>165793.33041066962</v>
      </c>
      <c r="J117" s="504">
        <f t="shared" si="26"/>
        <v>0</v>
      </c>
      <c r="K117" s="504"/>
      <c r="L117" s="512"/>
      <c r="M117" s="504">
        <f t="shared" si="32"/>
        <v>0</v>
      </c>
      <c r="N117" s="512"/>
      <c r="O117" s="504">
        <f t="shared" si="24"/>
        <v>0</v>
      </c>
      <c r="P117" s="504">
        <f t="shared" si="25"/>
        <v>0</v>
      </c>
      <c r="Q117" s="243"/>
      <c r="R117" s="243"/>
      <c r="S117" s="243"/>
      <c r="T117" s="243"/>
      <c r="U117" s="243"/>
    </row>
    <row r="118" spans="3:21">
      <c r="C118" s="495">
        <f>IF(D94="","-",+C117+1)</f>
        <v>2032</v>
      </c>
      <c r="D118" s="349">
        <f>IF(F117+SUM(E$100:E117)=D$93,F117,D$93-SUM(E$100:E117))</f>
        <v>735908.36344415881</v>
      </c>
      <c r="E118" s="509">
        <f t="shared" si="27"/>
        <v>74585</v>
      </c>
      <c r="F118" s="510">
        <f t="shared" si="28"/>
        <v>661323.36344415881</v>
      </c>
      <c r="G118" s="510">
        <f t="shared" si="29"/>
        <v>698615.86344415881</v>
      </c>
      <c r="H118" s="523">
        <f t="shared" si="30"/>
        <v>156995.13366089179</v>
      </c>
      <c r="I118" s="572">
        <f t="shared" si="31"/>
        <v>156995.13366089179</v>
      </c>
      <c r="J118" s="504">
        <f t="shared" si="26"/>
        <v>0</v>
      </c>
      <c r="K118" s="504"/>
      <c r="L118" s="512"/>
      <c r="M118" s="504">
        <f t="shared" si="32"/>
        <v>0</v>
      </c>
      <c r="N118" s="512"/>
      <c r="O118" s="504">
        <f t="shared" si="24"/>
        <v>0</v>
      </c>
      <c r="P118" s="504">
        <f t="shared" si="25"/>
        <v>0</v>
      </c>
      <c r="Q118" s="243"/>
      <c r="R118" s="243"/>
      <c r="S118" s="243"/>
      <c r="T118" s="243"/>
      <c r="U118" s="243"/>
    </row>
    <row r="119" spans="3:21">
      <c r="C119" s="495">
        <f>IF(D94="","-",+C118+1)</f>
        <v>2033</v>
      </c>
      <c r="D119" s="349">
        <f>IF(F118+SUM(E$100:E118)=D$93,F118,D$93-SUM(E$100:E118))</f>
        <v>661323.36344415881</v>
      </c>
      <c r="E119" s="509">
        <f t="shared" si="27"/>
        <v>74585</v>
      </c>
      <c r="F119" s="510">
        <f t="shared" si="28"/>
        <v>586738.36344415881</v>
      </c>
      <c r="G119" s="510">
        <f t="shared" si="29"/>
        <v>624030.86344415881</v>
      </c>
      <c r="H119" s="523">
        <f t="shared" si="30"/>
        <v>148196.936911114</v>
      </c>
      <c r="I119" s="572">
        <f t="shared" si="31"/>
        <v>148196.936911114</v>
      </c>
      <c r="J119" s="504">
        <f t="shared" si="26"/>
        <v>0</v>
      </c>
      <c r="K119" s="504"/>
      <c r="L119" s="512"/>
      <c r="M119" s="504">
        <f t="shared" si="32"/>
        <v>0</v>
      </c>
      <c r="N119" s="512"/>
      <c r="O119" s="504">
        <f t="shared" si="24"/>
        <v>0</v>
      </c>
      <c r="P119" s="504">
        <f t="shared" si="25"/>
        <v>0</v>
      </c>
      <c r="Q119" s="243"/>
      <c r="R119" s="243"/>
      <c r="S119" s="243"/>
      <c r="T119" s="243"/>
      <c r="U119" s="243"/>
    </row>
    <row r="120" spans="3:21">
      <c r="C120" s="495">
        <f>IF(D94="","-",+C119+1)</f>
        <v>2034</v>
      </c>
      <c r="D120" s="349">
        <f>IF(F119+SUM(E$100:E119)=D$93,F119,D$93-SUM(E$100:E119))</f>
        <v>586738.36344415881</v>
      </c>
      <c r="E120" s="509">
        <f t="shared" si="27"/>
        <v>74585</v>
      </c>
      <c r="F120" s="510">
        <f t="shared" si="28"/>
        <v>512153.36344415881</v>
      </c>
      <c r="G120" s="510">
        <f t="shared" si="29"/>
        <v>549445.86344415881</v>
      </c>
      <c r="H120" s="523">
        <f t="shared" si="30"/>
        <v>139398.74016133617</v>
      </c>
      <c r="I120" s="572">
        <f t="shared" si="31"/>
        <v>139398.74016133617</v>
      </c>
      <c r="J120" s="504">
        <f t="shared" si="26"/>
        <v>0</v>
      </c>
      <c r="K120" s="504"/>
      <c r="L120" s="512"/>
      <c r="M120" s="504">
        <f t="shared" si="32"/>
        <v>0</v>
      </c>
      <c r="N120" s="512"/>
      <c r="O120" s="504">
        <f t="shared" si="24"/>
        <v>0</v>
      </c>
      <c r="P120" s="504">
        <f t="shared" si="25"/>
        <v>0</v>
      </c>
      <c r="Q120" s="243"/>
      <c r="R120" s="243"/>
      <c r="S120" s="243"/>
      <c r="T120" s="243"/>
      <c r="U120" s="243"/>
    </row>
    <row r="121" spans="3:21">
      <c r="C121" s="495">
        <f>IF(D94="","-",+C120+1)</f>
        <v>2035</v>
      </c>
      <c r="D121" s="349">
        <f>IF(F120+SUM(E$100:E120)=D$93,F120,D$93-SUM(E$100:E120))</f>
        <v>512153.36344415881</v>
      </c>
      <c r="E121" s="509">
        <f t="shared" si="27"/>
        <v>74585</v>
      </c>
      <c r="F121" s="510">
        <f t="shared" si="28"/>
        <v>437568.36344415881</v>
      </c>
      <c r="G121" s="510">
        <f t="shared" si="29"/>
        <v>474860.86344415881</v>
      </c>
      <c r="H121" s="523">
        <f t="shared" si="30"/>
        <v>130600.54341155838</v>
      </c>
      <c r="I121" s="572">
        <f t="shared" si="31"/>
        <v>130600.54341155838</v>
      </c>
      <c r="J121" s="504">
        <f t="shared" si="26"/>
        <v>0</v>
      </c>
      <c r="K121" s="504"/>
      <c r="L121" s="512"/>
      <c r="M121" s="504">
        <f t="shared" si="32"/>
        <v>0</v>
      </c>
      <c r="N121" s="512"/>
      <c r="O121" s="504">
        <f t="shared" si="24"/>
        <v>0</v>
      </c>
      <c r="P121" s="504">
        <f t="shared" si="25"/>
        <v>0</v>
      </c>
      <c r="Q121" s="243"/>
      <c r="R121" s="243"/>
      <c r="S121" s="243"/>
      <c r="T121" s="243"/>
      <c r="U121" s="243"/>
    </row>
    <row r="122" spans="3:21">
      <c r="C122" s="495">
        <f>IF(D94="","-",+C121+1)</f>
        <v>2036</v>
      </c>
      <c r="D122" s="349">
        <f>IF(F121+SUM(E$100:E121)=D$93,F121,D$93-SUM(E$100:E121))</f>
        <v>437568.36344415881</v>
      </c>
      <c r="E122" s="509">
        <f t="shared" si="27"/>
        <v>74585</v>
      </c>
      <c r="F122" s="510">
        <f t="shared" si="28"/>
        <v>362983.36344415881</v>
      </c>
      <c r="G122" s="510">
        <f t="shared" si="29"/>
        <v>400275.86344415881</v>
      </c>
      <c r="H122" s="523">
        <f t="shared" si="30"/>
        <v>121802.34666178057</v>
      </c>
      <c r="I122" s="572">
        <f t="shared" si="31"/>
        <v>121802.34666178057</v>
      </c>
      <c r="J122" s="504">
        <f t="shared" si="26"/>
        <v>0</v>
      </c>
      <c r="K122" s="504"/>
      <c r="L122" s="512"/>
      <c r="M122" s="504">
        <f t="shared" si="32"/>
        <v>0</v>
      </c>
      <c r="N122" s="512"/>
      <c r="O122" s="504">
        <f t="shared" si="24"/>
        <v>0</v>
      </c>
      <c r="P122" s="504">
        <f t="shared" si="25"/>
        <v>0</v>
      </c>
      <c r="Q122" s="243"/>
      <c r="R122" s="243"/>
      <c r="S122" s="243"/>
      <c r="T122" s="243"/>
      <c r="U122" s="243"/>
    </row>
    <row r="123" spans="3:21">
      <c r="C123" s="495">
        <f>IF(D94="","-",+C122+1)</f>
        <v>2037</v>
      </c>
      <c r="D123" s="349">
        <f>IF(F122+SUM(E$100:E122)=D$93,F122,D$93-SUM(E$100:E122))</f>
        <v>362983.36344415881</v>
      </c>
      <c r="E123" s="509">
        <f t="shared" si="27"/>
        <v>74585</v>
      </c>
      <c r="F123" s="510">
        <f t="shared" si="28"/>
        <v>288398.36344415881</v>
      </c>
      <c r="G123" s="510">
        <f t="shared" si="29"/>
        <v>325690.86344415881</v>
      </c>
      <c r="H123" s="523">
        <f t="shared" si="30"/>
        <v>113004.14991200276</v>
      </c>
      <c r="I123" s="572">
        <f t="shared" si="31"/>
        <v>113004.14991200276</v>
      </c>
      <c r="J123" s="504">
        <f t="shared" si="26"/>
        <v>0</v>
      </c>
      <c r="K123" s="504"/>
      <c r="L123" s="512"/>
      <c r="M123" s="504">
        <f t="shared" si="32"/>
        <v>0</v>
      </c>
      <c r="N123" s="512"/>
      <c r="O123" s="504">
        <f t="shared" si="24"/>
        <v>0</v>
      </c>
      <c r="P123" s="504">
        <f t="shared" si="25"/>
        <v>0</v>
      </c>
      <c r="Q123" s="243"/>
      <c r="R123" s="243"/>
      <c r="S123" s="243"/>
      <c r="T123" s="243"/>
      <c r="U123" s="243"/>
    </row>
    <row r="124" spans="3:21">
      <c r="C124" s="495">
        <f>IF(D94="","-",+C123+1)</f>
        <v>2038</v>
      </c>
      <c r="D124" s="349">
        <f>IF(F123+SUM(E$100:E123)=D$93,F123,D$93-SUM(E$100:E123))</f>
        <v>288398.36344415881</v>
      </c>
      <c r="E124" s="509">
        <f t="shared" si="27"/>
        <v>74585</v>
      </c>
      <c r="F124" s="510">
        <f t="shared" si="28"/>
        <v>213813.36344415881</v>
      </c>
      <c r="G124" s="510">
        <f t="shared" si="29"/>
        <v>251105.86344415881</v>
      </c>
      <c r="H124" s="523">
        <f t="shared" si="30"/>
        <v>104205.95316222495</v>
      </c>
      <c r="I124" s="572">
        <f t="shared" si="31"/>
        <v>104205.95316222495</v>
      </c>
      <c r="J124" s="504">
        <f t="shared" si="26"/>
        <v>0</v>
      </c>
      <c r="K124" s="504"/>
      <c r="L124" s="512"/>
      <c r="M124" s="504">
        <f t="shared" si="32"/>
        <v>0</v>
      </c>
      <c r="N124" s="512"/>
      <c r="O124" s="504">
        <f t="shared" si="24"/>
        <v>0</v>
      </c>
      <c r="P124" s="504">
        <f t="shared" si="25"/>
        <v>0</v>
      </c>
      <c r="Q124" s="243"/>
      <c r="R124" s="243"/>
      <c r="S124" s="243"/>
      <c r="T124" s="243"/>
      <c r="U124" s="243"/>
    </row>
    <row r="125" spans="3:21">
      <c r="C125" s="495">
        <f>IF(D94="","-",+C124+1)</f>
        <v>2039</v>
      </c>
      <c r="D125" s="349">
        <f>IF(F124+SUM(E$100:E124)=D$93,F124,D$93-SUM(E$100:E124))</f>
        <v>213813.36344415881</v>
      </c>
      <c r="E125" s="509">
        <f t="shared" si="27"/>
        <v>74585</v>
      </c>
      <c r="F125" s="510">
        <f t="shared" si="28"/>
        <v>139228.36344415881</v>
      </c>
      <c r="G125" s="510">
        <f t="shared" si="29"/>
        <v>176520.86344415881</v>
      </c>
      <c r="H125" s="523">
        <f t="shared" si="30"/>
        <v>95407.756412447139</v>
      </c>
      <c r="I125" s="572">
        <f t="shared" si="31"/>
        <v>95407.756412447139</v>
      </c>
      <c r="J125" s="504">
        <f t="shared" si="26"/>
        <v>0</v>
      </c>
      <c r="K125" s="504"/>
      <c r="L125" s="512"/>
      <c r="M125" s="504">
        <f t="shared" si="32"/>
        <v>0</v>
      </c>
      <c r="N125" s="512"/>
      <c r="O125" s="504">
        <f t="shared" si="24"/>
        <v>0</v>
      </c>
      <c r="P125" s="504">
        <f t="shared" si="25"/>
        <v>0</v>
      </c>
      <c r="Q125" s="243"/>
      <c r="R125" s="243"/>
      <c r="S125" s="243"/>
      <c r="T125" s="243"/>
      <c r="U125" s="243"/>
    </row>
    <row r="126" spans="3:21">
      <c r="C126" s="495">
        <f>IF(D94="","-",+C125+1)</f>
        <v>2040</v>
      </c>
      <c r="D126" s="349">
        <f>IF(F125+SUM(E$100:E125)=D$93,F125,D$93-SUM(E$100:E125))</f>
        <v>139228.36344415881</v>
      </c>
      <c r="E126" s="509">
        <f t="shared" si="27"/>
        <v>74585</v>
      </c>
      <c r="F126" s="510">
        <f t="shared" si="28"/>
        <v>64643.363444158807</v>
      </c>
      <c r="G126" s="510">
        <f t="shared" si="29"/>
        <v>101935.86344415881</v>
      </c>
      <c r="H126" s="523">
        <f t="shared" si="30"/>
        <v>86609.559662669344</v>
      </c>
      <c r="I126" s="572">
        <f t="shared" si="31"/>
        <v>86609.559662669344</v>
      </c>
      <c r="J126" s="504">
        <f t="shared" si="26"/>
        <v>0</v>
      </c>
      <c r="K126" s="504"/>
      <c r="L126" s="512"/>
      <c r="M126" s="504">
        <f t="shared" si="32"/>
        <v>0</v>
      </c>
      <c r="N126" s="512"/>
      <c r="O126" s="504">
        <f t="shared" si="24"/>
        <v>0</v>
      </c>
      <c r="P126" s="504">
        <f t="shared" si="25"/>
        <v>0</v>
      </c>
      <c r="Q126" s="243"/>
      <c r="R126" s="243"/>
      <c r="S126" s="243"/>
      <c r="T126" s="243"/>
      <c r="U126" s="243"/>
    </row>
    <row r="127" spans="3:21">
      <c r="C127" s="495">
        <f>IF(D94="","-",+C126+1)</f>
        <v>2041</v>
      </c>
      <c r="D127" s="349">
        <f>IF(F126+SUM(E$100:E126)=D$93,F126,D$93-SUM(E$100:E126))</f>
        <v>64643.363444158807</v>
      </c>
      <c r="E127" s="509">
        <f t="shared" si="27"/>
        <v>64643.363444158807</v>
      </c>
      <c r="F127" s="510">
        <f t="shared" si="28"/>
        <v>0</v>
      </c>
      <c r="G127" s="510">
        <f t="shared" si="29"/>
        <v>32321.681722079404</v>
      </c>
      <c r="H127" s="523">
        <f t="shared" si="30"/>
        <v>68456.094088049023</v>
      </c>
      <c r="I127" s="572">
        <f t="shared" si="31"/>
        <v>68456.094088049023</v>
      </c>
      <c r="J127" s="504">
        <f t="shared" si="26"/>
        <v>0</v>
      </c>
      <c r="K127" s="504"/>
      <c r="L127" s="512"/>
      <c r="M127" s="504">
        <f t="shared" si="32"/>
        <v>0</v>
      </c>
      <c r="N127" s="512"/>
      <c r="O127" s="504">
        <f t="shared" si="24"/>
        <v>0</v>
      </c>
      <c r="P127" s="504">
        <f t="shared" si="25"/>
        <v>0</v>
      </c>
      <c r="Q127" s="243"/>
      <c r="R127" s="243"/>
      <c r="S127" s="243"/>
      <c r="T127" s="243"/>
      <c r="U127" s="243"/>
    </row>
    <row r="128" spans="3:21">
      <c r="C128" s="495">
        <f>IF(D94="","-",+C127+1)</f>
        <v>2042</v>
      </c>
      <c r="D128" s="349">
        <f>IF(F127+SUM(E$100:E127)=D$93,F127,D$93-SUM(E$100:E127))</f>
        <v>0</v>
      </c>
      <c r="E128" s="509">
        <f t="shared" si="27"/>
        <v>0</v>
      </c>
      <c r="F128" s="510">
        <f t="shared" si="28"/>
        <v>0</v>
      </c>
      <c r="G128" s="510">
        <f t="shared" si="29"/>
        <v>0</v>
      </c>
      <c r="H128" s="523">
        <f t="shared" si="30"/>
        <v>0</v>
      </c>
      <c r="I128" s="572">
        <f t="shared" si="31"/>
        <v>0</v>
      </c>
      <c r="J128" s="504">
        <f t="shared" si="26"/>
        <v>0</v>
      </c>
      <c r="K128" s="504"/>
      <c r="L128" s="512"/>
      <c r="M128" s="504">
        <f t="shared" si="32"/>
        <v>0</v>
      </c>
      <c r="N128" s="512"/>
      <c r="O128" s="504">
        <f t="shared" si="24"/>
        <v>0</v>
      </c>
      <c r="P128" s="504">
        <f t="shared" si="25"/>
        <v>0</v>
      </c>
      <c r="Q128" s="243"/>
      <c r="R128" s="243"/>
      <c r="S128" s="243"/>
      <c r="T128" s="243"/>
      <c r="U128" s="243"/>
    </row>
    <row r="129" spans="3:21">
      <c r="C129" s="495">
        <f>IF(D94="","-",+C128+1)</f>
        <v>2043</v>
      </c>
      <c r="D129" s="349">
        <f>IF(F128+SUM(E$100:E128)=D$93,F128,D$93-SUM(E$100:E128))</f>
        <v>0</v>
      </c>
      <c r="E129" s="509">
        <f t="shared" si="27"/>
        <v>0</v>
      </c>
      <c r="F129" s="510">
        <f t="shared" si="28"/>
        <v>0</v>
      </c>
      <c r="G129" s="510">
        <f t="shared" si="29"/>
        <v>0</v>
      </c>
      <c r="H129" s="523">
        <f t="shared" si="30"/>
        <v>0</v>
      </c>
      <c r="I129" s="572">
        <f t="shared" si="31"/>
        <v>0</v>
      </c>
      <c r="J129" s="504">
        <f t="shared" si="26"/>
        <v>0</v>
      </c>
      <c r="K129" s="504"/>
      <c r="L129" s="512"/>
      <c r="M129" s="504">
        <f t="shared" si="32"/>
        <v>0</v>
      </c>
      <c r="N129" s="512"/>
      <c r="O129" s="504">
        <f t="shared" si="24"/>
        <v>0</v>
      </c>
      <c r="P129" s="504">
        <f t="shared" si="25"/>
        <v>0</v>
      </c>
      <c r="Q129" s="243"/>
      <c r="R129" s="243"/>
      <c r="S129" s="243"/>
      <c r="T129" s="243"/>
      <c r="U129" s="243"/>
    </row>
    <row r="130" spans="3:21">
      <c r="C130" s="495">
        <f>IF(D94="","-",+C129+1)</f>
        <v>2044</v>
      </c>
      <c r="D130" s="349">
        <f>IF(F129+SUM(E$100:E129)=D$93,F129,D$93-SUM(E$100:E129))</f>
        <v>0</v>
      </c>
      <c r="E130" s="509">
        <f t="shared" si="27"/>
        <v>0</v>
      </c>
      <c r="F130" s="510">
        <f t="shared" si="28"/>
        <v>0</v>
      </c>
      <c r="G130" s="510">
        <f t="shared" si="29"/>
        <v>0</v>
      </c>
      <c r="H130" s="523">
        <f t="shared" si="30"/>
        <v>0</v>
      </c>
      <c r="I130" s="572">
        <f t="shared" si="31"/>
        <v>0</v>
      </c>
      <c r="J130" s="504">
        <f t="shared" si="26"/>
        <v>0</v>
      </c>
      <c r="K130" s="504"/>
      <c r="L130" s="512"/>
      <c r="M130" s="504">
        <f t="shared" si="32"/>
        <v>0</v>
      </c>
      <c r="N130" s="512"/>
      <c r="O130" s="504">
        <f t="shared" si="24"/>
        <v>0</v>
      </c>
      <c r="P130" s="504">
        <f t="shared" si="25"/>
        <v>0</v>
      </c>
      <c r="Q130" s="243"/>
      <c r="R130" s="243"/>
      <c r="S130" s="243"/>
      <c r="T130" s="243"/>
      <c r="U130" s="243"/>
    </row>
    <row r="131" spans="3:21">
      <c r="C131" s="495">
        <f>IF(D94="","-",+C130+1)</f>
        <v>2045</v>
      </c>
      <c r="D131" s="349">
        <f>IF(F130+SUM(E$100:E130)=D$93,F130,D$93-SUM(E$100:E130))</f>
        <v>0</v>
      </c>
      <c r="E131" s="509">
        <f t="shared" si="27"/>
        <v>0</v>
      </c>
      <c r="F131" s="510">
        <f t="shared" si="28"/>
        <v>0</v>
      </c>
      <c r="G131" s="510">
        <f t="shared" si="29"/>
        <v>0</v>
      </c>
      <c r="H131" s="523">
        <f t="shared" si="30"/>
        <v>0</v>
      </c>
      <c r="I131" s="572">
        <f t="shared" si="31"/>
        <v>0</v>
      </c>
      <c r="J131" s="504">
        <f t="shared" si="26"/>
        <v>0</v>
      </c>
      <c r="K131" s="504"/>
      <c r="L131" s="512"/>
      <c r="M131" s="504">
        <f t="shared" si="32"/>
        <v>0</v>
      </c>
      <c r="N131" s="512"/>
      <c r="O131" s="504">
        <f t="shared" si="24"/>
        <v>0</v>
      </c>
      <c r="P131" s="504">
        <f t="shared" si="25"/>
        <v>0</v>
      </c>
      <c r="Q131" s="243"/>
      <c r="R131" s="243"/>
      <c r="S131" s="243"/>
      <c r="T131" s="243"/>
      <c r="U131" s="243"/>
    </row>
    <row r="132" spans="3:21">
      <c r="C132" s="495">
        <f>IF(D94="","-",+C131+1)</f>
        <v>2046</v>
      </c>
      <c r="D132" s="349">
        <f>IF(F131+SUM(E$100:E131)=D$93,F131,D$93-SUM(E$100:E131))</f>
        <v>0</v>
      </c>
      <c r="E132" s="509">
        <f t="shared" si="27"/>
        <v>0</v>
      </c>
      <c r="F132" s="510">
        <f t="shared" si="28"/>
        <v>0</v>
      </c>
      <c r="G132" s="510">
        <f t="shared" si="29"/>
        <v>0</v>
      </c>
      <c r="H132" s="523">
        <f t="shared" si="30"/>
        <v>0</v>
      </c>
      <c r="I132" s="572">
        <f t="shared" si="31"/>
        <v>0</v>
      </c>
      <c r="J132" s="504">
        <f t="shared" si="26"/>
        <v>0</v>
      </c>
      <c r="K132" s="504"/>
      <c r="L132" s="512"/>
      <c r="M132" s="504">
        <f t="shared" ref="M132:M155" si="33">IF(L542&lt;&gt;0,+H542-L542,0)</f>
        <v>0</v>
      </c>
      <c r="N132" s="512"/>
      <c r="O132" s="504">
        <f t="shared" ref="O132:O155" si="34">IF(N542&lt;&gt;0,+I542-N542,0)</f>
        <v>0</v>
      </c>
      <c r="P132" s="504">
        <f t="shared" ref="P132:P155" si="35">+O542-M542</f>
        <v>0</v>
      </c>
      <c r="Q132" s="243"/>
      <c r="R132" s="243"/>
      <c r="S132" s="243"/>
      <c r="T132" s="243"/>
      <c r="U132" s="243"/>
    </row>
    <row r="133" spans="3:21">
      <c r="C133" s="495">
        <f>IF(D94="","-",+C132+1)</f>
        <v>2047</v>
      </c>
      <c r="D133" s="349">
        <f>IF(F132+SUM(E$100:E132)=D$93,F132,D$93-SUM(E$100:E132))</f>
        <v>0</v>
      </c>
      <c r="E133" s="509">
        <f t="shared" si="27"/>
        <v>0</v>
      </c>
      <c r="F133" s="510">
        <f t="shared" si="28"/>
        <v>0</v>
      </c>
      <c r="G133" s="510">
        <f t="shared" si="29"/>
        <v>0</v>
      </c>
      <c r="H133" s="523">
        <f t="shared" si="30"/>
        <v>0</v>
      </c>
      <c r="I133" s="572">
        <f t="shared" si="31"/>
        <v>0</v>
      </c>
      <c r="J133" s="504">
        <f t="shared" si="26"/>
        <v>0</v>
      </c>
      <c r="K133" s="504"/>
      <c r="L133" s="512"/>
      <c r="M133" s="504">
        <f t="shared" si="33"/>
        <v>0</v>
      </c>
      <c r="N133" s="512"/>
      <c r="O133" s="504">
        <f t="shared" si="34"/>
        <v>0</v>
      </c>
      <c r="P133" s="504">
        <f t="shared" si="35"/>
        <v>0</v>
      </c>
      <c r="Q133" s="243"/>
      <c r="R133" s="243"/>
      <c r="S133" s="243"/>
      <c r="T133" s="243"/>
      <c r="U133" s="243"/>
    </row>
    <row r="134" spans="3:21">
      <c r="C134" s="495">
        <f>IF(D94="","-",+C133+1)</f>
        <v>2048</v>
      </c>
      <c r="D134" s="349">
        <f>IF(F133+SUM(E$100:E133)=D$93,F133,D$93-SUM(E$100:E133))</f>
        <v>0</v>
      </c>
      <c r="E134" s="509">
        <f t="shared" si="27"/>
        <v>0</v>
      </c>
      <c r="F134" s="510">
        <f t="shared" si="28"/>
        <v>0</v>
      </c>
      <c r="G134" s="510">
        <f t="shared" si="29"/>
        <v>0</v>
      </c>
      <c r="H134" s="523">
        <f t="shared" si="30"/>
        <v>0</v>
      </c>
      <c r="I134" s="572">
        <f t="shared" si="31"/>
        <v>0</v>
      </c>
      <c r="J134" s="504">
        <f t="shared" si="26"/>
        <v>0</v>
      </c>
      <c r="K134" s="504"/>
      <c r="L134" s="512"/>
      <c r="M134" s="504">
        <f t="shared" si="33"/>
        <v>0</v>
      </c>
      <c r="N134" s="512"/>
      <c r="O134" s="504">
        <f t="shared" si="34"/>
        <v>0</v>
      </c>
      <c r="P134" s="504">
        <f t="shared" si="35"/>
        <v>0</v>
      </c>
      <c r="Q134" s="243"/>
      <c r="R134" s="243"/>
      <c r="S134" s="243"/>
      <c r="T134" s="243"/>
      <c r="U134" s="243"/>
    </row>
    <row r="135" spans="3:21">
      <c r="C135" s="495">
        <f>IF(D94="","-",+C134+1)</f>
        <v>2049</v>
      </c>
      <c r="D135" s="349">
        <f>IF(F134+SUM(E$100:E134)=D$93,F134,D$93-SUM(E$100:E134))</f>
        <v>0</v>
      </c>
      <c r="E135" s="509">
        <f t="shared" si="27"/>
        <v>0</v>
      </c>
      <c r="F135" s="510">
        <f t="shared" si="28"/>
        <v>0</v>
      </c>
      <c r="G135" s="510">
        <f t="shared" si="29"/>
        <v>0</v>
      </c>
      <c r="H135" s="523">
        <f t="shared" si="30"/>
        <v>0</v>
      </c>
      <c r="I135" s="572">
        <f t="shared" si="31"/>
        <v>0</v>
      </c>
      <c r="J135" s="504">
        <f t="shared" si="26"/>
        <v>0</v>
      </c>
      <c r="K135" s="504"/>
      <c r="L135" s="512"/>
      <c r="M135" s="504">
        <f t="shared" si="33"/>
        <v>0</v>
      </c>
      <c r="N135" s="512"/>
      <c r="O135" s="504">
        <f t="shared" si="34"/>
        <v>0</v>
      </c>
      <c r="P135" s="504">
        <f t="shared" si="35"/>
        <v>0</v>
      </c>
      <c r="Q135" s="243"/>
      <c r="R135" s="243"/>
      <c r="S135" s="243"/>
      <c r="T135" s="243"/>
      <c r="U135" s="243"/>
    </row>
    <row r="136" spans="3:21">
      <c r="C136" s="495">
        <f>IF(D94="","-",+C135+1)</f>
        <v>2050</v>
      </c>
      <c r="D136" s="349">
        <f>IF(F135+SUM(E$100:E135)=D$93,F135,D$93-SUM(E$100:E135))</f>
        <v>0</v>
      </c>
      <c r="E136" s="509">
        <f t="shared" si="27"/>
        <v>0</v>
      </c>
      <c r="F136" s="510">
        <f t="shared" si="28"/>
        <v>0</v>
      </c>
      <c r="G136" s="510">
        <f t="shared" si="29"/>
        <v>0</v>
      </c>
      <c r="H136" s="523">
        <f t="shared" si="30"/>
        <v>0</v>
      </c>
      <c r="I136" s="572">
        <f t="shared" si="31"/>
        <v>0</v>
      </c>
      <c r="J136" s="504">
        <f t="shared" si="26"/>
        <v>0</v>
      </c>
      <c r="K136" s="504"/>
      <c r="L136" s="512"/>
      <c r="M136" s="504">
        <f t="shared" si="33"/>
        <v>0</v>
      </c>
      <c r="N136" s="512"/>
      <c r="O136" s="504">
        <f t="shared" si="34"/>
        <v>0</v>
      </c>
      <c r="P136" s="504">
        <f t="shared" si="35"/>
        <v>0</v>
      </c>
      <c r="Q136" s="243"/>
      <c r="R136" s="243"/>
      <c r="S136" s="243"/>
      <c r="T136" s="243"/>
      <c r="U136" s="243"/>
    </row>
    <row r="137" spans="3:21">
      <c r="C137" s="495">
        <f>IF(D94="","-",+C136+1)</f>
        <v>2051</v>
      </c>
      <c r="D137" s="349">
        <f>IF(F136+SUM(E$100:E136)=D$93,F136,D$93-SUM(E$100:E136))</f>
        <v>0</v>
      </c>
      <c r="E137" s="509">
        <f t="shared" si="27"/>
        <v>0</v>
      </c>
      <c r="F137" s="510">
        <f t="shared" si="28"/>
        <v>0</v>
      </c>
      <c r="G137" s="510">
        <f t="shared" si="29"/>
        <v>0</v>
      </c>
      <c r="H137" s="523">
        <f t="shared" si="30"/>
        <v>0</v>
      </c>
      <c r="I137" s="572">
        <f t="shared" si="31"/>
        <v>0</v>
      </c>
      <c r="J137" s="504">
        <f t="shared" si="26"/>
        <v>0</v>
      </c>
      <c r="K137" s="504"/>
      <c r="L137" s="512"/>
      <c r="M137" s="504">
        <f t="shared" si="33"/>
        <v>0</v>
      </c>
      <c r="N137" s="512"/>
      <c r="O137" s="504">
        <f t="shared" si="34"/>
        <v>0</v>
      </c>
      <c r="P137" s="504">
        <f t="shared" si="35"/>
        <v>0</v>
      </c>
      <c r="Q137" s="243"/>
      <c r="R137" s="243"/>
      <c r="S137" s="243"/>
      <c r="T137" s="243"/>
      <c r="U137" s="243"/>
    </row>
    <row r="138" spans="3:21">
      <c r="C138" s="495">
        <f>IF(D94="","-",+C137+1)</f>
        <v>2052</v>
      </c>
      <c r="D138" s="349">
        <f>IF(F137+SUM(E$100:E137)=D$93,F137,D$93-SUM(E$100:E137))</f>
        <v>0</v>
      </c>
      <c r="E138" s="509">
        <f t="shared" si="27"/>
        <v>0</v>
      </c>
      <c r="F138" s="510">
        <f t="shared" si="28"/>
        <v>0</v>
      </c>
      <c r="G138" s="510">
        <f t="shared" si="29"/>
        <v>0</v>
      </c>
      <c r="H138" s="523">
        <f t="shared" si="30"/>
        <v>0</v>
      </c>
      <c r="I138" s="572">
        <f t="shared" si="31"/>
        <v>0</v>
      </c>
      <c r="J138" s="504">
        <f t="shared" si="26"/>
        <v>0</v>
      </c>
      <c r="K138" s="504"/>
      <c r="L138" s="512"/>
      <c r="M138" s="504">
        <f t="shared" si="33"/>
        <v>0</v>
      </c>
      <c r="N138" s="512"/>
      <c r="O138" s="504">
        <f t="shared" si="34"/>
        <v>0</v>
      </c>
      <c r="P138" s="504">
        <f t="shared" si="35"/>
        <v>0</v>
      </c>
      <c r="Q138" s="243"/>
      <c r="R138" s="243"/>
      <c r="S138" s="243"/>
      <c r="T138" s="243"/>
      <c r="U138" s="243"/>
    </row>
    <row r="139" spans="3:21">
      <c r="C139" s="495">
        <f>IF(D94="","-",+C138+1)</f>
        <v>2053</v>
      </c>
      <c r="D139" s="349">
        <f>IF(F138+SUM(E$100:E138)=D$93,F138,D$93-SUM(E$100:E138))</f>
        <v>0</v>
      </c>
      <c r="E139" s="509">
        <f t="shared" si="27"/>
        <v>0</v>
      </c>
      <c r="F139" s="510">
        <f t="shared" si="28"/>
        <v>0</v>
      </c>
      <c r="G139" s="510">
        <f t="shared" si="29"/>
        <v>0</v>
      </c>
      <c r="H139" s="523">
        <f t="shared" si="30"/>
        <v>0</v>
      </c>
      <c r="I139" s="572">
        <f t="shared" si="31"/>
        <v>0</v>
      </c>
      <c r="J139" s="504">
        <f t="shared" si="26"/>
        <v>0</v>
      </c>
      <c r="K139" s="504"/>
      <c r="L139" s="512"/>
      <c r="M139" s="504">
        <f t="shared" si="33"/>
        <v>0</v>
      </c>
      <c r="N139" s="512"/>
      <c r="O139" s="504">
        <f t="shared" si="34"/>
        <v>0</v>
      </c>
      <c r="P139" s="504">
        <f t="shared" si="35"/>
        <v>0</v>
      </c>
      <c r="Q139" s="243"/>
      <c r="R139" s="243"/>
      <c r="S139" s="243"/>
      <c r="T139" s="243"/>
      <c r="U139" s="243"/>
    </row>
    <row r="140" spans="3:21">
      <c r="C140" s="495">
        <f>IF(D94="","-",+C139+1)</f>
        <v>2054</v>
      </c>
      <c r="D140" s="349">
        <f>IF(F139+SUM(E$100:E139)=D$93,F139,D$93-SUM(E$100:E139))</f>
        <v>0</v>
      </c>
      <c r="E140" s="509">
        <f t="shared" si="27"/>
        <v>0</v>
      </c>
      <c r="F140" s="510">
        <f t="shared" si="28"/>
        <v>0</v>
      </c>
      <c r="G140" s="510">
        <f t="shared" si="29"/>
        <v>0</v>
      </c>
      <c r="H140" s="523">
        <f t="shared" si="30"/>
        <v>0</v>
      </c>
      <c r="I140" s="572">
        <f t="shared" si="31"/>
        <v>0</v>
      </c>
      <c r="J140" s="504">
        <f t="shared" si="26"/>
        <v>0</v>
      </c>
      <c r="K140" s="504"/>
      <c r="L140" s="512"/>
      <c r="M140" s="504">
        <f t="shared" si="33"/>
        <v>0</v>
      </c>
      <c r="N140" s="512"/>
      <c r="O140" s="504">
        <f t="shared" si="34"/>
        <v>0</v>
      </c>
      <c r="P140" s="504">
        <f t="shared" si="35"/>
        <v>0</v>
      </c>
      <c r="Q140" s="243"/>
      <c r="R140" s="243"/>
      <c r="S140" s="243"/>
      <c r="T140" s="243"/>
      <c r="U140" s="243"/>
    </row>
    <row r="141" spans="3:21">
      <c r="C141" s="495">
        <f>IF(D94="","-",+C140+1)</f>
        <v>2055</v>
      </c>
      <c r="D141" s="349">
        <f>IF(F140+SUM(E$100:E140)=D$93,F140,D$93-SUM(E$100:E140))</f>
        <v>0</v>
      </c>
      <c r="E141" s="509">
        <f t="shared" si="27"/>
        <v>0</v>
      </c>
      <c r="F141" s="510">
        <f t="shared" si="28"/>
        <v>0</v>
      </c>
      <c r="G141" s="510">
        <f t="shared" si="29"/>
        <v>0</v>
      </c>
      <c r="H141" s="523">
        <f t="shared" si="30"/>
        <v>0</v>
      </c>
      <c r="I141" s="572">
        <f t="shared" si="31"/>
        <v>0</v>
      </c>
      <c r="J141" s="504">
        <f t="shared" si="26"/>
        <v>0</v>
      </c>
      <c r="K141" s="504"/>
      <c r="L141" s="512"/>
      <c r="M141" s="504">
        <f t="shared" si="33"/>
        <v>0</v>
      </c>
      <c r="N141" s="512"/>
      <c r="O141" s="504">
        <f t="shared" si="34"/>
        <v>0</v>
      </c>
      <c r="P141" s="504">
        <f t="shared" si="35"/>
        <v>0</v>
      </c>
      <c r="Q141" s="243"/>
      <c r="R141" s="243"/>
      <c r="S141" s="243"/>
      <c r="T141" s="243"/>
      <c r="U141" s="243"/>
    </row>
    <row r="142" spans="3:21">
      <c r="C142" s="495">
        <f>IF(D94="","-",+C141+1)</f>
        <v>2056</v>
      </c>
      <c r="D142" s="349">
        <f>IF(F141+SUM(E$100:E141)=D$93,F141,D$93-SUM(E$100:E141))</f>
        <v>0</v>
      </c>
      <c r="E142" s="509">
        <f t="shared" si="27"/>
        <v>0</v>
      </c>
      <c r="F142" s="510">
        <f t="shared" si="28"/>
        <v>0</v>
      </c>
      <c r="G142" s="510">
        <f t="shared" si="29"/>
        <v>0</v>
      </c>
      <c r="H142" s="523">
        <f t="shared" si="30"/>
        <v>0</v>
      </c>
      <c r="I142" s="572">
        <f t="shared" si="31"/>
        <v>0</v>
      </c>
      <c r="J142" s="504">
        <f t="shared" si="26"/>
        <v>0</v>
      </c>
      <c r="K142" s="504"/>
      <c r="L142" s="512"/>
      <c r="M142" s="504">
        <f t="shared" si="33"/>
        <v>0</v>
      </c>
      <c r="N142" s="512"/>
      <c r="O142" s="504">
        <f t="shared" si="34"/>
        <v>0</v>
      </c>
      <c r="P142" s="504">
        <f t="shared" si="35"/>
        <v>0</v>
      </c>
      <c r="Q142" s="243"/>
      <c r="R142" s="243"/>
      <c r="S142" s="243"/>
      <c r="T142" s="243"/>
      <c r="U142" s="243"/>
    </row>
    <row r="143" spans="3:21">
      <c r="C143" s="495">
        <f>IF(D94="","-",+C142+1)</f>
        <v>2057</v>
      </c>
      <c r="D143" s="349">
        <f>IF(F142+SUM(E$100:E142)=D$93,F142,D$93-SUM(E$100:E142))</f>
        <v>0</v>
      </c>
      <c r="E143" s="509">
        <f t="shared" si="27"/>
        <v>0</v>
      </c>
      <c r="F143" s="510">
        <f t="shared" si="28"/>
        <v>0</v>
      </c>
      <c r="G143" s="510">
        <f t="shared" si="29"/>
        <v>0</v>
      </c>
      <c r="H143" s="523">
        <f t="shared" si="30"/>
        <v>0</v>
      </c>
      <c r="I143" s="572">
        <f t="shared" si="31"/>
        <v>0</v>
      </c>
      <c r="J143" s="504">
        <f t="shared" si="26"/>
        <v>0</v>
      </c>
      <c r="K143" s="504"/>
      <c r="L143" s="512"/>
      <c r="M143" s="504">
        <f t="shared" si="33"/>
        <v>0</v>
      </c>
      <c r="N143" s="512"/>
      <c r="O143" s="504">
        <f t="shared" si="34"/>
        <v>0</v>
      </c>
      <c r="P143" s="504">
        <f t="shared" si="35"/>
        <v>0</v>
      </c>
      <c r="Q143" s="243"/>
      <c r="R143" s="243"/>
      <c r="S143" s="243"/>
      <c r="T143" s="243"/>
      <c r="U143" s="243"/>
    </row>
    <row r="144" spans="3:21">
      <c r="C144" s="495">
        <f>IF(D94="","-",+C143+1)</f>
        <v>2058</v>
      </c>
      <c r="D144" s="349">
        <f>IF(F143+SUM(E$100:E143)=D$93,F143,D$93-SUM(E$100:E143))</f>
        <v>0</v>
      </c>
      <c r="E144" s="509">
        <f t="shared" si="27"/>
        <v>0</v>
      </c>
      <c r="F144" s="510">
        <f t="shared" si="28"/>
        <v>0</v>
      </c>
      <c r="G144" s="510">
        <f t="shared" si="29"/>
        <v>0</v>
      </c>
      <c r="H144" s="523">
        <f t="shared" si="30"/>
        <v>0</v>
      </c>
      <c r="I144" s="572">
        <f t="shared" si="31"/>
        <v>0</v>
      </c>
      <c r="J144" s="504">
        <f t="shared" si="26"/>
        <v>0</v>
      </c>
      <c r="K144" s="504"/>
      <c r="L144" s="512"/>
      <c r="M144" s="504">
        <f t="shared" si="33"/>
        <v>0</v>
      </c>
      <c r="N144" s="512"/>
      <c r="O144" s="504">
        <f t="shared" si="34"/>
        <v>0</v>
      </c>
      <c r="P144" s="504">
        <f t="shared" si="35"/>
        <v>0</v>
      </c>
      <c r="Q144" s="243"/>
      <c r="R144" s="243"/>
      <c r="S144" s="243"/>
      <c r="T144" s="243"/>
      <c r="U144" s="243"/>
    </row>
    <row r="145" spans="3:21">
      <c r="C145" s="495">
        <f>IF(D94="","-",+C144+1)</f>
        <v>2059</v>
      </c>
      <c r="D145" s="349">
        <f>IF(F144+SUM(E$100:E144)=D$93,F144,D$93-SUM(E$100:E144))</f>
        <v>0</v>
      </c>
      <c r="E145" s="509">
        <f t="shared" si="27"/>
        <v>0</v>
      </c>
      <c r="F145" s="510">
        <f t="shared" si="28"/>
        <v>0</v>
      </c>
      <c r="G145" s="510">
        <f t="shared" si="29"/>
        <v>0</v>
      </c>
      <c r="H145" s="523">
        <f t="shared" si="30"/>
        <v>0</v>
      </c>
      <c r="I145" s="572">
        <f t="shared" si="31"/>
        <v>0</v>
      </c>
      <c r="J145" s="504">
        <f t="shared" si="26"/>
        <v>0</v>
      </c>
      <c r="K145" s="504"/>
      <c r="L145" s="512"/>
      <c r="M145" s="504">
        <f t="shared" si="33"/>
        <v>0</v>
      </c>
      <c r="N145" s="512"/>
      <c r="O145" s="504">
        <f t="shared" si="34"/>
        <v>0</v>
      </c>
      <c r="P145" s="504">
        <f t="shared" si="35"/>
        <v>0</v>
      </c>
      <c r="Q145" s="243"/>
      <c r="R145" s="243"/>
      <c r="S145" s="243"/>
      <c r="T145" s="243"/>
      <c r="U145" s="243"/>
    </row>
    <row r="146" spans="3:21">
      <c r="C146" s="495">
        <f>IF(D94="","-",+C145+1)</f>
        <v>2060</v>
      </c>
      <c r="D146" s="349">
        <f>IF(F145+SUM(E$100:E145)=D$93,F145,D$93-SUM(E$100:E145))</f>
        <v>0</v>
      </c>
      <c r="E146" s="509">
        <f t="shared" si="27"/>
        <v>0</v>
      </c>
      <c r="F146" s="510">
        <f t="shared" si="28"/>
        <v>0</v>
      </c>
      <c r="G146" s="510">
        <f t="shared" si="29"/>
        <v>0</v>
      </c>
      <c r="H146" s="523">
        <f t="shared" si="30"/>
        <v>0</v>
      </c>
      <c r="I146" s="572">
        <f t="shared" si="31"/>
        <v>0</v>
      </c>
      <c r="J146" s="504">
        <f t="shared" si="26"/>
        <v>0</v>
      </c>
      <c r="K146" s="504"/>
      <c r="L146" s="512"/>
      <c r="M146" s="504">
        <f t="shared" si="33"/>
        <v>0</v>
      </c>
      <c r="N146" s="512"/>
      <c r="O146" s="504">
        <f t="shared" si="34"/>
        <v>0</v>
      </c>
      <c r="P146" s="504">
        <f t="shared" si="35"/>
        <v>0</v>
      </c>
      <c r="Q146" s="243"/>
      <c r="R146" s="243"/>
      <c r="S146" s="243"/>
      <c r="T146" s="243"/>
      <c r="U146" s="243"/>
    </row>
    <row r="147" spans="3:21">
      <c r="C147" s="495">
        <f>IF(D94="","-",+C146+1)</f>
        <v>2061</v>
      </c>
      <c r="D147" s="349">
        <f>IF(F146+SUM(E$100:E146)=D$93,F146,D$93-SUM(E$100:E146))</f>
        <v>0</v>
      </c>
      <c r="E147" s="509">
        <f t="shared" si="27"/>
        <v>0</v>
      </c>
      <c r="F147" s="510">
        <f t="shared" si="28"/>
        <v>0</v>
      </c>
      <c r="G147" s="510">
        <f t="shared" si="29"/>
        <v>0</v>
      </c>
      <c r="H147" s="523">
        <f t="shared" si="30"/>
        <v>0</v>
      </c>
      <c r="I147" s="572">
        <f t="shared" si="31"/>
        <v>0</v>
      </c>
      <c r="J147" s="504">
        <f t="shared" si="26"/>
        <v>0</v>
      </c>
      <c r="K147" s="504"/>
      <c r="L147" s="512"/>
      <c r="M147" s="504">
        <f t="shared" si="33"/>
        <v>0</v>
      </c>
      <c r="N147" s="512"/>
      <c r="O147" s="504">
        <f t="shared" si="34"/>
        <v>0</v>
      </c>
      <c r="P147" s="504">
        <f t="shared" si="35"/>
        <v>0</v>
      </c>
      <c r="Q147" s="243"/>
      <c r="R147" s="243"/>
      <c r="S147" s="243"/>
      <c r="T147" s="243"/>
      <c r="U147" s="243"/>
    </row>
    <row r="148" spans="3:21">
      <c r="C148" s="495">
        <f>IF(D94="","-",+C147+1)</f>
        <v>2062</v>
      </c>
      <c r="D148" s="349">
        <f>IF(F147+SUM(E$100:E147)=D$93,F147,D$93-SUM(E$100:E147))</f>
        <v>0</v>
      </c>
      <c r="E148" s="509">
        <f t="shared" si="27"/>
        <v>0</v>
      </c>
      <c r="F148" s="510">
        <f t="shared" si="28"/>
        <v>0</v>
      </c>
      <c r="G148" s="510">
        <f t="shared" si="29"/>
        <v>0</v>
      </c>
      <c r="H148" s="523">
        <f t="shared" si="30"/>
        <v>0</v>
      </c>
      <c r="I148" s="572">
        <f t="shared" si="31"/>
        <v>0</v>
      </c>
      <c r="J148" s="504">
        <f t="shared" si="26"/>
        <v>0</v>
      </c>
      <c r="K148" s="504"/>
      <c r="L148" s="512"/>
      <c r="M148" s="504">
        <f t="shared" si="33"/>
        <v>0</v>
      </c>
      <c r="N148" s="512"/>
      <c r="O148" s="504">
        <f t="shared" si="34"/>
        <v>0</v>
      </c>
      <c r="P148" s="504">
        <f t="shared" si="35"/>
        <v>0</v>
      </c>
      <c r="Q148" s="243"/>
      <c r="R148" s="243"/>
      <c r="S148" s="243"/>
      <c r="T148" s="243"/>
      <c r="U148" s="243"/>
    </row>
    <row r="149" spans="3:21">
      <c r="C149" s="495">
        <f>IF(D94="","-",+C148+1)</f>
        <v>2063</v>
      </c>
      <c r="D149" s="349">
        <f>IF(F148+SUM(E$100:E148)=D$93,F148,D$93-SUM(E$100:E148))</f>
        <v>0</v>
      </c>
      <c r="E149" s="509">
        <f t="shared" si="27"/>
        <v>0</v>
      </c>
      <c r="F149" s="510">
        <f t="shared" si="28"/>
        <v>0</v>
      </c>
      <c r="G149" s="510">
        <f t="shared" si="29"/>
        <v>0</v>
      </c>
      <c r="H149" s="523">
        <f t="shared" si="30"/>
        <v>0</v>
      </c>
      <c r="I149" s="572">
        <f t="shared" si="31"/>
        <v>0</v>
      </c>
      <c r="J149" s="504">
        <f t="shared" si="26"/>
        <v>0</v>
      </c>
      <c r="K149" s="504"/>
      <c r="L149" s="512"/>
      <c r="M149" s="504">
        <f t="shared" si="33"/>
        <v>0</v>
      </c>
      <c r="N149" s="512"/>
      <c r="O149" s="504">
        <f t="shared" si="34"/>
        <v>0</v>
      </c>
      <c r="P149" s="504">
        <f t="shared" si="35"/>
        <v>0</v>
      </c>
      <c r="Q149" s="243"/>
      <c r="R149" s="243"/>
      <c r="S149" s="243"/>
      <c r="T149" s="243"/>
      <c r="U149" s="243"/>
    </row>
    <row r="150" spans="3:21">
      <c r="C150" s="495">
        <f>IF(D94="","-",+C149+1)</f>
        <v>2064</v>
      </c>
      <c r="D150" s="349">
        <f>IF(F149+SUM(E$100:E149)=D$93,F149,D$93-SUM(E$100:E149))</f>
        <v>0</v>
      </c>
      <c r="E150" s="509">
        <f t="shared" si="27"/>
        <v>0</v>
      </c>
      <c r="F150" s="510">
        <f t="shared" si="28"/>
        <v>0</v>
      </c>
      <c r="G150" s="510">
        <f t="shared" si="29"/>
        <v>0</v>
      </c>
      <c r="H150" s="523">
        <f t="shared" si="30"/>
        <v>0</v>
      </c>
      <c r="I150" s="572">
        <f t="shared" si="31"/>
        <v>0</v>
      </c>
      <c r="J150" s="504">
        <f t="shared" si="26"/>
        <v>0</v>
      </c>
      <c r="K150" s="504"/>
      <c r="L150" s="512"/>
      <c r="M150" s="504">
        <f t="shared" si="33"/>
        <v>0</v>
      </c>
      <c r="N150" s="512"/>
      <c r="O150" s="504">
        <f t="shared" si="34"/>
        <v>0</v>
      </c>
      <c r="P150" s="504">
        <f t="shared" si="35"/>
        <v>0</v>
      </c>
      <c r="Q150" s="243"/>
      <c r="R150" s="243"/>
      <c r="S150" s="243"/>
      <c r="T150" s="243"/>
      <c r="U150" s="243"/>
    </row>
    <row r="151" spans="3:21">
      <c r="C151" s="495">
        <f>IF(D94="","-",+C150+1)</f>
        <v>2065</v>
      </c>
      <c r="D151" s="349">
        <f>IF(F150+SUM(E$100:E150)=D$93,F150,D$93-SUM(E$100:E150))</f>
        <v>0</v>
      </c>
      <c r="E151" s="509">
        <f t="shared" si="27"/>
        <v>0</v>
      </c>
      <c r="F151" s="510">
        <f t="shared" si="28"/>
        <v>0</v>
      </c>
      <c r="G151" s="510">
        <f t="shared" si="29"/>
        <v>0</v>
      </c>
      <c r="H151" s="523">
        <f t="shared" si="30"/>
        <v>0</v>
      </c>
      <c r="I151" s="572">
        <f t="shared" si="31"/>
        <v>0</v>
      </c>
      <c r="J151" s="504">
        <f t="shared" si="26"/>
        <v>0</v>
      </c>
      <c r="K151" s="504"/>
      <c r="L151" s="512"/>
      <c r="M151" s="504">
        <f t="shared" si="33"/>
        <v>0</v>
      </c>
      <c r="N151" s="512"/>
      <c r="O151" s="504">
        <f t="shared" si="34"/>
        <v>0</v>
      </c>
      <c r="P151" s="504">
        <f t="shared" si="35"/>
        <v>0</v>
      </c>
      <c r="Q151" s="243"/>
      <c r="R151" s="243"/>
      <c r="S151" s="243"/>
      <c r="T151" s="243"/>
      <c r="U151" s="243"/>
    </row>
    <row r="152" spans="3:21">
      <c r="C152" s="495">
        <f>IF(D94="","-",+C151+1)</f>
        <v>2066</v>
      </c>
      <c r="D152" s="349">
        <f>IF(F151+SUM(E$100:E151)=D$93,F151,D$93-SUM(E$100:E151))</f>
        <v>0</v>
      </c>
      <c r="E152" s="509">
        <f t="shared" si="27"/>
        <v>0</v>
      </c>
      <c r="F152" s="510">
        <f t="shared" si="28"/>
        <v>0</v>
      </c>
      <c r="G152" s="510">
        <f t="shared" si="29"/>
        <v>0</v>
      </c>
      <c r="H152" s="523">
        <f t="shared" si="30"/>
        <v>0</v>
      </c>
      <c r="I152" s="572">
        <f t="shared" si="31"/>
        <v>0</v>
      </c>
      <c r="J152" s="504">
        <f t="shared" si="26"/>
        <v>0</v>
      </c>
      <c r="K152" s="504"/>
      <c r="L152" s="512"/>
      <c r="M152" s="504">
        <f t="shared" si="33"/>
        <v>0</v>
      </c>
      <c r="N152" s="512"/>
      <c r="O152" s="504">
        <f t="shared" si="34"/>
        <v>0</v>
      </c>
      <c r="P152" s="504">
        <f t="shared" si="35"/>
        <v>0</v>
      </c>
      <c r="Q152" s="243"/>
      <c r="R152" s="243"/>
      <c r="S152" s="243"/>
      <c r="T152" s="243"/>
      <c r="U152" s="243"/>
    </row>
    <row r="153" spans="3:21">
      <c r="C153" s="495">
        <f>IF(D94="","-",+C152+1)</f>
        <v>2067</v>
      </c>
      <c r="D153" s="349">
        <f>IF(F152+SUM(E$100:E152)=D$93,F152,D$93-SUM(E$100:E152))</f>
        <v>0</v>
      </c>
      <c r="E153" s="509">
        <f t="shared" si="27"/>
        <v>0</v>
      </c>
      <c r="F153" s="510">
        <f t="shared" si="28"/>
        <v>0</v>
      </c>
      <c r="G153" s="510">
        <f t="shared" si="29"/>
        <v>0</v>
      </c>
      <c r="H153" s="523">
        <f t="shared" si="30"/>
        <v>0</v>
      </c>
      <c r="I153" s="572">
        <f t="shared" si="31"/>
        <v>0</v>
      </c>
      <c r="J153" s="504">
        <f t="shared" si="26"/>
        <v>0</v>
      </c>
      <c r="K153" s="504"/>
      <c r="L153" s="512"/>
      <c r="M153" s="504">
        <f t="shared" si="33"/>
        <v>0</v>
      </c>
      <c r="N153" s="512"/>
      <c r="O153" s="504">
        <f t="shared" si="34"/>
        <v>0</v>
      </c>
      <c r="P153" s="504">
        <f t="shared" si="35"/>
        <v>0</v>
      </c>
      <c r="Q153" s="243"/>
      <c r="R153" s="243"/>
      <c r="S153" s="243"/>
      <c r="T153" s="243"/>
      <c r="U153" s="243"/>
    </row>
    <row r="154" spans="3:21">
      <c r="C154" s="495">
        <f>IF(D94="","-",+C153+1)</f>
        <v>2068</v>
      </c>
      <c r="D154" s="349">
        <f>IF(F153+SUM(E$100:E153)=D$93,F153,D$93-SUM(E$100:E153))</f>
        <v>0</v>
      </c>
      <c r="E154" s="509">
        <f t="shared" si="27"/>
        <v>0</v>
      </c>
      <c r="F154" s="510">
        <f t="shared" si="28"/>
        <v>0</v>
      </c>
      <c r="G154" s="510">
        <f t="shared" si="29"/>
        <v>0</v>
      </c>
      <c r="H154" s="523">
        <f t="shared" si="30"/>
        <v>0</v>
      </c>
      <c r="I154" s="572">
        <f t="shared" si="31"/>
        <v>0</v>
      </c>
      <c r="J154" s="504">
        <f t="shared" si="26"/>
        <v>0</v>
      </c>
      <c r="K154" s="504"/>
      <c r="L154" s="512"/>
      <c r="M154" s="504">
        <f t="shared" si="33"/>
        <v>0</v>
      </c>
      <c r="N154" s="512"/>
      <c r="O154" s="504">
        <f t="shared" si="34"/>
        <v>0</v>
      </c>
      <c r="P154" s="504">
        <f t="shared" si="35"/>
        <v>0</v>
      </c>
      <c r="Q154" s="243"/>
      <c r="R154" s="243"/>
      <c r="S154" s="243"/>
      <c r="T154" s="243"/>
      <c r="U154" s="243"/>
    </row>
    <row r="155" spans="3:21" ht="13.5" thickBot="1">
      <c r="C155" s="524">
        <f>IF(D94="","-",+C154+1)</f>
        <v>2069</v>
      </c>
      <c r="D155" s="618">
        <f>IF(F154+SUM(E$100:E154)=D$93,F154,D$93-SUM(E$100:E154))</f>
        <v>0</v>
      </c>
      <c r="E155" s="526">
        <f t="shared" si="27"/>
        <v>0</v>
      </c>
      <c r="F155" s="527">
        <f t="shared" si="28"/>
        <v>0</v>
      </c>
      <c r="G155" s="527">
        <f t="shared" si="29"/>
        <v>0</v>
      </c>
      <c r="H155" s="528">
        <f t="shared" si="30"/>
        <v>0</v>
      </c>
      <c r="I155" s="573">
        <f t="shared" si="31"/>
        <v>0</v>
      </c>
      <c r="J155" s="531">
        <f t="shared" si="26"/>
        <v>0</v>
      </c>
      <c r="K155" s="504"/>
      <c r="L155" s="530"/>
      <c r="M155" s="531">
        <f t="shared" si="33"/>
        <v>0</v>
      </c>
      <c r="N155" s="530"/>
      <c r="O155" s="531">
        <f t="shared" si="34"/>
        <v>0</v>
      </c>
      <c r="P155" s="531">
        <f t="shared" si="35"/>
        <v>0</v>
      </c>
      <c r="Q155" s="243"/>
      <c r="R155" s="243"/>
      <c r="S155" s="243"/>
      <c r="T155" s="243"/>
      <c r="U155" s="243"/>
    </row>
    <row r="156" spans="3:21">
      <c r="C156" s="349" t="s">
        <v>75</v>
      </c>
      <c r="D156" s="294"/>
      <c r="E156" s="294">
        <f>SUM(E100:E155)</f>
        <v>1864625</v>
      </c>
      <c r="F156" s="294"/>
      <c r="G156" s="294"/>
      <c r="H156" s="294">
        <f>SUM(H100:H155)</f>
        <v>5005812.6612003371</v>
      </c>
      <c r="I156" s="294">
        <f>SUM(I100:I155)</f>
        <v>5005812.6612003371</v>
      </c>
      <c r="J156" s="294">
        <f>SUM(J100:J155)</f>
        <v>0</v>
      </c>
      <c r="K156" s="294"/>
      <c r="L156" s="294"/>
      <c r="M156" s="294"/>
      <c r="N156" s="294"/>
      <c r="O156" s="294"/>
      <c r="P156" s="243"/>
      <c r="Q156" s="243"/>
      <c r="R156" s="243"/>
      <c r="S156" s="243"/>
      <c r="T156" s="243"/>
      <c r="U156" s="243"/>
    </row>
    <row r="157" spans="3:21">
      <c r="C157" s="145" t="s">
        <v>90</v>
      </c>
      <c r="D157" s="292"/>
      <c r="E157" s="243"/>
      <c r="F157" s="243"/>
      <c r="G157" s="243"/>
      <c r="H157" s="243"/>
      <c r="I157" s="325"/>
      <c r="J157" s="325"/>
      <c r="K157" s="294"/>
      <c r="L157" s="325"/>
      <c r="M157" s="325"/>
      <c r="N157" s="325"/>
      <c r="O157" s="325"/>
      <c r="P157" s="243"/>
      <c r="Q157" s="243"/>
      <c r="R157" s="243"/>
      <c r="S157" s="243"/>
      <c r="T157" s="243"/>
      <c r="U157" s="243"/>
    </row>
    <row r="158" spans="3:21">
      <c r="C158" s="574"/>
      <c r="D158" s="292"/>
      <c r="E158" s="243"/>
      <c r="F158" s="243"/>
      <c r="G158" s="243"/>
      <c r="H158" s="243"/>
      <c r="I158" s="325"/>
      <c r="J158" s="325"/>
      <c r="K158" s="294"/>
      <c r="L158" s="325"/>
      <c r="M158" s="325"/>
      <c r="N158" s="325"/>
      <c r="O158" s="325"/>
      <c r="P158" s="243"/>
      <c r="Q158" s="243"/>
      <c r="R158" s="243"/>
      <c r="S158" s="243"/>
      <c r="T158" s="243"/>
      <c r="U158" s="243"/>
    </row>
    <row r="159" spans="3:21">
      <c r="C159" s="619" t="s">
        <v>130</v>
      </c>
      <c r="D159" s="292"/>
      <c r="E159" s="243"/>
      <c r="F159" s="243"/>
      <c r="G159" s="243"/>
      <c r="H159" s="243"/>
      <c r="I159" s="325"/>
      <c r="J159" s="325"/>
      <c r="K159" s="294"/>
      <c r="L159" s="325"/>
      <c r="M159" s="325"/>
      <c r="N159" s="325"/>
      <c r="O159" s="325"/>
      <c r="P159" s="243"/>
      <c r="Q159" s="243"/>
      <c r="R159" s="243"/>
      <c r="S159" s="243"/>
      <c r="T159" s="243"/>
      <c r="U159" s="243"/>
    </row>
    <row r="160" spans="3: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8" priority="1" stopIfTrue="1" operator="equal">
      <formula>$I$10</formula>
    </cfRule>
  </conditionalFormatting>
  <conditionalFormatting sqref="C100:C155">
    <cfRule type="cellIs" dxfId="47"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dimension ref="A1:U163"/>
  <sheetViews>
    <sheetView view="pageBreakPreview" zoomScale="78" zoomScaleNormal="100" zoomScaleSheetLayoutView="78"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9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1011045.4028817296</v>
      </c>
      <c r="P5" s="243"/>
      <c r="R5" s="243"/>
      <c r="S5" s="243"/>
      <c r="T5" s="243"/>
      <c r="U5" s="243"/>
    </row>
    <row r="6" spans="1:21" ht="15.75">
      <c r="C6" s="235"/>
      <c r="D6" s="292"/>
      <c r="E6" s="243"/>
      <c r="F6" s="243"/>
      <c r="G6" s="243"/>
      <c r="H6" s="449"/>
      <c r="I6" s="449"/>
      <c r="J6" s="450"/>
      <c r="K6" s="451" t="s">
        <v>243</v>
      </c>
      <c r="L6" s="452"/>
      <c r="M6" s="278"/>
      <c r="N6" s="453">
        <f>VLOOKUP(I10,C17:I73,6)</f>
        <v>1011045.4028817296</v>
      </c>
      <c r="O6" s="243"/>
      <c r="P6" s="243"/>
      <c r="R6" s="243"/>
      <c r="S6" s="243"/>
      <c r="T6" s="243"/>
      <c r="U6" s="243"/>
    </row>
    <row r="7" spans="1:21" ht="13.5" thickBot="1">
      <c r="C7" s="454" t="s">
        <v>46</v>
      </c>
      <c r="D7" s="455" t="s">
        <v>220</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219</v>
      </c>
      <c r="E9" s="646" t="s">
        <v>304</v>
      </c>
      <c r="F9" s="465"/>
      <c r="G9" s="465"/>
      <c r="H9" s="465"/>
      <c r="I9" s="466"/>
      <c r="J9" s="467"/>
      <c r="O9" s="468"/>
      <c r="P9" s="278"/>
      <c r="R9" s="243"/>
      <c r="S9" s="243"/>
      <c r="T9" s="243"/>
      <c r="U9" s="243"/>
    </row>
    <row r="10" spans="1:21">
      <c r="C10" s="469" t="s">
        <v>49</v>
      </c>
      <c r="D10" s="470">
        <v>8535104</v>
      </c>
      <c r="E10" s="299" t="s">
        <v>50</v>
      </c>
      <c r="F10" s="468"/>
      <c r="G10" s="408"/>
      <c r="H10" s="408"/>
      <c r="I10" s="471">
        <f>+'OKT.WS.F.BPU.ATRR.Projected'!R101</f>
        <v>2024</v>
      </c>
      <c r="J10" s="467"/>
      <c r="K10" s="294" t="s">
        <v>51</v>
      </c>
      <c r="O10" s="278"/>
      <c r="P10" s="278"/>
      <c r="R10" s="243"/>
      <c r="S10" s="243"/>
      <c r="T10" s="243"/>
      <c r="U10" s="243"/>
    </row>
    <row r="11" spans="1:21">
      <c r="C11" s="472" t="s">
        <v>52</v>
      </c>
      <c r="D11" s="473">
        <v>2015</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0.11393163315254198</v>
      </c>
      <c r="J12" s="413"/>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275325.93548387097</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2015</v>
      </c>
      <c r="D17" s="612">
        <v>7400000</v>
      </c>
      <c r="E17" s="620">
        <v>74674.92363561083</v>
      </c>
      <c r="F17" s="612">
        <v>7325325.0763643896</v>
      </c>
      <c r="G17" s="620">
        <v>578000.14938532724</v>
      </c>
      <c r="H17" s="617">
        <v>578000.14938532724</v>
      </c>
      <c r="I17" s="500">
        <v>0</v>
      </c>
      <c r="J17" s="500"/>
      <c r="K17" s="506">
        <f t="shared" ref="K17:K22" si="1">G17</f>
        <v>578000.14938532724</v>
      </c>
      <c r="L17" s="507">
        <f t="shared" ref="L17:L22" si="2">IF(K17&lt;&gt;0,+G17-K17,0)</f>
        <v>0</v>
      </c>
      <c r="M17" s="506">
        <f t="shared" ref="M17:M22" si="3">H17</f>
        <v>578000.14938532724</v>
      </c>
      <c r="N17" s="504">
        <f>IF(M17&lt;&gt;0,+H17-M17,0)</f>
        <v>0</v>
      </c>
      <c r="O17" s="504">
        <f>+N17-L17</f>
        <v>0</v>
      </c>
      <c r="P17" s="278"/>
      <c r="R17" s="243"/>
      <c r="S17" s="243"/>
      <c r="T17" s="243"/>
      <c r="U17" s="243"/>
    </row>
    <row r="18" spans="2:21">
      <c r="B18" s="145" t="str">
        <f t="shared" si="0"/>
        <v>IU</v>
      </c>
      <c r="C18" s="495">
        <f>IF(D11="","-",+C17+1)</f>
        <v>2016</v>
      </c>
      <c r="D18" s="617">
        <v>8381815.0763643896</v>
      </c>
      <c r="E18" s="617">
        <v>175721.24624335562</v>
      </c>
      <c r="F18" s="617">
        <v>8206093.8301210338</v>
      </c>
      <c r="G18" s="617">
        <v>1060997.6854975934</v>
      </c>
      <c r="H18" s="617">
        <v>1060997.6854975934</v>
      </c>
      <c r="I18" s="500">
        <f>H18-G18</f>
        <v>0</v>
      </c>
      <c r="J18" s="500"/>
      <c r="K18" s="506">
        <f t="shared" si="1"/>
        <v>1060997.6854975934</v>
      </c>
      <c r="L18" s="507">
        <f t="shared" si="2"/>
        <v>0</v>
      </c>
      <c r="M18" s="506">
        <f t="shared" si="3"/>
        <v>1060997.6854975934</v>
      </c>
      <c r="N18" s="504">
        <f t="shared" ref="N18:N73" si="4">IF(M18&lt;&gt;0,+H18-M18,0)</f>
        <v>0</v>
      </c>
      <c r="O18" s="504">
        <f t="shared" ref="O18:O73" si="5">+N18-L18</f>
        <v>0</v>
      </c>
      <c r="P18" s="278"/>
      <c r="R18" s="243"/>
      <c r="S18" s="243"/>
      <c r="T18" s="243"/>
      <c r="U18" s="243"/>
    </row>
    <row r="19" spans="2:21">
      <c r="B19" s="145" t="str">
        <f t="shared" si="0"/>
        <v>IU</v>
      </c>
      <c r="C19" s="495">
        <f>IF(D11="","-",+C18+1)</f>
        <v>2017</v>
      </c>
      <c r="D19" s="617">
        <v>8284707.8301210338</v>
      </c>
      <c r="E19" s="617">
        <v>167817.04229981007</v>
      </c>
      <c r="F19" s="617">
        <v>8116890.787821224</v>
      </c>
      <c r="G19" s="617">
        <v>1069412.6916216947</v>
      </c>
      <c r="H19" s="617">
        <v>1069412.6916216947</v>
      </c>
      <c r="I19" s="500">
        <f t="shared" ref="I19:I73" si="6">H19-G19</f>
        <v>0</v>
      </c>
      <c r="J19" s="500"/>
      <c r="K19" s="506">
        <f t="shared" si="1"/>
        <v>1069412.6916216947</v>
      </c>
      <c r="L19" s="507">
        <f t="shared" si="2"/>
        <v>0</v>
      </c>
      <c r="M19" s="506">
        <f t="shared" si="3"/>
        <v>1069412.6916216947</v>
      </c>
      <c r="N19" s="504">
        <f>IF(M19&lt;&gt;0,+H19-M19,0)</f>
        <v>0</v>
      </c>
      <c r="O19" s="504">
        <f>+N19-L19</f>
        <v>0</v>
      </c>
      <c r="P19" s="278"/>
      <c r="R19" s="243"/>
      <c r="S19" s="243"/>
      <c r="T19" s="243"/>
      <c r="U19" s="243"/>
    </row>
    <row r="20" spans="2:21">
      <c r="B20" s="145" t="str">
        <f t="shared" si="0"/>
        <v/>
      </c>
      <c r="C20" s="495">
        <f>IF(D11="","-",+C19+1)</f>
        <v>2018</v>
      </c>
      <c r="D20" s="617">
        <v>8116890.787821224</v>
      </c>
      <c r="E20" s="617">
        <v>209319.85738284502</v>
      </c>
      <c r="F20" s="617">
        <v>7907570.9304383788</v>
      </c>
      <c r="G20" s="617">
        <v>1023551.998916439</v>
      </c>
      <c r="H20" s="617">
        <v>1023551.998916439</v>
      </c>
      <c r="I20" s="500">
        <v>0</v>
      </c>
      <c r="J20" s="500"/>
      <c r="K20" s="506">
        <f t="shared" si="1"/>
        <v>1023551.998916439</v>
      </c>
      <c r="L20" s="507">
        <f t="shared" si="2"/>
        <v>0</v>
      </c>
      <c r="M20" s="506">
        <f t="shared" si="3"/>
        <v>1023551.998916439</v>
      </c>
      <c r="N20" s="504">
        <f>IF(M20&lt;&gt;0,+H20-M20,0)</f>
        <v>0</v>
      </c>
      <c r="O20" s="504">
        <f>+N20-L20</f>
        <v>0</v>
      </c>
      <c r="P20" s="278"/>
      <c r="R20" s="243"/>
      <c r="S20" s="243"/>
      <c r="T20" s="243"/>
      <c r="U20" s="243"/>
    </row>
    <row r="21" spans="2:21">
      <c r="B21" s="145" t="str">
        <f t="shared" si="0"/>
        <v/>
      </c>
      <c r="C21" s="495">
        <f>IF(D11="","-",+C20+1)</f>
        <v>2019</v>
      </c>
      <c r="D21" s="617">
        <v>7907570.9304383788</v>
      </c>
      <c r="E21" s="617">
        <v>253141.34300077427</v>
      </c>
      <c r="F21" s="617">
        <v>7654429.5874376046</v>
      </c>
      <c r="G21" s="617">
        <v>1061867.1098044377</v>
      </c>
      <c r="H21" s="617">
        <v>1061867.1098044377</v>
      </c>
      <c r="I21" s="500">
        <f t="shared" si="6"/>
        <v>0</v>
      </c>
      <c r="J21" s="500"/>
      <c r="K21" s="506">
        <f t="shared" si="1"/>
        <v>1061867.1098044377</v>
      </c>
      <c r="L21" s="507">
        <f t="shared" si="2"/>
        <v>0</v>
      </c>
      <c r="M21" s="506">
        <f t="shared" si="3"/>
        <v>1061867.1098044377</v>
      </c>
      <c r="N21" s="504">
        <f>IF(M21&lt;&gt;0,+H21-M21,0)</f>
        <v>0</v>
      </c>
      <c r="O21" s="504">
        <f>+N21-L21</f>
        <v>0</v>
      </c>
      <c r="P21" s="278"/>
      <c r="R21" s="243"/>
      <c r="S21" s="243"/>
      <c r="T21" s="243"/>
      <c r="U21" s="243"/>
    </row>
    <row r="22" spans="2:21">
      <c r="B22" s="145" t="str">
        <f t="shared" si="0"/>
        <v>IU</v>
      </c>
      <c r="C22" s="495">
        <f>IF(D11="","-",+C21+1)</f>
        <v>2020</v>
      </c>
      <c r="D22" s="617">
        <v>7698251.0730555337</v>
      </c>
      <c r="E22" s="617">
        <v>249923.04161572127</v>
      </c>
      <c r="F22" s="617">
        <v>7448328.0314398129</v>
      </c>
      <c r="G22" s="617">
        <v>1044606.9924692181</v>
      </c>
      <c r="H22" s="617">
        <v>1044606.9924692181</v>
      </c>
      <c r="I22" s="500">
        <f t="shared" si="6"/>
        <v>0</v>
      </c>
      <c r="J22" s="500"/>
      <c r="K22" s="506">
        <f t="shared" si="1"/>
        <v>1044606.9924692181</v>
      </c>
      <c r="L22" s="507">
        <f t="shared" si="2"/>
        <v>0</v>
      </c>
      <c r="M22" s="506">
        <f t="shared" si="3"/>
        <v>1044606.9924692181</v>
      </c>
      <c r="N22" s="504">
        <f>IF(M22&lt;&gt;0,+H22-M22,0)</f>
        <v>0</v>
      </c>
      <c r="O22" s="504">
        <f>+N22-L22</f>
        <v>0</v>
      </c>
      <c r="P22" s="278"/>
      <c r="R22" s="243"/>
      <c r="S22" s="243"/>
      <c r="T22" s="243"/>
      <c r="U22" s="243"/>
    </row>
    <row r="23" spans="2:21">
      <c r="B23" s="145" t="str">
        <f t="shared" si="0"/>
        <v>IU</v>
      </c>
      <c r="C23" s="495">
        <f>IF(D11="","-",+C22+1)</f>
        <v>2021</v>
      </c>
      <c r="D23" s="617">
        <v>7404506.5458218828</v>
      </c>
      <c r="E23" s="617">
        <v>275325.93548387097</v>
      </c>
      <c r="F23" s="617">
        <v>7129180.6103380118</v>
      </c>
      <c r="G23" s="617">
        <v>1061489.8962062567</v>
      </c>
      <c r="H23" s="617">
        <v>1061489.8962062567</v>
      </c>
      <c r="I23" s="500">
        <f t="shared" si="6"/>
        <v>0</v>
      </c>
      <c r="J23" s="500"/>
      <c r="K23" s="506">
        <f t="shared" ref="K23" si="7">G23</f>
        <v>1061489.8962062567</v>
      </c>
      <c r="L23" s="507">
        <f t="shared" ref="L23" si="8">IF(K23&lt;&gt;0,+G23-K23,0)</f>
        <v>0</v>
      </c>
      <c r="M23" s="506">
        <f t="shared" ref="M23" si="9">H23</f>
        <v>1061489.8962062567</v>
      </c>
      <c r="N23" s="504">
        <f t="shared" si="4"/>
        <v>0</v>
      </c>
      <c r="O23" s="504">
        <f t="shared" si="5"/>
        <v>0</v>
      </c>
      <c r="P23" s="278"/>
      <c r="R23" s="243"/>
      <c r="S23" s="243"/>
      <c r="T23" s="243"/>
      <c r="U23" s="243"/>
    </row>
    <row r="24" spans="2:21">
      <c r="B24" s="145" t="str">
        <f t="shared" si="0"/>
        <v/>
      </c>
      <c r="C24" s="580">
        <f>IF(D11="","-",+C23+1)</f>
        <v>2022</v>
      </c>
      <c r="D24" s="617">
        <v>7129180.6103380118</v>
      </c>
      <c r="E24" s="617">
        <v>258639.51515151514</v>
      </c>
      <c r="F24" s="617">
        <v>6870541.0951864962</v>
      </c>
      <c r="G24" s="617">
        <v>1061934.9640688223</v>
      </c>
      <c r="H24" s="617">
        <v>1061934.9640688223</v>
      </c>
      <c r="I24" s="500">
        <f t="shared" si="6"/>
        <v>0</v>
      </c>
      <c r="J24" s="500"/>
      <c r="K24" s="506">
        <f t="shared" ref="K24" si="10">G24</f>
        <v>1061934.9640688223</v>
      </c>
      <c r="L24" s="507">
        <f t="shared" ref="L24" si="11">IF(K24&lt;&gt;0,+G24-K24,0)</f>
        <v>0</v>
      </c>
      <c r="M24" s="506">
        <f t="shared" ref="M24" si="12">H24</f>
        <v>1061934.9640688223</v>
      </c>
      <c r="N24" s="504">
        <f t="shared" si="4"/>
        <v>0</v>
      </c>
      <c r="O24" s="504">
        <f t="shared" si="5"/>
        <v>0</v>
      </c>
      <c r="P24" s="278"/>
      <c r="R24" s="243"/>
      <c r="S24" s="243"/>
      <c r="T24" s="243"/>
      <c r="U24" s="243"/>
    </row>
    <row r="25" spans="2:21">
      <c r="B25" s="145" t="str">
        <f t="shared" si="0"/>
        <v/>
      </c>
      <c r="C25" s="495">
        <f>IF(D11="","-",+C24+1)</f>
        <v>2023</v>
      </c>
      <c r="D25" s="617">
        <v>6870541.0951864962</v>
      </c>
      <c r="E25" s="617">
        <v>275325.93548387097</v>
      </c>
      <c r="F25" s="617">
        <v>6595215.1597026251</v>
      </c>
      <c r="G25" s="617">
        <v>1036362.3728391449</v>
      </c>
      <c r="H25" s="617">
        <v>1036362.3728391449</v>
      </c>
      <c r="I25" s="500">
        <f t="shared" si="6"/>
        <v>0</v>
      </c>
      <c r="J25" s="500"/>
      <c r="K25" s="512"/>
      <c r="L25" s="504">
        <f t="shared" ref="L25:L73" si="13">IF(K25&lt;&gt;0,+G25-K25,0)</f>
        <v>0</v>
      </c>
      <c r="M25" s="512"/>
      <c r="N25" s="504">
        <f t="shared" si="4"/>
        <v>0</v>
      </c>
      <c r="O25" s="504">
        <f t="shared" si="5"/>
        <v>0</v>
      </c>
      <c r="P25" s="278"/>
      <c r="R25" s="243"/>
      <c r="S25" s="243"/>
      <c r="T25" s="243"/>
      <c r="U25" s="243"/>
    </row>
    <row r="26" spans="2:21">
      <c r="B26" s="145" t="str">
        <f t="shared" si="0"/>
        <v/>
      </c>
      <c r="C26" s="495">
        <f>IF(D11="","-",+C25+1)</f>
        <v>2024</v>
      </c>
      <c r="D26" s="508">
        <f>IF(F25+SUM(E$17:E25)=D$10,F25,D$10-SUM(E$17:E25))</f>
        <v>6595215.1597026251</v>
      </c>
      <c r="E26" s="509">
        <f t="shared" ref="E26:E73" si="14">IF(+$I$14&lt;F25,$I$14,D26)</f>
        <v>275325.93548387097</v>
      </c>
      <c r="F26" s="510">
        <f t="shared" ref="F26:F73" si="15">+D26-E26</f>
        <v>6319889.2242187541</v>
      </c>
      <c r="G26" s="511">
        <f t="shared" ref="G26:G73" si="16">(D26+F26)/2*I$12+E26</f>
        <v>1011045.4028817296</v>
      </c>
      <c r="H26" s="477">
        <f t="shared" ref="H26:H73" si="17">+(D26+F26)/2*I$13+E26</f>
        <v>1011045.4028817296</v>
      </c>
      <c r="I26" s="500">
        <f t="shared" si="6"/>
        <v>0</v>
      </c>
      <c r="J26" s="500"/>
      <c r="K26" s="512"/>
      <c r="L26" s="504">
        <f t="shared" si="13"/>
        <v>0</v>
      </c>
      <c r="M26" s="512"/>
      <c r="N26" s="504">
        <f t="shared" si="4"/>
        <v>0</v>
      </c>
      <c r="O26" s="504">
        <f t="shared" si="5"/>
        <v>0</v>
      </c>
      <c r="P26" s="278"/>
      <c r="R26" s="243"/>
      <c r="S26" s="243"/>
      <c r="T26" s="243"/>
      <c r="U26" s="243"/>
    </row>
    <row r="27" spans="2:21">
      <c r="B27" s="145" t="str">
        <f t="shared" si="0"/>
        <v/>
      </c>
      <c r="C27" s="495">
        <f>IF(D11="","-",+C26+1)</f>
        <v>2025</v>
      </c>
      <c r="D27" s="508">
        <f>IF(F26+SUM(E$17:E26)=D$10,F26,D$10-SUM(E$17:E26))</f>
        <v>6319889.2242187541</v>
      </c>
      <c r="E27" s="509">
        <f t="shared" si="14"/>
        <v>275325.93548387097</v>
      </c>
      <c r="F27" s="510">
        <f t="shared" si="15"/>
        <v>6044563.2887348831</v>
      </c>
      <c r="G27" s="511">
        <f t="shared" si="16"/>
        <v>979677.06940280087</v>
      </c>
      <c r="H27" s="477">
        <f t="shared" si="17"/>
        <v>979677.06940280087</v>
      </c>
      <c r="I27" s="500">
        <f t="shared" si="6"/>
        <v>0</v>
      </c>
      <c r="J27" s="500"/>
      <c r="K27" s="512"/>
      <c r="L27" s="504">
        <f t="shared" si="13"/>
        <v>0</v>
      </c>
      <c r="M27" s="512"/>
      <c r="N27" s="504">
        <f t="shared" si="4"/>
        <v>0</v>
      </c>
      <c r="O27" s="504">
        <f t="shared" si="5"/>
        <v>0</v>
      </c>
      <c r="P27" s="278"/>
      <c r="R27" s="243"/>
      <c r="S27" s="243"/>
      <c r="T27" s="243"/>
      <c r="U27" s="243"/>
    </row>
    <row r="28" spans="2:21">
      <c r="B28" s="145" t="str">
        <f t="shared" si="0"/>
        <v/>
      </c>
      <c r="C28" s="495">
        <f>IF(D11="","-",+C27+1)</f>
        <v>2026</v>
      </c>
      <c r="D28" s="508">
        <f>IF(F27+SUM(E$17:E27)=D$10,F27,D$10-SUM(E$17:E27))</f>
        <v>6044563.2887348831</v>
      </c>
      <c r="E28" s="509">
        <f t="shared" si="14"/>
        <v>275325.93548387097</v>
      </c>
      <c r="F28" s="510">
        <f t="shared" si="15"/>
        <v>5769237.353251012</v>
      </c>
      <c r="G28" s="511">
        <f t="shared" si="16"/>
        <v>948308.73592387186</v>
      </c>
      <c r="H28" s="477">
        <f t="shared" si="17"/>
        <v>948308.73592387186</v>
      </c>
      <c r="I28" s="500">
        <f t="shared" si="6"/>
        <v>0</v>
      </c>
      <c r="J28" s="500"/>
      <c r="K28" s="512"/>
      <c r="L28" s="504">
        <f t="shared" si="13"/>
        <v>0</v>
      </c>
      <c r="M28" s="512"/>
      <c r="N28" s="504">
        <f t="shared" si="4"/>
        <v>0</v>
      </c>
      <c r="O28" s="504">
        <f t="shared" si="5"/>
        <v>0</v>
      </c>
      <c r="P28" s="278"/>
      <c r="R28" s="243"/>
      <c r="S28" s="243"/>
      <c r="T28" s="243"/>
      <c r="U28" s="243"/>
    </row>
    <row r="29" spans="2:21">
      <c r="B29" s="145" t="str">
        <f t="shared" si="0"/>
        <v/>
      </c>
      <c r="C29" s="495">
        <f>IF(D11="","-",+C28+1)</f>
        <v>2027</v>
      </c>
      <c r="D29" s="508">
        <f>IF(F28+SUM(E$17:E28)=D$10,F28,D$10-SUM(E$17:E28))</f>
        <v>5769237.353251012</v>
      </c>
      <c r="E29" s="509">
        <f t="shared" si="14"/>
        <v>275325.93548387097</v>
      </c>
      <c r="F29" s="510">
        <f t="shared" si="15"/>
        <v>5493911.417767141</v>
      </c>
      <c r="G29" s="511">
        <f t="shared" si="16"/>
        <v>916940.40244494309</v>
      </c>
      <c r="H29" s="477">
        <f t="shared" si="17"/>
        <v>916940.40244494309</v>
      </c>
      <c r="I29" s="500">
        <f t="shared" si="6"/>
        <v>0</v>
      </c>
      <c r="J29" s="500"/>
      <c r="K29" s="512"/>
      <c r="L29" s="504">
        <f t="shared" si="13"/>
        <v>0</v>
      </c>
      <c r="M29" s="512"/>
      <c r="N29" s="504">
        <f t="shared" si="4"/>
        <v>0</v>
      </c>
      <c r="O29" s="504">
        <f t="shared" si="5"/>
        <v>0</v>
      </c>
      <c r="P29" s="278"/>
      <c r="R29" s="243"/>
      <c r="S29" s="243"/>
      <c r="T29" s="243"/>
      <c r="U29" s="243"/>
    </row>
    <row r="30" spans="2:21">
      <c r="B30" s="145" t="str">
        <f t="shared" si="0"/>
        <v/>
      </c>
      <c r="C30" s="495">
        <f>IF(D11="","-",+C29+1)</f>
        <v>2028</v>
      </c>
      <c r="D30" s="508">
        <f>IF(F29+SUM(E$17:E29)=D$10,F29,D$10-SUM(E$17:E29))</f>
        <v>5493911.417767141</v>
      </c>
      <c r="E30" s="509">
        <f t="shared" si="14"/>
        <v>275325.93548387097</v>
      </c>
      <c r="F30" s="510">
        <f t="shared" si="15"/>
        <v>5218585.48228327</v>
      </c>
      <c r="G30" s="511">
        <f t="shared" si="16"/>
        <v>885572.06896601431</v>
      </c>
      <c r="H30" s="477">
        <f t="shared" si="17"/>
        <v>885572.06896601431</v>
      </c>
      <c r="I30" s="500">
        <f t="shared" si="6"/>
        <v>0</v>
      </c>
      <c r="J30" s="500"/>
      <c r="K30" s="512"/>
      <c r="L30" s="504">
        <f t="shared" si="13"/>
        <v>0</v>
      </c>
      <c r="M30" s="512"/>
      <c r="N30" s="504">
        <f t="shared" si="4"/>
        <v>0</v>
      </c>
      <c r="O30" s="504">
        <f t="shared" si="5"/>
        <v>0</v>
      </c>
      <c r="P30" s="278"/>
      <c r="R30" s="243"/>
      <c r="S30" s="243"/>
      <c r="T30" s="243"/>
      <c r="U30" s="243"/>
    </row>
    <row r="31" spans="2:21">
      <c r="B31" s="145" t="str">
        <f>IF(D31=F30,"","IU")</f>
        <v/>
      </c>
      <c r="C31" s="495">
        <f>IF(D11="","-",+C30+1)</f>
        <v>2029</v>
      </c>
      <c r="D31" s="508">
        <f>IF(F30+SUM(E$17:E30)=D$10,F30,D$10-SUM(E$17:E30))</f>
        <v>5218585.48228327</v>
      </c>
      <c r="E31" s="509">
        <f t="shared" si="14"/>
        <v>275325.93548387097</v>
      </c>
      <c r="F31" s="510">
        <f t="shared" si="15"/>
        <v>4943259.546799399</v>
      </c>
      <c r="G31" s="511">
        <f t="shared" si="16"/>
        <v>854203.73548708553</v>
      </c>
      <c r="H31" s="477">
        <f t="shared" si="17"/>
        <v>854203.73548708553</v>
      </c>
      <c r="I31" s="500">
        <f t="shared" si="6"/>
        <v>0</v>
      </c>
      <c r="J31" s="500"/>
      <c r="K31" s="512"/>
      <c r="L31" s="504">
        <f t="shared" si="13"/>
        <v>0</v>
      </c>
      <c r="M31" s="512"/>
      <c r="N31" s="504">
        <f t="shared" si="4"/>
        <v>0</v>
      </c>
      <c r="O31" s="504">
        <f t="shared" si="5"/>
        <v>0</v>
      </c>
      <c r="P31" s="278"/>
      <c r="Q31" s="220"/>
      <c r="R31" s="278"/>
      <c r="S31" s="278"/>
      <c r="T31" s="278"/>
      <c r="U31" s="243"/>
    </row>
    <row r="32" spans="2:21">
      <c r="B32" s="145" t="str">
        <f t="shared" ref="B32:B46" si="18">IF(D32=F31,"","IU")</f>
        <v/>
      </c>
      <c r="C32" s="495">
        <f>IF(D12="","-",+C31+1)</f>
        <v>2030</v>
      </c>
      <c r="D32" s="508">
        <f>IF(F31+SUM(E$17:E31)=D$10,F31,D$10-SUM(E$17:E31))</f>
        <v>4943259.546799399</v>
      </c>
      <c r="E32" s="509">
        <f>IF(+$I$14&lt;F31,$I$14,D32)</f>
        <v>275325.93548387097</v>
      </c>
      <c r="F32" s="510">
        <f>+D32-E32</f>
        <v>4667933.6113155279</v>
      </c>
      <c r="G32" s="511">
        <f t="shared" si="16"/>
        <v>822835.40200815652</v>
      </c>
      <c r="H32" s="477">
        <f t="shared" si="17"/>
        <v>822835.40200815652</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18"/>
        <v/>
      </c>
      <c r="C33" s="495">
        <f>IF(D13="","-",+C32+1)</f>
        <v>2031</v>
      </c>
      <c r="D33" s="508">
        <f>IF(F32+SUM(E$17:E32)=D$10,F32,D$10-SUM(E$17:E32))</f>
        <v>4667933.6113155279</v>
      </c>
      <c r="E33" s="509">
        <f>IF(+$I$14&lt;F32,$I$14,D33)</f>
        <v>275325.93548387097</v>
      </c>
      <c r="F33" s="510">
        <f>+D33-E33</f>
        <v>4392607.6758316569</v>
      </c>
      <c r="G33" s="511">
        <f t="shared" si="16"/>
        <v>791467.06852922775</v>
      </c>
      <c r="H33" s="477">
        <f t="shared" si="17"/>
        <v>791467.06852922775</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18"/>
        <v/>
      </c>
      <c r="C34" s="495">
        <f t="shared" ref="C34:C42" si="19">IF(D14="","-",+C33+1)</f>
        <v>2032</v>
      </c>
      <c r="D34" s="514">
        <f>IF(F33+SUM(E$17:E33)=D$10,F33,D$10-SUM(E$17:E33))</f>
        <v>4392607.6758316569</v>
      </c>
      <c r="E34" s="515">
        <f t="shared" si="14"/>
        <v>275325.93548387097</v>
      </c>
      <c r="F34" s="516">
        <f t="shared" si="15"/>
        <v>4117281.7403477859</v>
      </c>
      <c r="G34" s="511">
        <f t="shared" si="16"/>
        <v>760098.73505029897</v>
      </c>
      <c r="H34" s="477">
        <f t="shared" si="17"/>
        <v>760098.73505029897</v>
      </c>
      <c r="I34" s="519">
        <f t="shared" si="6"/>
        <v>0</v>
      </c>
      <c r="J34" s="519"/>
      <c r="K34" s="520"/>
      <c r="L34" s="521">
        <f t="shared" si="13"/>
        <v>0</v>
      </c>
      <c r="M34" s="520"/>
      <c r="N34" s="521">
        <f t="shared" si="4"/>
        <v>0</v>
      </c>
      <c r="O34" s="521">
        <f t="shared" si="5"/>
        <v>0</v>
      </c>
      <c r="P34" s="522"/>
      <c r="Q34" s="216"/>
      <c r="R34" s="522"/>
      <c r="S34" s="522"/>
      <c r="T34" s="522"/>
      <c r="U34" s="243"/>
    </row>
    <row r="35" spans="2:21">
      <c r="B35" s="145" t="str">
        <f t="shared" si="18"/>
        <v/>
      </c>
      <c r="C35" s="495">
        <f t="shared" si="19"/>
        <v>2033</v>
      </c>
      <c r="D35" s="508">
        <f>IF(F34+SUM(E$17:E34)=D$10,F34,D$10-SUM(E$17:E34))</f>
        <v>4117281.7403477859</v>
      </c>
      <c r="E35" s="509">
        <f t="shared" si="14"/>
        <v>275325.93548387097</v>
      </c>
      <c r="F35" s="510">
        <f t="shared" si="15"/>
        <v>3841955.8048639148</v>
      </c>
      <c r="G35" s="511">
        <f t="shared" si="16"/>
        <v>728730.40157137008</v>
      </c>
      <c r="H35" s="477">
        <f t="shared" si="17"/>
        <v>728730.40157137008</v>
      </c>
      <c r="I35" s="500">
        <f t="shared" si="6"/>
        <v>0</v>
      </c>
      <c r="J35" s="500"/>
      <c r="K35" s="512"/>
      <c r="L35" s="504">
        <f t="shared" si="13"/>
        <v>0</v>
      </c>
      <c r="M35" s="512"/>
      <c r="N35" s="504">
        <f t="shared" si="4"/>
        <v>0</v>
      </c>
      <c r="O35" s="504">
        <f t="shared" si="5"/>
        <v>0</v>
      </c>
      <c r="P35" s="278"/>
      <c r="R35" s="243"/>
      <c r="S35" s="243"/>
      <c r="T35" s="243"/>
      <c r="U35" s="243"/>
    </row>
    <row r="36" spans="2:21">
      <c r="B36" s="145" t="str">
        <f t="shared" si="18"/>
        <v/>
      </c>
      <c r="C36" s="495">
        <f t="shared" si="19"/>
        <v>2034</v>
      </c>
      <c r="D36" s="508">
        <f>IF(F35+SUM(E$17:E35)=D$10,F35,D$10-SUM(E$17:E35))</f>
        <v>3841955.8048639148</v>
      </c>
      <c r="E36" s="509">
        <f t="shared" si="14"/>
        <v>275325.93548387097</v>
      </c>
      <c r="F36" s="510">
        <f t="shared" si="15"/>
        <v>3566629.8693800438</v>
      </c>
      <c r="G36" s="511">
        <f t="shared" si="16"/>
        <v>697362.06809244119</v>
      </c>
      <c r="H36" s="477">
        <f t="shared" si="17"/>
        <v>697362.06809244119</v>
      </c>
      <c r="I36" s="500">
        <f t="shared" si="6"/>
        <v>0</v>
      </c>
      <c r="J36" s="500"/>
      <c r="K36" s="512"/>
      <c r="L36" s="504">
        <f t="shared" si="13"/>
        <v>0</v>
      </c>
      <c r="M36" s="512"/>
      <c r="N36" s="504">
        <f t="shared" si="4"/>
        <v>0</v>
      </c>
      <c r="O36" s="504">
        <f t="shared" si="5"/>
        <v>0</v>
      </c>
      <c r="P36" s="278"/>
      <c r="R36" s="243"/>
      <c r="S36" s="243"/>
      <c r="T36" s="243"/>
      <c r="U36" s="243"/>
    </row>
    <row r="37" spans="2:21">
      <c r="B37" s="145" t="str">
        <f t="shared" si="18"/>
        <v/>
      </c>
      <c r="C37" s="495">
        <f t="shared" si="19"/>
        <v>2035</v>
      </c>
      <c r="D37" s="508">
        <f>IF(F36+SUM(E$17:E36)=D$10,F36,D$10-SUM(E$17:E36))</f>
        <v>3566629.8693800438</v>
      </c>
      <c r="E37" s="509">
        <f t="shared" si="14"/>
        <v>275325.93548387097</v>
      </c>
      <c r="F37" s="510">
        <f t="shared" si="15"/>
        <v>3291303.9338961728</v>
      </c>
      <c r="G37" s="511">
        <f t="shared" si="16"/>
        <v>665993.73461351241</v>
      </c>
      <c r="H37" s="477">
        <f t="shared" si="17"/>
        <v>665993.73461351241</v>
      </c>
      <c r="I37" s="500">
        <f t="shared" si="6"/>
        <v>0</v>
      </c>
      <c r="J37" s="500"/>
      <c r="K37" s="512"/>
      <c r="L37" s="504">
        <f t="shared" si="13"/>
        <v>0</v>
      </c>
      <c r="M37" s="512"/>
      <c r="N37" s="504">
        <f t="shared" si="4"/>
        <v>0</v>
      </c>
      <c r="O37" s="504">
        <f t="shared" si="5"/>
        <v>0</v>
      </c>
      <c r="P37" s="278"/>
      <c r="R37" s="243"/>
      <c r="S37" s="243"/>
      <c r="T37" s="243"/>
      <c r="U37" s="243"/>
    </row>
    <row r="38" spans="2:21">
      <c r="B38" s="145" t="str">
        <f t="shared" si="18"/>
        <v/>
      </c>
      <c r="C38" s="495">
        <f t="shared" si="19"/>
        <v>2036</v>
      </c>
      <c r="D38" s="508">
        <f>IF(F37+SUM(E$17:E37)=D$10,F37,D$10-SUM(E$17:E37))</f>
        <v>3291303.9338961728</v>
      </c>
      <c r="E38" s="509">
        <f t="shared" si="14"/>
        <v>275325.93548387097</v>
      </c>
      <c r="F38" s="510">
        <f t="shared" si="15"/>
        <v>3015977.9984123018</v>
      </c>
      <c r="G38" s="511">
        <f t="shared" si="16"/>
        <v>634625.40113458363</v>
      </c>
      <c r="H38" s="477">
        <f t="shared" si="17"/>
        <v>634625.40113458363</v>
      </c>
      <c r="I38" s="500">
        <f t="shared" si="6"/>
        <v>0</v>
      </c>
      <c r="J38" s="500"/>
      <c r="K38" s="512"/>
      <c r="L38" s="504">
        <f t="shared" si="13"/>
        <v>0</v>
      </c>
      <c r="M38" s="512"/>
      <c r="N38" s="504">
        <f t="shared" si="4"/>
        <v>0</v>
      </c>
      <c r="O38" s="504">
        <f t="shared" si="5"/>
        <v>0</v>
      </c>
      <c r="P38" s="278"/>
      <c r="R38" s="243"/>
      <c r="S38" s="243"/>
      <c r="T38" s="243"/>
      <c r="U38" s="243"/>
    </row>
    <row r="39" spans="2:21">
      <c r="B39" s="145" t="str">
        <f t="shared" si="18"/>
        <v/>
      </c>
      <c r="C39" s="495">
        <f t="shared" si="19"/>
        <v>2037</v>
      </c>
      <c r="D39" s="508">
        <f>IF(F38+SUM(E$17:E38)=D$10,F38,D$10-SUM(E$17:E38))</f>
        <v>3015977.9984123018</v>
      </c>
      <c r="E39" s="509">
        <f t="shared" si="14"/>
        <v>275325.93548387097</v>
      </c>
      <c r="F39" s="510">
        <f t="shared" si="15"/>
        <v>2740652.0629284307</v>
      </c>
      <c r="G39" s="511">
        <f t="shared" si="16"/>
        <v>603257.06765565474</v>
      </c>
      <c r="H39" s="477">
        <f t="shared" si="17"/>
        <v>603257.06765565474</v>
      </c>
      <c r="I39" s="500">
        <f t="shared" si="6"/>
        <v>0</v>
      </c>
      <c r="J39" s="500"/>
      <c r="K39" s="512"/>
      <c r="L39" s="504">
        <f t="shared" si="13"/>
        <v>0</v>
      </c>
      <c r="M39" s="512"/>
      <c r="N39" s="504">
        <f t="shared" si="4"/>
        <v>0</v>
      </c>
      <c r="O39" s="504">
        <f t="shared" si="5"/>
        <v>0</v>
      </c>
      <c r="P39" s="278"/>
      <c r="R39" s="243"/>
      <c r="S39" s="243"/>
      <c r="T39" s="243"/>
      <c r="U39" s="243"/>
    </row>
    <row r="40" spans="2:21">
      <c r="B40" s="145" t="str">
        <f t="shared" si="18"/>
        <v/>
      </c>
      <c r="C40" s="495">
        <f t="shared" si="19"/>
        <v>2038</v>
      </c>
      <c r="D40" s="508">
        <f>IF(F39+SUM(E$17:E39)=D$10,F39,D$10-SUM(E$17:E39))</f>
        <v>2740652.0629284307</v>
      </c>
      <c r="E40" s="509">
        <f t="shared" si="14"/>
        <v>275325.93548387097</v>
      </c>
      <c r="F40" s="510">
        <f t="shared" si="15"/>
        <v>2465326.1274445597</v>
      </c>
      <c r="G40" s="511">
        <f t="shared" si="16"/>
        <v>571888.73417672585</v>
      </c>
      <c r="H40" s="477">
        <f t="shared" si="17"/>
        <v>571888.73417672585</v>
      </c>
      <c r="I40" s="500">
        <f t="shared" si="6"/>
        <v>0</v>
      </c>
      <c r="J40" s="500"/>
      <c r="K40" s="512"/>
      <c r="L40" s="504">
        <f t="shared" si="13"/>
        <v>0</v>
      </c>
      <c r="M40" s="512"/>
      <c r="N40" s="504">
        <f t="shared" si="4"/>
        <v>0</v>
      </c>
      <c r="O40" s="504">
        <f t="shared" si="5"/>
        <v>0</v>
      </c>
      <c r="P40" s="278"/>
      <c r="R40" s="243"/>
      <c r="S40" s="243"/>
      <c r="T40" s="243"/>
      <c r="U40" s="243"/>
    </row>
    <row r="41" spans="2:21">
      <c r="B41" s="145" t="str">
        <f t="shared" si="18"/>
        <v/>
      </c>
      <c r="C41" s="495">
        <f t="shared" si="19"/>
        <v>2039</v>
      </c>
      <c r="D41" s="508">
        <f>IF(F40+SUM(E$17:E40)=D$10,F40,D$10-SUM(E$17:E40))</f>
        <v>2465326.1274445597</v>
      </c>
      <c r="E41" s="509">
        <f t="shared" si="14"/>
        <v>275325.93548387097</v>
      </c>
      <c r="F41" s="510">
        <f t="shared" si="15"/>
        <v>2190000.1919606887</v>
      </c>
      <c r="G41" s="511">
        <f t="shared" si="16"/>
        <v>540520.40069779707</v>
      </c>
      <c r="H41" s="477">
        <f t="shared" si="17"/>
        <v>540520.40069779707</v>
      </c>
      <c r="I41" s="500">
        <f t="shared" si="6"/>
        <v>0</v>
      </c>
      <c r="J41" s="500"/>
      <c r="K41" s="512"/>
      <c r="L41" s="504">
        <f t="shared" si="13"/>
        <v>0</v>
      </c>
      <c r="M41" s="512"/>
      <c r="N41" s="504">
        <f t="shared" si="4"/>
        <v>0</v>
      </c>
      <c r="O41" s="504">
        <f t="shared" si="5"/>
        <v>0</v>
      </c>
      <c r="P41" s="278"/>
      <c r="R41" s="243"/>
      <c r="S41" s="243"/>
      <c r="T41" s="243"/>
      <c r="U41" s="243"/>
    </row>
    <row r="42" spans="2:21">
      <c r="B42" s="145" t="str">
        <f t="shared" si="18"/>
        <v/>
      </c>
      <c r="C42" s="495">
        <f t="shared" si="19"/>
        <v>2040</v>
      </c>
      <c r="D42" s="508">
        <f>IF(F41+SUM(E$17:E41)=D$10,F41,D$10-SUM(E$17:E41))</f>
        <v>2190000.1919606887</v>
      </c>
      <c r="E42" s="509">
        <f t="shared" si="14"/>
        <v>275325.93548387097</v>
      </c>
      <c r="F42" s="510">
        <f t="shared" si="15"/>
        <v>1914674.2564768177</v>
      </c>
      <c r="G42" s="511">
        <f t="shared" si="16"/>
        <v>509152.06721886829</v>
      </c>
      <c r="H42" s="477">
        <f t="shared" si="17"/>
        <v>509152.06721886829</v>
      </c>
      <c r="I42" s="500">
        <f t="shared" si="6"/>
        <v>0</v>
      </c>
      <c r="J42" s="500"/>
      <c r="K42" s="512"/>
      <c r="L42" s="504">
        <f t="shared" si="13"/>
        <v>0</v>
      </c>
      <c r="M42" s="512"/>
      <c r="N42" s="504">
        <f t="shared" si="4"/>
        <v>0</v>
      </c>
      <c r="O42" s="504">
        <f t="shared" si="5"/>
        <v>0</v>
      </c>
      <c r="P42" s="278"/>
      <c r="R42" s="243"/>
      <c r="S42" s="243"/>
      <c r="T42" s="243"/>
      <c r="U42" s="243"/>
    </row>
    <row r="43" spans="2:21">
      <c r="B43" s="145" t="str">
        <f t="shared" si="18"/>
        <v/>
      </c>
      <c r="C43" s="495">
        <f>IF(D11="","-",+C42+1)</f>
        <v>2041</v>
      </c>
      <c r="D43" s="508">
        <f>IF(F42+SUM(E$17:E42)=D$10,F42,D$10-SUM(E$17:E42))</f>
        <v>1914674.2564768177</v>
      </c>
      <c r="E43" s="509">
        <f t="shared" si="14"/>
        <v>275325.93548387097</v>
      </c>
      <c r="F43" s="510">
        <f t="shared" si="15"/>
        <v>1639348.3209929466</v>
      </c>
      <c r="G43" s="511">
        <f t="shared" si="16"/>
        <v>477783.7337399394</v>
      </c>
      <c r="H43" s="477">
        <f t="shared" si="17"/>
        <v>477783.7337399394</v>
      </c>
      <c r="I43" s="500">
        <f t="shared" si="6"/>
        <v>0</v>
      </c>
      <c r="J43" s="500"/>
      <c r="K43" s="512"/>
      <c r="L43" s="504">
        <f t="shared" si="13"/>
        <v>0</v>
      </c>
      <c r="M43" s="512"/>
      <c r="N43" s="504">
        <f t="shared" si="4"/>
        <v>0</v>
      </c>
      <c r="O43" s="504">
        <f t="shared" si="5"/>
        <v>0</v>
      </c>
      <c r="P43" s="278"/>
      <c r="R43" s="243"/>
      <c r="S43" s="243"/>
      <c r="T43" s="243"/>
      <c r="U43" s="243"/>
    </row>
    <row r="44" spans="2:21">
      <c r="B44" s="145" t="str">
        <f t="shared" si="18"/>
        <v/>
      </c>
      <c r="C44" s="495">
        <f>IF(D11="","-",+C43+1)</f>
        <v>2042</v>
      </c>
      <c r="D44" s="508">
        <f>IF(F43+SUM(E$17:E43)=D$10,F43,D$10-SUM(E$17:E43))</f>
        <v>1639348.3209929466</v>
      </c>
      <c r="E44" s="509">
        <f t="shared" si="14"/>
        <v>275325.93548387097</v>
      </c>
      <c r="F44" s="510">
        <f t="shared" si="15"/>
        <v>1364022.3855090756</v>
      </c>
      <c r="G44" s="511">
        <f t="shared" si="16"/>
        <v>446415.40026101063</v>
      </c>
      <c r="H44" s="477">
        <f t="shared" si="17"/>
        <v>446415.40026101063</v>
      </c>
      <c r="I44" s="500">
        <f t="shared" si="6"/>
        <v>0</v>
      </c>
      <c r="J44" s="500"/>
      <c r="K44" s="512"/>
      <c r="L44" s="504">
        <f t="shared" si="13"/>
        <v>0</v>
      </c>
      <c r="M44" s="512"/>
      <c r="N44" s="504">
        <f t="shared" si="4"/>
        <v>0</v>
      </c>
      <c r="O44" s="504">
        <f t="shared" si="5"/>
        <v>0</v>
      </c>
      <c r="P44" s="278"/>
      <c r="R44" s="243"/>
      <c r="S44" s="243"/>
      <c r="T44" s="243"/>
      <c r="U44" s="243"/>
    </row>
    <row r="45" spans="2:21">
      <c r="B45" s="145" t="str">
        <f t="shared" si="18"/>
        <v/>
      </c>
      <c r="C45" s="495">
        <f>IF(D11="","-",+C44+1)</f>
        <v>2043</v>
      </c>
      <c r="D45" s="508">
        <f>IF(F44+SUM(E$17:E44)=D$10,F44,D$10-SUM(E$17:E44))</f>
        <v>1364022.3855090756</v>
      </c>
      <c r="E45" s="509">
        <f t="shared" si="14"/>
        <v>275325.93548387097</v>
      </c>
      <c r="F45" s="510">
        <f t="shared" si="15"/>
        <v>1088696.4500252046</v>
      </c>
      <c r="G45" s="511">
        <f t="shared" si="16"/>
        <v>415047.06678208173</v>
      </c>
      <c r="H45" s="477">
        <f t="shared" si="17"/>
        <v>415047.06678208173</v>
      </c>
      <c r="I45" s="500">
        <f t="shared" si="6"/>
        <v>0</v>
      </c>
      <c r="J45" s="500"/>
      <c r="K45" s="512"/>
      <c r="L45" s="504">
        <f t="shared" si="13"/>
        <v>0</v>
      </c>
      <c r="M45" s="512"/>
      <c r="N45" s="504">
        <f t="shared" si="4"/>
        <v>0</v>
      </c>
      <c r="O45" s="504">
        <f t="shared" si="5"/>
        <v>0</v>
      </c>
      <c r="P45" s="278"/>
      <c r="R45" s="243"/>
      <c r="S45" s="243"/>
      <c r="T45" s="243"/>
      <c r="U45" s="243"/>
    </row>
    <row r="46" spans="2:21">
      <c r="B46" s="145" t="str">
        <f t="shared" si="18"/>
        <v/>
      </c>
      <c r="C46" s="495">
        <f>IF(D11="","-",+C45+1)</f>
        <v>2044</v>
      </c>
      <c r="D46" s="508">
        <f>IF(F45+SUM(E$17:E45)=D$10,F45,D$10-SUM(E$17:E45))</f>
        <v>1088696.4500252046</v>
      </c>
      <c r="E46" s="509">
        <f t="shared" si="14"/>
        <v>275325.93548387097</v>
      </c>
      <c r="F46" s="510">
        <f t="shared" si="15"/>
        <v>813370.51454133354</v>
      </c>
      <c r="G46" s="511">
        <f t="shared" si="16"/>
        <v>383678.7333031529</v>
      </c>
      <c r="H46" s="477">
        <f t="shared" si="17"/>
        <v>383678.7333031529</v>
      </c>
      <c r="I46" s="500">
        <f t="shared" si="6"/>
        <v>0</v>
      </c>
      <c r="J46" s="500"/>
      <c r="K46" s="512"/>
      <c r="L46" s="504">
        <f t="shared" si="13"/>
        <v>0</v>
      </c>
      <c r="M46" s="512"/>
      <c r="N46" s="504">
        <f t="shared" si="4"/>
        <v>0</v>
      </c>
      <c r="O46" s="504">
        <f t="shared" si="5"/>
        <v>0</v>
      </c>
      <c r="P46" s="278"/>
      <c r="R46" s="243"/>
      <c r="S46" s="243"/>
      <c r="T46" s="243"/>
      <c r="U46" s="243"/>
    </row>
    <row r="47" spans="2:21">
      <c r="B47" s="145" t="str">
        <f t="shared" si="0"/>
        <v/>
      </c>
      <c r="C47" s="495">
        <f>IF(D11="","-",+C46+1)</f>
        <v>2045</v>
      </c>
      <c r="D47" s="508">
        <f>IF(F46+SUM(E$17:E46)=D$10,F46,D$10-SUM(E$17:E46))</f>
        <v>813370.51454133354</v>
      </c>
      <c r="E47" s="509">
        <f t="shared" si="14"/>
        <v>275325.93548387097</v>
      </c>
      <c r="F47" s="510">
        <f t="shared" si="15"/>
        <v>538044.57905746251</v>
      </c>
      <c r="G47" s="511">
        <f t="shared" si="16"/>
        <v>352310.39982422406</v>
      </c>
      <c r="H47" s="477">
        <f t="shared" si="17"/>
        <v>352310.39982422406</v>
      </c>
      <c r="I47" s="500">
        <f t="shared" si="6"/>
        <v>0</v>
      </c>
      <c r="J47" s="500"/>
      <c r="K47" s="512"/>
      <c r="L47" s="504">
        <f t="shared" si="13"/>
        <v>0</v>
      </c>
      <c r="M47" s="512"/>
      <c r="N47" s="504">
        <f t="shared" si="4"/>
        <v>0</v>
      </c>
      <c r="O47" s="504">
        <f t="shared" si="5"/>
        <v>0</v>
      </c>
      <c r="P47" s="278"/>
      <c r="R47" s="243"/>
      <c r="S47" s="243"/>
      <c r="T47" s="243"/>
      <c r="U47" s="243"/>
    </row>
    <row r="48" spans="2:21">
      <c r="B48" s="145" t="str">
        <f t="shared" si="0"/>
        <v/>
      </c>
      <c r="C48" s="495">
        <f>IF(D11="","-",+C47+1)</f>
        <v>2046</v>
      </c>
      <c r="D48" s="508">
        <f>IF(F47+SUM(E$17:E47)=D$10,F47,D$10-SUM(E$17:E47))</f>
        <v>538044.57905746251</v>
      </c>
      <c r="E48" s="509">
        <f t="shared" si="14"/>
        <v>275325.93548387097</v>
      </c>
      <c r="F48" s="510">
        <f t="shared" si="15"/>
        <v>262718.64357359154</v>
      </c>
      <c r="G48" s="511">
        <f t="shared" si="16"/>
        <v>320942.06634529523</v>
      </c>
      <c r="H48" s="477">
        <f t="shared" si="17"/>
        <v>320942.06634529523</v>
      </c>
      <c r="I48" s="500">
        <f t="shared" si="6"/>
        <v>0</v>
      </c>
      <c r="J48" s="500"/>
      <c r="K48" s="512"/>
      <c r="L48" s="504">
        <f t="shared" si="13"/>
        <v>0</v>
      </c>
      <c r="M48" s="512"/>
      <c r="N48" s="504">
        <f t="shared" si="4"/>
        <v>0</v>
      </c>
      <c r="O48" s="504">
        <f t="shared" si="5"/>
        <v>0</v>
      </c>
      <c r="P48" s="278"/>
      <c r="R48" s="243"/>
      <c r="S48" s="243"/>
      <c r="T48" s="243"/>
      <c r="U48" s="243"/>
    </row>
    <row r="49" spans="2:21">
      <c r="B49" s="145" t="str">
        <f t="shared" si="0"/>
        <v/>
      </c>
      <c r="C49" s="495">
        <f>IF(D11="","-",+C48+1)</f>
        <v>2047</v>
      </c>
      <c r="D49" s="508">
        <f>IF(F48+SUM(E$17:E48)=D$10,F48,D$10-SUM(E$17:E48))</f>
        <v>262718.64357359154</v>
      </c>
      <c r="E49" s="509">
        <f t="shared" si="14"/>
        <v>262718.64357359154</v>
      </c>
      <c r="F49" s="510">
        <f t="shared" si="15"/>
        <v>0</v>
      </c>
      <c r="G49" s="511">
        <f t="shared" si="16"/>
        <v>277684.62563457148</v>
      </c>
      <c r="H49" s="477">
        <f t="shared" si="17"/>
        <v>277684.62563457148</v>
      </c>
      <c r="I49" s="500">
        <f t="shared" si="6"/>
        <v>0</v>
      </c>
      <c r="J49" s="500"/>
      <c r="K49" s="512"/>
      <c r="L49" s="504">
        <f t="shared" si="13"/>
        <v>0</v>
      </c>
      <c r="M49" s="512"/>
      <c r="N49" s="504">
        <f t="shared" si="4"/>
        <v>0</v>
      </c>
      <c r="O49" s="504">
        <f t="shared" si="5"/>
        <v>0</v>
      </c>
      <c r="P49" s="278"/>
      <c r="R49" s="243"/>
      <c r="S49" s="243"/>
      <c r="T49" s="243"/>
      <c r="U49" s="243"/>
    </row>
    <row r="50" spans="2:21">
      <c r="B50" s="145" t="str">
        <f t="shared" si="0"/>
        <v/>
      </c>
      <c r="C50" s="495">
        <f>IF(D11="","-",+C49+1)</f>
        <v>2048</v>
      </c>
      <c r="D50" s="508">
        <f>IF(F49+SUM(E$17:E49)=D$10,F49,D$10-SUM(E$17:E49))</f>
        <v>0</v>
      </c>
      <c r="E50" s="509">
        <f t="shared" si="14"/>
        <v>0</v>
      </c>
      <c r="F50" s="510">
        <f t="shared" si="15"/>
        <v>0</v>
      </c>
      <c r="G50" s="511">
        <f t="shared" si="16"/>
        <v>0</v>
      </c>
      <c r="H50" s="477">
        <f t="shared" si="17"/>
        <v>0</v>
      </c>
      <c r="I50" s="500">
        <f t="shared" si="6"/>
        <v>0</v>
      </c>
      <c r="J50" s="500"/>
      <c r="K50" s="512"/>
      <c r="L50" s="504">
        <f t="shared" si="13"/>
        <v>0</v>
      </c>
      <c r="M50" s="512"/>
      <c r="N50" s="504">
        <f t="shared" si="4"/>
        <v>0</v>
      </c>
      <c r="O50" s="504">
        <f t="shared" si="5"/>
        <v>0</v>
      </c>
      <c r="P50" s="278"/>
      <c r="R50" s="243"/>
      <c r="S50" s="243"/>
      <c r="T50" s="243"/>
      <c r="U50" s="243"/>
    </row>
    <row r="51" spans="2:21">
      <c r="B51" s="145" t="str">
        <f t="shared" si="0"/>
        <v/>
      </c>
      <c r="C51" s="495">
        <f>IF(D11="","-",+C50+1)</f>
        <v>2049</v>
      </c>
      <c r="D51" s="508">
        <f>IF(F50+SUM(E$17:E50)=D$10,F50,D$10-SUM(E$17:E50))</f>
        <v>0</v>
      </c>
      <c r="E51" s="509">
        <f t="shared" si="14"/>
        <v>0</v>
      </c>
      <c r="F51" s="510">
        <f t="shared" si="15"/>
        <v>0</v>
      </c>
      <c r="G51" s="511">
        <f t="shared" si="16"/>
        <v>0</v>
      </c>
      <c r="H51" s="477">
        <f t="shared" si="17"/>
        <v>0</v>
      </c>
      <c r="I51" s="500">
        <f t="shared" si="6"/>
        <v>0</v>
      </c>
      <c r="J51" s="500"/>
      <c r="K51" s="512"/>
      <c r="L51" s="504">
        <f t="shared" si="13"/>
        <v>0</v>
      </c>
      <c r="M51" s="512"/>
      <c r="N51" s="504">
        <f t="shared" si="4"/>
        <v>0</v>
      </c>
      <c r="O51" s="504">
        <f t="shared" si="5"/>
        <v>0</v>
      </c>
      <c r="P51" s="278"/>
      <c r="R51" s="243"/>
      <c r="S51" s="243"/>
      <c r="T51" s="243"/>
      <c r="U51" s="243"/>
    </row>
    <row r="52" spans="2:21">
      <c r="B52" s="145" t="str">
        <f t="shared" si="0"/>
        <v/>
      </c>
      <c r="C52" s="495">
        <f>IF(D11="","-",+C51+1)</f>
        <v>2050</v>
      </c>
      <c r="D52" s="508">
        <f>IF(F51+SUM(E$17:E51)=D$10,F51,D$10-SUM(E$17:E51))</f>
        <v>0</v>
      </c>
      <c r="E52" s="509">
        <f t="shared" si="14"/>
        <v>0</v>
      </c>
      <c r="F52" s="510">
        <f t="shared" si="15"/>
        <v>0</v>
      </c>
      <c r="G52" s="511">
        <f t="shared" si="16"/>
        <v>0</v>
      </c>
      <c r="H52" s="477">
        <f t="shared" si="17"/>
        <v>0</v>
      </c>
      <c r="I52" s="500">
        <f t="shared" si="6"/>
        <v>0</v>
      </c>
      <c r="J52" s="500"/>
      <c r="K52" s="512"/>
      <c r="L52" s="504">
        <f t="shared" si="13"/>
        <v>0</v>
      </c>
      <c r="M52" s="512"/>
      <c r="N52" s="504">
        <f t="shared" si="4"/>
        <v>0</v>
      </c>
      <c r="O52" s="504">
        <f t="shared" si="5"/>
        <v>0</v>
      </c>
      <c r="P52" s="278"/>
      <c r="R52" s="243"/>
      <c r="S52" s="243"/>
      <c r="T52" s="243"/>
      <c r="U52" s="243"/>
    </row>
    <row r="53" spans="2:21">
      <c r="B53" s="145" t="str">
        <f t="shared" si="0"/>
        <v/>
      </c>
      <c r="C53" s="495">
        <f>IF(D11="","-",+C52+1)</f>
        <v>2051</v>
      </c>
      <c r="D53" s="508">
        <f>IF(F52+SUM(E$17:E52)=D$10,F52,D$10-SUM(E$17:E52))</f>
        <v>0</v>
      </c>
      <c r="E53" s="509">
        <f t="shared" si="14"/>
        <v>0</v>
      </c>
      <c r="F53" s="510">
        <f t="shared" si="15"/>
        <v>0</v>
      </c>
      <c r="G53" s="511">
        <f t="shared" si="16"/>
        <v>0</v>
      </c>
      <c r="H53" s="477">
        <f t="shared" si="17"/>
        <v>0</v>
      </c>
      <c r="I53" s="500">
        <f t="shared" si="6"/>
        <v>0</v>
      </c>
      <c r="J53" s="500"/>
      <c r="K53" s="512"/>
      <c r="L53" s="504">
        <f t="shared" si="13"/>
        <v>0</v>
      </c>
      <c r="M53" s="512"/>
      <c r="N53" s="504">
        <f t="shared" si="4"/>
        <v>0</v>
      </c>
      <c r="O53" s="504">
        <f t="shared" si="5"/>
        <v>0</v>
      </c>
      <c r="P53" s="278"/>
      <c r="R53" s="243"/>
      <c r="S53" s="243"/>
      <c r="T53" s="243"/>
      <c r="U53" s="243"/>
    </row>
    <row r="54" spans="2:21">
      <c r="B54" s="145" t="str">
        <f t="shared" si="0"/>
        <v/>
      </c>
      <c r="C54" s="495">
        <f>IF(D11="","-",+C53+1)</f>
        <v>2052</v>
      </c>
      <c r="D54" s="508">
        <f>IF(F53+SUM(E$17:E53)=D$10,F53,D$10-SUM(E$17:E53))</f>
        <v>0</v>
      </c>
      <c r="E54" s="509">
        <f t="shared" si="14"/>
        <v>0</v>
      </c>
      <c r="F54" s="510">
        <f t="shared" si="15"/>
        <v>0</v>
      </c>
      <c r="G54" s="511">
        <f t="shared" si="16"/>
        <v>0</v>
      </c>
      <c r="H54" s="477">
        <f t="shared" si="17"/>
        <v>0</v>
      </c>
      <c r="I54" s="500">
        <f t="shared" si="6"/>
        <v>0</v>
      </c>
      <c r="J54" s="500"/>
      <c r="K54" s="512"/>
      <c r="L54" s="504">
        <f t="shared" si="13"/>
        <v>0</v>
      </c>
      <c r="M54" s="512"/>
      <c r="N54" s="504">
        <f t="shared" si="4"/>
        <v>0</v>
      </c>
      <c r="O54" s="504">
        <f t="shared" si="5"/>
        <v>0</v>
      </c>
      <c r="P54" s="278"/>
      <c r="R54" s="243"/>
      <c r="S54" s="243"/>
      <c r="T54" s="243"/>
      <c r="U54" s="243"/>
    </row>
    <row r="55" spans="2:21">
      <c r="B55" s="145" t="str">
        <f t="shared" si="0"/>
        <v/>
      </c>
      <c r="C55" s="495">
        <f>IF(D11="","-",+C54+1)</f>
        <v>2053</v>
      </c>
      <c r="D55" s="508">
        <f>IF(F54+SUM(E$17:E54)=D$10,F54,D$10-SUM(E$17:E54))</f>
        <v>0</v>
      </c>
      <c r="E55" s="509">
        <f t="shared" si="14"/>
        <v>0</v>
      </c>
      <c r="F55" s="510">
        <f t="shared" si="15"/>
        <v>0</v>
      </c>
      <c r="G55" s="511">
        <f t="shared" si="16"/>
        <v>0</v>
      </c>
      <c r="H55" s="477">
        <f t="shared" si="17"/>
        <v>0</v>
      </c>
      <c r="I55" s="500">
        <f t="shared" si="6"/>
        <v>0</v>
      </c>
      <c r="J55" s="500"/>
      <c r="K55" s="512"/>
      <c r="L55" s="504">
        <f t="shared" si="13"/>
        <v>0</v>
      </c>
      <c r="M55" s="512"/>
      <c r="N55" s="504">
        <f t="shared" si="4"/>
        <v>0</v>
      </c>
      <c r="O55" s="504">
        <f t="shared" si="5"/>
        <v>0</v>
      </c>
      <c r="P55" s="278"/>
      <c r="R55" s="243"/>
      <c r="S55" s="243"/>
      <c r="T55" s="243"/>
      <c r="U55" s="243"/>
    </row>
    <row r="56" spans="2:21">
      <c r="B56" s="145" t="str">
        <f t="shared" si="0"/>
        <v/>
      </c>
      <c r="C56" s="495">
        <f>IF(D11="","-",+C55+1)</f>
        <v>2054</v>
      </c>
      <c r="D56" s="508">
        <f>IF(F55+SUM(E$17:E55)=D$10,F55,D$10-SUM(E$17:E55))</f>
        <v>0</v>
      </c>
      <c r="E56" s="509">
        <f t="shared" si="14"/>
        <v>0</v>
      </c>
      <c r="F56" s="510">
        <f t="shared" si="15"/>
        <v>0</v>
      </c>
      <c r="G56" s="511">
        <f t="shared" si="16"/>
        <v>0</v>
      </c>
      <c r="H56" s="477">
        <f t="shared" si="17"/>
        <v>0</v>
      </c>
      <c r="I56" s="500">
        <f t="shared" si="6"/>
        <v>0</v>
      </c>
      <c r="J56" s="500"/>
      <c r="K56" s="512"/>
      <c r="L56" s="504">
        <f t="shared" si="13"/>
        <v>0</v>
      </c>
      <c r="M56" s="512"/>
      <c r="N56" s="504">
        <f t="shared" si="4"/>
        <v>0</v>
      </c>
      <c r="O56" s="504">
        <f t="shared" si="5"/>
        <v>0</v>
      </c>
      <c r="P56" s="278"/>
      <c r="R56" s="243"/>
      <c r="S56" s="243"/>
      <c r="T56" s="243"/>
      <c r="U56" s="243"/>
    </row>
    <row r="57" spans="2:21">
      <c r="B57" s="145" t="str">
        <f t="shared" si="0"/>
        <v/>
      </c>
      <c r="C57" s="495">
        <f>IF(D11="","-",+C56+1)</f>
        <v>2055</v>
      </c>
      <c r="D57" s="508">
        <f>IF(F56+SUM(E$17:E56)=D$10,F56,D$10-SUM(E$17:E56))</f>
        <v>0</v>
      </c>
      <c r="E57" s="509">
        <f t="shared" si="14"/>
        <v>0</v>
      </c>
      <c r="F57" s="510">
        <f t="shared" si="15"/>
        <v>0</v>
      </c>
      <c r="G57" s="511">
        <f t="shared" si="16"/>
        <v>0</v>
      </c>
      <c r="H57" s="477">
        <f t="shared" si="17"/>
        <v>0</v>
      </c>
      <c r="I57" s="500">
        <f t="shared" si="6"/>
        <v>0</v>
      </c>
      <c r="J57" s="500"/>
      <c r="K57" s="512"/>
      <c r="L57" s="504">
        <f t="shared" si="13"/>
        <v>0</v>
      </c>
      <c r="M57" s="512"/>
      <c r="N57" s="504">
        <f t="shared" si="4"/>
        <v>0</v>
      </c>
      <c r="O57" s="504">
        <f t="shared" si="5"/>
        <v>0</v>
      </c>
      <c r="P57" s="278"/>
      <c r="R57" s="243"/>
      <c r="S57" s="243"/>
      <c r="T57" s="243"/>
      <c r="U57" s="243"/>
    </row>
    <row r="58" spans="2:21">
      <c r="B58" s="145" t="str">
        <f t="shared" si="0"/>
        <v/>
      </c>
      <c r="C58" s="495">
        <f>IF(D11="","-",+C57+1)</f>
        <v>2056</v>
      </c>
      <c r="D58" s="508">
        <f>IF(F57+SUM(E$17:E57)=D$10,F57,D$10-SUM(E$17:E57))</f>
        <v>0</v>
      </c>
      <c r="E58" s="509">
        <f t="shared" si="14"/>
        <v>0</v>
      </c>
      <c r="F58" s="510">
        <f t="shared" si="15"/>
        <v>0</v>
      </c>
      <c r="G58" s="511">
        <f t="shared" si="16"/>
        <v>0</v>
      </c>
      <c r="H58" s="477">
        <f t="shared" si="17"/>
        <v>0</v>
      </c>
      <c r="I58" s="500">
        <f t="shared" si="6"/>
        <v>0</v>
      </c>
      <c r="J58" s="500"/>
      <c r="K58" s="512"/>
      <c r="L58" s="504">
        <f t="shared" si="13"/>
        <v>0</v>
      </c>
      <c r="M58" s="512"/>
      <c r="N58" s="504">
        <f t="shared" si="4"/>
        <v>0</v>
      </c>
      <c r="O58" s="504">
        <f t="shared" si="5"/>
        <v>0</v>
      </c>
      <c r="P58" s="278"/>
      <c r="R58" s="243"/>
      <c r="S58" s="243"/>
      <c r="T58" s="243"/>
      <c r="U58" s="243"/>
    </row>
    <row r="59" spans="2:21">
      <c r="B59" s="145" t="str">
        <f t="shared" si="0"/>
        <v/>
      </c>
      <c r="C59" s="495">
        <f>IF(D11="","-",+C58+1)</f>
        <v>2057</v>
      </c>
      <c r="D59" s="508">
        <f>IF(F58+SUM(E$17:E58)=D$10,F58,D$10-SUM(E$17:E58))</f>
        <v>0</v>
      </c>
      <c r="E59" s="509">
        <f t="shared" si="14"/>
        <v>0</v>
      </c>
      <c r="F59" s="510">
        <f t="shared" si="15"/>
        <v>0</v>
      </c>
      <c r="G59" s="511">
        <f t="shared" si="16"/>
        <v>0</v>
      </c>
      <c r="H59" s="477">
        <f t="shared" si="17"/>
        <v>0</v>
      </c>
      <c r="I59" s="500">
        <f t="shared" si="6"/>
        <v>0</v>
      </c>
      <c r="J59" s="500"/>
      <c r="K59" s="512"/>
      <c r="L59" s="504">
        <f t="shared" si="13"/>
        <v>0</v>
      </c>
      <c r="M59" s="512"/>
      <c r="N59" s="504">
        <f t="shared" si="4"/>
        <v>0</v>
      </c>
      <c r="O59" s="504">
        <f t="shared" si="5"/>
        <v>0</v>
      </c>
      <c r="P59" s="278"/>
      <c r="R59" s="243"/>
      <c r="S59" s="243"/>
      <c r="T59" s="243"/>
      <c r="U59" s="243"/>
    </row>
    <row r="60" spans="2:21">
      <c r="B60" s="145" t="str">
        <f t="shared" si="0"/>
        <v/>
      </c>
      <c r="C60" s="495">
        <f>IF(D11="","-",+C59+1)</f>
        <v>2058</v>
      </c>
      <c r="D60" s="508">
        <f>IF(F59+SUM(E$17:E59)=D$10,F59,D$10-SUM(E$17:E59))</f>
        <v>0</v>
      </c>
      <c r="E60" s="509">
        <f t="shared" si="14"/>
        <v>0</v>
      </c>
      <c r="F60" s="510">
        <f t="shared" si="15"/>
        <v>0</v>
      </c>
      <c r="G60" s="511">
        <f t="shared" si="16"/>
        <v>0</v>
      </c>
      <c r="H60" s="477">
        <f t="shared" si="17"/>
        <v>0</v>
      </c>
      <c r="I60" s="500">
        <f t="shared" si="6"/>
        <v>0</v>
      </c>
      <c r="J60" s="500"/>
      <c r="K60" s="512"/>
      <c r="L60" s="504">
        <f t="shared" si="13"/>
        <v>0</v>
      </c>
      <c r="M60" s="512"/>
      <c r="N60" s="504">
        <f t="shared" si="4"/>
        <v>0</v>
      </c>
      <c r="O60" s="504">
        <f t="shared" si="5"/>
        <v>0</v>
      </c>
      <c r="P60" s="278"/>
      <c r="R60" s="243"/>
      <c r="S60" s="243"/>
      <c r="T60" s="243"/>
      <c r="U60" s="243"/>
    </row>
    <row r="61" spans="2:21">
      <c r="B61" s="145" t="str">
        <f>IF(D61=F60,"","IU")</f>
        <v/>
      </c>
      <c r="C61" s="495">
        <f>IF(D11="","-",+C60+1)</f>
        <v>2059</v>
      </c>
      <c r="D61" s="508">
        <f>IF(F60+SUM(E$17:E60)=D$10,F60,D$10-SUM(E$17:E60))</f>
        <v>0</v>
      </c>
      <c r="E61" s="509">
        <f t="shared" si="14"/>
        <v>0</v>
      </c>
      <c r="F61" s="510">
        <f t="shared" si="15"/>
        <v>0</v>
      </c>
      <c r="G61" s="511">
        <f t="shared" si="16"/>
        <v>0</v>
      </c>
      <c r="H61" s="477">
        <f t="shared" si="17"/>
        <v>0</v>
      </c>
      <c r="I61" s="500">
        <f t="shared" si="6"/>
        <v>0</v>
      </c>
      <c r="J61" s="500"/>
      <c r="K61" s="512"/>
      <c r="L61" s="504">
        <f t="shared" si="13"/>
        <v>0</v>
      </c>
      <c r="M61" s="512"/>
      <c r="N61" s="504">
        <f t="shared" si="4"/>
        <v>0</v>
      </c>
      <c r="O61" s="504">
        <f t="shared" si="5"/>
        <v>0</v>
      </c>
      <c r="P61" s="278"/>
      <c r="R61" s="243"/>
      <c r="S61" s="243"/>
      <c r="T61" s="243"/>
      <c r="U61" s="243"/>
    </row>
    <row r="62" spans="2:21">
      <c r="B62" s="145" t="str">
        <f t="shared" si="0"/>
        <v/>
      </c>
      <c r="C62" s="495">
        <f>IF(D11="","-",+C61+1)</f>
        <v>2060</v>
      </c>
      <c r="D62" s="508">
        <f>IF(F61+SUM(E$17:E61)=D$10,F61,D$10-SUM(E$17:E61))</f>
        <v>0</v>
      </c>
      <c r="E62" s="509">
        <f t="shared" si="14"/>
        <v>0</v>
      </c>
      <c r="F62" s="510">
        <f t="shared" si="15"/>
        <v>0</v>
      </c>
      <c r="G62" s="511">
        <f t="shared" si="16"/>
        <v>0</v>
      </c>
      <c r="H62" s="477">
        <f t="shared" si="17"/>
        <v>0</v>
      </c>
      <c r="I62" s="500">
        <f t="shared" si="6"/>
        <v>0</v>
      </c>
      <c r="J62" s="500"/>
      <c r="K62" s="512"/>
      <c r="L62" s="504">
        <f t="shared" si="13"/>
        <v>0</v>
      </c>
      <c r="M62" s="512"/>
      <c r="N62" s="504">
        <f t="shared" si="4"/>
        <v>0</v>
      </c>
      <c r="O62" s="504">
        <f t="shared" si="5"/>
        <v>0</v>
      </c>
      <c r="P62" s="278"/>
      <c r="R62" s="243"/>
      <c r="S62" s="243"/>
      <c r="T62" s="243"/>
      <c r="U62" s="243"/>
    </row>
    <row r="63" spans="2:21">
      <c r="B63" s="145" t="str">
        <f t="shared" si="0"/>
        <v/>
      </c>
      <c r="C63" s="495">
        <f>IF(D11="","-",+C62+1)</f>
        <v>2061</v>
      </c>
      <c r="D63" s="508">
        <f>IF(F62+SUM(E$17:E62)=D$10,F62,D$10-SUM(E$17:E62))</f>
        <v>0</v>
      </c>
      <c r="E63" s="509">
        <f t="shared" si="14"/>
        <v>0</v>
      </c>
      <c r="F63" s="510">
        <f t="shared" si="15"/>
        <v>0</v>
      </c>
      <c r="G63" s="511">
        <f t="shared" si="16"/>
        <v>0</v>
      </c>
      <c r="H63" s="477">
        <f t="shared" si="17"/>
        <v>0</v>
      </c>
      <c r="I63" s="500">
        <f t="shared" si="6"/>
        <v>0</v>
      </c>
      <c r="J63" s="500"/>
      <c r="K63" s="512"/>
      <c r="L63" s="504">
        <f t="shared" si="13"/>
        <v>0</v>
      </c>
      <c r="M63" s="512"/>
      <c r="N63" s="504">
        <f t="shared" si="4"/>
        <v>0</v>
      </c>
      <c r="O63" s="504">
        <f t="shared" si="5"/>
        <v>0</v>
      </c>
      <c r="P63" s="278"/>
      <c r="R63" s="243"/>
      <c r="S63" s="243"/>
      <c r="T63" s="243"/>
      <c r="U63" s="243"/>
    </row>
    <row r="64" spans="2:21">
      <c r="B64" s="145" t="str">
        <f t="shared" si="0"/>
        <v/>
      </c>
      <c r="C64" s="495">
        <f>IF(D11="","-",+C63+1)</f>
        <v>2062</v>
      </c>
      <c r="D64" s="508">
        <f>IF(F63+SUM(E$17:E63)=D$10,F63,D$10-SUM(E$17:E63))</f>
        <v>0</v>
      </c>
      <c r="E64" s="509">
        <f t="shared" si="14"/>
        <v>0</v>
      </c>
      <c r="F64" s="510">
        <f t="shared" si="15"/>
        <v>0</v>
      </c>
      <c r="G64" s="511">
        <f t="shared" si="16"/>
        <v>0</v>
      </c>
      <c r="H64" s="477">
        <f t="shared" si="17"/>
        <v>0</v>
      </c>
      <c r="I64" s="500">
        <f t="shared" si="6"/>
        <v>0</v>
      </c>
      <c r="J64" s="500"/>
      <c r="K64" s="512"/>
      <c r="L64" s="504">
        <f t="shared" si="13"/>
        <v>0</v>
      </c>
      <c r="M64" s="512"/>
      <c r="N64" s="504">
        <f t="shared" si="4"/>
        <v>0</v>
      </c>
      <c r="O64" s="504">
        <f t="shared" si="5"/>
        <v>0</v>
      </c>
      <c r="P64" s="278"/>
      <c r="R64" s="243"/>
      <c r="S64" s="243"/>
      <c r="T64" s="243"/>
      <c r="U64" s="243"/>
    </row>
    <row r="65" spans="2:21">
      <c r="B65" s="145" t="str">
        <f t="shared" si="0"/>
        <v/>
      </c>
      <c r="C65" s="495">
        <f>IF(D11="","-",+C64+1)</f>
        <v>2063</v>
      </c>
      <c r="D65" s="508">
        <f>IF(F64+SUM(E$17:E64)=D$10,F64,D$10-SUM(E$17:E64))</f>
        <v>0</v>
      </c>
      <c r="E65" s="509">
        <f t="shared" si="14"/>
        <v>0</v>
      </c>
      <c r="F65" s="510">
        <f t="shared" si="15"/>
        <v>0</v>
      </c>
      <c r="G65" s="511">
        <f t="shared" si="16"/>
        <v>0</v>
      </c>
      <c r="H65" s="477">
        <f t="shared" si="17"/>
        <v>0</v>
      </c>
      <c r="I65" s="500">
        <f t="shared" si="6"/>
        <v>0</v>
      </c>
      <c r="J65" s="500"/>
      <c r="K65" s="512"/>
      <c r="L65" s="504">
        <f t="shared" si="13"/>
        <v>0</v>
      </c>
      <c r="M65" s="512"/>
      <c r="N65" s="504">
        <f t="shared" si="4"/>
        <v>0</v>
      </c>
      <c r="O65" s="504">
        <f t="shared" si="5"/>
        <v>0</v>
      </c>
      <c r="P65" s="278"/>
      <c r="R65" s="243"/>
      <c r="S65" s="243"/>
      <c r="T65" s="243"/>
      <c r="U65" s="243"/>
    </row>
    <row r="66" spans="2:21">
      <c r="B66" s="145" t="str">
        <f t="shared" si="0"/>
        <v/>
      </c>
      <c r="C66" s="495">
        <f>IF(D11="","-",+C65+1)</f>
        <v>2064</v>
      </c>
      <c r="D66" s="508">
        <f>IF(F65+SUM(E$17:E65)=D$10,F65,D$10-SUM(E$17:E65))</f>
        <v>0</v>
      </c>
      <c r="E66" s="509">
        <f t="shared" si="14"/>
        <v>0</v>
      </c>
      <c r="F66" s="510">
        <f t="shared" si="15"/>
        <v>0</v>
      </c>
      <c r="G66" s="511">
        <f t="shared" si="16"/>
        <v>0</v>
      </c>
      <c r="H66" s="477">
        <f t="shared" si="17"/>
        <v>0</v>
      </c>
      <c r="I66" s="500">
        <f t="shared" si="6"/>
        <v>0</v>
      </c>
      <c r="J66" s="500"/>
      <c r="K66" s="512"/>
      <c r="L66" s="504">
        <f t="shared" si="13"/>
        <v>0</v>
      </c>
      <c r="M66" s="512"/>
      <c r="N66" s="504">
        <f t="shared" si="4"/>
        <v>0</v>
      </c>
      <c r="O66" s="504">
        <f t="shared" si="5"/>
        <v>0</v>
      </c>
      <c r="P66" s="278"/>
      <c r="R66" s="243"/>
      <c r="S66" s="243"/>
      <c r="T66" s="243"/>
      <c r="U66" s="243"/>
    </row>
    <row r="67" spans="2:21">
      <c r="B67" s="145" t="str">
        <f t="shared" si="0"/>
        <v/>
      </c>
      <c r="C67" s="495">
        <f>IF(D11="","-",+C66+1)</f>
        <v>2065</v>
      </c>
      <c r="D67" s="508">
        <f>IF(F66+SUM(E$17:E66)=D$10,F66,D$10-SUM(E$17:E66))</f>
        <v>0</v>
      </c>
      <c r="E67" s="509">
        <f t="shared" si="14"/>
        <v>0</v>
      </c>
      <c r="F67" s="510">
        <f t="shared" si="15"/>
        <v>0</v>
      </c>
      <c r="G67" s="511">
        <f t="shared" si="16"/>
        <v>0</v>
      </c>
      <c r="H67" s="477">
        <f t="shared" si="17"/>
        <v>0</v>
      </c>
      <c r="I67" s="500">
        <f t="shared" si="6"/>
        <v>0</v>
      </c>
      <c r="J67" s="500"/>
      <c r="K67" s="512"/>
      <c r="L67" s="504">
        <f t="shared" si="13"/>
        <v>0</v>
      </c>
      <c r="M67" s="512"/>
      <c r="N67" s="504">
        <f t="shared" si="4"/>
        <v>0</v>
      </c>
      <c r="O67" s="504">
        <f t="shared" si="5"/>
        <v>0</v>
      </c>
      <c r="P67" s="278"/>
      <c r="R67" s="243"/>
      <c r="S67" s="243"/>
      <c r="T67" s="243"/>
      <c r="U67" s="243"/>
    </row>
    <row r="68" spans="2:21">
      <c r="B68" s="145" t="str">
        <f t="shared" si="0"/>
        <v/>
      </c>
      <c r="C68" s="495">
        <f>IF(D11="","-",+C67+1)</f>
        <v>2066</v>
      </c>
      <c r="D68" s="508">
        <f>IF(F67+SUM(E$17:E67)=D$10,F67,D$10-SUM(E$17:E67))</f>
        <v>0</v>
      </c>
      <c r="E68" s="509">
        <f t="shared" si="14"/>
        <v>0</v>
      </c>
      <c r="F68" s="510">
        <f t="shared" si="15"/>
        <v>0</v>
      </c>
      <c r="G68" s="511">
        <f t="shared" si="16"/>
        <v>0</v>
      </c>
      <c r="H68" s="477">
        <f t="shared" si="17"/>
        <v>0</v>
      </c>
      <c r="I68" s="500">
        <f t="shared" si="6"/>
        <v>0</v>
      </c>
      <c r="J68" s="500"/>
      <c r="K68" s="512"/>
      <c r="L68" s="504">
        <f t="shared" si="13"/>
        <v>0</v>
      </c>
      <c r="M68" s="512"/>
      <c r="N68" s="504">
        <f t="shared" si="4"/>
        <v>0</v>
      </c>
      <c r="O68" s="504">
        <f t="shared" si="5"/>
        <v>0</v>
      </c>
      <c r="P68" s="278"/>
      <c r="R68" s="243"/>
      <c r="S68" s="243"/>
      <c r="T68" s="243"/>
      <c r="U68" s="243"/>
    </row>
    <row r="69" spans="2:21">
      <c r="B69" s="145" t="str">
        <f t="shared" si="0"/>
        <v/>
      </c>
      <c r="C69" s="495">
        <f>IF(D11="","-",+C68+1)</f>
        <v>2067</v>
      </c>
      <c r="D69" s="508">
        <f>IF(F68+SUM(E$17:E68)=D$10,F68,D$10-SUM(E$17:E68))</f>
        <v>0</v>
      </c>
      <c r="E69" s="509">
        <f t="shared" si="14"/>
        <v>0</v>
      </c>
      <c r="F69" s="510">
        <f t="shared" si="15"/>
        <v>0</v>
      </c>
      <c r="G69" s="511">
        <f t="shared" si="16"/>
        <v>0</v>
      </c>
      <c r="H69" s="477">
        <f t="shared" si="17"/>
        <v>0</v>
      </c>
      <c r="I69" s="500">
        <f t="shared" si="6"/>
        <v>0</v>
      </c>
      <c r="J69" s="500"/>
      <c r="K69" s="512"/>
      <c r="L69" s="504">
        <f t="shared" si="13"/>
        <v>0</v>
      </c>
      <c r="M69" s="512"/>
      <c r="N69" s="504">
        <f t="shared" si="4"/>
        <v>0</v>
      </c>
      <c r="O69" s="504">
        <f t="shared" si="5"/>
        <v>0</v>
      </c>
      <c r="P69" s="278"/>
      <c r="R69" s="243"/>
      <c r="S69" s="243"/>
      <c r="T69" s="243"/>
      <c r="U69" s="243"/>
    </row>
    <row r="70" spans="2:21">
      <c r="B70" s="145" t="str">
        <f t="shared" si="0"/>
        <v/>
      </c>
      <c r="C70" s="495">
        <f>IF(D11="","-",+C69+1)</f>
        <v>2068</v>
      </c>
      <c r="D70" s="508">
        <f>IF(F69+SUM(E$17:E69)=D$10,F69,D$10-SUM(E$17:E69))</f>
        <v>0</v>
      </c>
      <c r="E70" s="509">
        <f t="shared" si="14"/>
        <v>0</v>
      </c>
      <c r="F70" s="510">
        <f t="shared" si="15"/>
        <v>0</v>
      </c>
      <c r="G70" s="511">
        <f t="shared" si="16"/>
        <v>0</v>
      </c>
      <c r="H70" s="477">
        <f t="shared" si="17"/>
        <v>0</v>
      </c>
      <c r="I70" s="500">
        <f t="shared" si="6"/>
        <v>0</v>
      </c>
      <c r="J70" s="500"/>
      <c r="K70" s="512"/>
      <c r="L70" s="504">
        <f t="shared" si="13"/>
        <v>0</v>
      </c>
      <c r="M70" s="512"/>
      <c r="N70" s="504">
        <f t="shared" si="4"/>
        <v>0</v>
      </c>
      <c r="O70" s="504">
        <f t="shared" si="5"/>
        <v>0</v>
      </c>
      <c r="P70" s="278"/>
      <c r="R70" s="243"/>
      <c r="S70" s="243"/>
      <c r="T70" s="243"/>
      <c r="U70" s="243"/>
    </row>
    <row r="71" spans="2:21">
      <c r="B71" s="145" t="str">
        <f t="shared" si="0"/>
        <v/>
      </c>
      <c r="C71" s="495">
        <f>IF(D11="","-",+C70+1)</f>
        <v>2069</v>
      </c>
      <c r="D71" s="508">
        <f>IF(F70+SUM(E$17:E70)=D$10,F70,D$10-SUM(E$17:E70))</f>
        <v>0</v>
      </c>
      <c r="E71" s="509">
        <f t="shared" si="14"/>
        <v>0</v>
      </c>
      <c r="F71" s="510">
        <f t="shared" si="15"/>
        <v>0</v>
      </c>
      <c r="G71" s="511">
        <f t="shared" si="16"/>
        <v>0</v>
      </c>
      <c r="H71" s="477">
        <f t="shared" si="17"/>
        <v>0</v>
      </c>
      <c r="I71" s="500">
        <f t="shared" si="6"/>
        <v>0</v>
      </c>
      <c r="J71" s="500"/>
      <c r="K71" s="512"/>
      <c r="L71" s="504">
        <f t="shared" si="13"/>
        <v>0</v>
      </c>
      <c r="M71" s="512"/>
      <c r="N71" s="504">
        <f t="shared" si="4"/>
        <v>0</v>
      </c>
      <c r="O71" s="504">
        <f t="shared" si="5"/>
        <v>0</v>
      </c>
      <c r="P71" s="278"/>
      <c r="R71" s="243"/>
      <c r="S71" s="243"/>
      <c r="T71" s="243"/>
      <c r="U71" s="243"/>
    </row>
    <row r="72" spans="2:21">
      <c r="B72" s="145" t="str">
        <f t="shared" si="0"/>
        <v/>
      </c>
      <c r="C72" s="495">
        <f>IF(D11="","-",+C71+1)</f>
        <v>2070</v>
      </c>
      <c r="D72" s="508">
        <f>IF(F71+SUM(E$17:E71)=D$10,F71,D$10-SUM(E$17:E71))</f>
        <v>0</v>
      </c>
      <c r="E72" s="509">
        <f t="shared" si="14"/>
        <v>0</v>
      </c>
      <c r="F72" s="510">
        <f t="shared" si="15"/>
        <v>0</v>
      </c>
      <c r="G72" s="511">
        <f t="shared" si="16"/>
        <v>0</v>
      </c>
      <c r="H72" s="477">
        <f t="shared" si="17"/>
        <v>0</v>
      </c>
      <c r="I72" s="500">
        <f t="shared" si="6"/>
        <v>0</v>
      </c>
      <c r="J72" s="500"/>
      <c r="K72" s="512"/>
      <c r="L72" s="504">
        <f t="shared" si="13"/>
        <v>0</v>
      </c>
      <c r="M72" s="512"/>
      <c r="N72" s="504">
        <f t="shared" si="4"/>
        <v>0</v>
      </c>
      <c r="O72" s="504">
        <f t="shared" si="5"/>
        <v>0</v>
      </c>
      <c r="P72" s="278"/>
      <c r="R72" s="243"/>
      <c r="S72" s="243"/>
      <c r="T72" s="243"/>
      <c r="U72" s="243"/>
    </row>
    <row r="73" spans="2:21" ht="13.5" thickBot="1">
      <c r="B73" s="145" t="str">
        <f t="shared" si="0"/>
        <v/>
      </c>
      <c r="C73" s="524">
        <f>IF(D11="","-",+C72+1)</f>
        <v>2071</v>
      </c>
      <c r="D73" s="508">
        <f>IF(F72+SUM(E$17:E72)=D$10,F72,D$10-SUM(E$17:E72))</f>
        <v>0</v>
      </c>
      <c r="E73" s="509">
        <f t="shared" si="14"/>
        <v>0</v>
      </c>
      <c r="F73" s="510">
        <f t="shared" si="15"/>
        <v>0</v>
      </c>
      <c r="G73" s="511">
        <f t="shared" si="16"/>
        <v>0</v>
      </c>
      <c r="H73" s="477">
        <f t="shared" si="17"/>
        <v>0</v>
      </c>
      <c r="I73" s="500">
        <f t="shared" si="6"/>
        <v>0</v>
      </c>
      <c r="J73" s="500"/>
      <c r="K73" s="530"/>
      <c r="L73" s="531">
        <f t="shared" si="13"/>
        <v>0</v>
      </c>
      <c r="M73" s="530"/>
      <c r="N73" s="531">
        <f t="shared" si="4"/>
        <v>0</v>
      </c>
      <c r="O73" s="531">
        <f t="shared" si="5"/>
        <v>0</v>
      </c>
      <c r="P73" s="278"/>
      <c r="R73" s="243"/>
      <c r="S73" s="243"/>
      <c r="T73" s="243"/>
      <c r="U73" s="243"/>
    </row>
    <row r="74" spans="2:21">
      <c r="C74" s="349" t="s">
        <v>75</v>
      </c>
      <c r="D74" s="294"/>
      <c r="E74" s="294">
        <f>SUM(E17:E73)</f>
        <v>8535104</v>
      </c>
      <c r="F74" s="294"/>
      <c r="G74" s="294">
        <f>SUM(G17:G73)</f>
        <v>24593764.382554296</v>
      </c>
      <c r="H74" s="294">
        <f>SUM(H17:H73)</f>
        <v>24593764.382554296</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9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1061489.8962062567</v>
      </c>
      <c r="N88" s="544">
        <f>IF(J93&lt;D11,0,VLOOKUP(J93,C17:O73,11))</f>
        <v>1061489.8962062567</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1179196.7813973147</v>
      </c>
      <c r="N89" s="548">
        <f>IF(J93&lt;D11,0,VLOOKUP(J93,C100:P155,7))</f>
        <v>1179196.7813973147</v>
      </c>
      <c r="O89" s="549">
        <f>+N89-M89</f>
        <v>0</v>
      </c>
      <c r="P89" s="243"/>
      <c r="Q89" s="243"/>
      <c r="R89" s="243"/>
      <c r="S89" s="243"/>
      <c r="T89" s="243"/>
      <c r="U89" s="243"/>
    </row>
    <row r="90" spans="1:21" ht="13.5" thickBot="1">
      <c r="C90" s="454" t="s">
        <v>82</v>
      </c>
      <c r="D90" s="550" t="str">
        <f>+D7</f>
        <v>Prattville-Bluebell 138 kV</v>
      </c>
      <c r="E90" s="243"/>
      <c r="F90" s="243"/>
      <c r="G90" s="243"/>
      <c r="H90" s="243"/>
      <c r="I90" s="325"/>
      <c r="J90" s="325"/>
      <c r="K90" s="551"/>
      <c r="L90" s="552" t="s">
        <v>135</v>
      </c>
      <c r="M90" s="553">
        <f>+M89-M88</f>
        <v>117706.88519105804</v>
      </c>
      <c r="N90" s="553">
        <f>+N89-N88</f>
        <v>117706.88519105804</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621" t="str">
        <f>+D9</f>
        <v>TP2010094</v>
      </c>
      <c r="E92" s="558"/>
      <c r="F92" s="558"/>
      <c r="G92" s="558"/>
      <c r="H92" s="558"/>
      <c r="I92" s="558"/>
      <c r="J92" s="558"/>
      <c r="K92" s="560"/>
      <c r="P92" s="468"/>
      <c r="Q92" s="243"/>
      <c r="R92" s="243"/>
      <c r="S92" s="243"/>
      <c r="T92" s="243"/>
      <c r="U92" s="243"/>
    </row>
    <row r="93" spans="1:21">
      <c r="C93" s="472" t="s">
        <v>49</v>
      </c>
      <c r="D93" s="622">
        <f>+D10</f>
        <v>8535104</v>
      </c>
      <c r="E93" s="248" t="s">
        <v>84</v>
      </c>
      <c r="H93" s="408"/>
      <c r="I93" s="408"/>
      <c r="J93" s="471">
        <f>+'OKT.WS.G.BPU.ATRR.True-up'!M16</f>
        <v>2021</v>
      </c>
      <c r="K93" s="467"/>
      <c r="L93" s="294" t="s">
        <v>85</v>
      </c>
      <c r="P93" s="278"/>
      <c r="Q93" s="243"/>
      <c r="R93" s="243"/>
      <c r="S93" s="243"/>
      <c r="T93" s="243"/>
      <c r="U93" s="243"/>
    </row>
    <row r="94" spans="1:21">
      <c r="C94" s="472" t="s">
        <v>52</v>
      </c>
      <c r="D94" s="561">
        <f>IF(D11=I10,"",D11)</f>
        <v>2015</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6</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341404.15999999997</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55" si="20">IF(D100=F99,"","IU")</f>
        <v>IU</v>
      </c>
      <c r="C100" s="495">
        <f>IF(D94= "","-",D94)</f>
        <v>2015</v>
      </c>
      <c r="D100" s="612">
        <v>0</v>
      </c>
      <c r="E100" s="613">
        <v>102447.91666666666</v>
      </c>
      <c r="F100" s="614">
        <v>8327552.083333333</v>
      </c>
      <c r="G100" s="615">
        <v>4163776.0416666665</v>
      </c>
      <c r="H100" s="615">
        <v>565998.7241739725</v>
      </c>
      <c r="I100" s="615">
        <v>565998.7241739725</v>
      </c>
      <c r="J100" s="504">
        <v>0</v>
      </c>
      <c r="K100" s="504"/>
      <c r="L100" s="506">
        <f t="shared" ref="L100:L105" si="21">H100</f>
        <v>565998.7241739725</v>
      </c>
      <c r="M100" s="504">
        <f t="shared" ref="M100:M105" si="22">IF(L100&lt;&gt;0,+H100-L100,0)</f>
        <v>0</v>
      </c>
      <c r="N100" s="506">
        <f t="shared" ref="N100:N105" si="23">I100</f>
        <v>565998.7241739725</v>
      </c>
      <c r="O100" s="503">
        <f t="shared" ref="O100:O131" si="24">IF(N100&lt;&gt;0,+I100-N100,0)</f>
        <v>0</v>
      </c>
      <c r="P100" s="503">
        <f t="shared" ref="P100:P131" si="25">+O100-M100</f>
        <v>0</v>
      </c>
      <c r="Q100" s="243"/>
      <c r="R100" s="243"/>
      <c r="S100" s="243"/>
      <c r="T100" s="243"/>
      <c r="U100" s="243"/>
    </row>
    <row r="101" spans="1:21">
      <c r="B101" s="145" t="str">
        <f t="shared" si="20"/>
        <v>IU</v>
      </c>
      <c r="C101" s="495">
        <f>IF(D94="","-",+C100+1)</f>
        <v>2016</v>
      </c>
      <c r="D101" s="505">
        <v>8432656.083333334</v>
      </c>
      <c r="E101" s="498">
        <v>167354.98039215687</v>
      </c>
      <c r="F101" s="505">
        <v>8265301.1029411769</v>
      </c>
      <c r="G101" s="498">
        <v>8348978.5931372549</v>
      </c>
      <c r="H101" s="499">
        <v>1072129.2771965233</v>
      </c>
      <c r="I101" s="499">
        <v>1072129.2771965233</v>
      </c>
      <c r="J101" s="504">
        <f t="shared" ref="J101:J131" si="26">+I101-H101</f>
        <v>0</v>
      </c>
      <c r="K101" s="504"/>
      <c r="L101" s="506">
        <f t="shared" si="21"/>
        <v>1072129.2771965233</v>
      </c>
      <c r="M101" s="504">
        <f t="shared" si="22"/>
        <v>0</v>
      </c>
      <c r="N101" s="589">
        <f t="shared" si="23"/>
        <v>1072129.2771965233</v>
      </c>
      <c r="O101" s="589">
        <f>IF(N101&lt;&gt;0,+I101-N101,0)</f>
        <v>0</v>
      </c>
      <c r="P101" s="504">
        <f>+O101-M101</f>
        <v>0</v>
      </c>
      <c r="Q101" s="243"/>
      <c r="R101" s="243"/>
      <c r="S101" s="243"/>
      <c r="T101" s="243"/>
      <c r="U101" s="243"/>
    </row>
    <row r="102" spans="1:21">
      <c r="B102" s="145" t="str">
        <f t="shared" si="20"/>
        <v/>
      </c>
      <c r="C102" s="495">
        <f>IF(D94="","-",+C101+1)</f>
        <v>2017</v>
      </c>
      <c r="D102" s="505">
        <v>8265301.1029411769</v>
      </c>
      <c r="E102" s="498">
        <v>213377.6</v>
      </c>
      <c r="F102" s="505">
        <v>8051923.5029411772</v>
      </c>
      <c r="G102" s="498">
        <v>8158612.302941177</v>
      </c>
      <c r="H102" s="499">
        <v>1170675.4253324734</v>
      </c>
      <c r="I102" s="499">
        <v>1170675.4253324734</v>
      </c>
      <c r="J102" s="504">
        <f t="shared" si="26"/>
        <v>0</v>
      </c>
      <c r="K102" s="504"/>
      <c r="L102" s="506">
        <f t="shared" si="21"/>
        <v>1170675.4253324734</v>
      </c>
      <c r="M102" s="504">
        <f t="shared" si="22"/>
        <v>0</v>
      </c>
      <c r="N102" s="589">
        <f t="shared" si="23"/>
        <v>1170675.4253324734</v>
      </c>
      <c r="O102" s="589">
        <f>IF(N102&lt;&gt;0,+I102-N102,0)</f>
        <v>0</v>
      </c>
      <c r="P102" s="504">
        <f>+O102-M102</f>
        <v>0</v>
      </c>
      <c r="Q102" s="243"/>
      <c r="R102" s="243"/>
      <c r="S102" s="243"/>
      <c r="T102" s="243"/>
      <c r="U102" s="243"/>
    </row>
    <row r="103" spans="1:21">
      <c r="B103" s="145" t="str">
        <f t="shared" si="20"/>
        <v/>
      </c>
      <c r="C103" s="495">
        <f>IF(D94="","-",+C102+1)</f>
        <v>2018</v>
      </c>
      <c r="D103" s="505">
        <v>8051923.5029411772</v>
      </c>
      <c r="E103" s="498">
        <v>237086.22222222222</v>
      </c>
      <c r="F103" s="505">
        <v>7814837.2807189552</v>
      </c>
      <c r="G103" s="498">
        <v>7933380.3918300662</v>
      </c>
      <c r="H103" s="499">
        <v>1074553.2860184449</v>
      </c>
      <c r="I103" s="499">
        <v>1074553.2860184449</v>
      </c>
      <c r="J103" s="504">
        <f t="shared" si="26"/>
        <v>0</v>
      </c>
      <c r="K103" s="504"/>
      <c r="L103" s="506">
        <f t="shared" si="21"/>
        <v>1074553.2860184449</v>
      </c>
      <c r="M103" s="504">
        <f t="shared" si="22"/>
        <v>0</v>
      </c>
      <c r="N103" s="589">
        <f t="shared" si="23"/>
        <v>1074553.2860184449</v>
      </c>
      <c r="O103" s="589">
        <f>IF(N103&lt;&gt;0,+I103-N103,0)</f>
        <v>0</v>
      </c>
      <c r="P103" s="504">
        <f>+O103-M103</f>
        <v>0</v>
      </c>
      <c r="Q103" s="243"/>
      <c r="R103" s="243"/>
      <c r="S103" s="243"/>
      <c r="T103" s="243"/>
      <c r="U103" s="243"/>
    </row>
    <row r="104" spans="1:21">
      <c r="B104" s="145" t="str">
        <f t="shared" si="20"/>
        <v/>
      </c>
      <c r="C104" s="495">
        <f>IF(D94="","-",+C103+1)</f>
        <v>2019</v>
      </c>
      <c r="D104" s="505">
        <v>7814837.2807189552</v>
      </c>
      <c r="E104" s="498">
        <v>237086.22222222222</v>
      </c>
      <c r="F104" s="505">
        <v>7577751.0584967332</v>
      </c>
      <c r="G104" s="498">
        <v>7696294.1696078442</v>
      </c>
      <c r="H104" s="499">
        <v>1049525.8837530178</v>
      </c>
      <c r="I104" s="499">
        <v>1049525.8837530178</v>
      </c>
      <c r="J104" s="504">
        <f t="shared" si="26"/>
        <v>0</v>
      </c>
      <c r="K104" s="504"/>
      <c r="L104" s="506">
        <f t="shared" si="21"/>
        <v>1049525.8837530178</v>
      </c>
      <c r="M104" s="504">
        <f t="shared" si="22"/>
        <v>0</v>
      </c>
      <c r="N104" s="589">
        <f t="shared" si="23"/>
        <v>1049525.8837530178</v>
      </c>
      <c r="O104" s="504">
        <f t="shared" si="24"/>
        <v>0</v>
      </c>
      <c r="P104" s="504">
        <f t="shared" si="25"/>
        <v>0</v>
      </c>
      <c r="Q104" s="243"/>
      <c r="R104" s="243"/>
      <c r="S104" s="243"/>
      <c r="T104" s="243"/>
      <c r="U104" s="243"/>
    </row>
    <row r="105" spans="1:21">
      <c r="B105" s="145" t="str">
        <f t="shared" si="20"/>
        <v/>
      </c>
      <c r="C105" s="495">
        <f>IF(D94="","-",+C104+1)</f>
        <v>2020</v>
      </c>
      <c r="D105" s="505">
        <v>7577751.0584967332</v>
      </c>
      <c r="E105" s="498">
        <v>304825.14285714284</v>
      </c>
      <c r="F105" s="505">
        <v>7272925.9156395905</v>
      </c>
      <c r="G105" s="498">
        <v>7425338.4870681614</v>
      </c>
      <c r="H105" s="499">
        <v>1094981.3923049036</v>
      </c>
      <c r="I105" s="499">
        <v>1094981.3923049036</v>
      </c>
      <c r="J105" s="504">
        <f t="shared" si="26"/>
        <v>0</v>
      </c>
      <c r="K105" s="504"/>
      <c r="L105" s="506">
        <f t="shared" si="21"/>
        <v>1094981.3923049036</v>
      </c>
      <c r="M105" s="504">
        <f t="shared" si="22"/>
        <v>0</v>
      </c>
      <c r="N105" s="589">
        <f t="shared" si="23"/>
        <v>1094981.3923049036</v>
      </c>
      <c r="O105" s="504">
        <f t="shared" si="24"/>
        <v>0</v>
      </c>
      <c r="P105" s="504">
        <f t="shared" si="25"/>
        <v>0</v>
      </c>
      <c r="Q105" s="243"/>
      <c r="R105" s="243"/>
      <c r="S105" s="243"/>
      <c r="T105" s="243"/>
      <c r="U105" s="243"/>
    </row>
    <row r="106" spans="1:21">
      <c r="B106" s="145" t="str">
        <f t="shared" si="20"/>
        <v/>
      </c>
      <c r="C106" s="495">
        <f>IF(D94="","-",+C105+1)</f>
        <v>2021</v>
      </c>
      <c r="D106" s="349">
        <f>IF(F105+SUM(E$100:E105)=D$93,F105,D$93-SUM(E$100:E105))</f>
        <v>7272925.9156395905</v>
      </c>
      <c r="E106" s="509">
        <f>IF(+J97&lt;F105,J97,D106)</f>
        <v>341404.15999999997</v>
      </c>
      <c r="F106" s="510">
        <f t="shared" ref="F106:F155" si="27">+D106-E106</f>
        <v>6931521.7556395903</v>
      </c>
      <c r="G106" s="510">
        <f t="shared" ref="G106:G155" si="28">+(F106+D106)/2</f>
        <v>7102223.8356395904</v>
      </c>
      <c r="H106" s="523">
        <f t="shared" ref="H106:H155" si="29">+J$95*G106+E106</f>
        <v>1179196.7813973147</v>
      </c>
      <c r="I106" s="572">
        <f t="shared" ref="I106:I155" si="30">+J$96*G106+E106</f>
        <v>1179196.7813973147</v>
      </c>
      <c r="J106" s="504">
        <f t="shared" si="26"/>
        <v>0</v>
      </c>
      <c r="K106" s="504"/>
      <c r="L106" s="512"/>
      <c r="M106" s="504">
        <f t="shared" ref="M106:M131" si="31">IF(L106&lt;&gt;0,+H106-L106,0)</f>
        <v>0</v>
      </c>
      <c r="N106" s="512"/>
      <c r="O106" s="504">
        <f t="shared" si="24"/>
        <v>0</v>
      </c>
      <c r="P106" s="504">
        <f t="shared" si="25"/>
        <v>0</v>
      </c>
      <c r="Q106" s="243"/>
      <c r="R106" s="243"/>
      <c r="S106" s="243"/>
      <c r="T106" s="243"/>
      <c r="U106" s="243"/>
    </row>
    <row r="107" spans="1:21">
      <c r="B107" s="145" t="str">
        <f t="shared" si="20"/>
        <v/>
      </c>
      <c r="C107" s="495">
        <f>IF(D94="","-",+C106+1)</f>
        <v>2022</v>
      </c>
      <c r="D107" s="349">
        <f>IF(F106+SUM(E$100:E106)=D$93,F106,D$93-SUM(E$100:E106))</f>
        <v>6931521.7556395903</v>
      </c>
      <c r="E107" s="509">
        <f>IF(+J97&lt;F106,J97,D107)</f>
        <v>341404.15999999997</v>
      </c>
      <c r="F107" s="510">
        <f t="shared" si="27"/>
        <v>6590117.5956395902</v>
      </c>
      <c r="G107" s="510">
        <f t="shared" si="28"/>
        <v>6760819.6756395902</v>
      </c>
      <c r="H107" s="523">
        <f t="shared" si="29"/>
        <v>1138924.0593905759</v>
      </c>
      <c r="I107" s="572">
        <f t="shared" si="30"/>
        <v>1138924.0593905759</v>
      </c>
      <c r="J107" s="504">
        <f t="shared" si="26"/>
        <v>0</v>
      </c>
      <c r="K107" s="504"/>
      <c r="L107" s="512"/>
      <c r="M107" s="504">
        <f t="shared" si="31"/>
        <v>0</v>
      </c>
      <c r="N107" s="512"/>
      <c r="O107" s="504">
        <f t="shared" si="24"/>
        <v>0</v>
      </c>
      <c r="P107" s="504">
        <f t="shared" si="25"/>
        <v>0</v>
      </c>
      <c r="Q107" s="243"/>
      <c r="R107" s="243"/>
      <c r="S107" s="243"/>
      <c r="T107" s="243"/>
      <c r="U107" s="243"/>
    </row>
    <row r="108" spans="1:21">
      <c r="B108" s="145" t="str">
        <f t="shared" si="20"/>
        <v/>
      </c>
      <c r="C108" s="495">
        <f>IF(D94="","-",+C107+1)</f>
        <v>2023</v>
      </c>
      <c r="D108" s="349">
        <f>IF(F107+SUM(E$100:E107)=D$93,F107,D$93-SUM(E$100:E107))</f>
        <v>6590117.5956395902</v>
      </c>
      <c r="E108" s="509">
        <f>IF(+J97&lt;F107,J97,D108)</f>
        <v>341404.15999999997</v>
      </c>
      <c r="F108" s="510">
        <f t="shared" si="27"/>
        <v>6248713.43563959</v>
      </c>
      <c r="G108" s="510">
        <f t="shared" si="28"/>
        <v>6419415.5156395901</v>
      </c>
      <c r="H108" s="523">
        <f t="shared" si="29"/>
        <v>1098651.3373838367</v>
      </c>
      <c r="I108" s="572">
        <f t="shared" si="30"/>
        <v>1098651.3373838367</v>
      </c>
      <c r="J108" s="504">
        <f t="shared" si="26"/>
        <v>0</v>
      </c>
      <c r="K108" s="504"/>
      <c r="L108" s="512"/>
      <c r="M108" s="504">
        <f t="shared" si="31"/>
        <v>0</v>
      </c>
      <c r="N108" s="512"/>
      <c r="O108" s="504">
        <f t="shared" si="24"/>
        <v>0</v>
      </c>
      <c r="P108" s="504">
        <f t="shared" si="25"/>
        <v>0</v>
      </c>
      <c r="Q108" s="243"/>
      <c r="R108" s="243"/>
      <c r="S108" s="243"/>
      <c r="T108" s="243"/>
      <c r="U108" s="243"/>
    </row>
    <row r="109" spans="1:21">
      <c r="B109" s="145" t="str">
        <f t="shared" si="20"/>
        <v/>
      </c>
      <c r="C109" s="495">
        <f>IF(D94="","-",+C108+1)</f>
        <v>2024</v>
      </c>
      <c r="D109" s="349">
        <f>IF(F108+SUM(E$100:E108)=D$93,F108,D$93-SUM(E$100:E108))</f>
        <v>6248713.43563959</v>
      </c>
      <c r="E109" s="509">
        <f>IF(+J97&lt;F108,J97,D109)</f>
        <v>341404.15999999997</v>
      </c>
      <c r="F109" s="510">
        <f t="shared" si="27"/>
        <v>5907309.2756395899</v>
      </c>
      <c r="G109" s="510">
        <f t="shared" si="28"/>
        <v>6078011.35563959</v>
      </c>
      <c r="H109" s="523">
        <f t="shared" si="29"/>
        <v>1058378.6153770979</v>
      </c>
      <c r="I109" s="572">
        <f t="shared" si="30"/>
        <v>1058378.6153770979</v>
      </c>
      <c r="J109" s="504">
        <f t="shared" si="26"/>
        <v>0</v>
      </c>
      <c r="K109" s="504"/>
      <c r="L109" s="512"/>
      <c r="M109" s="504">
        <f t="shared" si="31"/>
        <v>0</v>
      </c>
      <c r="N109" s="512"/>
      <c r="O109" s="504">
        <f t="shared" si="24"/>
        <v>0</v>
      </c>
      <c r="P109" s="504">
        <f t="shared" si="25"/>
        <v>0</v>
      </c>
      <c r="Q109" s="243"/>
      <c r="R109" s="243"/>
      <c r="S109" s="243"/>
      <c r="T109" s="243"/>
      <c r="U109" s="243"/>
    </row>
    <row r="110" spans="1:21">
      <c r="B110" s="145" t="str">
        <f t="shared" si="20"/>
        <v/>
      </c>
      <c r="C110" s="495">
        <f>IF(D94="","-",+C109+1)</f>
        <v>2025</v>
      </c>
      <c r="D110" s="349">
        <f>IF(F109+SUM(E$100:E109)=D$93,F109,D$93-SUM(E$100:E109))</f>
        <v>5907309.2756395899</v>
      </c>
      <c r="E110" s="509">
        <f>IF(+J97&lt;F109,J97,D110)</f>
        <v>341404.15999999997</v>
      </c>
      <c r="F110" s="510">
        <f t="shared" si="27"/>
        <v>5565905.1156395897</v>
      </c>
      <c r="G110" s="510">
        <f t="shared" si="28"/>
        <v>5736607.1956395898</v>
      </c>
      <c r="H110" s="523">
        <f t="shared" si="29"/>
        <v>1018105.893370359</v>
      </c>
      <c r="I110" s="572">
        <f t="shared" si="30"/>
        <v>1018105.893370359</v>
      </c>
      <c r="J110" s="504">
        <f t="shared" si="26"/>
        <v>0</v>
      </c>
      <c r="K110" s="504"/>
      <c r="L110" s="512"/>
      <c r="M110" s="504">
        <f t="shared" si="31"/>
        <v>0</v>
      </c>
      <c r="N110" s="512"/>
      <c r="O110" s="504">
        <f t="shared" si="24"/>
        <v>0</v>
      </c>
      <c r="P110" s="504">
        <f t="shared" si="25"/>
        <v>0</v>
      </c>
      <c r="Q110" s="243"/>
      <c r="R110" s="243"/>
      <c r="S110" s="243"/>
      <c r="T110" s="243"/>
      <c r="U110" s="243"/>
    </row>
    <row r="111" spans="1:21">
      <c r="B111" s="145" t="str">
        <f t="shared" si="20"/>
        <v/>
      </c>
      <c r="C111" s="495">
        <f>IF(D94="","-",+C110+1)</f>
        <v>2026</v>
      </c>
      <c r="D111" s="349">
        <f>IF(F110+SUM(E$100:E110)=D$93,F110,D$93-SUM(E$100:E110))</f>
        <v>5565905.1156395897</v>
      </c>
      <c r="E111" s="509">
        <f>IF(+J97&lt;F110,J97,D111)</f>
        <v>341404.15999999997</v>
      </c>
      <c r="F111" s="510">
        <f t="shared" si="27"/>
        <v>5224500.9556395896</v>
      </c>
      <c r="G111" s="510">
        <f t="shared" si="28"/>
        <v>5395203.0356395897</v>
      </c>
      <c r="H111" s="523">
        <f t="shared" si="29"/>
        <v>977833.17136362009</v>
      </c>
      <c r="I111" s="572">
        <f t="shared" si="30"/>
        <v>977833.17136362009</v>
      </c>
      <c r="J111" s="504">
        <f t="shared" si="26"/>
        <v>0</v>
      </c>
      <c r="K111" s="504"/>
      <c r="L111" s="512"/>
      <c r="M111" s="504">
        <f t="shared" si="31"/>
        <v>0</v>
      </c>
      <c r="N111" s="512"/>
      <c r="O111" s="504">
        <f t="shared" si="24"/>
        <v>0</v>
      </c>
      <c r="P111" s="504">
        <f t="shared" si="25"/>
        <v>0</v>
      </c>
      <c r="Q111" s="243"/>
      <c r="R111" s="243"/>
      <c r="S111" s="243"/>
      <c r="T111" s="243"/>
      <c r="U111" s="243"/>
    </row>
    <row r="112" spans="1:21">
      <c r="B112" s="145" t="str">
        <f t="shared" si="20"/>
        <v/>
      </c>
      <c r="C112" s="495">
        <f>IF(D94="","-",+C111+1)</f>
        <v>2027</v>
      </c>
      <c r="D112" s="349">
        <f>IF(F111+SUM(E$100:E111)=D$93,F111,D$93-SUM(E$100:E111))</f>
        <v>5224500.9556395896</v>
      </c>
      <c r="E112" s="509">
        <f>IF(+J97&lt;F111,J97,D112)</f>
        <v>341404.15999999997</v>
      </c>
      <c r="F112" s="510">
        <f t="shared" si="27"/>
        <v>4883096.7956395894</v>
      </c>
      <c r="G112" s="510">
        <f t="shared" si="28"/>
        <v>5053798.8756395895</v>
      </c>
      <c r="H112" s="523">
        <f t="shared" si="29"/>
        <v>937560.44935688097</v>
      </c>
      <c r="I112" s="572">
        <f t="shared" si="30"/>
        <v>937560.44935688097</v>
      </c>
      <c r="J112" s="504">
        <f t="shared" si="26"/>
        <v>0</v>
      </c>
      <c r="K112" s="504"/>
      <c r="L112" s="512"/>
      <c r="M112" s="504">
        <f t="shared" si="31"/>
        <v>0</v>
      </c>
      <c r="N112" s="512"/>
      <c r="O112" s="504">
        <f t="shared" si="24"/>
        <v>0</v>
      </c>
      <c r="P112" s="504">
        <f t="shared" si="25"/>
        <v>0</v>
      </c>
      <c r="Q112" s="243"/>
      <c r="R112" s="243"/>
      <c r="S112" s="243"/>
      <c r="T112" s="243"/>
      <c r="U112" s="243"/>
    </row>
    <row r="113" spans="2:21">
      <c r="B113" s="145" t="str">
        <f t="shared" si="20"/>
        <v/>
      </c>
      <c r="C113" s="495">
        <f>IF(D94="","-",+C112+1)</f>
        <v>2028</v>
      </c>
      <c r="D113" s="349">
        <f>IF(F112+SUM(E$100:E112)=D$93,F112,D$93-SUM(E$100:E112))</f>
        <v>4883096.7956395894</v>
      </c>
      <c r="E113" s="509">
        <f>IF(+J97&lt;F112,J97,D113)</f>
        <v>341404.15999999997</v>
      </c>
      <c r="F113" s="510">
        <f t="shared" si="27"/>
        <v>4541692.6356395893</v>
      </c>
      <c r="G113" s="510">
        <f t="shared" si="28"/>
        <v>4712394.7156395894</v>
      </c>
      <c r="H113" s="523">
        <f t="shared" si="29"/>
        <v>897287.72735014209</v>
      </c>
      <c r="I113" s="572">
        <f t="shared" si="30"/>
        <v>897287.72735014209</v>
      </c>
      <c r="J113" s="504">
        <f t="shared" si="26"/>
        <v>0</v>
      </c>
      <c r="K113" s="504"/>
      <c r="L113" s="512"/>
      <c r="M113" s="504">
        <f t="shared" si="31"/>
        <v>0</v>
      </c>
      <c r="N113" s="512"/>
      <c r="O113" s="504">
        <f t="shared" si="24"/>
        <v>0</v>
      </c>
      <c r="P113" s="504">
        <f t="shared" si="25"/>
        <v>0</v>
      </c>
      <c r="Q113" s="243"/>
      <c r="R113" s="243"/>
      <c r="S113" s="243"/>
      <c r="T113" s="243"/>
      <c r="U113" s="243"/>
    </row>
    <row r="114" spans="2:21">
      <c r="B114" s="145" t="str">
        <f t="shared" si="20"/>
        <v/>
      </c>
      <c r="C114" s="495">
        <f>IF(D94="","-",+C113+1)</f>
        <v>2029</v>
      </c>
      <c r="D114" s="349">
        <f>IF(F113+SUM(E$100:E113)=D$93,F113,D$93-SUM(E$100:E113))</f>
        <v>4541692.6356395893</v>
      </c>
      <c r="E114" s="509">
        <f>IF(+J97&lt;F113,J97,D114)</f>
        <v>341404.15999999997</v>
      </c>
      <c r="F114" s="510">
        <f t="shared" si="27"/>
        <v>4200288.4756395891</v>
      </c>
      <c r="G114" s="510">
        <f t="shared" si="28"/>
        <v>4370990.5556395892</v>
      </c>
      <c r="H114" s="523">
        <f t="shared" si="29"/>
        <v>857015.0053434032</v>
      </c>
      <c r="I114" s="572">
        <f t="shared" si="30"/>
        <v>857015.0053434032</v>
      </c>
      <c r="J114" s="504">
        <f t="shared" si="26"/>
        <v>0</v>
      </c>
      <c r="K114" s="504"/>
      <c r="L114" s="512"/>
      <c r="M114" s="504">
        <f t="shared" si="31"/>
        <v>0</v>
      </c>
      <c r="N114" s="512"/>
      <c r="O114" s="504">
        <f t="shared" si="24"/>
        <v>0</v>
      </c>
      <c r="P114" s="504">
        <f t="shared" si="25"/>
        <v>0</v>
      </c>
      <c r="Q114" s="243"/>
      <c r="R114" s="243"/>
      <c r="S114" s="243"/>
      <c r="T114" s="243"/>
      <c r="U114" s="243"/>
    </row>
    <row r="115" spans="2:21">
      <c r="B115" s="145" t="str">
        <f t="shared" si="20"/>
        <v/>
      </c>
      <c r="C115" s="495">
        <f>IF(D94="","-",+C114+1)</f>
        <v>2030</v>
      </c>
      <c r="D115" s="349">
        <f>IF(F114+SUM(E$100:E114)=D$93,F114,D$93-SUM(E$100:E114))</f>
        <v>4200288.4756395891</v>
      </c>
      <c r="E115" s="509">
        <f>IF(+J97&lt;F114,J97,D115)</f>
        <v>341404.15999999997</v>
      </c>
      <c r="F115" s="510">
        <f t="shared" si="27"/>
        <v>3858884.315639589</v>
      </c>
      <c r="G115" s="510">
        <f t="shared" si="28"/>
        <v>4029586.3956395891</v>
      </c>
      <c r="H115" s="523">
        <f t="shared" si="29"/>
        <v>816742.2833366642</v>
      </c>
      <c r="I115" s="572">
        <f t="shared" si="30"/>
        <v>816742.2833366642</v>
      </c>
      <c r="J115" s="504">
        <f t="shared" si="26"/>
        <v>0</v>
      </c>
      <c r="K115" s="504"/>
      <c r="L115" s="512"/>
      <c r="M115" s="504">
        <f t="shared" si="31"/>
        <v>0</v>
      </c>
      <c r="N115" s="512"/>
      <c r="O115" s="504">
        <f t="shared" si="24"/>
        <v>0</v>
      </c>
      <c r="P115" s="504">
        <f t="shared" si="25"/>
        <v>0</v>
      </c>
      <c r="Q115" s="243"/>
      <c r="R115" s="243"/>
      <c r="S115" s="243"/>
      <c r="T115" s="243"/>
      <c r="U115" s="243"/>
    </row>
    <row r="116" spans="2:21">
      <c r="B116" s="145" t="str">
        <f t="shared" si="20"/>
        <v/>
      </c>
      <c r="C116" s="495">
        <f>IF(D94="","-",+C115+1)</f>
        <v>2031</v>
      </c>
      <c r="D116" s="349">
        <f>IF(F115+SUM(E$100:E115)=D$93,F115,D$93-SUM(E$100:E115))</f>
        <v>3858884.315639589</v>
      </c>
      <c r="E116" s="509">
        <f>IF(+J97&lt;F115,J97,D116)</f>
        <v>341404.15999999997</v>
      </c>
      <c r="F116" s="510">
        <f t="shared" si="27"/>
        <v>3517480.1556395888</v>
      </c>
      <c r="G116" s="510">
        <f t="shared" si="28"/>
        <v>3688182.2356395889</v>
      </c>
      <c r="H116" s="523">
        <f t="shared" si="29"/>
        <v>776469.5613299252</v>
      </c>
      <c r="I116" s="572">
        <f t="shared" si="30"/>
        <v>776469.5613299252</v>
      </c>
      <c r="J116" s="504">
        <f t="shared" si="26"/>
        <v>0</v>
      </c>
      <c r="K116" s="504"/>
      <c r="L116" s="512"/>
      <c r="M116" s="504">
        <f t="shared" si="31"/>
        <v>0</v>
      </c>
      <c r="N116" s="512"/>
      <c r="O116" s="504">
        <f t="shared" si="24"/>
        <v>0</v>
      </c>
      <c r="P116" s="504">
        <f t="shared" si="25"/>
        <v>0</v>
      </c>
      <c r="Q116" s="243"/>
      <c r="R116" s="243"/>
      <c r="S116" s="243"/>
      <c r="T116" s="243"/>
      <c r="U116" s="243"/>
    </row>
    <row r="117" spans="2:21">
      <c r="B117" s="145" t="str">
        <f t="shared" si="20"/>
        <v/>
      </c>
      <c r="C117" s="495">
        <f>IF(D94="","-",+C116+1)</f>
        <v>2032</v>
      </c>
      <c r="D117" s="349">
        <f>IF(F116+SUM(E$100:E116)=D$93,F116,D$93-SUM(E$100:E116))</f>
        <v>3517480.1556395888</v>
      </c>
      <c r="E117" s="509">
        <f>IF(+J97&lt;F116,J97,D117)</f>
        <v>341404.15999999997</v>
      </c>
      <c r="F117" s="510">
        <f t="shared" si="27"/>
        <v>3176075.9956395887</v>
      </c>
      <c r="G117" s="510">
        <f t="shared" si="28"/>
        <v>3346778.0756395888</v>
      </c>
      <c r="H117" s="523">
        <f t="shared" si="29"/>
        <v>736196.83932318632</v>
      </c>
      <c r="I117" s="572">
        <f t="shared" si="30"/>
        <v>736196.83932318632</v>
      </c>
      <c r="J117" s="504">
        <f t="shared" si="26"/>
        <v>0</v>
      </c>
      <c r="K117" s="504"/>
      <c r="L117" s="512"/>
      <c r="M117" s="504">
        <f t="shared" si="31"/>
        <v>0</v>
      </c>
      <c r="N117" s="512"/>
      <c r="O117" s="504">
        <f t="shared" si="24"/>
        <v>0</v>
      </c>
      <c r="P117" s="504">
        <f t="shared" si="25"/>
        <v>0</v>
      </c>
      <c r="Q117" s="243"/>
      <c r="R117" s="243"/>
      <c r="S117" s="243"/>
      <c r="T117" s="243"/>
      <c r="U117" s="243"/>
    </row>
    <row r="118" spans="2:21">
      <c r="B118" s="145" t="str">
        <f t="shared" si="20"/>
        <v/>
      </c>
      <c r="C118" s="495">
        <f>IF(D94="","-",+C117+1)</f>
        <v>2033</v>
      </c>
      <c r="D118" s="349">
        <f>IF(F117+SUM(E$100:E117)=D$93,F117,D$93-SUM(E$100:E117))</f>
        <v>3176075.9956395887</v>
      </c>
      <c r="E118" s="509">
        <f>IF(+J97&lt;F117,J97,D118)</f>
        <v>341404.15999999997</v>
      </c>
      <c r="F118" s="510">
        <f t="shared" si="27"/>
        <v>2834671.8356395885</v>
      </c>
      <c r="G118" s="510">
        <f t="shared" si="28"/>
        <v>3005373.9156395886</v>
      </c>
      <c r="H118" s="523">
        <f t="shared" si="29"/>
        <v>695924.11731644743</v>
      </c>
      <c r="I118" s="572">
        <f t="shared" si="30"/>
        <v>695924.11731644743</v>
      </c>
      <c r="J118" s="504">
        <f t="shared" si="26"/>
        <v>0</v>
      </c>
      <c r="K118" s="504"/>
      <c r="L118" s="512"/>
      <c r="M118" s="504">
        <f t="shared" si="31"/>
        <v>0</v>
      </c>
      <c r="N118" s="512"/>
      <c r="O118" s="504">
        <f t="shared" si="24"/>
        <v>0</v>
      </c>
      <c r="P118" s="504">
        <f t="shared" si="25"/>
        <v>0</v>
      </c>
      <c r="Q118" s="243"/>
      <c r="R118" s="243"/>
      <c r="S118" s="243"/>
      <c r="T118" s="243"/>
      <c r="U118" s="243"/>
    </row>
    <row r="119" spans="2:21">
      <c r="B119" s="145" t="str">
        <f t="shared" si="20"/>
        <v/>
      </c>
      <c r="C119" s="495">
        <f>IF(D94="","-",+C118+1)</f>
        <v>2034</v>
      </c>
      <c r="D119" s="349">
        <f>IF(F118+SUM(E$100:E118)=D$93,F118,D$93-SUM(E$100:E118))</f>
        <v>2834671.8356395885</v>
      </c>
      <c r="E119" s="509">
        <f>IF(+J97&lt;F118,J97,D119)</f>
        <v>341404.15999999997</v>
      </c>
      <c r="F119" s="510">
        <f t="shared" si="27"/>
        <v>2493267.6756395884</v>
      </c>
      <c r="G119" s="510">
        <f t="shared" si="28"/>
        <v>2663969.7556395885</v>
      </c>
      <c r="H119" s="523">
        <f t="shared" si="29"/>
        <v>655651.39530970855</v>
      </c>
      <c r="I119" s="572">
        <f t="shared" si="30"/>
        <v>655651.39530970855</v>
      </c>
      <c r="J119" s="504">
        <f t="shared" si="26"/>
        <v>0</v>
      </c>
      <c r="K119" s="504"/>
      <c r="L119" s="512"/>
      <c r="M119" s="504">
        <f t="shared" si="31"/>
        <v>0</v>
      </c>
      <c r="N119" s="512"/>
      <c r="O119" s="504">
        <f t="shared" si="24"/>
        <v>0</v>
      </c>
      <c r="P119" s="504">
        <f t="shared" si="25"/>
        <v>0</v>
      </c>
      <c r="Q119" s="243"/>
      <c r="R119" s="243"/>
      <c r="S119" s="243"/>
      <c r="T119" s="243"/>
      <c r="U119" s="243"/>
    </row>
    <row r="120" spans="2:21">
      <c r="B120" s="145" t="str">
        <f t="shared" si="20"/>
        <v/>
      </c>
      <c r="C120" s="495">
        <f>IF(D94="","-",+C119+1)</f>
        <v>2035</v>
      </c>
      <c r="D120" s="349">
        <f>IF(F119+SUM(E$100:E119)=D$93,F119,D$93-SUM(E$100:E119))</f>
        <v>2493267.6756395884</v>
      </c>
      <c r="E120" s="509">
        <f>IF(+J97&lt;F119,J97,D120)</f>
        <v>341404.15999999997</v>
      </c>
      <c r="F120" s="510">
        <f t="shared" si="27"/>
        <v>2151863.5156395882</v>
      </c>
      <c r="G120" s="510">
        <f t="shared" si="28"/>
        <v>2322565.5956395883</v>
      </c>
      <c r="H120" s="523">
        <f t="shared" si="29"/>
        <v>615378.67330296955</v>
      </c>
      <c r="I120" s="572">
        <f t="shared" si="30"/>
        <v>615378.67330296955</v>
      </c>
      <c r="J120" s="504">
        <f t="shared" si="26"/>
        <v>0</v>
      </c>
      <c r="K120" s="504"/>
      <c r="L120" s="512"/>
      <c r="M120" s="504">
        <f t="shared" si="31"/>
        <v>0</v>
      </c>
      <c r="N120" s="512"/>
      <c r="O120" s="504">
        <f t="shared" si="24"/>
        <v>0</v>
      </c>
      <c r="P120" s="504">
        <f t="shared" si="25"/>
        <v>0</v>
      </c>
      <c r="Q120" s="243"/>
      <c r="R120" s="243"/>
      <c r="S120" s="243"/>
      <c r="T120" s="243"/>
      <c r="U120" s="243"/>
    </row>
    <row r="121" spans="2:21">
      <c r="B121" s="145" t="str">
        <f t="shared" si="20"/>
        <v/>
      </c>
      <c r="C121" s="495">
        <f>IF(D94="","-",+C120+1)</f>
        <v>2036</v>
      </c>
      <c r="D121" s="349">
        <f>IF(F120+SUM(E$100:E120)=D$93,F120,D$93-SUM(E$100:E120))</f>
        <v>2151863.5156395882</v>
      </c>
      <c r="E121" s="509">
        <f>IF(+J97&lt;F120,J97,D121)</f>
        <v>341404.15999999997</v>
      </c>
      <c r="F121" s="510">
        <f t="shared" si="27"/>
        <v>1810459.3556395883</v>
      </c>
      <c r="G121" s="510">
        <f t="shared" si="28"/>
        <v>1981161.4356395882</v>
      </c>
      <c r="H121" s="523">
        <f t="shared" si="29"/>
        <v>575105.95129623055</v>
      </c>
      <c r="I121" s="572">
        <f t="shared" si="30"/>
        <v>575105.95129623055</v>
      </c>
      <c r="J121" s="504">
        <f t="shared" si="26"/>
        <v>0</v>
      </c>
      <c r="K121" s="504"/>
      <c r="L121" s="512"/>
      <c r="M121" s="504">
        <f t="shared" si="31"/>
        <v>0</v>
      </c>
      <c r="N121" s="512"/>
      <c r="O121" s="504">
        <f t="shared" si="24"/>
        <v>0</v>
      </c>
      <c r="P121" s="504">
        <f t="shared" si="25"/>
        <v>0</v>
      </c>
      <c r="Q121" s="243"/>
      <c r="R121" s="243"/>
      <c r="S121" s="243"/>
      <c r="T121" s="243"/>
      <c r="U121" s="243"/>
    </row>
    <row r="122" spans="2:21">
      <c r="B122" s="145" t="str">
        <f t="shared" si="20"/>
        <v/>
      </c>
      <c r="C122" s="495">
        <f>IF(D94="","-",+C121+1)</f>
        <v>2037</v>
      </c>
      <c r="D122" s="349">
        <f>IF(F121+SUM(E$100:E121)=D$93,F121,D$93-SUM(E$100:E121))</f>
        <v>1810459.3556395883</v>
      </c>
      <c r="E122" s="509">
        <f>IF(+J97&lt;F121,J97,D122)</f>
        <v>341404.15999999997</v>
      </c>
      <c r="F122" s="510">
        <f t="shared" si="27"/>
        <v>1469055.1956395884</v>
      </c>
      <c r="G122" s="510">
        <f t="shared" si="28"/>
        <v>1639757.2756395885</v>
      </c>
      <c r="H122" s="523">
        <f t="shared" si="29"/>
        <v>534833.22928949166</v>
      </c>
      <c r="I122" s="572">
        <f t="shared" si="30"/>
        <v>534833.22928949166</v>
      </c>
      <c r="J122" s="504">
        <f t="shared" si="26"/>
        <v>0</v>
      </c>
      <c r="K122" s="504"/>
      <c r="L122" s="512"/>
      <c r="M122" s="504">
        <f t="shared" si="31"/>
        <v>0</v>
      </c>
      <c r="N122" s="512"/>
      <c r="O122" s="504">
        <f t="shared" si="24"/>
        <v>0</v>
      </c>
      <c r="P122" s="504">
        <f t="shared" si="25"/>
        <v>0</v>
      </c>
      <c r="Q122" s="243"/>
      <c r="R122" s="243"/>
      <c r="S122" s="243"/>
      <c r="T122" s="243"/>
      <c r="U122" s="243"/>
    </row>
    <row r="123" spans="2:21">
      <c r="B123" s="145" t="str">
        <f t="shared" si="20"/>
        <v/>
      </c>
      <c r="C123" s="495">
        <f>IF(D94="","-",+C122+1)</f>
        <v>2038</v>
      </c>
      <c r="D123" s="349">
        <f>IF(F122+SUM(E$100:E122)=D$93,F122,D$93-SUM(E$100:E122))</f>
        <v>1469055.1956395884</v>
      </c>
      <c r="E123" s="509">
        <f>IF(+J97&lt;F122,J97,D123)</f>
        <v>341404.15999999997</v>
      </c>
      <c r="F123" s="510">
        <f t="shared" si="27"/>
        <v>1127651.0356395885</v>
      </c>
      <c r="G123" s="510">
        <f t="shared" si="28"/>
        <v>1298353.1156395883</v>
      </c>
      <c r="H123" s="523">
        <f t="shared" si="29"/>
        <v>494560.50728275278</v>
      </c>
      <c r="I123" s="572">
        <f t="shared" si="30"/>
        <v>494560.50728275278</v>
      </c>
      <c r="J123" s="504">
        <f t="shared" si="26"/>
        <v>0</v>
      </c>
      <c r="K123" s="504"/>
      <c r="L123" s="512"/>
      <c r="M123" s="504">
        <f t="shared" si="31"/>
        <v>0</v>
      </c>
      <c r="N123" s="512"/>
      <c r="O123" s="504">
        <f t="shared" si="24"/>
        <v>0</v>
      </c>
      <c r="P123" s="504">
        <f t="shared" si="25"/>
        <v>0</v>
      </c>
      <c r="Q123" s="243"/>
      <c r="R123" s="243"/>
      <c r="S123" s="243"/>
      <c r="T123" s="243"/>
      <c r="U123" s="243"/>
    </row>
    <row r="124" spans="2:21">
      <c r="B124" s="145" t="str">
        <f t="shared" si="20"/>
        <v/>
      </c>
      <c r="C124" s="495">
        <f>IF(D94="","-",+C123+1)</f>
        <v>2039</v>
      </c>
      <c r="D124" s="349">
        <f>IF(F123+SUM(E$100:E123)=D$93,F123,D$93-SUM(E$100:E123))</f>
        <v>1127651.0356395885</v>
      </c>
      <c r="E124" s="509">
        <f>IF(+J97&lt;F123,J97,D124)</f>
        <v>341404.15999999997</v>
      </c>
      <c r="F124" s="510">
        <f t="shared" si="27"/>
        <v>786246.87563958857</v>
      </c>
      <c r="G124" s="510">
        <f t="shared" si="28"/>
        <v>956948.95563958853</v>
      </c>
      <c r="H124" s="523">
        <f t="shared" si="29"/>
        <v>454287.78527601383</v>
      </c>
      <c r="I124" s="572">
        <f t="shared" si="30"/>
        <v>454287.78527601383</v>
      </c>
      <c r="J124" s="504">
        <f t="shared" si="26"/>
        <v>0</v>
      </c>
      <c r="K124" s="504"/>
      <c r="L124" s="512"/>
      <c r="M124" s="504">
        <f t="shared" si="31"/>
        <v>0</v>
      </c>
      <c r="N124" s="512"/>
      <c r="O124" s="504">
        <f t="shared" si="24"/>
        <v>0</v>
      </c>
      <c r="P124" s="504">
        <f t="shared" si="25"/>
        <v>0</v>
      </c>
      <c r="Q124" s="243"/>
      <c r="R124" s="243"/>
      <c r="S124" s="243"/>
      <c r="T124" s="243"/>
      <c r="U124" s="243"/>
    </row>
    <row r="125" spans="2:21">
      <c r="B125" s="145" t="str">
        <f t="shared" si="20"/>
        <v/>
      </c>
      <c r="C125" s="495">
        <f>IF(D94="","-",+C124+1)</f>
        <v>2040</v>
      </c>
      <c r="D125" s="349">
        <f>IF(F124+SUM(E$100:E124)=D$93,F124,D$93-SUM(E$100:E124))</f>
        <v>786246.87563958857</v>
      </c>
      <c r="E125" s="509">
        <f>IF(+J97&lt;F124,J97,D125)</f>
        <v>341404.15999999997</v>
      </c>
      <c r="F125" s="510">
        <f t="shared" si="27"/>
        <v>444842.7156395886</v>
      </c>
      <c r="G125" s="510">
        <f t="shared" si="28"/>
        <v>615544.79563958861</v>
      </c>
      <c r="H125" s="523">
        <f t="shared" si="29"/>
        <v>414015.06326927495</v>
      </c>
      <c r="I125" s="572">
        <f t="shared" si="30"/>
        <v>414015.06326927495</v>
      </c>
      <c r="J125" s="504">
        <f t="shared" si="26"/>
        <v>0</v>
      </c>
      <c r="K125" s="504"/>
      <c r="L125" s="512"/>
      <c r="M125" s="504">
        <f t="shared" si="31"/>
        <v>0</v>
      </c>
      <c r="N125" s="512"/>
      <c r="O125" s="504">
        <f t="shared" si="24"/>
        <v>0</v>
      </c>
      <c r="P125" s="504">
        <f t="shared" si="25"/>
        <v>0</v>
      </c>
      <c r="Q125" s="243"/>
      <c r="R125" s="243"/>
      <c r="S125" s="243"/>
      <c r="T125" s="243"/>
      <c r="U125" s="243"/>
    </row>
    <row r="126" spans="2:21">
      <c r="B126" s="145" t="str">
        <f t="shared" si="20"/>
        <v/>
      </c>
      <c r="C126" s="495">
        <f>IF(D94="","-",+C125+1)</f>
        <v>2041</v>
      </c>
      <c r="D126" s="349">
        <f>IF(F125+SUM(E$100:E125)=D$93,F125,D$93-SUM(E$100:E125))</f>
        <v>444842.7156395886</v>
      </c>
      <c r="E126" s="509">
        <f>IF(+J97&lt;F125,J97,D126)</f>
        <v>341404.15999999997</v>
      </c>
      <c r="F126" s="510">
        <f t="shared" si="27"/>
        <v>103438.55563958862</v>
      </c>
      <c r="G126" s="510">
        <f t="shared" si="28"/>
        <v>274140.63563958858</v>
      </c>
      <c r="H126" s="523">
        <f t="shared" si="29"/>
        <v>373742.34126253601</v>
      </c>
      <c r="I126" s="572">
        <f t="shared" si="30"/>
        <v>373742.34126253601</v>
      </c>
      <c r="J126" s="504">
        <f t="shared" si="26"/>
        <v>0</v>
      </c>
      <c r="K126" s="504"/>
      <c r="L126" s="512"/>
      <c r="M126" s="504">
        <f t="shared" si="31"/>
        <v>0</v>
      </c>
      <c r="N126" s="512"/>
      <c r="O126" s="504">
        <f t="shared" si="24"/>
        <v>0</v>
      </c>
      <c r="P126" s="504">
        <f t="shared" si="25"/>
        <v>0</v>
      </c>
      <c r="Q126" s="243"/>
      <c r="R126" s="243"/>
      <c r="S126" s="243"/>
      <c r="T126" s="243"/>
      <c r="U126" s="243"/>
    </row>
    <row r="127" spans="2:21">
      <c r="B127" s="145" t="str">
        <f t="shared" si="20"/>
        <v/>
      </c>
      <c r="C127" s="495">
        <f>IF(D94="","-",+C126+1)</f>
        <v>2042</v>
      </c>
      <c r="D127" s="349">
        <f>IF(F126+SUM(E$100:E126)=D$93,F126,D$93-SUM(E$100:E126))</f>
        <v>103438.55563958862</v>
      </c>
      <c r="E127" s="509">
        <f>IF(+J97&lt;F126,J97,D127)</f>
        <v>103438.55563958862</v>
      </c>
      <c r="F127" s="510">
        <f t="shared" si="27"/>
        <v>0</v>
      </c>
      <c r="G127" s="510">
        <f t="shared" si="28"/>
        <v>51719.277819794312</v>
      </c>
      <c r="H127" s="523">
        <f t="shared" si="29"/>
        <v>109539.46576917192</v>
      </c>
      <c r="I127" s="572">
        <f t="shared" si="30"/>
        <v>109539.46576917192</v>
      </c>
      <c r="J127" s="504">
        <f t="shared" si="26"/>
        <v>0</v>
      </c>
      <c r="K127" s="504"/>
      <c r="L127" s="512"/>
      <c r="M127" s="504">
        <f t="shared" si="31"/>
        <v>0</v>
      </c>
      <c r="N127" s="512"/>
      <c r="O127" s="504">
        <f t="shared" si="24"/>
        <v>0</v>
      </c>
      <c r="P127" s="504">
        <f t="shared" si="25"/>
        <v>0</v>
      </c>
      <c r="Q127" s="243"/>
      <c r="R127" s="243"/>
      <c r="S127" s="243"/>
      <c r="T127" s="243"/>
      <c r="U127" s="243"/>
    </row>
    <row r="128" spans="2:21">
      <c r="B128" s="145" t="str">
        <f t="shared" si="20"/>
        <v/>
      </c>
      <c r="C128" s="495">
        <f>IF(D94="","-",+C127+1)</f>
        <v>2043</v>
      </c>
      <c r="D128" s="349">
        <f>IF(F127+SUM(E$100:E127)=D$93,F127,D$93-SUM(E$100:E127))</f>
        <v>0</v>
      </c>
      <c r="E128" s="509">
        <f>IF(+J97&lt;F127,J97,D128)</f>
        <v>0</v>
      </c>
      <c r="F128" s="510">
        <f t="shared" si="27"/>
        <v>0</v>
      </c>
      <c r="G128" s="510">
        <f t="shared" si="28"/>
        <v>0</v>
      </c>
      <c r="H128" s="523">
        <f t="shared" si="29"/>
        <v>0</v>
      </c>
      <c r="I128" s="572">
        <f t="shared" si="30"/>
        <v>0</v>
      </c>
      <c r="J128" s="504">
        <f t="shared" si="26"/>
        <v>0</v>
      </c>
      <c r="K128" s="504"/>
      <c r="L128" s="512"/>
      <c r="M128" s="504">
        <f t="shared" si="31"/>
        <v>0</v>
      </c>
      <c r="N128" s="512"/>
      <c r="O128" s="504">
        <f t="shared" si="24"/>
        <v>0</v>
      </c>
      <c r="P128" s="504">
        <f t="shared" si="25"/>
        <v>0</v>
      </c>
      <c r="Q128" s="243"/>
      <c r="R128" s="243"/>
      <c r="S128" s="243"/>
      <c r="T128" s="243"/>
      <c r="U128" s="243"/>
    </row>
    <row r="129" spans="2:21">
      <c r="B129" s="145" t="str">
        <f t="shared" si="20"/>
        <v/>
      </c>
      <c r="C129" s="495">
        <f>IF(D94="","-",+C128+1)</f>
        <v>2044</v>
      </c>
      <c r="D129" s="349">
        <f>IF(F128+SUM(E$100:E128)=D$93,F128,D$93-SUM(E$100:E128))</f>
        <v>0</v>
      </c>
      <c r="E129" s="509">
        <f>IF(+J97&lt;F128,J97,D129)</f>
        <v>0</v>
      </c>
      <c r="F129" s="510">
        <f t="shared" si="27"/>
        <v>0</v>
      </c>
      <c r="G129" s="510">
        <f t="shared" si="28"/>
        <v>0</v>
      </c>
      <c r="H129" s="523">
        <f t="shared" si="29"/>
        <v>0</v>
      </c>
      <c r="I129" s="572">
        <f t="shared" si="30"/>
        <v>0</v>
      </c>
      <c r="J129" s="504">
        <f t="shared" si="26"/>
        <v>0</v>
      </c>
      <c r="K129" s="504"/>
      <c r="L129" s="512"/>
      <c r="M129" s="504">
        <f t="shared" si="31"/>
        <v>0</v>
      </c>
      <c r="N129" s="512"/>
      <c r="O129" s="504">
        <f t="shared" si="24"/>
        <v>0</v>
      </c>
      <c r="P129" s="504">
        <f t="shared" si="25"/>
        <v>0</v>
      </c>
      <c r="Q129" s="243"/>
      <c r="R129" s="243"/>
      <c r="S129" s="243"/>
      <c r="T129" s="243"/>
      <c r="U129" s="243"/>
    </row>
    <row r="130" spans="2:21">
      <c r="B130" s="145" t="str">
        <f t="shared" si="20"/>
        <v/>
      </c>
      <c r="C130" s="495">
        <f>IF(D94="","-",+C129+1)</f>
        <v>2045</v>
      </c>
      <c r="D130" s="349">
        <f>IF(F129+SUM(E$100:E129)=D$93,F129,D$93-SUM(E$100:E129))</f>
        <v>0</v>
      </c>
      <c r="E130" s="509">
        <f>IF(+J97&lt;F129,J97,D130)</f>
        <v>0</v>
      </c>
      <c r="F130" s="510">
        <f t="shared" si="27"/>
        <v>0</v>
      </c>
      <c r="G130" s="510">
        <f t="shared" si="28"/>
        <v>0</v>
      </c>
      <c r="H130" s="523">
        <f t="shared" si="29"/>
        <v>0</v>
      </c>
      <c r="I130" s="572">
        <f t="shared" si="30"/>
        <v>0</v>
      </c>
      <c r="J130" s="504">
        <f t="shared" si="26"/>
        <v>0</v>
      </c>
      <c r="K130" s="504"/>
      <c r="L130" s="512"/>
      <c r="M130" s="504">
        <f t="shared" si="31"/>
        <v>0</v>
      </c>
      <c r="N130" s="512"/>
      <c r="O130" s="504">
        <f t="shared" si="24"/>
        <v>0</v>
      </c>
      <c r="P130" s="504">
        <f t="shared" si="25"/>
        <v>0</v>
      </c>
      <c r="Q130" s="243"/>
      <c r="R130" s="243"/>
      <c r="S130" s="243"/>
      <c r="T130" s="243"/>
      <c r="U130" s="243"/>
    </row>
    <row r="131" spans="2:21">
      <c r="B131" s="145" t="str">
        <f t="shared" si="20"/>
        <v/>
      </c>
      <c r="C131" s="495">
        <f>IF(D94="","-",+C130+1)</f>
        <v>2046</v>
      </c>
      <c r="D131" s="349">
        <f>IF(F130+SUM(E$100:E130)=D$93,F130,D$93-SUM(E$100:E130))</f>
        <v>0</v>
      </c>
      <c r="E131" s="509">
        <f>IF(+J97&lt;F130,J97,D131)</f>
        <v>0</v>
      </c>
      <c r="F131" s="510">
        <f t="shared" si="27"/>
        <v>0</v>
      </c>
      <c r="G131" s="510">
        <f t="shared" si="28"/>
        <v>0</v>
      </c>
      <c r="H131" s="523">
        <f t="shared" si="29"/>
        <v>0</v>
      </c>
      <c r="I131" s="572">
        <f t="shared" si="30"/>
        <v>0</v>
      </c>
      <c r="J131" s="504">
        <f t="shared" si="26"/>
        <v>0</v>
      </c>
      <c r="K131" s="504"/>
      <c r="L131" s="512"/>
      <c r="M131" s="504">
        <f t="shared" si="31"/>
        <v>0</v>
      </c>
      <c r="N131" s="512"/>
      <c r="O131" s="504">
        <f t="shared" si="24"/>
        <v>0</v>
      </c>
      <c r="P131" s="504">
        <f t="shared" si="25"/>
        <v>0</v>
      </c>
      <c r="Q131" s="243"/>
      <c r="R131" s="243"/>
      <c r="S131" s="243"/>
      <c r="T131" s="243"/>
      <c r="U131" s="243"/>
    </row>
    <row r="132" spans="2:21">
      <c r="B132" s="145" t="str">
        <f t="shared" si="20"/>
        <v/>
      </c>
      <c r="C132" s="495">
        <f>IF(D94="","-",+C131+1)</f>
        <v>2047</v>
      </c>
      <c r="D132" s="349">
        <f>IF(F131+SUM(E$100:E131)=D$93,F131,D$93-SUM(E$100:E131))</f>
        <v>0</v>
      </c>
      <c r="E132" s="509">
        <f>IF(+J97&lt;F131,J97,D132)</f>
        <v>0</v>
      </c>
      <c r="F132" s="510">
        <f t="shared" si="27"/>
        <v>0</v>
      </c>
      <c r="G132" s="510">
        <f t="shared" si="28"/>
        <v>0</v>
      </c>
      <c r="H132" s="523">
        <f t="shared" si="29"/>
        <v>0</v>
      </c>
      <c r="I132" s="572">
        <f t="shared" si="30"/>
        <v>0</v>
      </c>
      <c r="J132" s="504">
        <f t="shared" ref="J132:J155" si="32">+I542-H542</f>
        <v>0</v>
      </c>
      <c r="K132" s="504"/>
      <c r="L132" s="512"/>
      <c r="M132" s="504">
        <f t="shared" ref="M132:M155" si="33">IF(L542&lt;&gt;0,+H542-L542,0)</f>
        <v>0</v>
      </c>
      <c r="N132" s="512"/>
      <c r="O132" s="504">
        <f t="shared" ref="O132:O155" si="34">IF(N542&lt;&gt;0,+I542-N542,0)</f>
        <v>0</v>
      </c>
      <c r="P132" s="504">
        <f t="shared" ref="P132:P155" si="35">+O542-M542</f>
        <v>0</v>
      </c>
      <c r="Q132" s="243"/>
      <c r="R132" s="243"/>
      <c r="S132" s="243"/>
      <c r="T132" s="243"/>
      <c r="U132" s="243"/>
    </row>
    <row r="133" spans="2:21">
      <c r="B133" s="145" t="str">
        <f t="shared" si="20"/>
        <v/>
      </c>
      <c r="C133" s="495">
        <f>IF(D94="","-",+C132+1)</f>
        <v>2048</v>
      </c>
      <c r="D133" s="349">
        <f>IF(F132+SUM(E$100:E132)=D$93,F132,D$93-SUM(E$100:E132))</f>
        <v>0</v>
      </c>
      <c r="E133" s="509">
        <f>IF(+J97&lt;F132,J97,D133)</f>
        <v>0</v>
      </c>
      <c r="F133" s="510">
        <f t="shared" si="27"/>
        <v>0</v>
      </c>
      <c r="G133" s="510">
        <f t="shared" si="28"/>
        <v>0</v>
      </c>
      <c r="H133" s="523">
        <f t="shared" si="29"/>
        <v>0</v>
      </c>
      <c r="I133" s="572">
        <f t="shared" si="30"/>
        <v>0</v>
      </c>
      <c r="J133" s="504">
        <f t="shared" si="32"/>
        <v>0</v>
      </c>
      <c r="K133" s="504"/>
      <c r="L133" s="512"/>
      <c r="M133" s="504">
        <f t="shared" si="33"/>
        <v>0</v>
      </c>
      <c r="N133" s="512"/>
      <c r="O133" s="504">
        <f t="shared" si="34"/>
        <v>0</v>
      </c>
      <c r="P133" s="504">
        <f t="shared" si="35"/>
        <v>0</v>
      </c>
      <c r="Q133" s="243"/>
      <c r="R133" s="243"/>
      <c r="S133" s="243"/>
      <c r="T133" s="243"/>
      <c r="U133" s="243"/>
    </row>
    <row r="134" spans="2:21">
      <c r="B134" s="145" t="str">
        <f t="shared" si="20"/>
        <v/>
      </c>
      <c r="C134" s="495">
        <f>IF(D94="","-",+C133+1)</f>
        <v>2049</v>
      </c>
      <c r="D134" s="349">
        <f>IF(F133+SUM(E$100:E133)=D$93,F133,D$93-SUM(E$100:E133))</f>
        <v>0</v>
      </c>
      <c r="E134" s="509">
        <f>IF(+J97&lt;F133,J97,D134)</f>
        <v>0</v>
      </c>
      <c r="F134" s="510">
        <f t="shared" si="27"/>
        <v>0</v>
      </c>
      <c r="G134" s="510">
        <f t="shared" si="28"/>
        <v>0</v>
      </c>
      <c r="H134" s="523">
        <f t="shared" si="29"/>
        <v>0</v>
      </c>
      <c r="I134" s="572">
        <f t="shared" si="30"/>
        <v>0</v>
      </c>
      <c r="J134" s="504">
        <f t="shared" si="32"/>
        <v>0</v>
      </c>
      <c r="K134" s="504"/>
      <c r="L134" s="512"/>
      <c r="M134" s="504">
        <f t="shared" si="33"/>
        <v>0</v>
      </c>
      <c r="N134" s="512"/>
      <c r="O134" s="504">
        <f t="shared" si="34"/>
        <v>0</v>
      </c>
      <c r="P134" s="504">
        <f t="shared" si="35"/>
        <v>0</v>
      </c>
      <c r="Q134" s="243"/>
      <c r="R134" s="243"/>
      <c r="S134" s="243"/>
      <c r="T134" s="243"/>
      <c r="U134" s="243"/>
    </row>
    <row r="135" spans="2:21">
      <c r="B135" s="145" t="str">
        <f t="shared" si="20"/>
        <v/>
      </c>
      <c r="C135" s="495">
        <f>IF(D94="","-",+C134+1)</f>
        <v>2050</v>
      </c>
      <c r="D135" s="349">
        <f>IF(F134+SUM(E$100:E134)=D$93,F134,D$93-SUM(E$100:E134))</f>
        <v>0</v>
      </c>
      <c r="E135" s="509">
        <f>IF(+J97&lt;F134,J97,D135)</f>
        <v>0</v>
      </c>
      <c r="F135" s="510">
        <f t="shared" si="27"/>
        <v>0</v>
      </c>
      <c r="G135" s="510">
        <f t="shared" si="28"/>
        <v>0</v>
      </c>
      <c r="H135" s="523">
        <f t="shared" si="29"/>
        <v>0</v>
      </c>
      <c r="I135" s="572">
        <f t="shared" si="30"/>
        <v>0</v>
      </c>
      <c r="J135" s="504">
        <f t="shared" si="32"/>
        <v>0</v>
      </c>
      <c r="K135" s="504"/>
      <c r="L135" s="512"/>
      <c r="M135" s="504">
        <f t="shared" si="33"/>
        <v>0</v>
      </c>
      <c r="N135" s="512"/>
      <c r="O135" s="504">
        <f t="shared" si="34"/>
        <v>0</v>
      </c>
      <c r="P135" s="504">
        <f t="shared" si="35"/>
        <v>0</v>
      </c>
      <c r="Q135" s="243"/>
      <c r="R135" s="243"/>
      <c r="S135" s="243"/>
      <c r="T135" s="243"/>
      <c r="U135" s="243"/>
    </row>
    <row r="136" spans="2:21">
      <c r="B136" s="145" t="str">
        <f t="shared" si="20"/>
        <v/>
      </c>
      <c r="C136" s="495">
        <f>IF(D94="","-",+C135+1)</f>
        <v>2051</v>
      </c>
      <c r="D136" s="349">
        <f>IF(F135+SUM(E$100:E135)=D$93,F135,D$93-SUM(E$100:E135))</f>
        <v>0</v>
      </c>
      <c r="E136" s="509">
        <f>IF(+J97&lt;F135,J97,D136)</f>
        <v>0</v>
      </c>
      <c r="F136" s="510">
        <f t="shared" si="27"/>
        <v>0</v>
      </c>
      <c r="G136" s="510">
        <f t="shared" si="28"/>
        <v>0</v>
      </c>
      <c r="H136" s="523">
        <f t="shared" si="29"/>
        <v>0</v>
      </c>
      <c r="I136" s="572">
        <f t="shared" si="30"/>
        <v>0</v>
      </c>
      <c r="J136" s="504">
        <f t="shared" si="32"/>
        <v>0</v>
      </c>
      <c r="K136" s="504"/>
      <c r="L136" s="512"/>
      <c r="M136" s="504">
        <f t="shared" si="33"/>
        <v>0</v>
      </c>
      <c r="N136" s="512"/>
      <c r="O136" s="504">
        <f t="shared" si="34"/>
        <v>0</v>
      </c>
      <c r="P136" s="504">
        <f t="shared" si="35"/>
        <v>0</v>
      </c>
      <c r="Q136" s="243"/>
      <c r="R136" s="243"/>
      <c r="S136" s="243"/>
      <c r="T136" s="243"/>
      <c r="U136" s="243"/>
    </row>
    <row r="137" spans="2:21">
      <c r="B137" s="145" t="str">
        <f t="shared" si="20"/>
        <v/>
      </c>
      <c r="C137" s="495">
        <f>IF(D94="","-",+C136+1)</f>
        <v>2052</v>
      </c>
      <c r="D137" s="349">
        <f>IF(F136+SUM(E$100:E136)=D$93,F136,D$93-SUM(E$100:E136))</f>
        <v>0</v>
      </c>
      <c r="E137" s="509">
        <f>IF(+J97&lt;F136,J97,D137)</f>
        <v>0</v>
      </c>
      <c r="F137" s="510">
        <f t="shared" si="27"/>
        <v>0</v>
      </c>
      <c r="G137" s="510">
        <f t="shared" si="28"/>
        <v>0</v>
      </c>
      <c r="H137" s="523">
        <f t="shared" si="29"/>
        <v>0</v>
      </c>
      <c r="I137" s="572">
        <f t="shared" si="30"/>
        <v>0</v>
      </c>
      <c r="J137" s="504">
        <f t="shared" si="32"/>
        <v>0</v>
      </c>
      <c r="K137" s="504"/>
      <c r="L137" s="512"/>
      <c r="M137" s="504">
        <f t="shared" si="33"/>
        <v>0</v>
      </c>
      <c r="N137" s="512"/>
      <c r="O137" s="504">
        <f t="shared" si="34"/>
        <v>0</v>
      </c>
      <c r="P137" s="504">
        <f t="shared" si="35"/>
        <v>0</v>
      </c>
      <c r="Q137" s="243"/>
      <c r="R137" s="243"/>
      <c r="S137" s="243"/>
      <c r="T137" s="243"/>
      <c r="U137" s="243"/>
    </row>
    <row r="138" spans="2:21">
      <c r="B138" s="145" t="str">
        <f t="shared" si="20"/>
        <v/>
      </c>
      <c r="C138" s="495">
        <f>IF(D94="","-",+C137+1)</f>
        <v>2053</v>
      </c>
      <c r="D138" s="349">
        <f>IF(F137+SUM(E$100:E137)=D$93,F137,D$93-SUM(E$100:E137))</f>
        <v>0</v>
      </c>
      <c r="E138" s="509">
        <f>IF(+J97&lt;F137,J97,D138)</f>
        <v>0</v>
      </c>
      <c r="F138" s="510">
        <f t="shared" si="27"/>
        <v>0</v>
      </c>
      <c r="G138" s="510">
        <f t="shared" si="28"/>
        <v>0</v>
      </c>
      <c r="H138" s="523">
        <f t="shared" si="29"/>
        <v>0</v>
      </c>
      <c r="I138" s="572">
        <f t="shared" si="30"/>
        <v>0</v>
      </c>
      <c r="J138" s="504">
        <f t="shared" si="32"/>
        <v>0</v>
      </c>
      <c r="K138" s="504"/>
      <c r="L138" s="512"/>
      <c r="M138" s="504">
        <f t="shared" si="33"/>
        <v>0</v>
      </c>
      <c r="N138" s="512"/>
      <c r="O138" s="504">
        <f t="shared" si="34"/>
        <v>0</v>
      </c>
      <c r="P138" s="504">
        <f t="shared" si="35"/>
        <v>0</v>
      </c>
      <c r="Q138" s="243"/>
      <c r="R138" s="243"/>
      <c r="S138" s="243"/>
      <c r="T138" s="243"/>
      <c r="U138" s="243"/>
    </row>
    <row r="139" spans="2:21">
      <c r="B139" s="145" t="str">
        <f t="shared" si="20"/>
        <v/>
      </c>
      <c r="C139" s="495">
        <f>IF(D94="","-",+C138+1)</f>
        <v>2054</v>
      </c>
      <c r="D139" s="349">
        <f>IF(F138+SUM(E$100:E138)=D$93,F138,D$93-SUM(E$100:E138))</f>
        <v>0</v>
      </c>
      <c r="E139" s="509">
        <f>IF(+J97&lt;F138,J97,D139)</f>
        <v>0</v>
      </c>
      <c r="F139" s="510">
        <f t="shared" si="27"/>
        <v>0</v>
      </c>
      <c r="G139" s="510">
        <f t="shared" si="28"/>
        <v>0</v>
      </c>
      <c r="H139" s="523">
        <f t="shared" si="29"/>
        <v>0</v>
      </c>
      <c r="I139" s="572">
        <f t="shared" si="30"/>
        <v>0</v>
      </c>
      <c r="J139" s="504">
        <f t="shared" si="32"/>
        <v>0</v>
      </c>
      <c r="K139" s="504"/>
      <c r="L139" s="512"/>
      <c r="M139" s="504">
        <f t="shared" si="33"/>
        <v>0</v>
      </c>
      <c r="N139" s="512"/>
      <c r="O139" s="504">
        <f t="shared" si="34"/>
        <v>0</v>
      </c>
      <c r="P139" s="504">
        <f t="shared" si="35"/>
        <v>0</v>
      </c>
      <c r="Q139" s="243"/>
      <c r="R139" s="243"/>
      <c r="S139" s="243"/>
      <c r="T139" s="243"/>
      <c r="U139" s="243"/>
    </row>
    <row r="140" spans="2:21">
      <c r="B140" s="145" t="str">
        <f t="shared" si="20"/>
        <v/>
      </c>
      <c r="C140" s="495">
        <f>IF(D94="","-",+C139+1)</f>
        <v>2055</v>
      </c>
      <c r="D140" s="349">
        <f>IF(F139+SUM(E$100:E139)=D$93,F139,D$93-SUM(E$100:E139))</f>
        <v>0</v>
      </c>
      <c r="E140" s="509">
        <f>IF(+J97&lt;F139,J97,D140)</f>
        <v>0</v>
      </c>
      <c r="F140" s="510">
        <f t="shared" si="27"/>
        <v>0</v>
      </c>
      <c r="G140" s="510">
        <f t="shared" si="28"/>
        <v>0</v>
      </c>
      <c r="H140" s="523">
        <f t="shared" si="29"/>
        <v>0</v>
      </c>
      <c r="I140" s="572">
        <f t="shared" si="30"/>
        <v>0</v>
      </c>
      <c r="J140" s="504">
        <f t="shared" si="32"/>
        <v>0</v>
      </c>
      <c r="K140" s="504"/>
      <c r="L140" s="512"/>
      <c r="M140" s="504">
        <f t="shared" si="33"/>
        <v>0</v>
      </c>
      <c r="N140" s="512"/>
      <c r="O140" s="504">
        <f t="shared" si="34"/>
        <v>0</v>
      </c>
      <c r="P140" s="504">
        <f t="shared" si="35"/>
        <v>0</v>
      </c>
      <c r="Q140" s="243"/>
      <c r="R140" s="243"/>
      <c r="S140" s="243"/>
      <c r="T140" s="243"/>
      <c r="U140" s="243"/>
    </row>
    <row r="141" spans="2:21">
      <c r="B141" s="145" t="str">
        <f t="shared" si="20"/>
        <v/>
      </c>
      <c r="C141" s="495">
        <f>IF(D94="","-",+C140+1)</f>
        <v>2056</v>
      </c>
      <c r="D141" s="349">
        <f>IF(F140+SUM(E$100:E140)=D$93,F140,D$93-SUM(E$100:E140))</f>
        <v>0</v>
      </c>
      <c r="E141" s="509">
        <f>IF(+J97&lt;F140,J97,D141)</f>
        <v>0</v>
      </c>
      <c r="F141" s="510">
        <f t="shared" si="27"/>
        <v>0</v>
      </c>
      <c r="G141" s="510">
        <f t="shared" si="28"/>
        <v>0</v>
      </c>
      <c r="H141" s="523">
        <f t="shared" si="29"/>
        <v>0</v>
      </c>
      <c r="I141" s="572">
        <f t="shared" si="30"/>
        <v>0</v>
      </c>
      <c r="J141" s="504">
        <f t="shared" si="32"/>
        <v>0</v>
      </c>
      <c r="K141" s="504"/>
      <c r="L141" s="512"/>
      <c r="M141" s="504">
        <f t="shared" si="33"/>
        <v>0</v>
      </c>
      <c r="N141" s="512"/>
      <c r="O141" s="504">
        <f t="shared" si="34"/>
        <v>0</v>
      </c>
      <c r="P141" s="504">
        <f t="shared" si="35"/>
        <v>0</v>
      </c>
      <c r="Q141" s="243"/>
      <c r="R141" s="243"/>
      <c r="S141" s="243"/>
      <c r="T141" s="243"/>
      <c r="U141" s="243"/>
    </row>
    <row r="142" spans="2:21">
      <c r="B142" s="145" t="str">
        <f t="shared" si="20"/>
        <v/>
      </c>
      <c r="C142" s="495">
        <f>IF(D94="","-",+C141+1)</f>
        <v>2057</v>
      </c>
      <c r="D142" s="349">
        <f>IF(F141+SUM(E$100:E141)=D$93,F141,D$93-SUM(E$100:E141))</f>
        <v>0</v>
      </c>
      <c r="E142" s="509">
        <f>IF(+J97&lt;F141,J97,D142)</f>
        <v>0</v>
      </c>
      <c r="F142" s="510">
        <f t="shared" si="27"/>
        <v>0</v>
      </c>
      <c r="G142" s="510">
        <f t="shared" si="28"/>
        <v>0</v>
      </c>
      <c r="H142" s="523">
        <f t="shared" si="29"/>
        <v>0</v>
      </c>
      <c r="I142" s="572">
        <f t="shared" si="30"/>
        <v>0</v>
      </c>
      <c r="J142" s="504">
        <f t="shared" si="32"/>
        <v>0</v>
      </c>
      <c r="K142" s="504"/>
      <c r="L142" s="512"/>
      <c r="M142" s="504">
        <f t="shared" si="33"/>
        <v>0</v>
      </c>
      <c r="N142" s="512"/>
      <c r="O142" s="504">
        <f t="shared" si="34"/>
        <v>0</v>
      </c>
      <c r="P142" s="504">
        <f t="shared" si="35"/>
        <v>0</v>
      </c>
      <c r="Q142" s="243"/>
      <c r="R142" s="243"/>
      <c r="S142" s="243"/>
      <c r="T142" s="243"/>
      <c r="U142" s="243"/>
    </row>
    <row r="143" spans="2:21">
      <c r="B143" s="145" t="str">
        <f t="shared" si="20"/>
        <v/>
      </c>
      <c r="C143" s="495">
        <f>IF(D94="","-",+C142+1)</f>
        <v>2058</v>
      </c>
      <c r="D143" s="349">
        <f>IF(F142+SUM(E$100:E142)=D$93,F142,D$93-SUM(E$100:E142))</f>
        <v>0</v>
      </c>
      <c r="E143" s="509">
        <f>IF(+J97&lt;F142,J97,D143)</f>
        <v>0</v>
      </c>
      <c r="F143" s="510">
        <f t="shared" si="27"/>
        <v>0</v>
      </c>
      <c r="G143" s="510">
        <f t="shared" si="28"/>
        <v>0</v>
      </c>
      <c r="H143" s="523">
        <f t="shared" si="29"/>
        <v>0</v>
      </c>
      <c r="I143" s="572">
        <f t="shared" si="30"/>
        <v>0</v>
      </c>
      <c r="J143" s="504">
        <f t="shared" si="32"/>
        <v>0</v>
      </c>
      <c r="K143" s="504"/>
      <c r="L143" s="512"/>
      <c r="M143" s="504">
        <f t="shared" si="33"/>
        <v>0</v>
      </c>
      <c r="N143" s="512"/>
      <c r="O143" s="504">
        <f t="shared" si="34"/>
        <v>0</v>
      </c>
      <c r="P143" s="504">
        <f t="shared" si="35"/>
        <v>0</v>
      </c>
      <c r="Q143" s="243"/>
      <c r="R143" s="243"/>
      <c r="S143" s="243"/>
      <c r="T143" s="243"/>
      <c r="U143" s="243"/>
    </row>
    <row r="144" spans="2:21">
      <c r="B144" s="145" t="str">
        <f t="shared" si="20"/>
        <v/>
      </c>
      <c r="C144" s="495">
        <f>IF(D94="","-",+C143+1)</f>
        <v>2059</v>
      </c>
      <c r="D144" s="349">
        <f>IF(F143+SUM(E$100:E143)=D$93,F143,D$93-SUM(E$100:E143))</f>
        <v>0</v>
      </c>
      <c r="E144" s="509">
        <f>IF(+J97&lt;F143,J97,D144)</f>
        <v>0</v>
      </c>
      <c r="F144" s="510">
        <f t="shared" si="27"/>
        <v>0</v>
      </c>
      <c r="G144" s="510">
        <f t="shared" si="28"/>
        <v>0</v>
      </c>
      <c r="H144" s="523">
        <f t="shared" si="29"/>
        <v>0</v>
      </c>
      <c r="I144" s="572">
        <f t="shared" si="30"/>
        <v>0</v>
      </c>
      <c r="J144" s="504">
        <f t="shared" si="32"/>
        <v>0</v>
      </c>
      <c r="K144" s="504"/>
      <c r="L144" s="512"/>
      <c r="M144" s="504">
        <f t="shared" si="33"/>
        <v>0</v>
      </c>
      <c r="N144" s="512"/>
      <c r="O144" s="504">
        <f t="shared" si="34"/>
        <v>0</v>
      </c>
      <c r="P144" s="504">
        <f t="shared" si="35"/>
        <v>0</v>
      </c>
      <c r="Q144" s="243"/>
      <c r="R144" s="243"/>
      <c r="S144" s="243"/>
      <c r="T144" s="243"/>
      <c r="U144" s="243"/>
    </row>
    <row r="145" spans="2:21">
      <c r="B145" s="145" t="str">
        <f t="shared" si="20"/>
        <v/>
      </c>
      <c r="C145" s="495">
        <f>IF(D94="","-",+C144+1)</f>
        <v>2060</v>
      </c>
      <c r="D145" s="349">
        <f>IF(F144+SUM(E$100:E144)=D$93,F144,D$93-SUM(E$100:E144))</f>
        <v>0</v>
      </c>
      <c r="E145" s="509">
        <f>IF(+J97&lt;F144,J97,D145)</f>
        <v>0</v>
      </c>
      <c r="F145" s="510">
        <f t="shared" si="27"/>
        <v>0</v>
      </c>
      <c r="G145" s="510">
        <f t="shared" si="28"/>
        <v>0</v>
      </c>
      <c r="H145" s="523">
        <f t="shared" si="29"/>
        <v>0</v>
      </c>
      <c r="I145" s="572">
        <f t="shared" si="30"/>
        <v>0</v>
      </c>
      <c r="J145" s="504">
        <f t="shared" si="32"/>
        <v>0</v>
      </c>
      <c r="K145" s="504"/>
      <c r="L145" s="512"/>
      <c r="M145" s="504">
        <f t="shared" si="33"/>
        <v>0</v>
      </c>
      <c r="N145" s="512"/>
      <c r="O145" s="504">
        <f t="shared" si="34"/>
        <v>0</v>
      </c>
      <c r="P145" s="504">
        <f t="shared" si="35"/>
        <v>0</v>
      </c>
      <c r="Q145" s="243"/>
      <c r="R145" s="243"/>
      <c r="S145" s="243"/>
      <c r="T145" s="243"/>
      <c r="U145" s="243"/>
    </row>
    <row r="146" spans="2:21">
      <c r="B146" s="145" t="str">
        <f t="shared" si="20"/>
        <v/>
      </c>
      <c r="C146" s="495">
        <f>IF(D94="","-",+C145+1)</f>
        <v>2061</v>
      </c>
      <c r="D146" s="349">
        <f>IF(F145+SUM(E$100:E145)=D$93,F145,D$93-SUM(E$100:E145))</f>
        <v>0</v>
      </c>
      <c r="E146" s="509">
        <f>IF(+J97&lt;F145,J97,D146)</f>
        <v>0</v>
      </c>
      <c r="F146" s="510">
        <f t="shared" si="27"/>
        <v>0</v>
      </c>
      <c r="G146" s="510">
        <f t="shared" si="28"/>
        <v>0</v>
      </c>
      <c r="H146" s="523">
        <f t="shared" si="29"/>
        <v>0</v>
      </c>
      <c r="I146" s="572">
        <f t="shared" si="30"/>
        <v>0</v>
      </c>
      <c r="J146" s="504">
        <f t="shared" si="32"/>
        <v>0</v>
      </c>
      <c r="K146" s="504"/>
      <c r="L146" s="512"/>
      <c r="M146" s="504">
        <f t="shared" si="33"/>
        <v>0</v>
      </c>
      <c r="N146" s="512"/>
      <c r="O146" s="504">
        <f t="shared" si="34"/>
        <v>0</v>
      </c>
      <c r="P146" s="504">
        <f t="shared" si="35"/>
        <v>0</v>
      </c>
      <c r="Q146" s="243"/>
      <c r="R146" s="243"/>
      <c r="S146" s="243"/>
      <c r="T146" s="243"/>
      <c r="U146" s="243"/>
    </row>
    <row r="147" spans="2:21">
      <c r="B147" s="145" t="str">
        <f t="shared" si="20"/>
        <v/>
      </c>
      <c r="C147" s="495">
        <f>IF(D94="","-",+C146+1)</f>
        <v>2062</v>
      </c>
      <c r="D147" s="349">
        <f>IF(F146+SUM(E$100:E146)=D$93,F146,D$93-SUM(E$100:E146))</f>
        <v>0</v>
      </c>
      <c r="E147" s="509">
        <f>IF(+J97&lt;F146,J97,D147)</f>
        <v>0</v>
      </c>
      <c r="F147" s="510">
        <f t="shared" si="27"/>
        <v>0</v>
      </c>
      <c r="G147" s="510">
        <f t="shared" si="28"/>
        <v>0</v>
      </c>
      <c r="H147" s="523">
        <f t="shared" si="29"/>
        <v>0</v>
      </c>
      <c r="I147" s="572">
        <f t="shared" si="30"/>
        <v>0</v>
      </c>
      <c r="J147" s="504">
        <f t="shared" si="32"/>
        <v>0</v>
      </c>
      <c r="K147" s="504"/>
      <c r="L147" s="512"/>
      <c r="M147" s="504">
        <f t="shared" si="33"/>
        <v>0</v>
      </c>
      <c r="N147" s="512"/>
      <c r="O147" s="504">
        <f t="shared" si="34"/>
        <v>0</v>
      </c>
      <c r="P147" s="504">
        <f t="shared" si="35"/>
        <v>0</v>
      </c>
      <c r="Q147" s="243"/>
      <c r="R147" s="243"/>
      <c r="S147" s="243"/>
      <c r="T147" s="243"/>
      <c r="U147" s="243"/>
    </row>
    <row r="148" spans="2:21">
      <c r="B148" s="145" t="str">
        <f t="shared" si="20"/>
        <v/>
      </c>
      <c r="C148" s="495">
        <f>IF(D94="","-",+C147+1)</f>
        <v>2063</v>
      </c>
      <c r="D148" s="349">
        <f>IF(F147+SUM(E$100:E147)=D$93,F147,D$93-SUM(E$100:E147))</f>
        <v>0</v>
      </c>
      <c r="E148" s="509">
        <f>IF(+J97&lt;F147,J97,D148)</f>
        <v>0</v>
      </c>
      <c r="F148" s="510">
        <f t="shared" si="27"/>
        <v>0</v>
      </c>
      <c r="G148" s="510">
        <f t="shared" si="28"/>
        <v>0</v>
      </c>
      <c r="H148" s="523">
        <f t="shared" si="29"/>
        <v>0</v>
      </c>
      <c r="I148" s="572">
        <f t="shared" si="30"/>
        <v>0</v>
      </c>
      <c r="J148" s="504">
        <f t="shared" si="32"/>
        <v>0</v>
      </c>
      <c r="K148" s="504"/>
      <c r="L148" s="512"/>
      <c r="M148" s="504">
        <f t="shared" si="33"/>
        <v>0</v>
      </c>
      <c r="N148" s="512"/>
      <c r="O148" s="504">
        <f t="shared" si="34"/>
        <v>0</v>
      </c>
      <c r="P148" s="504">
        <f t="shared" si="35"/>
        <v>0</v>
      </c>
      <c r="Q148" s="243"/>
      <c r="R148" s="243"/>
      <c r="S148" s="243"/>
      <c r="T148" s="243"/>
      <c r="U148" s="243"/>
    </row>
    <row r="149" spans="2:21">
      <c r="B149" s="145" t="str">
        <f t="shared" si="20"/>
        <v/>
      </c>
      <c r="C149" s="495">
        <f>IF(D94="","-",+C148+1)</f>
        <v>2064</v>
      </c>
      <c r="D149" s="349">
        <f>IF(F148+SUM(E$100:E148)=D$93,F148,D$93-SUM(E$100:E148))</f>
        <v>0</v>
      </c>
      <c r="E149" s="509">
        <f>IF(+J97&lt;F148,J97,D149)</f>
        <v>0</v>
      </c>
      <c r="F149" s="510">
        <f t="shared" si="27"/>
        <v>0</v>
      </c>
      <c r="G149" s="510">
        <f t="shared" si="28"/>
        <v>0</v>
      </c>
      <c r="H149" s="523">
        <f t="shared" si="29"/>
        <v>0</v>
      </c>
      <c r="I149" s="572">
        <f t="shared" si="30"/>
        <v>0</v>
      </c>
      <c r="J149" s="504">
        <f t="shared" si="32"/>
        <v>0</v>
      </c>
      <c r="K149" s="504"/>
      <c r="L149" s="512"/>
      <c r="M149" s="504">
        <f t="shared" si="33"/>
        <v>0</v>
      </c>
      <c r="N149" s="512"/>
      <c r="O149" s="504">
        <f t="shared" si="34"/>
        <v>0</v>
      </c>
      <c r="P149" s="504">
        <f t="shared" si="35"/>
        <v>0</v>
      </c>
      <c r="Q149" s="243"/>
      <c r="R149" s="243"/>
      <c r="S149" s="243"/>
      <c r="T149" s="243"/>
      <c r="U149" s="243"/>
    </row>
    <row r="150" spans="2:21">
      <c r="B150" s="145" t="str">
        <f t="shared" si="20"/>
        <v/>
      </c>
      <c r="C150" s="495">
        <f>IF(D94="","-",+C149+1)</f>
        <v>2065</v>
      </c>
      <c r="D150" s="349">
        <f>IF(F149+SUM(E$100:E149)=D$93,F149,D$93-SUM(E$100:E149))</f>
        <v>0</v>
      </c>
      <c r="E150" s="509">
        <f>IF(+J97&lt;F149,J97,D150)</f>
        <v>0</v>
      </c>
      <c r="F150" s="510">
        <f t="shared" si="27"/>
        <v>0</v>
      </c>
      <c r="G150" s="510">
        <f t="shared" si="28"/>
        <v>0</v>
      </c>
      <c r="H150" s="523">
        <f t="shared" si="29"/>
        <v>0</v>
      </c>
      <c r="I150" s="572">
        <f t="shared" si="30"/>
        <v>0</v>
      </c>
      <c r="J150" s="504">
        <f t="shared" si="32"/>
        <v>0</v>
      </c>
      <c r="K150" s="504"/>
      <c r="L150" s="512"/>
      <c r="M150" s="504">
        <f t="shared" si="33"/>
        <v>0</v>
      </c>
      <c r="N150" s="512"/>
      <c r="O150" s="504">
        <f t="shared" si="34"/>
        <v>0</v>
      </c>
      <c r="P150" s="504">
        <f t="shared" si="35"/>
        <v>0</v>
      </c>
      <c r="Q150" s="243"/>
      <c r="R150" s="243"/>
      <c r="S150" s="243"/>
      <c r="T150" s="243"/>
      <c r="U150" s="243"/>
    </row>
    <row r="151" spans="2:21">
      <c r="B151" s="145" t="str">
        <f t="shared" si="20"/>
        <v/>
      </c>
      <c r="C151" s="495">
        <f>IF(D94="","-",+C150+1)</f>
        <v>2066</v>
      </c>
      <c r="D151" s="349">
        <f>IF(F150+SUM(E$100:E150)=D$93,F150,D$93-SUM(E$100:E150))</f>
        <v>0</v>
      </c>
      <c r="E151" s="509">
        <f>IF(+J97&lt;F150,J97,D151)</f>
        <v>0</v>
      </c>
      <c r="F151" s="510">
        <f t="shared" si="27"/>
        <v>0</v>
      </c>
      <c r="G151" s="510">
        <f t="shared" si="28"/>
        <v>0</v>
      </c>
      <c r="H151" s="523">
        <f t="shared" si="29"/>
        <v>0</v>
      </c>
      <c r="I151" s="572">
        <f t="shared" si="30"/>
        <v>0</v>
      </c>
      <c r="J151" s="504">
        <f t="shared" si="32"/>
        <v>0</v>
      </c>
      <c r="K151" s="504"/>
      <c r="L151" s="512"/>
      <c r="M151" s="504">
        <f t="shared" si="33"/>
        <v>0</v>
      </c>
      <c r="N151" s="512"/>
      <c r="O151" s="504">
        <f t="shared" si="34"/>
        <v>0</v>
      </c>
      <c r="P151" s="504">
        <f t="shared" si="35"/>
        <v>0</v>
      </c>
      <c r="Q151" s="243"/>
      <c r="R151" s="243"/>
      <c r="S151" s="243"/>
      <c r="T151" s="243"/>
      <c r="U151" s="243"/>
    </row>
    <row r="152" spans="2:21">
      <c r="B152" s="145" t="str">
        <f t="shared" si="20"/>
        <v/>
      </c>
      <c r="C152" s="495">
        <f>IF(D94="","-",+C151+1)</f>
        <v>2067</v>
      </c>
      <c r="D152" s="349">
        <f>IF(F151+SUM(E$100:E151)=D$93,F151,D$93-SUM(E$100:E151))</f>
        <v>0</v>
      </c>
      <c r="E152" s="509">
        <f>IF(+J97&lt;F151,J97,D152)</f>
        <v>0</v>
      </c>
      <c r="F152" s="510">
        <f t="shared" si="27"/>
        <v>0</v>
      </c>
      <c r="G152" s="510">
        <f t="shared" si="28"/>
        <v>0</v>
      </c>
      <c r="H152" s="523">
        <f t="shared" si="29"/>
        <v>0</v>
      </c>
      <c r="I152" s="572">
        <f t="shared" si="30"/>
        <v>0</v>
      </c>
      <c r="J152" s="504">
        <f t="shared" si="32"/>
        <v>0</v>
      </c>
      <c r="K152" s="504"/>
      <c r="L152" s="512"/>
      <c r="M152" s="504">
        <f t="shared" si="33"/>
        <v>0</v>
      </c>
      <c r="N152" s="512"/>
      <c r="O152" s="504">
        <f t="shared" si="34"/>
        <v>0</v>
      </c>
      <c r="P152" s="504">
        <f t="shared" si="35"/>
        <v>0</v>
      </c>
      <c r="Q152" s="243"/>
      <c r="R152" s="243"/>
      <c r="S152" s="243"/>
      <c r="T152" s="243"/>
      <c r="U152" s="243"/>
    </row>
    <row r="153" spans="2:21">
      <c r="B153" s="145" t="str">
        <f t="shared" si="20"/>
        <v/>
      </c>
      <c r="C153" s="495">
        <f>IF(D94="","-",+C152+1)</f>
        <v>2068</v>
      </c>
      <c r="D153" s="349">
        <f>IF(F152+SUM(E$100:E152)=D$93,F152,D$93-SUM(E$100:E152))</f>
        <v>0</v>
      </c>
      <c r="E153" s="509">
        <f>IF(+J97&lt;F152,J97,D153)</f>
        <v>0</v>
      </c>
      <c r="F153" s="510">
        <f t="shared" si="27"/>
        <v>0</v>
      </c>
      <c r="G153" s="510">
        <f t="shared" si="28"/>
        <v>0</v>
      </c>
      <c r="H153" s="523">
        <f t="shared" si="29"/>
        <v>0</v>
      </c>
      <c r="I153" s="572">
        <f t="shared" si="30"/>
        <v>0</v>
      </c>
      <c r="J153" s="504">
        <f t="shared" si="32"/>
        <v>0</v>
      </c>
      <c r="K153" s="504"/>
      <c r="L153" s="512"/>
      <c r="M153" s="504">
        <f t="shared" si="33"/>
        <v>0</v>
      </c>
      <c r="N153" s="512"/>
      <c r="O153" s="504">
        <f t="shared" si="34"/>
        <v>0</v>
      </c>
      <c r="P153" s="504">
        <f t="shared" si="35"/>
        <v>0</v>
      </c>
      <c r="Q153" s="243"/>
      <c r="R153" s="243"/>
      <c r="S153" s="243"/>
      <c r="T153" s="243"/>
      <c r="U153" s="243"/>
    </row>
    <row r="154" spans="2:21">
      <c r="B154" s="145" t="str">
        <f t="shared" si="20"/>
        <v/>
      </c>
      <c r="C154" s="495">
        <f>IF(D94="","-",+C153+1)</f>
        <v>2069</v>
      </c>
      <c r="D154" s="349">
        <f>IF(F153+SUM(E$100:E153)=D$93,F153,D$93-SUM(E$100:E153))</f>
        <v>0</v>
      </c>
      <c r="E154" s="509">
        <f>IF(+J97&lt;F153,J97,D154)</f>
        <v>0</v>
      </c>
      <c r="F154" s="510">
        <f t="shared" si="27"/>
        <v>0</v>
      </c>
      <c r="G154" s="510">
        <f t="shared" si="28"/>
        <v>0</v>
      </c>
      <c r="H154" s="523">
        <f t="shared" si="29"/>
        <v>0</v>
      </c>
      <c r="I154" s="572">
        <f t="shared" si="30"/>
        <v>0</v>
      </c>
      <c r="J154" s="504">
        <f t="shared" si="32"/>
        <v>0</v>
      </c>
      <c r="K154" s="504"/>
      <c r="L154" s="512"/>
      <c r="M154" s="504">
        <f t="shared" si="33"/>
        <v>0</v>
      </c>
      <c r="N154" s="512"/>
      <c r="O154" s="504">
        <f t="shared" si="34"/>
        <v>0</v>
      </c>
      <c r="P154" s="504">
        <f t="shared" si="35"/>
        <v>0</v>
      </c>
      <c r="Q154" s="243"/>
      <c r="R154" s="243"/>
      <c r="S154" s="243"/>
      <c r="T154" s="243"/>
      <c r="U154" s="243"/>
    </row>
    <row r="155" spans="2:21" ht="13.5" thickBot="1">
      <c r="B155" s="145" t="str">
        <f t="shared" si="20"/>
        <v/>
      </c>
      <c r="C155" s="524">
        <f>IF(D94="","-",+C154+1)</f>
        <v>2070</v>
      </c>
      <c r="D155" s="349">
        <f>IF(F154+SUM(E$100:E154)=D$93,F154,D$93-SUM(E$100:E154))</f>
        <v>0</v>
      </c>
      <c r="E155" s="526">
        <f>IF(+J97&lt;F154,J97,D155)</f>
        <v>0</v>
      </c>
      <c r="F155" s="527">
        <f t="shared" si="27"/>
        <v>0</v>
      </c>
      <c r="G155" s="527">
        <f t="shared" si="28"/>
        <v>0</v>
      </c>
      <c r="H155" s="623">
        <f t="shared" si="29"/>
        <v>0</v>
      </c>
      <c r="I155" s="624">
        <f t="shared" si="30"/>
        <v>0</v>
      </c>
      <c r="J155" s="531">
        <f t="shared" si="32"/>
        <v>0</v>
      </c>
      <c r="K155" s="504"/>
      <c r="L155" s="530"/>
      <c r="M155" s="531">
        <f t="shared" si="33"/>
        <v>0</v>
      </c>
      <c r="N155" s="530"/>
      <c r="O155" s="531">
        <f t="shared" si="34"/>
        <v>0</v>
      </c>
      <c r="P155" s="531">
        <f t="shared" si="35"/>
        <v>0</v>
      </c>
      <c r="Q155" s="243"/>
      <c r="R155" s="243"/>
      <c r="S155" s="243"/>
      <c r="T155" s="243"/>
      <c r="U155" s="243"/>
    </row>
    <row r="156" spans="2:21">
      <c r="C156" s="349" t="s">
        <v>75</v>
      </c>
      <c r="D156" s="294"/>
      <c r="E156" s="294">
        <f>SUM(E100:E155)</f>
        <v>8535104.0000000019</v>
      </c>
      <c r="F156" s="294"/>
      <c r="G156" s="294"/>
      <c r="H156" s="294">
        <f>SUM(H100:H155)</f>
        <v>22443264.242476936</v>
      </c>
      <c r="I156" s="294">
        <f>SUM(I100:I155)</f>
        <v>22443264.242476936</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6" priority="1" stopIfTrue="1" operator="equal">
      <formula>$I$10</formula>
    </cfRule>
  </conditionalFormatting>
  <conditionalFormatting sqref="C100:C155">
    <cfRule type="cellIs" dxfId="45"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1">
    <tabColor theme="9" tint="0.39997558519241921"/>
  </sheetPr>
  <dimension ref="A1:U163"/>
  <sheetViews>
    <sheetView view="pageBreakPreview" zoomScale="78" zoomScaleNormal="100" zoomScaleSheetLayoutView="78"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10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832781.34076982411</v>
      </c>
      <c r="P5" s="243"/>
      <c r="R5" s="243"/>
      <c r="S5" s="243"/>
      <c r="T5" s="243"/>
      <c r="U5" s="243"/>
    </row>
    <row r="6" spans="1:21" ht="15.75">
      <c r="C6" s="235"/>
      <c r="D6" s="292"/>
      <c r="E6" s="243"/>
      <c r="F6" s="243"/>
      <c r="G6" s="243"/>
      <c r="H6" s="449"/>
      <c r="I6" s="449"/>
      <c r="J6" s="450"/>
      <c r="K6" s="451" t="s">
        <v>243</v>
      </c>
      <c r="L6" s="452"/>
      <c r="M6" s="278"/>
      <c r="N6" s="453">
        <f>VLOOKUP(I10,C17:I73,6)</f>
        <v>832781.34076982411</v>
      </c>
      <c r="O6" s="243"/>
      <c r="P6" s="243"/>
      <c r="R6" s="243"/>
      <c r="S6" s="243"/>
      <c r="T6" s="243"/>
      <c r="U6" s="243"/>
    </row>
    <row r="7" spans="1:21" ht="13.5" thickBot="1">
      <c r="C7" s="454" t="s">
        <v>46</v>
      </c>
      <c r="D7" s="455" t="s">
        <v>229</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218</v>
      </c>
      <c r="E9" s="646" t="s">
        <v>303</v>
      </c>
      <c r="F9" s="465"/>
      <c r="G9" s="465"/>
      <c r="H9" s="465"/>
      <c r="I9" s="466"/>
      <c r="J9" s="467"/>
      <c r="O9" s="468"/>
      <c r="P9" s="278"/>
      <c r="R9" s="243"/>
      <c r="S9" s="243"/>
      <c r="T9" s="243"/>
      <c r="U9" s="243"/>
    </row>
    <row r="10" spans="1:21">
      <c r="C10" s="469" t="s">
        <v>49</v>
      </c>
      <c r="D10" s="470">
        <v>7210308.9500000002</v>
      </c>
      <c r="E10" s="299" t="s">
        <v>50</v>
      </c>
      <c r="F10" s="468"/>
      <c r="G10" s="408"/>
      <c r="H10" s="408"/>
      <c r="I10" s="471">
        <f>+'OKT.WS.F.BPU.ATRR.Projected'!R101</f>
        <v>2024</v>
      </c>
      <c r="J10" s="467"/>
      <c r="K10" s="294" t="s">
        <v>51</v>
      </c>
      <c r="O10" s="278"/>
      <c r="P10" s="278"/>
      <c r="R10" s="243"/>
      <c r="S10" s="243"/>
      <c r="T10" s="243"/>
      <c r="U10" s="243"/>
    </row>
    <row r="11" spans="1:21">
      <c r="C11" s="472" t="s">
        <v>52</v>
      </c>
      <c r="D11" s="473">
        <v>2013</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12</v>
      </c>
      <c r="E12" s="472" t="s">
        <v>55</v>
      </c>
      <c r="F12" s="408"/>
      <c r="G12" s="220"/>
      <c r="H12" s="220"/>
      <c r="I12" s="476">
        <f>'OKT.WS.F.BPU.ATRR.Projected'!$F$79</f>
        <v>0.11393163315254198</v>
      </c>
      <c r="J12" s="413"/>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232590.61129032259</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2013</v>
      </c>
      <c r="D17" s="496">
        <v>7200873.8200000003</v>
      </c>
      <c r="E17" s="497">
        <v>0</v>
      </c>
      <c r="F17" s="496">
        <v>7200873.8200000003</v>
      </c>
      <c r="G17" s="497">
        <v>66024.408436961749</v>
      </c>
      <c r="H17" s="499">
        <v>66024.408436961749</v>
      </c>
      <c r="I17" s="584">
        <v>0</v>
      </c>
      <c r="J17" s="500"/>
      <c r="K17" s="501">
        <f t="shared" ref="K17:K22" si="1">G17</f>
        <v>66024.408436961749</v>
      </c>
      <c r="L17" s="502">
        <f t="shared" ref="L17:L22" si="2">IF(K17&lt;&gt;0,+G17-K17,0)</f>
        <v>0</v>
      </c>
      <c r="M17" s="501">
        <f t="shared" ref="M17:M22" si="3">H17</f>
        <v>66024.408436961749</v>
      </c>
      <c r="N17" s="503">
        <f>IF(M17&lt;&gt;0,+H17-M17,0)</f>
        <v>0</v>
      </c>
      <c r="O17" s="504">
        <f>+N17-L17</f>
        <v>0</v>
      </c>
      <c r="P17" s="278"/>
      <c r="R17" s="243"/>
      <c r="S17" s="243"/>
      <c r="T17" s="243"/>
      <c r="U17" s="243"/>
    </row>
    <row r="18" spans="2:21">
      <c r="B18" s="145" t="str">
        <f t="shared" si="0"/>
        <v/>
      </c>
      <c r="C18" s="495">
        <f>IF(D11="","-",+C17+1)</f>
        <v>2014</v>
      </c>
      <c r="D18" s="505">
        <v>7200873.8200000003</v>
      </c>
      <c r="E18" s="498">
        <v>124569.42917795427</v>
      </c>
      <c r="F18" s="505">
        <v>7076304.3908220464</v>
      </c>
      <c r="G18" s="498">
        <v>903156.28905530274</v>
      </c>
      <c r="H18" s="499">
        <v>903156.28905530274</v>
      </c>
      <c r="I18" s="584">
        <v>0</v>
      </c>
      <c r="J18" s="500"/>
      <c r="K18" s="592">
        <f t="shared" si="1"/>
        <v>903156.28905530274</v>
      </c>
      <c r="L18" s="596">
        <f t="shared" si="2"/>
        <v>0</v>
      </c>
      <c r="M18" s="592">
        <f t="shared" si="3"/>
        <v>903156.28905530274</v>
      </c>
      <c r="N18" s="594">
        <f>IF(M18&lt;&gt;0,+H18-M18,0)</f>
        <v>0</v>
      </c>
      <c r="O18" s="596">
        <f>+N18-L18</f>
        <v>0</v>
      </c>
      <c r="P18" s="278"/>
      <c r="R18" s="243"/>
      <c r="S18" s="243"/>
      <c r="T18" s="243"/>
      <c r="U18" s="243"/>
    </row>
    <row r="19" spans="2:21">
      <c r="B19" s="145" t="str">
        <f t="shared" si="0"/>
        <v/>
      </c>
      <c r="C19" s="495">
        <f>IF(D11="","-",+C18+1)</f>
        <v>2015</v>
      </c>
      <c r="D19" s="614">
        <v>7076304.3908220464</v>
      </c>
      <c r="E19" s="613">
        <v>124569.42917795427</v>
      </c>
      <c r="F19" s="614">
        <v>6951734.9616440926</v>
      </c>
      <c r="G19" s="613">
        <v>841053.03893843992</v>
      </c>
      <c r="H19" s="617">
        <v>841053.03893843992</v>
      </c>
      <c r="I19" s="584">
        <v>0</v>
      </c>
      <c r="J19" s="500"/>
      <c r="K19" s="592">
        <f t="shared" si="1"/>
        <v>841053.03893843992</v>
      </c>
      <c r="L19" s="596">
        <f t="shared" si="2"/>
        <v>0</v>
      </c>
      <c r="M19" s="592">
        <f t="shared" si="3"/>
        <v>841053.03893843992</v>
      </c>
      <c r="N19" s="594">
        <f>IF(M19&lt;&gt;0,+H19-M19,0)</f>
        <v>0</v>
      </c>
      <c r="O19" s="596">
        <f>+N19-L19</f>
        <v>0</v>
      </c>
      <c r="P19" s="278"/>
      <c r="R19" s="243"/>
      <c r="S19" s="243"/>
      <c r="T19" s="243"/>
      <c r="U19" s="243"/>
    </row>
    <row r="20" spans="2:21">
      <c r="B20" s="145" t="str">
        <f t="shared" si="0"/>
        <v/>
      </c>
      <c r="C20" s="495">
        <f>IF(D11="","-",+C19+1)</f>
        <v>2016</v>
      </c>
      <c r="D20" s="614">
        <v>6951734.9616440926</v>
      </c>
      <c r="E20" s="613">
        <v>149630.22739831218</v>
      </c>
      <c r="F20" s="614">
        <v>6802104.7342457809</v>
      </c>
      <c r="G20" s="613">
        <v>883443.80340987013</v>
      </c>
      <c r="H20" s="617">
        <v>883443.80340987013</v>
      </c>
      <c r="I20" s="500">
        <f>H20-G20</f>
        <v>0</v>
      </c>
      <c r="J20" s="500"/>
      <c r="K20" s="592">
        <f t="shared" si="1"/>
        <v>883443.80340987013</v>
      </c>
      <c r="L20" s="596">
        <f t="shared" si="2"/>
        <v>0</v>
      </c>
      <c r="M20" s="592">
        <f t="shared" si="3"/>
        <v>883443.80340987013</v>
      </c>
      <c r="N20" s="504">
        <f t="shared" ref="N20:N73" si="4">IF(M20&lt;&gt;0,+H20-M20,0)</f>
        <v>0</v>
      </c>
      <c r="O20" s="504">
        <f t="shared" ref="O20:O73" si="5">+N20-L20</f>
        <v>0</v>
      </c>
      <c r="P20" s="278"/>
      <c r="R20" s="243"/>
      <c r="S20" s="243"/>
      <c r="T20" s="243"/>
      <c r="U20" s="243"/>
    </row>
    <row r="21" spans="2:21">
      <c r="B21" s="145" t="str">
        <f t="shared" si="0"/>
        <v>IU</v>
      </c>
      <c r="C21" s="495">
        <f>IF(D11="","-",+C20+1)</f>
        <v>2017</v>
      </c>
      <c r="D21" s="614">
        <v>6811539.9142457796</v>
      </c>
      <c r="E21" s="613">
        <v>141768.94979225809</v>
      </c>
      <c r="F21" s="614">
        <v>6669770.9644535212</v>
      </c>
      <c r="G21" s="613">
        <v>882836.42245279858</v>
      </c>
      <c r="H21" s="617">
        <v>882836.42245279858</v>
      </c>
      <c r="I21" s="500">
        <f t="shared" ref="I21:I73" si="6">H21-G21</f>
        <v>0</v>
      </c>
      <c r="J21" s="500"/>
      <c r="K21" s="592">
        <f t="shared" si="1"/>
        <v>882836.42245279858</v>
      </c>
      <c r="L21" s="596">
        <f t="shared" si="2"/>
        <v>0</v>
      </c>
      <c r="M21" s="592">
        <f t="shared" si="3"/>
        <v>882836.42245279858</v>
      </c>
      <c r="N21" s="504">
        <f>IF(M21&lt;&gt;0,+H21-M21,0)</f>
        <v>0</v>
      </c>
      <c r="O21" s="504">
        <f>+N21-L21</f>
        <v>0</v>
      </c>
      <c r="P21" s="278"/>
      <c r="R21" s="243"/>
      <c r="S21" s="243"/>
      <c r="T21" s="243"/>
      <c r="U21" s="243"/>
    </row>
    <row r="22" spans="2:21">
      <c r="B22" s="145" t="str">
        <f t="shared" si="0"/>
        <v/>
      </c>
      <c r="C22" s="495">
        <f>IF(D11="","-",+C21+1)</f>
        <v>2018</v>
      </c>
      <c r="D22" s="614">
        <v>6669770.9644535212</v>
      </c>
      <c r="E22" s="613">
        <v>176829.81385654397</v>
      </c>
      <c r="F22" s="614">
        <v>6492941.1505969772</v>
      </c>
      <c r="G22" s="613">
        <v>845651.23589628318</v>
      </c>
      <c r="H22" s="617">
        <v>845651.23589628318</v>
      </c>
      <c r="I22" s="500">
        <v>0</v>
      </c>
      <c r="J22" s="500"/>
      <c r="K22" s="592">
        <f t="shared" si="1"/>
        <v>845651.23589628318</v>
      </c>
      <c r="L22" s="596">
        <f t="shared" si="2"/>
        <v>0</v>
      </c>
      <c r="M22" s="592">
        <f t="shared" si="3"/>
        <v>845651.23589628318</v>
      </c>
      <c r="N22" s="504">
        <f>IF(M22&lt;&gt;0,+H22-M22,0)</f>
        <v>0</v>
      </c>
      <c r="O22" s="504">
        <f>+N22-L22</f>
        <v>0</v>
      </c>
      <c r="P22" s="278"/>
      <c r="R22" s="243"/>
      <c r="S22" s="243"/>
      <c r="T22" s="243"/>
      <c r="U22" s="243"/>
    </row>
    <row r="23" spans="2:21">
      <c r="B23" s="145" t="str">
        <f t="shared" si="0"/>
        <v/>
      </c>
      <c r="C23" s="495">
        <f>IF(D11="","-",+C22+1)</f>
        <v>2019</v>
      </c>
      <c r="D23" s="614">
        <v>6492941.1505969772</v>
      </c>
      <c r="E23" s="613">
        <v>213849.4508925222</v>
      </c>
      <c r="F23" s="614">
        <v>6279091.6997044552</v>
      </c>
      <c r="G23" s="613">
        <v>877586.22744876624</v>
      </c>
      <c r="H23" s="617">
        <v>877586.22744876624</v>
      </c>
      <c r="I23" s="500">
        <f t="shared" si="6"/>
        <v>0</v>
      </c>
      <c r="J23" s="500"/>
      <c r="K23" s="592">
        <f t="shared" ref="K23" si="7">G23</f>
        <v>877586.22744876624</v>
      </c>
      <c r="L23" s="596">
        <f t="shared" ref="L23" si="8">IF(K23&lt;&gt;0,+G23-K23,0)</f>
        <v>0</v>
      </c>
      <c r="M23" s="592">
        <f t="shared" ref="M23" si="9">H23</f>
        <v>877586.22744876624</v>
      </c>
      <c r="N23" s="504">
        <f>IF(M23&lt;&gt;0,+H23-M23,0)</f>
        <v>0</v>
      </c>
      <c r="O23" s="504">
        <f>+N23-L23</f>
        <v>0</v>
      </c>
      <c r="P23" s="278"/>
      <c r="R23" s="243"/>
      <c r="S23" s="243"/>
      <c r="T23" s="243"/>
      <c r="U23" s="243"/>
    </row>
    <row r="24" spans="2:21">
      <c r="B24" s="145" t="str">
        <f t="shared" si="0"/>
        <v>IU</v>
      </c>
      <c r="C24" s="495">
        <f>IF(D11="","-",+C23+1)</f>
        <v>2020</v>
      </c>
      <c r="D24" s="614">
        <v>6316111.3367404332</v>
      </c>
      <c r="E24" s="613">
        <v>211130.68525810694</v>
      </c>
      <c r="F24" s="614">
        <v>6104980.651482326</v>
      </c>
      <c r="G24" s="613">
        <v>862818.59359815018</v>
      </c>
      <c r="H24" s="617">
        <v>862818.59359815018</v>
      </c>
      <c r="I24" s="500">
        <f t="shared" si="6"/>
        <v>0</v>
      </c>
      <c r="J24" s="500"/>
      <c r="K24" s="592">
        <f t="shared" ref="K24" si="10">G24</f>
        <v>862818.59359815018</v>
      </c>
      <c r="L24" s="596">
        <f t="shared" ref="L24" si="11">IF(K24&lt;&gt;0,+G24-K24,0)</f>
        <v>0</v>
      </c>
      <c r="M24" s="592">
        <f t="shared" ref="M24" si="12">H24</f>
        <v>862818.59359815018</v>
      </c>
      <c r="N24" s="504">
        <f>IF(M24&lt;&gt;0,+H24-M24,0)</f>
        <v>0</v>
      </c>
      <c r="O24" s="504">
        <f t="shared" si="5"/>
        <v>0</v>
      </c>
      <c r="P24" s="278"/>
      <c r="R24" s="243"/>
      <c r="S24" s="243"/>
      <c r="T24" s="243"/>
      <c r="U24" s="243"/>
    </row>
    <row r="25" spans="2:21">
      <c r="B25" s="145" t="str">
        <f t="shared" si="0"/>
        <v>IU</v>
      </c>
      <c r="C25" s="495">
        <f>IF(D11="","-",+C24+1)</f>
        <v>2021</v>
      </c>
      <c r="D25" s="614">
        <v>6067961.014446348</v>
      </c>
      <c r="E25" s="613">
        <v>232590.61290322582</v>
      </c>
      <c r="F25" s="614">
        <v>5835370.4015431218</v>
      </c>
      <c r="G25" s="613">
        <v>876471.96738932701</v>
      </c>
      <c r="H25" s="617">
        <v>876471.96738932701</v>
      </c>
      <c r="I25" s="500">
        <f t="shared" si="6"/>
        <v>0</v>
      </c>
      <c r="J25" s="500"/>
      <c r="K25" s="592">
        <f t="shared" ref="K25" si="13">G25</f>
        <v>876471.96738932701</v>
      </c>
      <c r="L25" s="596">
        <f t="shared" ref="L25" si="14">IF(K25&lt;&gt;0,+G25-K25,0)</f>
        <v>0</v>
      </c>
      <c r="M25" s="592">
        <f t="shared" ref="M25" si="15">H25</f>
        <v>876471.96738932701</v>
      </c>
      <c r="N25" s="504">
        <f t="shared" si="4"/>
        <v>0</v>
      </c>
      <c r="O25" s="504">
        <f t="shared" si="5"/>
        <v>0</v>
      </c>
      <c r="P25" s="278"/>
      <c r="R25" s="243"/>
      <c r="S25" s="243"/>
      <c r="T25" s="243"/>
      <c r="U25" s="243"/>
    </row>
    <row r="26" spans="2:21">
      <c r="B26" s="145" t="str">
        <f t="shared" si="0"/>
        <v/>
      </c>
      <c r="C26" s="580">
        <f>IF(D11="","-",+C25+1)</f>
        <v>2022</v>
      </c>
      <c r="D26" s="614">
        <v>5835370.4015431218</v>
      </c>
      <c r="E26" s="613">
        <v>218494.21212121213</v>
      </c>
      <c r="F26" s="614">
        <v>5616876.1894219099</v>
      </c>
      <c r="G26" s="613">
        <v>875617.10069768119</v>
      </c>
      <c r="H26" s="617">
        <v>875617.10069768119</v>
      </c>
      <c r="I26" s="500">
        <f t="shared" si="6"/>
        <v>0</v>
      </c>
      <c r="J26" s="500"/>
      <c r="K26" s="592">
        <f t="shared" ref="K26" si="16">G26</f>
        <v>875617.10069768119</v>
      </c>
      <c r="L26" s="596">
        <f t="shared" ref="L26" si="17">IF(K26&lt;&gt;0,+G26-K26,0)</f>
        <v>0</v>
      </c>
      <c r="M26" s="592">
        <f t="shared" ref="M26" si="18">H26</f>
        <v>875617.10069768119</v>
      </c>
      <c r="N26" s="504">
        <f t="shared" si="4"/>
        <v>0</v>
      </c>
      <c r="O26" s="504">
        <f t="shared" si="5"/>
        <v>0</v>
      </c>
      <c r="P26" s="278"/>
      <c r="R26" s="243"/>
      <c r="S26" s="243"/>
      <c r="T26" s="243"/>
      <c r="U26" s="243"/>
    </row>
    <row r="27" spans="2:21">
      <c r="B27" s="145" t="str">
        <f t="shared" si="0"/>
        <v>IU</v>
      </c>
      <c r="C27" s="495">
        <f>IF(D11="","-",+C26+1)</f>
        <v>2023</v>
      </c>
      <c r="D27" s="614">
        <v>5616876.13942191</v>
      </c>
      <c r="E27" s="613">
        <v>232590.61129032259</v>
      </c>
      <c r="F27" s="614">
        <v>5384285.5281315874</v>
      </c>
      <c r="G27" s="613">
        <v>854336.96728904522</v>
      </c>
      <c r="H27" s="617">
        <v>854336.96728904522</v>
      </c>
      <c r="I27" s="500">
        <f t="shared" si="6"/>
        <v>0</v>
      </c>
      <c r="J27" s="500"/>
      <c r="K27" s="512"/>
      <c r="L27" s="504">
        <f t="shared" ref="L27:L73" si="19">IF(K27&lt;&gt;0,+G27-K27,0)</f>
        <v>0</v>
      </c>
      <c r="M27" s="512"/>
      <c r="N27" s="504">
        <f t="shared" si="4"/>
        <v>0</v>
      </c>
      <c r="O27" s="504">
        <f t="shared" si="5"/>
        <v>0</v>
      </c>
      <c r="P27" s="278"/>
      <c r="R27" s="243"/>
      <c r="S27" s="243"/>
      <c r="T27" s="243"/>
      <c r="U27" s="243"/>
    </row>
    <row r="28" spans="2:21">
      <c r="B28" s="145" t="str">
        <f t="shared" si="0"/>
        <v/>
      </c>
      <c r="C28" s="495">
        <f>IF(D11="","-",+C27+1)</f>
        <v>2024</v>
      </c>
      <c r="D28" s="508">
        <f>IF(F27+SUM(E$17:E27)=D$10,F27,D$10-SUM(E$17:E27))</f>
        <v>5384285.5281315874</v>
      </c>
      <c r="E28" s="509">
        <f t="shared" ref="E28:E73" si="20">IF(+$I$14&lt;F27,$I$14,D28)</f>
        <v>232590.61129032259</v>
      </c>
      <c r="F28" s="510">
        <f t="shared" ref="F28:F73" si="21">+D28-E28</f>
        <v>5151694.9168412648</v>
      </c>
      <c r="G28" s="511">
        <f t="shared" ref="G28:G73" si="22">(D28+F28)/2*I$12+E28</f>
        <v>832781.34076982411</v>
      </c>
      <c r="H28" s="477">
        <f t="shared" ref="H28:H73" si="23">+(D28+F28)/2*I$13+E28</f>
        <v>832781.34076982411</v>
      </c>
      <c r="I28" s="500">
        <f t="shared" si="6"/>
        <v>0</v>
      </c>
      <c r="J28" s="500"/>
      <c r="K28" s="512"/>
      <c r="L28" s="504">
        <f t="shared" si="19"/>
        <v>0</v>
      </c>
      <c r="M28" s="512"/>
      <c r="N28" s="504">
        <f t="shared" si="4"/>
        <v>0</v>
      </c>
      <c r="O28" s="504">
        <f t="shared" si="5"/>
        <v>0</v>
      </c>
      <c r="P28" s="278"/>
      <c r="R28" s="243"/>
      <c r="S28" s="243"/>
      <c r="T28" s="243"/>
      <c r="U28" s="243"/>
    </row>
    <row r="29" spans="2:21">
      <c r="B29" s="145" t="str">
        <f t="shared" si="0"/>
        <v/>
      </c>
      <c r="C29" s="495">
        <f>IF(D11="","-",+C28+1)</f>
        <v>2025</v>
      </c>
      <c r="D29" s="508">
        <f>IF(F28+SUM(E$17:E28)=D$10,F28,D$10-SUM(E$17:E28))</f>
        <v>5151694.9168412648</v>
      </c>
      <c r="E29" s="509">
        <f t="shared" si="20"/>
        <v>232590.61129032259</v>
      </c>
      <c r="F29" s="510">
        <f t="shared" si="21"/>
        <v>4919104.3055509422</v>
      </c>
      <c r="G29" s="511">
        <f t="shared" si="22"/>
        <v>806281.91256956966</v>
      </c>
      <c r="H29" s="477">
        <f t="shared" si="23"/>
        <v>806281.91256956966</v>
      </c>
      <c r="I29" s="500">
        <f t="shared" si="6"/>
        <v>0</v>
      </c>
      <c r="J29" s="500"/>
      <c r="K29" s="512"/>
      <c r="L29" s="504">
        <f t="shared" si="19"/>
        <v>0</v>
      </c>
      <c r="M29" s="512"/>
      <c r="N29" s="504">
        <f t="shared" si="4"/>
        <v>0</v>
      </c>
      <c r="O29" s="504">
        <f t="shared" si="5"/>
        <v>0</v>
      </c>
      <c r="P29" s="278"/>
      <c r="R29" s="243"/>
      <c r="S29" s="243"/>
      <c r="T29" s="243"/>
      <c r="U29" s="243"/>
    </row>
    <row r="30" spans="2:21">
      <c r="B30" s="145" t="str">
        <f t="shared" si="0"/>
        <v/>
      </c>
      <c r="C30" s="495">
        <f>IF(D11="","-",+C29+1)</f>
        <v>2026</v>
      </c>
      <c r="D30" s="508">
        <f>IF(F29+SUM(E$17:E29)=D$10,F29,D$10-SUM(E$17:E29))</f>
        <v>4919104.3055509422</v>
      </c>
      <c r="E30" s="509">
        <f t="shared" si="20"/>
        <v>232590.61129032259</v>
      </c>
      <c r="F30" s="510">
        <f t="shared" si="21"/>
        <v>4686513.6942606196</v>
      </c>
      <c r="G30" s="511">
        <f t="shared" si="22"/>
        <v>779782.48436931509</v>
      </c>
      <c r="H30" s="477">
        <f t="shared" si="23"/>
        <v>779782.48436931509</v>
      </c>
      <c r="I30" s="500">
        <f t="shared" si="6"/>
        <v>0</v>
      </c>
      <c r="J30" s="500"/>
      <c r="K30" s="512"/>
      <c r="L30" s="504">
        <f t="shared" si="19"/>
        <v>0</v>
      </c>
      <c r="M30" s="512"/>
      <c r="N30" s="504">
        <f t="shared" si="4"/>
        <v>0</v>
      </c>
      <c r="O30" s="504">
        <f t="shared" si="5"/>
        <v>0</v>
      </c>
      <c r="P30" s="278"/>
      <c r="R30" s="243"/>
      <c r="S30" s="243"/>
      <c r="T30" s="243"/>
      <c r="U30" s="243"/>
    </row>
    <row r="31" spans="2:21">
      <c r="B31" s="145" t="str">
        <f t="shared" si="0"/>
        <v/>
      </c>
      <c r="C31" s="495">
        <f>IF(D11="","-",+C30+1)</f>
        <v>2027</v>
      </c>
      <c r="D31" s="508">
        <f>IF(F30+SUM(E$17:E30)=D$10,F30,D$10-SUM(E$17:E30))</f>
        <v>4686513.6942606196</v>
      </c>
      <c r="E31" s="509">
        <f t="shared" si="20"/>
        <v>232590.61129032259</v>
      </c>
      <c r="F31" s="510">
        <f t="shared" si="21"/>
        <v>4453923.082970297</v>
      </c>
      <c r="G31" s="511">
        <f t="shared" si="22"/>
        <v>753283.05616906052</v>
      </c>
      <c r="H31" s="477">
        <f t="shared" si="23"/>
        <v>753283.05616906052</v>
      </c>
      <c r="I31" s="500">
        <f t="shared" si="6"/>
        <v>0</v>
      </c>
      <c r="J31" s="500"/>
      <c r="K31" s="512"/>
      <c r="L31" s="504">
        <f t="shared" si="19"/>
        <v>0</v>
      </c>
      <c r="M31" s="512"/>
      <c r="N31" s="504">
        <f t="shared" si="4"/>
        <v>0</v>
      </c>
      <c r="O31" s="504">
        <f t="shared" si="5"/>
        <v>0</v>
      </c>
      <c r="P31" s="278"/>
      <c r="Q31" s="220"/>
      <c r="R31" s="278"/>
      <c r="S31" s="278"/>
      <c r="T31" s="278"/>
      <c r="U31" s="243"/>
    </row>
    <row r="32" spans="2:21">
      <c r="B32" s="145" t="str">
        <f t="shared" si="0"/>
        <v/>
      </c>
      <c r="C32" s="495">
        <f>IF(D12="","-",+C31+1)</f>
        <v>2028</v>
      </c>
      <c r="D32" s="508">
        <f>IF(F31+SUM(E$17:E31)=D$10,F31,D$10-SUM(E$17:E31))</f>
        <v>4453923.082970297</v>
      </c>
      <c r="E32" s="509">
        <f>IF(+$I$14&lt;F31,$I$14,D32)</f>
        <v>232590.61129032259</v>
      </c>
      <c r="F32" s="510">
        <f>+D32-E32</f>
        <v>4221332.4716799743</v>
      </c>
      <c r="G32" s="511">
        <f t="shared" si="22"/>
        <v>726783.62796880596</v>
      </c>
      <c r="H32" s="477">
        <f t="shared" si="23"/>
        <v>726783.62796880596</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2029</v>
      </c>
      <c r="D33" s="508">
        <f>IF(F32+SUM(E$17:E32)=D$10,F32,D$10-SUM(E$17:E32))</f>
        <v>4221332.4716799743</v>
      </c>
      <c r="E33" s="509">
        <f>IF(+$I$14&lt;F32,$I$14,D33)</f>
        <v>232590.61129032259</v>
      </c>
      <c r="F33" s="510">
        <f>+D33-E33</f>
        <v>3988741.8603896517</v>
      </c>
      <c r="G33" s="511">
        <f t="shared" si="22"/>
        <v>700284.19976855151</v>
      </c>
      <c r="H33" s="477">
        <f t="shared" si="23"/>
        <v>700284.19976855151</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495">
        <f>IF(D14="","-",+C33+1)</f>
        <v>2030</v>
      </c>
      <c r="D34" s="514">
        <f>IF(F33+SUM(E$17:E33)=D$10,F33,D$10-SUM(E$17:E33))</f>
        <v>3988741.8603896517</v>
      </c>
      <c r="E34" s="515">
        <f t="shared" si="20"/>
        <v>232590.61129032259</v>
      </c>
      <c r="F34" s="516">
        <f t="shared" si="21"/>
        <v>3756151.2490993291</v>
      </c>
      <c r="G34" s="511">
        <f t="shared" si="22"/>
        <v>673784.77156829694</v>
      </c>
      <c r="H34" s="477">
        <f t="shared" si="23"/>
        <v>673784.77156829694</v>
      </c>
      <c r="I34" s="519">
        <f t="shared" si="6"/>
        <v>0</v>
      </c>
      <c r="J34" s="519"/>
      <c r="K34" s="520"/>
      <c r="L34" s="521">
        <f t="shared" si="19"/>
        <v>0</v>
      </c>
      <c r="M34" s="520"/>
      <c r="N34" s="521">
        <f t="shared" si="4"/>
        <v>0</v>
      </c>
      <c r="O34" s="521">
        <f t="shared" si="5"/>
        <v>0</v>
      </c>
      <c r="P34" s="522"/>
      <c r="Q34" s="216"/>
      <c r="R34" s="522"/>
      <c r="S34" s="522"/>
      <c r="T34" s="522"/>
      <c r="U34" s="243"/>
    </row>
    <row r="35" spans="2:21">
      <c r="B35" s="145" t="str">
        <f t="shared" si="0"/>
        <v/>
      </c>
      <c r="C35" s="495">
        <f>IF(D11="","-",+C34+1)</f>
        <v>2031</v>
      </c>
      <c r="D35" s="508">
        <f>IF(F34+SUM(E$17:E34)=D$10,F34,D$10-SUM(E$17:E34))</f>
        <v>3756151.2490993291</v>
      </c>
      <c r="E35" s="509">
        <f t="shared" si="20"/>
        <v>232590.61129032259</v>
      </c>
      <c r="F35" s="510">
        <f t="shared" si="21"/>
        <v>3523560.6378090065</v>
      </c>
      <c r="G35" s="511">
        <f t="shared" si="22"/>
        <v>647285.34336804238</v>
      </c>
      <c r="H35" s="477">
        <f t="shared" si="23"/>
        <v>647285.34336804238</v>
      </c>
      <c r="I35" s="500">
        <f t="shared" si="6"/>
        <v>0</v>
      </c>
      <c r="J35" s="500"/>
      <c r="K35" s="512"/>
      <c r="L35" s="504">
        <f t="shared" si="19"/>
        <v>0</v>
      </c>
      <c r="M35" s="512"/>
      <c r="N35" s="504">
        <f t="shared" si="4"/>
        <v>0</v>
      </c>
      <c r="O35" s="504">
        <f t="shared" si="5"/>
        <v>0</v>
      </c>
      <c r="P35" s="278"/>
      <c r="R35" s="243"/>
      <c r="S35" s="243"/>
      <c r="T35" s="243"/>
      <c r="U35" s="243"/>
    </row>
    <row r="36" spans="2:21">
      <c r="B36" s="145" t="str">
        <f t="shared" si="0"/>
        <v/>
      </c>
      <c r="C36" s="495">
        <f>IF(D11="","-",+C35+1)</f>
        <v>2032</v>
      </c>
      <c r="D36" s="508">
        <f>IF(F35+SUM(E$17:E35)=D$10,F35,D$10-SUM(E$17:E35))</f>
        <v>3523560.6378090065</v>
      </c>
      <c r="E36" s="509">
        <f t="shared" si="20"/>
        <v>232590.61129032259</v>
      </c>
      <c r="F36" s="510">
        <f t="shared" si="21"/>
        <v>3290970.0265186839</v>
      </c>
      <c r="G36" s="511">
        <f t="shared" si="22"/>
        <v>620785.91516778793</v>
      </c>
      <c r="H36" s="477">
        <f t="shared" si="23"/>
        <v>620785.91516778793</v>
      </c>
      <c r="I36" s="500">
        <f t="shared" si="6"/>
        <v>0</v>
      </c>
      <c r="J36" s="500"/>
      <c r="K36" s="512"/>
      <c r="L36" s="504">
        <f t="shared" si="19"/>
        <v>0</v>
      </c>
      <c r="M36" s="512"/>
      <c r="N36" s="504">
        <f t="shared" si="4"/>
        <v>0</v>
      </c>
      <c r="O36" s="504">
        <f t="shared" si="5"/>
        <v>0</v>
      </c>
      <c r="P36" s="278"/>
      <c r="R36" s="243"/>
      <c r="S36" s="243"/>
      <c r="T36" s="243"/>
      <c r="U36" s="243"/>
    </row>
    <row r="37" spans="2:21">
      <c r="B37" s="145" t="str">
        <f t="shared" si="0"/>
        <v/>
      </c>
      <c r="C37" s="495">
        <f>IF(D11="","-",+C36+1)</f>
        <v>2033</v>
      </c>
      <c r="D37" s="508">
        <f>IF(F36+SUM(E$17:E36)=D$10,F36,D$10-SUM(E$17:E36))</f>
        <v>3290970.0265186839</v>
      </c>
      <c r="E37" s="509">
        <f t="shared" si="20"/>
        <v>232590.61129032259</v>
      </c>
      <c r="F37" s="510">
        <f t="shared" si="21"/>
        <v>3058379.4152283613</v>
      </c>
      <c r="G37" s="511">
        <f t="shared" si="22"/>
        <v>594286.48696753336</v>
      </c>
      <c r="H37" s="477">
        <f t="shared" si="23"/>
        <v>594286.48696753336</v>
      </c>
      <c r="I37" s="500">
        <f t="shared" si="6"/>
        <v>0</v>
      </c>
      <c r="J37" s="500"/>
      <c r="K37" s="512"/>
      <c r="L37" s="504">
        <f t="shared" si="19"/>
        <v>0</v>
      </c>
      <c r="M37" s="512"/>
      <c r="N37" s="504">
        <f t="shared" si="4"/>
        <v>0</v>
      </c>
      <c r="O37" s="504">
        <f t="shared" si="5"/>
        <v>0</v>
      </c>
      <c r="P37" s="278"/>
      <c r="R37" s="243"/>
      <c r="S37" s="243"/>
      <c r="T37" s="243"/>
      <c r="U37" s="243"/>
    </row>
    <row r="38" spans="2:21">
      <c r="B38" s="145" t="str">
        <f t="shared" si="0"/>
        <v/>
      </c>
      <c r="C38" s="495">
        <f>IF(D11="","-",+C37+1)</f>
        <v>2034</v>
      </c>
      <c r="D38" s="508">
        <f>IF(F37+SUM(E$17:E37)=D$10,F37,D$10-SUM(E$17:E37))</f>
        <v>3058379.4152283613</v>
      </c>
      <c r="E38" s="509">
        <f t="shared" si="20"/>
        <v>232590.61129032259</v>
      </c>
      <c r="F38" s="510">
        <f t="shared" si="21"/>
        <v>2825788.8039380386</v>
      </c>
      <c r="G38" s="511">
        <f t="shared" si="22"/>
        <v>567787.05876727891</v>
      </c>
      <c r="H38" s="477">
        <f t="shared" si="23"/>
        <v>567787.05876727891</v>
      </c>
      <c r="I38" s="500">
        <f t="shared" si="6"/>
        <v>0</v>
      </c>
      <c r="J38" s="500"/>
      <c r="K38" s="512"/>
      <c r="L38" s="504">
        <f t="shared" si="19"/>
        <v>0</v>
      </c>
      <c r="M38" s="512"/>
      <c r="N38" s="504">
        <f t="shared" si="4"/>
        <v>0</v>
      </c>
      <c r="O38" s="504">
        <f t="shared" si="5"/>
        <v>0</v>
      </c>
      <c r="P38" s="278"/>
      <c r="R38" s="243"/>
      <c r="S38" s="243"/>
      <c r="T38" s="243"/>
      <c r="U38" s="243"/>
    </row>
    <row r="39" spans="2:21">
      <c r="B39" s="145" t="str">
        <f t="shared" si="0"/>
        <v/>
      </c>
      <c r="C39" s="495">
        <f>IF(D11="","-",+C38+1)</f>
        <v>2035</v>
      </c>
      <c r="D39" s="508">
        <f>IF(F38+SUM(E$17:E38)=D$10,F38,D$10-SUM(E$17:E38))</f>
        <v>2825788.8039380386</v>
      </c>
      <c r="E39" s="509">
        <f t="shared" si="20"/>
        <v>232590.61129032259</v>
      </c>
      <c r="F39" s="510">
        <f t="shared" si="21"/>
        <v>2593198.192647716</v>
      </c>
      <c r="G39" s="511">
        <f t="shared" si="22"/>
        <v>541287.63056702435</v>
      </c>
      <c r="H39" s="477">
        <f t="shared" si="23"/>
        <v>541287.63056702435</v>
      </c>
      <c r="I39" s="500">
        <f t="shared" si="6"/>
        <v>0</v>
      </c>
      <c r="J39" s="500"/>
      <c r="K39" s="512"/>
      <c r="L39" s="504">
        <f t="shared" si="19"/>
        <v>0</v>
      </c>
      <c r="M39" s="512"/>
      <c r="N39" s="504">
        <f t="shared" si="4"/>
        <v>0</v>
      </c>
      <c r="O39" s="504">
        <f t="shared" si="5"/>
        <v>0</v>
      </c>
      <c r="P39" s="278"/>
      <c r="R39" s="243"/>
      <c r="S39" s="243"/>
      <c r="T39" s="243"/>
      <c r="U39" s="243"/>
    </row>
    <row r="40" spans="2:21">
      <c r="B40" s="145" t="str">
        <f t="shared" si="0"/>
        <v/>
      </c>
      <c r="C40" s="495">
        <f>IF(D11="","-",+C39+1)</f>
        <v>2036</v>
      </c>
      <c r="D40" s="508">
        <f>IF(F39+SUM(E$17:E39)=D$10,F39,D$10-SUM(E$17:E39))</f>
        <v>2593198.192647716</v>
      </c>
      <c r="E40" s="509">
        <f t="shared" si="20"/>
        <v>232590.61129032259</v>
      </c>
      <c r="F40" s="510">
        <f t="shared" si="21"/>
        <v>2360607.5813573934</v>
      </c>
      <c r="G40" s="511">
        <f t="shared" si="22"/>
        <v>514788.20236676978</v>
      </c>
      <c r="H40" s="477">
        <f t="shared" si="23"/>
        <v>514788.20236676978</v>
      </c>
      <c r="I40" s="500">
        <f t="shared" si="6"/>
        <v>0</v>
      </c>
      <c r="J40" s="500"/>
      <c r="K40" s="512"/>
      <c r="L40" s="504">
        <f t="shared" si="19"/>
        <v>0</v>
      </c>
      <c r="M40" s="512"/>
      <c r="N40" s="504">
        <f t="shared" si="4"/>
        <v>0</v>
      </c>
      <c r="O40" s="504">
        <f t="shared" si="5"/>
        <v>0</v>
      </c>
      <c r="P40" s="278"/>
      <c r="R40" s="243"/>
      <c r="S40" s="243"/>
      <c r="T40" s="243"/>
      <c r="U40" s="243"/>
    </row>
    <row r="41" spans="2:21">
      <c r="B41" s="145" t="str">
        <f t="shared" si="0"/>
        <v/>
      </c>
      <c r="C41" s="495">
        <f>IF(D12="","-",+C40+1)</f>
        <v>2037</v>
      </c>
      <c r="D41" s="508">
        <f>IF(F40+SUM(E$17:E40)=D$10,F40,D$10-SUM(E$17:E40))</f>
        <v>2360607.5813573934</v>
      </c>
      <c r="E41" s="509">
        <f t="shared" si="20"/>
        <v>232590.61129032259</v>
      </c>
      <c r="F41" s="510">
        <f t="shared" si="21"/>
        <v>2128016.9700670708</v>
      </c>
      <c r="G41" s="511">
        <f t="shared" si="22"/>
        <v>488288.77416651527</v>
      </c>
      <c r="H41" s="477">
        <f t="shared" si="23"/>
        <v>488288.77416651527</v>
      </c>
      <c r="I41" s="500">
        <f t="shared" si="6"/>
        <v>0</v>
      </c>
      <c r="J41" s="500"/>
      <c r="K41" s="512"/>
      <c r="L41" s="504">
        <f t="shared" si="19"/>
        <v>0</v>
      </c>
      <c r="M41" s="512"/>
      <c r="N41" s="504">
        <f t="shared" si="4"/>
        <v>0</v>
      </c>
      <c r="O41" s="504">
        <f t="shared" si="5"/>
        <v>0</v>
      </c>
      <c r="P41" s="278"/>
      <c r="R41" s="243"/>
      <c r="S41" s="243"/>
      <c r="T41" s="243"/>
      <c r="U41" s="243"/>
    </row>
    <row r="42" spans="2:21">
      <c r="B42" s="145" t="str">
        <f t="shared" si="0"/>
        <v/>
      </c>
      <c r="C42" s="495">
        <f>IF(D13="","-",+C41+1)</f>
        <v>2038</v>
      </c>
      <c r="D42" s="508">
        <f>IF(F41+SUM(E$17:E41)=D$10,F41,D$10-SUM(E$17:E41))</f>
        <v>2128016.9700670708</v>
      </c>
      <c r="E42" s="509">
        <f t="shared" si="20"/>
        <v>232590.61129032259</v>
      </c>
      <c r="F42" s="510">
        <f t="shared" si="21"/>
        <v>1895426.3587767482</v>
      </c>
      <c r="G42" s="511">
        <f t="shared" si="22"/>
        <v>461789.34596626076</v>
      </c>
      <c r="H42" s="477">
        <f t="shared" si="23"/>
        <v>461789.34596626076</v>
      </c>
      <c r="I42" s="500">
        <f t="shared" si="6"/>
        <v>0</v>
      </c>
      <c r="J42" s="500"/>
      <c r="K42" s="512"/>
      <c r="L42" s="504">
        <f t="shared" si="19"/>
        <v>0</v>
      </c>
      <c r="M42" s="512"/>
      <c r="N42" s="504">
        <f t="shared" si="4"/>
        <v>0</v>
      </c>
      <c r="O42" s="504">
        <f t="shared" si="5"/>
        <v>0</v>
      </c>
      <c r="P42" s="278"/>
      <c r="R42" s="243"/>
      <c r="S42" s="243"/>
      <c r="T42" s="243"/>
      <c r="U42" s="243"/>
    </row>
    <row r="43" spans="2:21">
      <c r="B43" s="145" t="str">
        <f t="shared" si="0"/>
        <v/>
      </c>
      <c r="C43" s="495">
        <f>IF(D11="","-",+C42+1)</f>
        <v>2039</v>
      </c>
      <c r="D43" s="508">
        <f>IF(F42+SUM(E$17:E42)=D$10,F42,D$10-SUM(E$17:E42))</f>
        <v>1895426.3587767482</v>
      </c>
      <c r="E43" s="509">
        <f t="shared" si="20"/>
        <v>232590.61129032259</v>
      </c>
      <c r="F43" s="510">
        <f t="shared" si="21"/>
        <v>1662835.7474864256</v>
      </c>
      <c r="G43" s="511">
        <f t="shared" si="22"/>
        <v>435289.9177660062</v>
      </c>
      <c r="H43" s="477">
        <f t="shared" si="23"/>
        <v>435289.9177660062</v>
      </c>
      <c r="I43" s="500">
        <f t="shared" si="6"/>
        <v>0</v>
      </c>
      <c r="J43" s="500"/>
      <c r="K43" s="512"/>
      <c r="L43" s="504">
        <f t="shared" si="19"/>
        <v>0</v>
      </c>
      <c r="M43" s="512"/>
      <c r="N43" s="504">
        <f t="shared" si="4"/>
        <v>0</v>
      </c>
      <c r="O43" s="504">
        <f t="shared" si="5"/>
        <v>0</v>
      </c>
      <c r="P43" s="278"/>
      <c r="R43" s="243"/>
      <c r="S43" s="243"/>
      <c r="T43" s="243"/>
      <c r="U43" s="243"/>
    </row>
    <row r="44" spans="2:21">
      <c r="B44" s="145" t="str">
        <f t="shared" si="0"/>
        <v/>
      </c>
      <c r="C44" s="495">
        <f>IF(D11="","-",+C43+1)</f>
        <v>2040</v>
      </c>
      <c r="D44" s="508">
        <f>IF(F43+SUM(E$17:E43)=D$10,F43,D$10-SUM(E$17:E43))</f>
        <v>1662835.7474864256</v>
      </c>
      <c r="E44" s="509">
        <f t="shared" si="20"/>
        <v>232590.61129032259</v>
      </c>
      <c r="F44" s="510">
        <f t="shared" si="21"/>
        <v>1430245.1361961029</v>
      </c>
      <c r="G44" s="511">
        <f t="shared" si="22"/>
        <v>408790.48956575169</v>
      </c>
      <c r="H44" s="477">
        <f t="shared" si="23"/>
        <v>408790.48956575169</v>
      </c>
      <c r="I44" s="500">
        <f t="shared" si="6"/>
        <v>0</v>
      </c>
      <c r="J44" s="500"/>
      <c r="K44" s="512"/>
      <c r="L44" s="504">
        <f t="shared" si="19"/>
        <v>0</v>
      </c>
      <c r="M44" s="512"/>
      <c r="N44" s="504">
        <f t="shared" si="4"/>
        <v>0</v>
      </c>
      <c r="O44" s="504">
        <f t="shared" si="5"/>
        <v>0</v>
      </c>
      <c r="P44" s="278"/>
      <c r="R44" s="243"/>
      <c r="S44" s="243"/>
      <c r="T44" s="243"/>
      <c r="U44" s="243"/>
    </row>
    <row r="45" spans="2:21">
      <c r="B45" s="145" t="str">
        <f t="shared" si="0"/>
        <v/>
      </c>
      <c r="C45" s="495">
        <f>IF(D11="","-",+C44+1)</f>
        <v>2041</v>
      </c>
      <c r="D45" s="508">
        <f>IF(F44+SUM(E$17:E44)=D$10,F44,D$10-SUM(E$17:E44))</f>
        <v>1430245.1361961029</v>
      </c>
      <c r="E45" s="509">
        <f t="shared" si="20"/>
        <v>232590.61129032259</v>
      </c>
      <c r="F45" s="510">
        <f t="shared" si="21"/>
        <v>1197654.5249057803</v>
      </c>
      <c r="G45" s="511">
        <f t="shared" si="22"/>
        <v>382291.06136549718</v>
      </c>
      <c r="H45" s="477">
        <f t="shared" si="23"/>
        <v>382291.06136549718</v>
      </c>
      <c r="I45" s="500">
        <f t="shared" si="6"/>
        <v>0</v>
      </c>
      <c r="J45" s="500"/>
      <c r="K45" s="512"/>
      <c r="L45" s="504">
        <f t="shared" si="19"/>
        <v>0</v>
      </c>
      <c r="M45" s="512"/>
      <c r="N45" s="504">
        <f t="shared" si="4"/>
        <v>0</v>
      </c>
      <c r="O45" s="504">
        <f t="shared" si="5"/>
        <v>0</v>
      </c>
      <c r="P45" s="278"/>
      <c r="R45" s="243"/>
      <c r="S45" s="243"/>
      <c r="T45" s="243"/>
      <c r="U45" s="243"/>
    </row>
    <row r="46" spans="2:21">
      <c r="B46" s="145" t="str">
        <f t="shared" si="0"/>
        <v/>
      </c>
      <c r="C46" s="495">
        <f>IF(D11="","-",+C45+1)</f>
        <v>2042</v>
      </c>
      <c r="D46" s="508">
        <f>IF(F45+SUM(E$17:E45)=D$10,F45,D$10-SUM(E$17:E45))</f>
        <v>1197654.5249057803</v>
      </c>
      <c r="E46" s="509">
        <f t="shared" si="20"/>
        <v>232590.61129032259</v>
      </c>
      <c r="F46" s="510">
        <f t="shared" si="21"/>
        <v>965063.91361545771</v>
      </c>
      <c r="G46" s="511">
        <f t="shared" si="22"/>
        <v>355791.63316524262</v>
      </c>
      <c r="H46" s="477">
        <f t="shared" si="23"/>
        <v>355791.63316524262</v>
      </c>
      <c r="I46" s="500">
        <f t="shared" si="6"/>
        <v>0</v>
      </c>
      <c r="J46" s="500"/>
      <c r="K46" s="512"/>
      <c r="L46" s="504">
        <f t="shared" si="19"/>
        <v>0</v>
      </c>
      <c r="M46" s="512"/>
      <c r="N46" s="504">
        <f t="shared" si="4"/>
        <v>0</v>
      </c>
      <c r="O46" s="504">
        <f t="shared" si="5"/>
        <v>0</v>
      </c>
      <c r="P46" s="278"/>
      <c r="R46" s="243"/>
      <c r="S46" s="243"/>
      <c r="T46" s="243"/>
      <c r="U46" s="243"/>
    </row>
    <row r="47" spans="2:21">
      <c r="B47" s="145" t="str">
        <f t="shared" si="0"/>
        <v/>
      </c>
      <c r="C47" s="495">
        <f>IF(D11="","-",+C46+1)</f>
        <v>2043</v>
      </c>
      <c r="D47" s="508">
        <f>IF(F46+SUM(E$17:E46)=D$10,F46,D$10-SUM(E$17:E46))</f>
        <v>965063.91361545771</v>
      </c>
      <c r="E47" s="509">
        <f t="shared" si="20"/>
        <v>232590.61129032259</v>
      </c>
      <c r="F47" s="510">
        <f t="shared" si="21"/>
        <v>732473.3023251351</v>
      </c>
      <c r="G47" s="511">
        <f t="shared" si="22"/>
        <v>329292.20496498811</v>
      </c>
      <c r="H47" s="477">
        <f t="shared" si="23"/>
        <v>329292.20496498811</v>
      </c>
      <c r="I47" s="500">
        <f t="shared" si="6"/>
        <v>0</v>
      </c>
      <c r="J47" s="500"/>
      <c r="K47" s="512"/>
      <c r="L47" s="504">
        <f t="shared" si="19"/>
        <v>0</v>
      </c>
      <c r="M47" s="512"/>
      <c r="N47" s="504">
        <f t="shared" si="4"/>
        <v>0</v>
      </c>
      <c r="O47" s="504">
        <f t="shared" si="5"/>
        <v>0</v>
      </c>
      <c r="P47" s="278"/>
      <c r="R47" s="243"/>
      <c r="S47" s="243"/>
      <c r="T47" s="243"/>
      <c r="U47" s="243"/>
    </row>
    <row r="48" spans="2:21">
      <c r="B48" s="145" t="str">
        <f t="shared" si="0"/>
        <v/>
      </c>
      <c r="C48" s="495">
        <f>IF(D11="","-",+C47+1)</f>
        <v>2044</v>
      </c>
      <c r="D48" s="508">
        <f>IF(F47+SUM(E$17:E47)=D$10,F47,D$10-SUM(E$17:E47))</f>
        <v>732473.3023251351</v>
      </c>
      <c r="E48" s="509">
        <f t="shared" si="20"/>
        <v>232590.61129032259</v>
      </c>
      <c r="F48" s="510">
        <f t="shared" si="21"/>
        <v>499882.69103481248</v>
      </c>
      <c r="G48" s="511">
        <f t="shared" si="22"/>
        <v>302792.7767647336</v>
      </c>
      <c r="H48" s="477">
        <f t="shared" si="23"/>
        <v>302792.7767647336</v>
      </c>
      <c r="I48" s="500">
        <f t="shared" si="6"/>
        <v>0</v>
      </c>
      <c r="J48" s="500"/>
      <c r="K48" s="512"/>
      <c r="L48" s="504">
        <f t="shared" si="19"/>
        <v>0</v>
      </c>
      <c r="M48" s="512"/>
      <c r="N48" s="504">
        <f t="shared" si="4"/>
        <v>0</v>
      </c>
      <c r="O48" s="504">
        <f t="shared" si="5"/>
        <v>0</v>
      </c>
      <c r="P48" s="278"/>
      <c r="R48" s="243"/>
      <c r="S48" s="243"/>
      <c r="T48" s="243"/>
      <c r="U48" s="243"/>
    </row>
    <row r="49" spans="2:21">
      <c r="B49" s="145" t="str">
        <f t="shared" si="0"/>
        <v/>
      </c>
      <c r="C49" s="495">
        <f>IF(D11="","-",+C48+1)</f>
        <v>2045</v>
      </c>
      <c r="D49" s="508">
        <f>IF(F48+SUM(E$17:E48)=D$10,F48,D$10-SUM(E$17:E48))</f>
        <v>499882.69103481248</v>
      </c>
      <c r="E49" s="509">
        <f t="shared" si="20"/>
        <v>232590.61129032259</v>
      </c>
      <c r="F49" s="510">
        <f t="shared" si="21"/>
        <v>267292.07974448986</v>
      </c>
      <c r="G49" s="511">
        <f t="shared" si="22"/>
        <v>276293.34856447909</v>
      </c>
      <c r="H49" s="477">
        <f t="shared" si="23"/>
        <v>276293.34856447909</v>
      </c>
      <c r="I49" s="500">
        <f t="shared" si="6"/>
        <v>0</v>
      </c>
      <c r="J49" s="500"/>
      <c r="K49" s="512"/>
      <c r="L49" s="504">
        <f t="shared" si="19"/>
        <v>0</v>
      </c>
      <c r="M49" s="512"/>
      <c r="N49" s="504">
        <f t="shared" si="4"/>
        <v>0</v>
      </c>
      <c r="O49" s="504">
        <f t="shared" si="5"/>
        <v>0</v>
      </c>
      <c r="P49" s="278"/>
      <c r="R49" s="243"/>
      <c r="S49" s="243"/>
      <c r="T49" s="243"/>
      <c r="U49" s="243"/>
    </row>
    <row r="50" spans="2:21">
      <c r="B50" s="145" t="str">
        <f t="shared" si="0"/>
        <v/>
      </c>
      <c r="C50" s="495">
        <f>IF(D11="","-",+C49+1)</f>
        <v>2046</v>
      </c>
      <c r="D50" s="508">
        <f>IF(F49+SUM(E$17:E49)=D$10,F49,D$10-SUM(E$17:E49))</f>
        <v>267292.07974448986</v>
      </c>
      <c r="E50" s="509">
        <f t="shared" si="20"/>
        <v>232590.61129032259</v>
      </c>
      <c r="F50" s="510">
        <f t="shared" si="21"/>
        <v>34701.468454167276</v>
      </c>
      <c r="G50" s="511">
        <f t="shared" si="22"/>
        <v>249793.92036422453</v>
      </c>
      <c r="H50" s="477">
        <f t="shared" si="23"/>
        <v>249793.92036422453</v>
      </c>
      <c r="I50" s="500">
        <f t="shared" si="6"/>
        <v>0</v>
      </c>
      <c r="J50" s="500"/>
      <c r="K50" s="512"/>
      <c r="L50" s="504">
        <f t="shared" si="19"/>
        <v>0</v>
      </c>
      <c r="M50" s="512"/>
      <c r="N50" s="504">
        <f t="shared" si="4"/>
        <v>0</v>
      </c>
      <c r="O50" s="504">
        <f t="shared" si="5"/>
        <v>0</v>
      </c>
      <c r="P50" s="278"/>
      <c r="R50" s="243"/>
      <c r="S50" s="243"/>
      <c r="T50" s="243"/>
      <c r="U50" s="243"/>
    </row>
    <row r="51" spans="2:21">
      <c r="B51" s="145" t="str">
        <f t="shared" si="0"/>
        <v/>
      </c>
      <c r="C51" s="495">
        <f>IF(D11="","-",+C50+1)</f>
        <v>2047</v>
      </c>
      <c r="D51" s="508">
        <f>IF(F50+SUM(E$17:E50)=D$10,F50,D$10-SUM(E$17:E50))</f>
        <v>34701.468454167276</v>
      </c>
      <c r="E51" s="509">
        <f t="shared" si="20"/>
        <v>34701.468454167276</v>
      </c>
      <c r="F51" s="510">
        <f t="shared" si="21"/>
        <v>0</v>
      </c>
      <c r="G51" s="511">
        <f t="shared" si="22"/>
        <v>36678.265941054626</v>
      </c>
      <c r="H51" s="477">
        <f t="shared" si="23"/>
        <v>36678.265941054626</v>
      </c>
      <c r="I51" s="500">
        <f t="shared" si="6"/>
        <v>0</v>
      </c>
      <c r="J51" s="500"/>
      <c r="K51" s="512"/>
      <c r="L51" s="504">
        <f t="shared" si="19"/>
        <v>0</v>
      </c>
      <c r="M51" s="512"/>
      <c r="N51" s="504">
        <f t="shared" si="4"/>
        <v>0</v>
      </c>
      <c r="O51" s="504">
        <f t="shared" si="5"/>
        <v>0</v>
      </c>
      <c r="P51" s="278"/>
      <c r="R51" s="243"/>
      <c r="S51" s="243"/>
      <c r="T51" s="243"/>
      <c r="U51" s="243"/>
    </row>
    <row r="52" spans="2:21">
      <c r="B52" s="145" t="str">
        <f t="shared" si="0"/>
        <v/>
      </c>
      <c r="C52" s="495">
        <f>IF(D11="","-",+C51+1)</f>
        <v>2048</v>
      </c>
      <c r="D52" s="508">
        <f>IF(F51+SUM(E$17:E51)=D$10,F51,D$10-SUM(E$17:E51))</f>
        <v>0</v>
      </c>
      <c r="E52" s="509">
        <f t="shared" si="20"/>
        <v>0</v>
      </c>
      <c r="F52" s="510">
        <f t="shared" si="21"/>
        <v>0</v>
      </c>
      <c r="G52" s="511">
        <f t="shared" si="22"/>
        <v>0</v>
      </c>
      <c r="H52" s="477">
        <f t="shared" si="23"/>
        <v>0</v>
      </c>
      <c r="I52" s="500">
        <f t="shared" si="6"/>
        <v>0</v>
      </c>
      <c r="J52" s="500"/>
      <c r="K52" s="512"/>
      <c r="L52" s="504">
        <f t="shared" si="19"/>
        <v>0</v>
      </c>
      <c r="M52" s="512"/>
      <c r="N52" s="504">
        <f t="shared" si="4"/>
        <v>0</v>
      </c>
      <c r="O52" s="504">
        <f t="shared" si="5"/>
        <v>0</v>
      </c>
      <c r="P52" s="278"/>
      <c r="R52" s="243"/>
      <c r="S52" s="243"/>
      <c r="T52" s="243"/>
      <c r="U52" s="243"/>
    </row>
    <row r="53" spans="2:21">
      <c r="B53" s="145" t="str">
        <f t="shared" si="0"/>
        <v/>
      </c>
      <c r="C53" s="495">
        <f>IF(D11="","-",+C52+1)</f>
        <v>2049</v>
      </c>
      <c r="D53" s="508">
        <f>IF(F52+SUM(E$17:E52)=D$10,F52,D$10-SUM(E$17:E52))</f>
        <v>0</v>
      </c>
      <c r="E53" s="509">
        <f t="shared" si="20"/>
        <v>0</v>
      </c>
      <c r="F53" s="510">
        <f t="shared" si="21"/>
        <v>0</v>
      </c>
      <c r="G53" s="511">
        <f t="shared" si="22"/>
        <v>0</v>
      </c>
      <c r="H53" s="477">
        <f t="shared" si="23"/>
        <v>0</v>
      </c>
      <c r="I53" s="500">
        <f t="shared" si="6"/>
        <v>0</v>
      </c>
      <c r="J53" s="500"/>
      <c r="K53" s="512"/>
      <c r="L53" s="504">
        <f t="shared" si="19"/>
        <v>0</v>
      </c>
      <c r="M53" s="512"/>
      <c r="N53" s="504">
        <f t="shared" si="4"/>
        <v>0</v>
      </c>
      <c r="O53" s="504">
        <f t="shared" si="5"/>
        <v>0</v>
      </c>
      <c r="P53" s="278"/>
      <c r="R53" s="243"/>
      <c r="S53" s="243"/>
      <c r="T53" s="243"/>
      <c r="U53" s="243"/>
    </row>
    <row r="54" spans="2:21">
      <c r="B54" s="145" t="str">
        <f t="shared" si="0"/>
        <v/>
      </c>
      <c r="C54" s="495">
        <f>IF(D11="","-",+C53+1)</f>
        <v>2050</v>
      </c>
      <c r="D54" s="508">
        <f>IF(F53+SUM(E$17:E53)=D$10,F53,D$10-SUM(E$17:E53))</f>
        <v>0</v>
      </c>
      <c r="E54" s="509">
        <f t="shared" si="20"/>
        <v>0</v>
      </c>
      <c r="F54" s="510">
        <f t="shared" si="21"/>
        <v>0</v>
      </c>
      <c r="G54" s="511">
        <f t="shared" si="22"/>
        <v>0</v>
      </c>
      <c r="H54" s="477">
        <f t="shared" si="23"/>
        <v>0</v>
      </c>
      <c r="I54" s="500">
        <f t="shared" si="6"/>
        <v>0</v>
      </c>
      <c r="J54" s="500"/>
      <c r="K54" s="512"/>
      <c r="L54" s="504">
        <f t="shared" si="19"/>
        <v>0</v>
      </c>
      <c r="M54" s="512"/>
      <c r="N54" s="504">
        <f t="shared" si="4"/>
        <v>0</v>
      </c>
      <c r="O54" s="504">
        <f t="shared" si="5"/>
        <v>0</v>
      </c>
      <c r="P54" s="278"/>
      <c r="R54" s="243"/>
      <c r="S54" s="243"/>
      <c r="T54" s="243"/>
      <c r="U54" s="243"/>
    </row>
    <row r="55" spans="2:21">
      <c r="B55" s="145" t="str">
        <f t="shared" si="0"/>
        <v/>
      </c>
      <c r="C55" s="495">
        <f>IF(D11="","-",+C54+1)</f>
        <v>2051</v>
      </c>
      <c r="D55" s="508">
        <f>IF(F54+SUM(E$17:E54)=D$10,F54,D$10-SUM(E$17:E54))</f>
        <v>0</v>
      </c>
      <c r="E55" s="509">
        <f t="shared" si="20"/>
        <v>0</v>
      </c>
      <c r="F55" s="510">
        <f t="shared" si="21"/>
        <v>0</v>
      </c>
      <c r="G55" s="511">
        <f t="shared" si="22"/>
        <v>0</v>
      </c>
      <c r="H55" s="477">
        <f t="shared" si="23"/>
        <v>0</v>
      </c>
      <c r="I55" s="500">
        <f t="shared" si="6"/>
        <v>0</v>
      </c>
      <c r="J55" s="500"/>
      <c r="K55" s="512"/>
      <c r="L55" s="504">
        <f t="shared" si="19"/>
        <v>0</v>
      </c>
      <c r="M55" s="512"/>
      <c r="N55" s="504">
        <f t="shared" si="4"/>
        <v>0</v>
      </c>
      <c r="O55" s="504">
        <f t="shared" si="5"/>
        <v>0</v>
      </c>
      <c r="P55" s="278"/>
      <c r="R55" s="243"/>
      <c r="S55" s="243"/>
      <c r="T55" s="243"/>
      <c r="U55" s="243"/>
    </row>
    <row r="56" spans="2:21">
      <c r="B56" s="145" t="str">
        <f t="shared" si="0"/>
        <v/>
      </c>
      <c r="C56" s="495">
        <f>IF(D11="","-",+C55+1)</f>
        <v>2052</v>
      </c>
      <c r="D56" s="508">
        <f>IF(F55+SUM(E$17:E55)=D$10,F55,D$10-SUM(E$17:E55))</f>
        <v>0</v>
      </c>
      <c r="E56" s="509">
        <f t="shared" si="20"/>
        <v>0</v>
      </c>
      <c r="F56" s="510">
        <f t="shared" si="21"/>
        <v>0</v>
      </c>
      <c r="G56" s="511">
        <f t="shared" si="22"/>
        <v>0</v>
      </c>
      <c r="H56" s="477">
        <f t="shared" si="23"/>
        <v>0</v>
      </c>
      <c r="I56" s="500">
        <f t="shared" si="6"/>
        <v>0</v>
      </c>
      <c r="J56" s="500"/>
      <c r="K56" s="512"/>
      <c r="L56" s="504">
        <f t="shared" si="19"/>
        <v>0</v>
      </c>
      <c r="M56" s="512"/>
      <c r="N56" s="504">
        <f t="shared" si="4"/>
        <v>0</v>
      </c>
      <c r="O56" s="504">
        <f t="shared" si="5"/>
        <v>0</v>
      </c>
      <c r="P56" s="278"/>
      <c r="R56" s="243"/>
      <c r="S56" s="243"/>
      <c r="T56" s="243"/>
      <c r="U56" s="243"/>
    </row>
    <row r="57" spans="2:21">
      <c r="B57" s="145" t="str">
        <f t="shared" si="0"/>
        <v/>
      </c>
      <c r="C57" s="495">
        <f>IF(D11="","-",+C56+1)</f>
        <v>2053</v>
      </c>
      <c r="D57" s="508">
        <f>IF(F56+SUM(E$17:E56)=D$10,F56,D$10-SUM(E$17:E56))</f>
        <v>0</v>
      </c>
      <c r="E57" s="509">
        <f t="shared" si="20"/>
        <v>0</v>
      </c>
      <c r="F57" s="510">
        <f t="shared" si="21"/>
        <v>0</v>
      </c>
      <c r="G57" s="511">
        <f t="shared" si="22"/>
        <v>0</v>
      </c>
      <c r="H57" s="477">
        <f t="shared" si="23"/>
        <v>0</v>
      </c>
      <c r="I57" s="500">
        <f t="shared" si="6"/>
        <v>0</v>
      </c>
      <c r="J57" s="500"/>
      <c r="K57" s="512"/>
      <c r="L57" s="504">
        <f t="shared" si="19"/>
        <v>0</v>
      </c>
      <c r="M57" s="512"/>
      <c r="N57" s="504">
        <f t="shared" si="4"/>
        <v>0</v>
      </c>
      <c r="O57" s="504">
        <f t="shared" si="5"/>
        <v>0</v>
      </c>
      <c r="P57" s="278"/>
      <c r="R57" s="243"/>
      <c r="S57" s="243"/>
      <c r="T57" s="243"/>
      <c r="U57" s="243"/>
    </row>
    <row r="58" spans="2:21">
      <c r="B58" s="145" t="str">
        <f t="shared" si="0"/>
        <v/>
      </c>
      <c r="C58" s="495">
        <f>IF(D11="","-",+C57+1)</f>
        <v>2054</v>
      </c>
      <c r="D58" s="508">
        <f>IF(F57+SUM(E$17:E57)=D$10,F57,D$10-SUM(E$17:E57))</f>
        <v>0</v>
      </c>
      <c r="E58" s="509">
        <f t="shared" si="20"/>
        <v>0</v>
      </c>
      <c r="F58" s="510">
        <f t="shared" si="21"/>
        <v>0</v>
      </c>
      <c r="G58" s="511">
        <f t="shared" si="22"/>
        <v>0</v>
      </c>
      <c r="H58" s="477">
        <f t="shared" si="23"/>
        <v>0</v>
      </c>
      <c r="I58" s="500">
        <f t="shared" si="6"/>
        <v>0</v>
      </c>
      <c r="J58" s="500"/>
      <c r="K58" s="512"/>
      <c r="L58" s="504">
        <f t="shared" si="19"/>
        <v>0</v>
      </c>
      <c r="M58" s="512"/>
      <c r="N58" s="504">
        <f t="shared" si="4"/>
        <v>0</v>
      </c>
      <c r="O58" s="504">
        <f t="shared" si="5"/>
        <v>0</v>
      </c>
      <c r="P58" s="278"/>
      <c r="R58" s="243"/>
      <c r="S58" s="243"/>
      <c r="T58" s="243"/>
      <c r="U58" s="243"/>
    </row>
    <row r="59" spans="2:21">
      <c r="B59" s="145" t="str">
        <f t="shared" si="0"/>
        <v/>
      </c>
      <c r="C59" s="495">
        <f>IF(D11="","-",+C58+1)</f>
        <v>2055</v>
      </c>
      <c r="D59" s="508">
        <f>IF(F58+SUM(E$17:E58)=D$10,F58,D$10-SUM(E$17:E58))</f>
        <v>0</v>
      </c>
      <c r="E59" s="509">
        <f t="shared" si="20"/>
        <v>0</v>
      </c>
      <c r="F59" s="510">
        <f t="shared" si="21"/>
        <v>0</v>
      </c>
      <c r="G59" s="511">
        <f t="shared" si="22"/>
        <v>0</v>
      </c>
      <c r="H59" s="477">
        <f t="shared" si="23"/>
        <v>0</v>
      </c>
      <c r="I59" s="500">
        <f t="shared" si="6"/>
        <v>0</v>
      </c>
      <c r="J59" s="500"/>
      <c r="K59" s="512"/>
      <c r="L59" s="504">
        <f t="shared" si="19"/>
        <v>0</v>
      </c>
      <c r="M59" s="512"/>
      <c r="N59" s="504">
        <f t="shared" si="4"/>
        <v>0</v>
      </c>
      <c r="O59" s="504">
        <f t="shared" si="5"/>
        <v>0</v>
      </c>
      <c r="P59" s="278"/>
      <c r="R59" s="243"/>
      <c r="S59" s="243"/>
      <c r="T59" s="243"/>
      <c r="U59" s="243"/>
    </row>
    <row r="60" spans="2:21">
      <c r="B60" s="145" t="str">
        <f t="shared" si="0"/>
        <v/>
      </c>
      <c r="C60" s="495">
        <f>IF(D11="","-",+C59+1)</f>
        <v>2056</v>
      </c>
      <c r="D60" s="508">
        <f>IF(F59+SUM(E$17:E59)=D$10,F59,D$10-SUM(E$17:E59))</f>
        <v>0</v>
      </c>
      <c r="E60" s="509">
        <f t="shared" si="20"/>
        <v>0</v>
      </c>
      <c r="F60" s="510">
        <f t="shared" si="21"/>
        <v>0</v>
      </c>
      <c r="G60" s="511">
        <f t="shared" si="22"/>
        <v>0</v>
      </c>
      <c r="H60" s="477">
        <f t="shared" si="23"/>
        <v>0</v>
      </c>
      <c r="I60" s="500">
        <f t="shared" si="6"/>
        <v>0</v>
      </c>
      <c r="J60" s="500"/>
      <c r="K60" s="512"/>
      <c r="L60" s="504">
        <f t="shared" si="19"/>
        <v>0</v>
      </c>
      <c r="M60" s="512"/>
      <c r="N60" s="504">
        <f t="shared" si="4"/>
        <v>0</v>
      </c>
      <c r="O60" s="504">
        <f t="shared" si="5"/>
        <v>0</v>
      </c>
      <c r="P60" s="278"/>
      <c r="R60" s="243"/>
      <c r="S60" s="243"/>
      <c r="T60" s="243"/>
      <c r="U60" s="243"/>
    </row>
    <row r="61" spans="2:21">
      <c r="B61" s="145" t="str">
        <f t="shared" si="0"/>
        <v/>
      </c>
      <c r="C61" s="495">
        <f>IF(D11="","-",+C60+1)</f>
        <v>2057</v>
      </c>
      <c r="D61" s="508">
        <f>IF(F60+SUM(E$17:E60)=D$10,F60,D$10-SUM(E$17:E60))</f>
        <v>0</v>
      </c>
      <c r="E61" s="509">
        <f t="shared" si="20"/>
        <v>0</v>
      </c>
      <c r="F61" s="510">
        <f t="shared" si="21"/>
        <v>0</v>
      </c>
      <c r="G61" s="511">
        <f t="shared" si="22"/>
        <v>0</v>
      </c>
      <c r="H61" s="477">
        <f t="shared" si="23"/>
        <v>0</v>
      </c>
      <c r="I61" s="500">
        <f t="shared" si="6"/>
        <v>0</v>
      </c>
      <c r="J61" s="500"/>
      <c r="K61" s="512"/>
      <c r="L61" s="504">
        <f t="shared" si="19"/>
        <v>0</v>
      </c>
      <c r="M61" s="512"/>
      <c r="N61" s="504">
        <f t="shared" si="4"/>
        <v>0</v>
      </c>
      <c r="O61" s="504">
        <f t="shared" si="5"/>
        <v>0</v>
      </c>
      <c r="P61" s="278"/>
      <c r="R61" s="243"/>
      <c r="S61" s="243"/>
      <c r="T61" s="243"/>
      <c r="U61" s="243"/>
    </row>
    <row r="62" spans="2:21">
      <c r="B62" s="145" t="str">
        <f t="shared" si="0"/>
        <v/>
      </c>
      <c r="C62" s="495">
        <f>IF(D11="","-",+C61+1)</f>
        <v>2058</v>
      </c>
      <c r="D62" s="508">
        <f>IF(F61+SUM(E$17:E61)=D$10,F61,D$10-SUM(E$17:E61))</f>
        <v>0</v>
      </c>
      <c r="E62" s="509">
        <f t="shared" si="20"/>
        <v>0</v>
      </c>
      <c r="F62" s="510">
        <f t="shared" si="21"/>
        <v>0</v>
      </c>
      <c r="G62" s="511">
        <f t="shared" si="22"/>
        <v>0</v>
      </c>
      <c r="H62" s="477">
        <f t="shared" si="23"/>
        <v>0</v>
      </c>
      <c r="I62" s="500">
        <f t="shared" si="6"/>
        <v>0</v>
      </c>
      <c r="J62" s="500"/>
      <c r="K62" s="512"/>
      <c r="L62" s="504">
        <f t="shared" si="19"/>
        <v>0</v>
      </c>
      <c r="M62" s="512"/>
      <c r="N62" s="504">
        <f t="shared" si="4"/>
        <v>0</v>
      </c>
      <c r="O62" s="504">
        <f t="shared" si="5"/>
        <v>0</v>
      </c>
      <c r="P62" s="278"/>
      <c r="R62" s="243"/>
      <c r="S62" s="243"/>
      <c r="T62" s="243"/>
      <c r="U62" s="243"/>
    </row>
    <row r="63" spans="2:21">
      <c r="B63" s="145" t="str">
        <f t="shared" si="0"/>
        <v/>
      </c>
      <c r="C63" s="495">
        <f>IF(D11="","-",+C62+1)</f>
        <v>2059</v>
      </c>
      <c r="D63" s="508">
        <f>IF(F62+SUM(E$17:E62)=D$10,F62,D$10-SUM(E$17:E62))</f>
        <v>0</v>
      </c>
      <c r="E63" s="509">
        <f t="shared" si="20"/>
        <v>0</v>
      </c>
      <c r="F63" s="510">
        <f t="shared" si="21"/>
        <v>0</v>
      </c>
      <c r="G63" s="511">
        <f t="shared" si="22"/>
        <v>0</v>
      </c>
      <c r="H63" s="477">
        <f t="shared" si="23"/>
        <v>0</v>
      </c>
      <c r="I63" s="500">
        <f t="shared" si="6"/>
        <v>0</v>
      </c>
      <c r="J63" s="500"/>
      <c r="K63" s="512"/>
      <c r="L63" s="504">
        <f t="shared" si="19"/>
        <v>0</v>
      </c>
      <c r="M63" s="512"/>
      <c r="N63" s="504">
        <f t="shared" si="4"/>
        <v>0</v>
      </c>
      <c r="O63" s="504">
        <f t="shared" si="5"/>
        <v>0</v>
      </c>
      <c r="P63" s="278"/>
      <c r="R63" s="243"/>
      <c r="S63" s="243"/>
      <c r="T63" s="243"/>
      <c r="U63" s="243"/>
    </row>
    <row r="64" spans="2:21">
      <c r="B64" s="145" t="str">
        <f>IF(D64=F63,"","IU")</f>
        <v/>
      </c>
      <c r="C64" s="495">
        <f>IF(D11="","-",+C63+1)</f>
        <v>2060</v>
      </c>
      <c r="D64" s="508">
        <f>IF(F63+SUM(E$17:E63)=D$10,F63,D$10-SUM(E$17:E63))</f>
        <v>0</v>
      </c>
      <c r="E64" s="509">
        <f t="shared" si="20"/>
        <v>0</v>
      </c>
      <c r="F64" s="510">
        <f t="shared" si="21"/>
        <v>0</v>
      </c>
      <c r="G64" s="511">
        <f t="shared" si="22"/>
        <v>0</v>
      </c>
      <c r="H64" s="477">
        <f t="shared" si="23"/>
        <v>0</v>
      </c>
      <c r="I64" s="500">
        <f t="shared" si="6"/>
        <v>0</v>
      </c>
      <c r="J64" s="500"/>
      <c r="K64" s="512"/>
      <c r="L64" s="504">
        <f t="shared" si="19"/>
        <v>0</v>
      </c>
      <c r="M64" s="512"/>
      <c r="N64" s="504">
        <f t="shared" si="4"/>
        <v>0</v>
      </c>
      <c r="O64" s="504">
        <f t="shared" si="5"/>
        <v>0</v>
      </c>
      <c r="P64" s="278"/>
      <c r="R64" s="243"/>
      <c r="S64" s="243"/>
      <c r="T64" s="243"/>
      <c r="U64" s="243"/>
    </row>
    <row r="65" spans="2:21">
      <c r="B65" s="145" t="str">
        <f t="shared" si="0"/>
        <v/>
      </c>
      <c r="C65" s="495">
        <f>IF(D11="","-",+C64+1)</f>
        <v>2061</v>
      </c>
      <c r="D65" s="508">
        <f>IF(F64+SUM(E$17:E64)=D$10,F64,D$10-SUM(E$17:E64))</f>
        <v>0</v>
      </c>
      <c r="E65" s="509">
        <f t="shared" si="20"/>
        <v>0</v>
      </c>
      <c r="F65" s="510">
        <f t="shared" si="21"/>
        <v>0</v>
      </c>
      <c r="G65" s="511">
        <f t="shared" si="22"/>
        <v>0</v>
      </c>
      <c r="H65" s="477">
        <f t="shared" si="23"/>
        <v>0</v>
      </c>
      <c r="I65" s="500">
        <f t="shared" si="6"/>
        <v>0</v>
      </c>
      <c r="J65" s="500"/>
      <c r="K65" s="512"/>
      <c r="L65" s="504">
        <f t="shared" si="19"/>
        <v>0</v>
      </c>
      <c r="M65" s="512"/>
      <c r="N65" s="504">
        <f t="shared" si="4"/>
        <v>0</v>
      </c>
      <c r="O65" s="504">
        <f t="shared" si="5"/>
        <v>0</v>
      </c>
      <c r="P65" s="278"/>
      <c r="R65" s="243"/>
      <c r="S65" s="243"/>
      <c r="T65" s="243"/>
      <c r="U65" s="243"/>
    </row>
    <row r="66" spans="2:21">
      <c r="B66" s="145" t="str">
        <f t="shared" si="0"/>
        <v/>
      </c>
      <c r="C66" s="495">
        <f>IF(D11="","-",+C65+1)</f>
        <v>2062</v>
      </c>
      <c r="D66" s="508">
        <f>IF(F65+SUM(E$17:E65)=D$10,F65,D$10-SUM(E$17:E65))</f>
        <v>0</v>
      </c>
      <c r="E66" s="509">
        <f t="shared" si="20"/>
        <v>0</v>
      </c>
      <c r="F66" s="510">
        <f t="shared" si="21"/>
        <v>0</v>
      </c>
      <c r="G66" s="511">
        <f t="shared" si="22"/>
        <v>0</v>
      </c>
      <c r="H66" s="477">
        <f t="shared" si="23"/>
        <v>0</v>
      </c>
      <c r="I66" s="500">
        <f t="shared" si="6"/>
        <v>0</v>
      </c>
      <c r="J66" s="500"/>
      <c r="K66" s="512"/>
      <c r="L66" s="504">
        <f t="shared" si="19"/>
        <v>0</v>
      </c>
      <c r="M66" s="512"/>
      <c r="N66" s="504">
        <f t="shared" si="4"/>
        <v>0</v>
      </c>
      <c r="O66" s="504">
        <f t="shared" si="5"/>
        <v>0</v>
      </c>
      <c r="P66" s="278"/>
      <c r="R66" s="243"/>
      <c r="S66" s="243"/>
      <c r="T66" s="243"/>
      <c r="U66" s="243"/>
    </row>
    <row r="67" spans="2:21">
      <c r="B67" s="145" t="str">
        <f t="shared" si="0"/>
        <v/>
      </c>
      <c r="C67" s="495">
        <f>IF(D11="","-",+C66+1)</f>
        <v>2063</v>
      </c>
      <c r="D67" s="508">
        <f>IF(F66+SUM(E$17:E66)=D$10,F66,D$10-SUM(E$17:E66))</f>
        <v>0</v>
      </c>
      <c r="E67" s="509">
        <f t="shared" si="20"/>
        <v>0</v>
      </c>
      <c r="F67" s="510">
        <f t="shared" si="21"/>
        <v>0</v>
      </c>
      <c r="G67" s="511">
        <f t="shared" si="22"/>
        <v>0</v>
      </c>
      <c r="H67" s="477">
        <f t="shared" si="23"/>
        <v>0</v>
      </c>
      <c r="I67" s="500">
        <f t="shared" si="6"/>
        <v>0</v>
      </c>
      <c r="J67" s="500"/>
      <c r="K67" s="512"/>
      <c r="L67" s="504">
        <f t="shared" si="19"/>
        <v>0</v>
      </c>
      <c r="M67" s="512"/>
      <c r="N67" s="504">
        <f t="shared" si="4"/>
        <v>0</v>
      </c>
      <c r="O67" s="504">
        <f t="shared" si="5"/>
        <v>0</v>
      </c>
      <c r="P67" s="278"/>
      <c r="R67" s="243"/>
      <c r="S67" s="243"/>
      <c r="T67" s="243"/>
      <c r="U67" s="243"/>
    </row>
    <row r="68" spans="2:21">
      <c r="B68" s="145" t="str">
        <f t="shared" si="0"/>
        <v/>
      </c>
      <c r="C68" s="495">
        <f>IF(D11="","-",+C67+1)</f>
        <v>2064</v>
      </c>
      <c r="D68" s="508">
        <f>IF(F67+SUM(E$17:E67)=D$10,F67,D$10-SUM(E$17:E67))</f>
        <v>0</v>
      </c>
      <c r="E68" s="509">
        <f t="shared" si="20"/>
        <v>0</v>
      </c>
      <c r="F68" s="510">
        <f t="shared" si="21"/>
        <v>0</v>
      </c>
      <c r="G68" s="511">
        <f t="shared" si="22"/>
        <v>0</v>
      </c>
      <c r="H68" s="477">
        <f t="shared" si="23"/>
        <v>0</v>
      </c>
      <c r="I68" s="500">
        <f t="shared" si="6"/>
        <v>0</v>
      </c>
      <c r="J68" s="500"/>
      <c r="K68" s="512"/>
      <c r="L68" s="504">
        <f t="shared" si="19"/>
        <v>0</v>
      </c>
      <c r="M68" s="512"/>
      <c r="N68" s="504">
        <f t="shared" si="4"/>
        <v>0</v>
      </c>
      <c r="O68" s="504">
        <f t="shared" si="5"/>
        <v>0</v>
      </c>
      <c r="P68" s="278"/>
      <c r="R68" s="243"/>
      <c r="S68" s="243"/>
      <c r="T68" s="243"/>
      <c r="U68" s="243"/>
    </row>
    <row r="69" spans="2:21">
      <c r="B69" s="145" t="str">
        <f t="shared" si="0"/>
        <v/>
      </c>
      <c r="C69" s="495">
        <f>IF(D11="","-",+C68+1)</f>
        <v>2065</v>
      </c>
      <c r="D69" s="508">
        <f>IF(F68+SUM(E$17:E68)=D$10,F68,D$10-SUM(E$17:E68))</f>
        <v>0</v>
      </c>
      <c r="E69" s="509">
        <f t="shared" si="20"/>
        <v>0</v>
      </c>
      <c r="F69" s="510">
        <f t="shared" si="21"/>
        <v>0</v>
      </c>
      <c r="G69" s="511">
        <f t="shared" si="22"/>
        <v>0</v>
      </c>
      <c r="H69" s="477">
        <f t="shared" si="23"/>
        <v>0</v>
      </c>
      <c r="I69" s="500">
        <f t="shared" si="6"/>
        <v>0</v>
      </c>
      <c r="J69" s="500"/>
      <c r="K69" s="512"/>
      <c r="L69" s="504">
        <f t="shared" si="19"/>
        <v>0</v>
      </c>
      <c r="M69" s="512"/>
      <c r="N69" s="504">
        <f t="shared" si="4"/>
        <v>0</v>
      </c>
      <c r="O69" s="504">
        <f t="shared" si="5"/>
        <v>0</v>
      </c>
      <c r="P69" s="278"/>
      <c r="R69" s="243"/>
      <c r="S69" s="243"/>
      <c r="T69" s="243"/>
      <c r="U69" s="243"/>
    </row>
    <row r="70" spans="2:21">
      <c r="B70" s="145" t="str">
        <f t="shared" si="0"/>
        <v/>
      </c>
      <c r="C70" s="495">
        <f>IF(D11="","-",+C69+1)</f>
        <v>2066</v>
      </c>
      <c r="D70" s="508">
        <f>IF(F69+SUM(E$17:E69)=D$10,F69,D$10-SUM(E$17:E69))</f>
        <v>0</v>
      </c>
      <c r="E70" s="509">
        <f t="shared" si="20"/>
        <v>0</v>
      </c>
      <c r="F70" s="510">
        <f t="shared" si="21"/>
        <v>0</v>
      </c>
      <c r="G70" s="511">
        <f t="shared" si="22"/>
        <v>0</v>
      </c>
      <c r="H70" s="477">
        <f t="shared" si="23"/>
        <v>0</v>
      </c>
      <c r="I70" s="500">
        <f t="shared" si="6"/>
        <v>0</v>
      </c>
      <c r="J70" s="500"/>
      <c r="K70" s="512"/>
      <c r="L70" s="504">
        <f t="shared" si="19"/>
        <v>0</v>
      </c>
      <c r="M70" s="512"/>
      <c r="N70" s="504">
        <f t="shared" si="4"/>
        <v>0</v>
      </c>
      <c r="O70" s="504">
        <f t="shared" si="5"/>
        <v>0</v>
      </c>
      <c r="P70" s="278"/>
      <c r="R70" s="243"/>
      <c r="S70" s="243"/>
      <c r="T70" s="243"/>
      <c r="U70" s="243"/>
    </row>
    <row r="71" spans="2:21">
      <c r="B71" s="145" t="str">
        <f t="shared" si="0"/>
        <v/>
      </c>
      <c r="C71" s="495">
        <f>IF(D11="","-",+C70+1)</f>
        <v>2067</v>
      </c>
      <c r="D71" s="508">
        <f>IF(F70+SUM(E$17:E70)=D$10,F70,D$10-SUM(E$17:E70))</f>
        <v>0</v>
      </c>
      <c r="E71" s="509">
        <f t="shared" si="20"/>
        <v>0</v>
      </c>
      <c r="F71" s="510">
        <f t="shared" si="21"/>
        <v>0</v>
      </c>
      <c r="G71" s="511">
        <f t="shared" si="22"/>
        <v>0</v>
      </c>
      <c r="H71" s="477">
        <f t="shared" si="23"/>
        <v>0</v>
      </c>
      <c r="I71" s="500">
        <f t="shared" si="6"/>
        <v>0</v>
      </c>
      <c r="J71" s="500"/>
      <c r="K71" s="512"/>
      <c r="L71" s="504">
        <f t="shared" si="19"/>
        <v>0</v>
      </c>
      <c r="M71" s="512"/>
      <c r="N71" s="504">
        <f t="shared" si="4"/>
        <v>0</v>
      </c>
      <c r="O71" s="504">
        <f t="shared" si="5"/>
        <v>0</v>
      </c>
      <c r="P71" s="278"/>
      <c r="R71" s="243"/>
      <c r="S71" s="243"/>
      <c r="T71" s="243"/>
      <c r="U71" s="243"/>
    </row>
    <row r="72" spans="2:21">
      <c r="B72" s="145" t="str">
        <f t="shared" si="0"/>
        <v/>
      </c>
      <c r="C72" s="495">
        <f>IF(D11="","-",+C71+1)</f>
        <v>2068</v>
      </c>
      <c r="D72" s="508">
        <f>IF(F71+SUM(E$17:E71)=D$10,F71,D$10-SUM(E$17:E71))</f>
        <v>0</v>
      </c>
      <c r="E72" s="509">
        <f t="shared" si="20"/>
        <v>0</v>
      </c>
      <c r="F72" s="510">
        <f t="shared" si="21"/>
        <v>0</v>
      </c>
      <c r="G72" s="511">
        <f t="shared" si="22"/>
        <v>0</v>
      </c>
      <c r="H72" s="477">
        <f t="shared" si="23"/>
        <v>0</v>
      </c>
      <c r="I72" s="500">
        <f t="shared" si="6"/>
        <v>0</v>
      </c>
      <c r="J72" s="500"/>
      <c r="K72" s="512"/>
      <c r="L72" s="504">
        <f t="shared" si="19"/>
        <v>0</v>
      </c>
      <c r="M72" s="512"/>
      <c r="N72" s="504">
        <f t="shared" si="4"/>
        <v>0</v>
      </c>
      <c r="O72" s="504">
        <f t="shared" si="5"/>
        <v>0</v>
      </c>
      <c r="P72" s="278"/>
      <c r="R72" s="243"/>
      <c r="S72" s="243"/>
      <c r="T72" s="243"/>
      <c r="U72" s="243"/>
    </row>
    <row r="73" spans="2:21" ht="13.5" thickBot="1">
      <c r="B73" s="145" t="str">
        <f t="shared" si="0"/>
        <v/>
      </c>
      <c r="C73" s="524">
        <f>IF(D11="","-",+C72+1)</f>
        <v>2069</v>
      </c>
      <c r="D73" s="525">
        <f>IF(F72+SUM(E$17:E72)=D$10,F72,D$10-SUM(E$17:E72))</f>
        <v>0</v>
      </c>
      <c r="E73" s="526">
        <f t="shared" si="20"/>
        <v>0</v>
      </c>
      <c r="F73" s="527">
        <f t="shared" si="21"/>
        <v>0</v>
      </c>
      <c r="G73" s="527">
        <f t="shared" si="22"/>
        <v>0</v>
      </c>
      <c r="H73" s="527">
        <f t="shared" si="23"/>
        <v>0</v>
      </c>
      <c r="I73" s="529">
        <f t="shared" si="6"/>
        <v>0</v>
      </c>
      <c r="J73" s="500"/>
      <c r="K73" s="530"/>
      <c r="L73" s="531">
        <f t="shared" si="19"/>
        <v>0</v>
      </c>
      <c r="M73" s="530"/>
      <c r="N73" s="531">
        <f t="shared" si="4"/>
        <v>0</v>
      </c>
      <c r="O73" s="531">
        <f t="shared" si="5"/>
        <v>0</v>
      </c>
      <c r="P73" s="278"/>
      <c r="R73" s="243"/>
      <c r="S73" s="243"/>
      <c r="T73" s="243"/>
      <c r="U73" s="243"/>
    </row>
    <row r="74" spans="2:21">
      <c r="C74" s="349" t="s">
        <v>75</v>
      </c>
      <c r="D74" s="294"/>
      <c r="E74" s="294">
        <f>SUM(E17:E73)</f>
        <v>7210308.9499999993</v>
      </c>
      <c r="F74" s="294"/>
      <c r="G74" s="294">
        <f>SUM(G17:G73)</f>
        <v>21255289.823595237</v>
      </c>
      <c r="H74" s="294">
        <f>SUM(H17:H73)</f>
        <v>21255289.823595237</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10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876471.96738932701</v>
      </c>
      <c r="N88" s="544">
        <f>IF(J93&lt;D11,0,VLOOKUP(J93,C17:O73,11))</f>
        <v>876471.96738932701</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988677.86959528725</v>
      </c>
      <c r="N89" s="548">
        <f>IF(J93&lt;D11,0,VLOOKUP(J93,C100:P155,7))</f>
        <v>988677.86959528725</v>
      </c>
      <c r="O89" s="549">
        <f>+N89-M89</f>
        <v>0</v>
      </c>
      <c r="P89" s="243"/>
      <c r="Q89" s="243"/>
      <c r="R89" s="243"/>
      <c r="S89" s="243"/>
      <c r="T89" s="243"/>
      <c r="U89" s="243"/>
    </row>
    <row r="90" spans="1:21" ht="13.5" thickBot="1">
      <c r="C90" s="454" t="s">
        <v>82</v>
      </c>
      <c r="D90" s="550" t="str">
        <f>+D7</f>
        <v>Wapanucka Customer Connection</v>
      </c>
      <c r="E90" s="243"/>
      <c r="F90" s="243"/>
      <c r="G90" s="243"/>
      <c r="H90" s="243"/>
      <c r="I90" s="325"/>
      <c r="J90" s="325"/>
      <c r="K90" s="551"/>
      <c r="L90" s="552" t="s">
        <v>135</v>
      </c>
      <c r="M90" s="553">
        <f>+M89-M88</f>
        <v>112205.90220596024</v>
      </c>
      <c r="N90" s="553">
        <f>+N89-N88</f>
        <v>112205.90220596024</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TP2012141</v>
      </c>
      <c r="E92" s="558"/>
      <c r="F92" s="558"/>
      <c r="G92" s="558"/>
      <c r="H92" s="558"/>
      <c r="I92" s="558"/>
      <c r="J92" s="558"/>
      <c r="K92" s="560"/>
      <c r="P92" s="468"/>
      <c r="Q92" s="243"/>
      <c r="R92" s="243"/>
      <c r="S92" s="243"/>
      <c r="T92" s="243"/>
      <c r="U92" s="243"/>
    </row>
    <row r="93" spans="1:21">
      <c r="C93" s="472" t="s">
        <v>49</v>
      </c>
      <c r="D93" s="622">
        <v>7210309</v>
      </c>
      <c r="E93" s="248" t="s">
        <v>84</v>
      </c>
      <c r="H93" s="408"/>
      <c r="I93" s="408"/>
      <c r="J93" s="471">
        <f>+'OKT.WS.G.BPU.ATRR.True-up'!M16</f>
        <v>2021</v>
      </c>
      <c r="K93" s="467"/>
      <c r="L93" s="294" t="s">
        <v>85</v>
      </c>
      <c r="P93" s="278"/>
      <c r="Q93" s="243"/>
      <c r="R93" s="243"/>
      <c r="S93" s="243"/>
      <c r="T93" s="243"/>
      <c r="U93" s="243"/>
    </row>
    <row r="94" spans="1:21">
      <c r="C94" s="472" t="s">
        <v>52</v>
      </c>
      <c r="D94" s="561">
        <f>D11</f>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12</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288412.36</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2013</v>
      </c>
      <c r="D100" s="349"/>
      <c r="E100" s="511"/>
      <c r="F100" s="510"/>
      <c r="G100" s="605"/>
      <c r="H100" s="605"/>
      <c r="I100" s="605"/>
      <c r="J100" s="504"/>
      <c r="K100" s="504"/>
      <c r="L100" s="501"/>
      <c r="M100" s="502">
        <f t="shared" ref="M100:M131" si="24">IF(L100&lt;&gt;0,+H100-L100,0)</f>
        <v>0</v>
      </c>
      <c r="N100" s="501"/>
      <c r="O100" s="503">
        <f t="shared" ref="O100:O131" si="25">IF(N100&lt;&gt;0,+I100-N100,0)</f>
        <v>0</v>
      </c>
      <c r="P100" s="503">
        <f t="shared" ref="P100:P131" si="26">+O100-M100</f>
        <v>0</v>
      </c>
      <c r="Q100" s="243"/>
      <c r="R100" s="243"/>
      <c r="S100" s="243"/>
      <c r="T100" s="243"/>
      <c r="U100" s="243"/>
    </row>
    <row r="101" spans="1:21">
      <c r="C101" s="495">
        <f>IF(D94="","-",+C100+1)</f>
        <v>2014</v>
      </c>
      <c r="D101" s="349"/>
      <c r="E101" s="509"/>
      <c r="F101" s="510"/>
      <c r="G101" s="510"/>
      <c r="H101" s="627"/>
      <c r="I101" s="628"/>
      <c r="J101" s="504"/>
      <c r="K101" s="504"/>
      <c r="L101" s="506"/>
      <c r="M101" s="507">
        <f t="shared" si="24"/>
        <v>0</v>
      </c>
      <c r="N101" s="506"/>
      <c r="O101" s="504">
        <f t="shared" si="25"/>
        <v>0</v>
      </c>
      <c r="P101" s="504">
        <f t="shared" si="26"/>
        <v>0</v>
      </c>
      <c r="Q101" s="243"/>
      <c r="R101" s="243"/>
      <c r="S101" s="243"/>
      <c r="T101" s="243"/>
      <c r="U101" s="243"/>
    </row>
    <row r="102" spans="1:21">
      <c r="B102" s="145" t="str">
        <f t="shared" ref="B102:B155" si="27">IF(D102=F101,"","IU")</f>
        <v>IU</v>
      </c>
      <c r="C102" s="495">
        <f>IF(D94="","-",+C101+1)</f>
        <v>2015</v>
      </c>
      <c r="D102" s="496">
        <v>7076304.3908220464</v>
      </c>
      <c r="E102" s="498">
        <v>150018.20833333334</v>
      </c>
      <c r="F102" s="505">
        <v>6926286.1824887134</v>
      </c>
      <c r="G102" s="505">
        <v>7001295.2866553795</v>
      </c>
      <c r="H102" s="498">
        <v>929468.41200641857</v>
      </c>
      <c r="I102" s="499">
        <v>929468.41200641857</v>
      </c>
      <c r="J102" s="504">
        <v>0</v>
      </c>
      <c r="K102" s="504"/>
      <c r="L102" s="506">
        <f t="shared" ref="L102:L107" si="28">H102</f>
        <v>929468.41200641857</v>
      </c>
      <c r="M102" s="504">
        <f t="shared" ref="M102:M107" si="29">IF(L102&lt;&gt;0,+H102-L102,0)</f>
        <v>0</v>
      </c>
      <c r="N102" s="506">
        <f t="shared" ref="N102:N107" si="30">I102</f>
        <v>929468.41200641857</v>
      </c>
      <c r="O102" s="504">
        <f t="shared" si="25"/>
        <v>0</v>
      </c>
      <c r="P102" s="504">
        <f t="shared" si="26"/>
        <v>0</v>
      </c>
      <c r="Q102" s="243"/>
      <c r="R102" s="243"/>
      <c r="S102" s="243"/>
      <c r="T102" s="243"/>
      <c r="U102" s="243"/>
    </row>
    <row r="103" spans="1:21">
      <c r="B103" s="145" t="str">
        <f t="shared" si="27"/>
        <v>IU</v>
      </c>
      <c r="C103" s="495">
        <f>IF(D94="","-",+C102+1)</f>
        <v>2016</v>
      </c>
      <c r="D103" s="496">
        <v>7060290.791666667</v>
      </c>
      <c r="E103" s="498">
        <v>141378.60784313726</v>
      </c>
      <c r="F103" s="505">
        <v>6918912.1838235296</v>
      </c>
      <c r="G103" s="505">
        <v>6989601.4877450988</v>
      </c>
      <c r="H103" s="498">
        <v>898837.94259524392</v>
      </c>
      <c r="I103" s="499">
        <v>898837.94259524392</v>
      </c>
      <c r="J103" s="504">
        <f>+I103-H103</f>
        <v>0</v>
      </c>
      <c r="K103" s="504"/>
      <c r="L103" s="506">
        <f t="shared" si="28"/>
        <v>898837.94259524392</v>
      </c>
      <c r="M103" s="504">
        <f t="shared" si="29"/>
        <v>0</v>
      </c>
      <c r="N103" s="506">
        <f t="shared" si="30"/>
        <v>898837.94259524392</v>
      </c>
      <c r="O103" s="504">
        <f>IF(N103&lt;&gt;0,+I103-N103,0)</f>
        <v>0</v>
      </c>
      <c r="P103" s="504">
        <f>+O103-M103</f>
        <v>0</v>
      </c>
      <c r="Q103" s="243"/>
      <c r="R103" s="243"/>
      <c r="S103" s="243"/>
      <c r="T103" s="243"/>
      <c r="U103" s="243"/>
    </row>
    <row r="104" spans="1:21">
      <c r="B104" s="145" t="str">
        <f t="shared" si="27"/>
        <v/>
      </c>
      <c r="C104" s="495">
        <f>IF(D94="","-",+C103+1)</f>
        <v>2017</v>
      </c>
      <c r="D104" s="496">
        <v>6918912.1838235296</v>
      </c>
      <c r="E104" s="498">
        <v>180257.72500000001</v>
      </c>
      <c r="F104" s="505">
        <v>6738654.45882353</v>
      </c>
      <c r="G104" s="505">
        <v>6828783.3213235298</v>
      </c>
      <c r="H104" s="498">
        <v>981518.91752081981</v>
      </c>
      <c r="I104" s="499">
        <v>981518.91752081981</v>
      </c>
      <c r="J104" s="504">
        <f t="shared" ref="J104:J155" si="31">+I104-H104</f>
        <v>0</v>
      </c>
      <c r="K104" s="504"/>
      <c r="L104" s="506">
        <f t="shared" si="28"/>
        <v>981518.91752081981</v>
      </c>
      <c r="M104" s="504">
        <f t="shared" si="29"/>
        <v>0</v>
      </c>
      <c r="N104" s="506">
        <f t="shared" si="30"/>
        <v>981518.91752081981</v>
      </c>
      <c r="O104" s="504">
        <f>IF(N104&lt;&gt;0,+I104-N104,0)</f>
        <v>0</v>
      </c>
      <c r="P104" s="504">
        <f>+O104-M104</f>
        <v>0</v>
      </c>
      <c r="Q104" s="243"/>
      <c r="R104" s="243"/>
      <c r="S104" s="243"/>
      <c r="T104" s="243"/>
      <c r="U104" s="243"/>
    </row>
    <row r="105" spans="1:21">
      <c r="B105" s="145" t="str">
        <f t="shared" si="27"/>
        <v/>
      </c>
      <c r="C105" s="495">
        <f>IF(D94="","-",+C104+1)</f>
        <v>2018</v>
      </c>
      <c r="D105" s="496">
        <v>6738654.45882353</v>
      </c>
      <c r="E105" s="498">
        <v>200286.36111111112</v>
      </c>
      <c r="F105" s="505">
        <v>6538368.097712419</v>
      </c>
      <c r="G105" s="505">
        <v>6638511.278267974</v>
      </c>
      <c r="H105" s="498">
        <v>901063.87001696113</v>
      </c>
      <c r="I105" s="499">
        <v>901063.87001696113</v>
      </c>
      <c r="J105" s="504">
        <f t="shared" si="31"/>
        <v>0</v>
      </c>
      <c r="K105" s="504"/>
      <c r="L105" s="506">
        <f t="shared" si="28"/>
        <v>901063.87001696113</v>
      </c>
      <c r="M105" s="504">
        <f t="shared" si="29"/>
        <v>0</v>
      </c>
      <c r="N105" s="506">
        <f t="shared" si="30"/>
        <v>901063.87001696113</v>
      </c>
      <c r="O105" s="504">
        <f>IF(N105&lt;&gt;0,+I105-N105,0)</f>
        <v>0</v>
      </c>
      <c r="P105" s="504">
        <f>+O105-M105</f>
        <v>0</v>
      </c>
      <c r="Q105" s="243"/>
      <c r="R105" s="243"/>
      <c r="S105" s="243"/>
      <c r="T105" s="243"/>
      <c r="U105" s="243"/>
    </row>
    <row r="106" spans="1:21">
      <c r="B106" s="145" t="str">
        <f t="shared" si="27"/>
        <v/>
      </c>
      <c r="C106" s="495">
        <f>IF(D94="","-",+C105+1)</f>
        <v>2019</v>
      </c>
      <c r="D106" s="496">
        <v>6538368.097712419</v>
      </c>
      <c r="E106" s="498">
        <v>200286.36111111112</v>
      </c>
      <c r="F106" s="505">
        <v>6338081.736601308</v>
      </c>
      <c r="G106" s="505">
        <v>6438224.917156864</v>
      </c>
      <c r="H106" s="498">
        <v>879921.15121692908</v>
      </c>
      <c r="I106" s="499">
        <v>879921.15121692908</v>
      </c>
      <c r="J106" s="504">
        <f t="shared" si="31"/>
        <v>0</v>
      </c>
      <c r="K106" s="504"/>
      <c r="L106" s="506">
        <f t="shared" si="28"/>
        <v>879921.15121692908</v>
      </c>
      <c r="M106" s="504">
        <f t="shared" si="29"/>
        <v>0</v>
      </c>
      <c r="N106" s="506">
        <f t="shared" si="30"/>
        <v>879921.15121692908</v>
      </c>
      <c r="O106" s="504">
        <f t="shared" si="25"/>
        <v>0</v>
      </c>
      <c r="P106" s="504">
        <f t="shared" si="26"/>
        <v>0</v>
      </c>
      <c r="Q106" s="243"/>
      <c r="R106" s="243"/>
      <c r="S106" s="243"/>
      <c r="T106" s="243"/>
      <c r="U106" s="243"/>
    </row>
    <row r="107" spans="1:21">
      <c r="B107" s="145" t="str">
        <f t="shared" si="27"/>
        <v/>
      </c>
      <c r="C107" s="495">
        <f>IF(D94="","-",+C106+1)</f>
        <v>2020</v>
      </c>
      <c r="D107" s="496">
        <v>6338081.736601308</v>
      </c>
      <c r="E107" s="498">
        <v>257511.03571428571</v>
      </c>
      <c r="F107" s="505">
        <v>6080570.7008870225</v>
      </c>
      <c r="G107" s="505">
        <v>6209326.2187441653</v>
      </c>
      <c r="H107" s="498">
        <v>918267.16489887808</v>
      </c>
      <c r="I107" s="499">
        <v>918267.16489887808</v>
      </c>
      <c r="J107" s="504">
        <f t="shared" si="31"/>
        <v>0</v>
      </c>
      <c r="K107" s="504"/>
      <c r="L107" s="506">
        <f t="shared" si="28"/>
        <v>918267.16489887808</v>
      </c>
      <c r="M107" s="504">
        <f t="shared" si="29"/>
        <v>0</v>
      </c>
      <c r="N107" s="506">
        <f t="shared" si="30"/>
        <v>918267.16489887808</v>
      </c>
      <c r="O107" s="504">
        <f t="shared" si="25"/>
        <v>0</v>
      </c>
      <c r="P107" s="504">
        <f t="shared" si="26"/>
        <v>0</v>
      </c>
      <c r="Q107" s="243"/>
      <c r="R107" s="243"/>
      <c r="S107" s="243"/>
      <c r="T107" s="243"/>
      <c r="U107" s="243"/>
    </row>
    <row r="108" spans="1:21">
      <c r="B108" s="145" t="str">
        <f t="shared" si="27"/>
        <v/>
      </c>
      <c r="C108" s="495">
        <f>IF(D94="","-",+C107+1)</f>
        <v>2021</v>
      </c>
      <c r="D108" s="349">
        <f>IF(F107+SUM(E$100:E107)=D$93,F107,D$93-SUM(E$100:E107))</f>
        <v>6080570.7008870225</v>
      </c>
      <c r="E108" s="629">
        <f t="shared" ref="E108:E155" si="32">IF(+$J$97&lt;F107,$J$97,D108)</f>
        <v>288412.36</v>
      </c>
      <c r="F108" s="510">
        <f t="shared" ref="F108:F155" si="33">+D108-E108</f>
        <v>5792158.3408870222</v>
      </c>
      <c r="G108" s="510">
        <f t="shared" ref="G108:G155" si="34">+(F108+D108)/2</f>
        <v>5936364.5208870228</v>
      </c>
      <c r="H108" s="630">
        <f t="shared" ref="H108:H155" si="35">+J$95*G108+E108</f>
        <v>988677.86959528725</v>
      </c>
      <c r="I108" s="631">
        <f t="shared" ref="I108:I155" si="36">+J$96*G108+E108</f>
        <v>988677.86959528725</v>
      </c>
      <c r="J108" s="504">
        <f t="shared" si="31"/>
        <v>0</v>
      </c>
      <c r="K108" s="504"/>
      <c r="L108" s="512"/>
      <c r="M108" s="504">
        <f t="shared" si="24"/>
        <v>0</v>
      </c>
      <c r="N108" s="512"/>
      <c r="O108" s="504">
        <f t="shared" si="25"/>
        <v>0</v>
      </c>
      <c r="P108" s="504">
        <f t="shared" si="26"/>
        <v>0</v>
      </c>
      <c r="Q108" s="243"/>
      <c r="R108" s="243"/>
      <c r="S108" s="243"/>
      <c r="T108" s="243"/>
      <c r="U108" s="243"/>
    </row>
    <row r="109" spans="1:21">
      <c r="B109" s="145" t="str">
        <f t="shared" si="27"/>
        <v/>
      </c>
      <c r="C109" s="495">
        <f>IF(D94="","-",+C108+1)</f>
        <v>2022</v>
      </c>
      <c r="D109" s="349">
        <f>IF(F108+SUM(E$100:E108)=D$93,F108,D$93-SUM(E$100:E108))</f>
        <v>5792158.3408870222</v>
      </c>
      <c r="E109" s="629">
        <f t="shared" si="32"/>
        <v>288412.36</v>
      </c>
      <c r="F109" s="510">
        <f t="shared" si="33"/>
        <v>5503745.9808870219</v>
      </c>
      <c r="G109" s="510">
        <f t="shared" si="34"/>
        <v>5647952.1608870216</v>
      </c>
      <c r="H109" s="630">
        <f t="shared" si="35"/>
        <v>954656.16699626914</v>
      </c>
      <c r="I109" s="631">
        <f t="shared" si="36"/>
        <v>954656.16699626914</v>
      </c>
      <c r="J109" s="504">
        <f t="shared" si="31"/>
        <v>0</v>
      </c>
      <c r="K109" s="504"/>
      <c r="L109" s="512"/>
      <c r="M109" s="504">
        <f t="shared" si="24"/>
        <v>0</v>
      </c>
      <c r="N109" s="512"/>
      <c r="O109" s="504">
        <f t="shared" si="25"/>
        <v>0</v>
      </c>
      <c r="P109" s="504">
        <f t="shared" si="26"/>
        <v>0</v>
      </c>
      <c r="Q109" s="243"/>
      <c r="R109" s="243"/>
      <c r="S109" s="243"/>
      <c r="T109" s="243"/>
      <c r="U109" s="243"/>
    </row>
    <row r="110" spans="1:21">
      <c r="B110" s="145" t="str">
        <f t="shared" si="27"/>
        <v/>
      </c>
      <c r="C110" s="495">
        <f>IF(D94="","-",+C109+1)</f>
        <v>2023</v>
      </c>
      <c r="D110" s="349">
        <f>IF(F109+SUM(E$100:E109)=D$93,F109,D$93-SUM(E$100:E109))</f>
        <v>5503745.9808870219</v>
      </c>
      <c r="E110" s="629">
        <f t="shared" si="32"/>
        <v>288412.36</v>
      </c>
      <c r="F110" s="510">
        <f t="shared" si="33"/>
        <v>5215333.6208870215</v>
      </c>
      <c r="G110" s="510">
        <f t="shared" si="34"/>
        <v>5359539.8008870222</v>
      </c>
      <c r="H110" s="630">
        <f t="shared" si="35"/>
        <v>920634.46439725137</v>
      </c>
      <c r="I110" s="631">
        <f t="shared" si="36"/>
        <v>920634.46439725137</v>
      </c>
      <c r="J110" s="504">
        <f t="shared" si="31"/>
        <v>0</v>
      </c>
      <c r="K110" s="504"/>
      <c r="L110" s="512"/>
      <c r="M110" s="504">
        <f t="shared" si="24"/>
        <v>0</v>
      </c>
      <c r="N110" s="512"/>
      <c r="O110" s="504">
        <f t="shared" si="25"/>
        <v>0</v>
      </c>
      <c r="P110" s="504">
        <f t="shared" si="26"/>
        <v>0</v>
      </c>
      <c r="Q110" s="243"/>
      <c r="R110" s="243"/>
      <c r="S110" s="243"/>
      <c r="T110" s="243"/>
      <c r="U110" s="243"/>
    </row>
    <row r="111" spans="1:21">
      <c r="B111" s="145" t="str">
        <f t="shared" si="27"/>
        <v/>
      </c>
      <c r="C111" s="495">
        <f>IF(D94="","-",+C110+1)</f>
        <v>2024</v>
      </c>
      <c r="D111" s="349">
        <f>IF(F110+SUM(E$100:E110)=D$93,F110,D$93-SUM(E$100:E110))</f>
        <v>5215333.6208870215</v>
      </c>
      <c r="E111" s="629">
        <f t="shared" si="32"/>
        <v>288412.36</v>
      </c>
      <c r="F111" s="510">
        <f t="shared" si="33"/>
        <v>4926921.2608870212</v>
      </c>
      <c r="G111" s="510">
        <f t="shared" si="34"/>
        <v>5071127.4408870209</v>
      </c>
      <c r="H111" s="630">
        <f t="shared" si="35"/>
        <v>886612.76179823338</v>
      </c>
      <c r="I111" s="631">
        <f t="shared" si="36"/>
        <v>886612.76179823338</v>
      </c>
      <c r="J111" s="504">
        <f t="shared" si="31"/>
        <v>0</v>
      </c>
      <c r="K111" s="504"/>
      <c r="L111" s="512"/>
      <c r="M111" s="504">
        <f t="shared" si="24"/>
        <v>0</v>
      </c>
      <c r="N111" s="512"/>
      <c r="O111" s="504">
        <f t="shared" si="25"/>
        <v>0</v>
      </c>
      <c r="P111" s="504">
        <f t="shared" si="26"/>
        <v>0</v>
      </c>
      <c r="Q111" s="243"/>
      <c r="R111" s="243"/>
      <c r="S111" s="243"/>
      <c r="T111" s="243"/>
      <c r="U111" s="243"/>
    </row>
    <row r="112" spans="1:21">
      <c r="B112" s="145" t="str">
        <f t="shared" si="27"/>
        <v/>
      </c>
      <c r="C112" s="495">
        <f>IF(D94="","-",+C111+1)</f>
        <v>2025</v>
      </c>
      <c r="D112" s="349">
        <f>IF(F111+SUM(E$100:E111)=D$93,F111,D$93-SUM(E$100:E111))</f>
        <v>4926921.2608870212</v>
      </c>
      <c r="E112" s="629">
        <f t="shared" si="32"/>
        <v>288412.36</v>
      </c>
      <c r="F112" s="510">
        <f t="shared" si="33"/>
        <v>4638508.9008870209</v>
      </c>
      <c r="G112" s="510">
        <f t="shared" si="34"/>
        <v>4782715.0808870215</v>
      </c>
      <c r="H112" s="630">
        <f t="shared" si="35"/>
        <v>852591.05919921561</v>
      </c>
      <c r="I112" s="631">
        <f t="shared" si="36"/>
        <v>852591.05919921561</v>
      </c>
      <c r="J112" s="504">
        <f t="shared" si="31"/>
        <v>0</v>
      </c>
      <c r="K112" s="504"/>
      <c r="L112" s="512"/>
      <c r="M112" s="504">
        <f t="shared" si="24"/>
        <v>0</v>
      </c>
      <c r="N112" s="512"/>
      <c r="O112" s="504">
        <f t="shared" si="25"/>
        <v>0</v>
      </c>
      <c r="P112" s="504">
        <f t="shared" si="26"/>
        <v>0</v>
      </c>
      <c r="Q112" s="243"/>
      <c r="R112" s="243"/>
      <c r="S112" s="243"/>
      <c r="T112" s="243"/>
      <c r="U112" s="243"/>
    </row>
    <row r="113" spans="2:21">
      <c r="B113" s="145" t="str">
        <f t="shared" si="27"/>
        <v/>
      </c>
      <c r="C113" s="495">
        <f>IF(D94="","-",+C112+1)</f>
        <v>2026</v>
      </c>
      <c r="D113" s="349">
        <f>IF(F112+SUM(E$100:E112)=D$93,F112,D$93-SUM(E$100:E112))</f>
        <v>4638508.9008870209</v>
      </c>
      <c r="E113" s="629">
        <f t="shared" si="32"/>
        <v>288412.36</v>
      </c>
      <c r="F113" s="510">
        <f t="shared" si="33"/>
        <v>4350096.5408870205</v>
      </c>
      <c r="G113" s="510">
        <f t="shared" si="34"/>
        <v>4494302.7208870202</v>
      </c>
      <c r="H113" s="630">
        <f t="shared" si="35"/>
        <v>818569.35660019761</v>
      </c>
      <c r="I113" s="631">
        <f t="shared" si="36"/>
        <v>818569.35660019761</v>
      </c>
      <c r="J113" s="504">
        <f t="shared" si="31"/>
        <v>0</v>
      </c>
      <c r="K113" s="504"/>
      <c r="L113" s="512"/>
      <c r="M113" s="504">
        <f t="shared" si="24"/>
        <v>0</v>
      </c>
      <c r="N113" s="512"/>
      <c r="O113" s="504">
        <f t="shared" si="25"/>
        <v>0</v>
      </c>
      <c r="P113" s="504">
        <f t="shared" si="26"/>
        <v>0</v>
      </c>
      <c r="Q113" s="243"/>
      <c r="R113" s="243"/>
      <c r="S113" s="243"/>
      <c r="T113" s="243"/>
      <c r="U113" s="243"/>
    </row>
    <row r="114" spans="2:21">
      <c r="B114" s="145" t="str">
        <f t="shared" si="27"/>
        <v/>
      </c>
      <c r="C114" s="495">
        <f>IF(D94="","-",+C113+1)</f>
        <v>2027</v>
      </c>
      <c r="D114" s="349">
        <f>IF(F113+SUM(E$100:E113)=D$93,F113,D$93-SUM(E$100:E113))</f>
        <v>4350096.5408870205</v>
      </c>
      <c r="E114" s="629">
        <f t="shared" si="32"/>
        <v>288412.36</v>
      </c>
      <c r="F114" s="510">
        <f t="shared" si="33"/>
        <v>4061684.1808870207</v>
      </c>
      <c r="G114" s="510">
        <f t="shared" si="34"/>
        <v>4205890.3608870208</v>
      </c>
      <c r="H114" s="630">
        <f t="shared" si="35"/>
        <v>784547.65400117985</v>
      </c>
      <c r="I114" s="631">
        <f t="shared" si="36"/>
        <v>784547.65400117985</v>
      </c>
      <c r="J114" s="504">
        <f t="shared" si="31"/>
        <v>0</v>
      </c>
      <c r="K114" s="504"/>
      <c r="L114" s="512"/>
      <c r="M114" s="504">
        <f t="shared" si="24"/>
        <v>0</v>
      </c>
      <c r="N114" s="512"/>
      <c r="O114" s="504">
        <f t="shared" si="25"/>
        <v>0</v>
      </c>
      <c r="P114" s="504">
        <f t="shared" si="26"/>
        <v>0</v>
      </c>
      <c r="Q114" s="243"/>
      <c r="R114" s="243"/>
      <c r="S114" s="243"/>
      <c r="T114" s="243"/>
      <c r="U114" s="243"/>
    </row>
    <row r="115" spans="2:21">
      <c r="B115" s="145" t="str">
        <f t="shared" si="27"/>
        <v/>
      </c>
      <c r="C115" s="495">
        <f>IF(D94="","-",+C114+1)</f>
        <v>2028</v>
      </c>
      <c r="D115" s="349">
        <f>IF(F114+SUM(E$100:E114)=D$93,F114,D$93-SUM(E$100:E114))</f>
        <v>4061684.1808870207</v>
      </c>
      <c r="E115" s="629">
        <f t="shared" si="32"/>
        <v>288412.36</v>
      </c>
      <c r="F115" s="510">
        <f t="shared" si="33"/>
        <v>3773271.8208870208</v>
      </c>
      <c r="G115" s="510">
        <f t="shared" si="34"/>
        <v>3917478.0008870205</v>
      </c>
      <c r="H115" s="630">
        <f t="shared" si="35"/>
        <v>750525.95140216197</v>
      </c>
      <c r="I115" s="631">
        <f t="shared" si="36"/>
        <v>750525.95140216197</v>
      </c>
      <c r="J115" s="504">
        <f t="shared" si="31"/>
        <v>0</v>
      </c>
      <c r="K115" s="504"/>
      <c r="L115" s="512"/>
      <c r="M115" s="504">
        <f t="shared" si="24"/>
        <v>0</v>
      </c>
      <c r="N115" s="512"/>
      <c r="O115" s="504">
        <f t="shared" si="25"/>
        <v>0</v>
      </c>
      <c r="P115" s="504">
        <f t="shared" si="26"/>
        <v>0</v>
      </c>
      <c r="Q115" s="243"/>
      <c r="R115" s="243"/>
      <c r="S115" s="243"/>
      <c r="T115" s="243"/>
      <c r="U115" s="243"/>
    </row>
    <row r="116" spans="2:21">
      <c r="B116" s="145" t="str">
        <f t="shared" si="27"/>
        <v/>
      </c>
      <c r="C116" s="495">
        <f>IF(D94="","-",+C115+1)</f>
        <v>2029</v>
      </c>
      <c r="D116" s="349">
        <f>IF(F115+SUM(E$100:E115)=D$93,F115,D$93-SUM(E$100:E115))</f>
        <v>3773271.8208870208</v>
      </c>
      <c r="E116" s="629">
        <f t="shared" si="32"/>
        <v>288412.36</v>
      </c>
      <c r="F116" s="510">
        <f t="shared" si="33"/>
        <v>3484859.4608870209</v>
      </c>
      <c r="G116" s="510">
        <f t="shared" si="34"/>
        <v>3629065.6408870211</v>
      </c>
      <c r="H116" s="630">
        <f t="shared" si="35"/>
        <v>716504.24880314409</v>
      </c>
      <c r="I116" s="631">
        <f t="shared" si="36"/>
        <v>716504.24880314409</v>
      </c>
      <c r="J116" s="504">
        <f t="shared" si="31"/>
        <v>0</v>
      </c>
      <c r="K116" s="504"/>
      <c r="L116" s="512"/>
      <c r="M116" s="504">
        <f t="shared" si="24"/>
        <v>0</v>
      </c>
      <c r="N116" s="512"/>
      <c r="O116" s="504">
        <f t="shared" si="25"/>
        <v>0</v>
      </c>
      <c r="P116" s="504">
        <f t="shared" si="26"/>
        <v>0</v>
      </c>
      <c r="Q116" s="243"/>
      <c r="R116" s="243"/>
      <c r="S116" s="243"/>
      <c r="T116" s="243"/>
      <c r="U116" s="243"/>
    </row>
    <row r="117" spans="2:21">
      <c r="B117" s="145" t="str">
        <f t="shared" si="27"/>
        <v/>
      </c>
      <c r="C117" s="495">
        <f>IF(D94="","-",+C116+1)</f>
        <v>2030</v>
      </c>
      <c r="D117" s="349">
        <f>IF(F116+SUM(E$100:E116)=D$93,F116,D$93-SUM(E$100:E116))</f>
        <v>3484859.4608870209</v>
      </c>
      <c r="E117" s="629">
        <f t="shared" si="32"/>
        <v>288412.36</v>
      </c>
      <c r="F117" s="510">
        <f t="shared" si="33"/>
        <v>3196447.100887021</v>
      </c>
      <c r="G117" s="510">
        <f t="shared" si="34"/>
        <v>3340653.2808870208</v>
      </c>
      <c r="H117" s="630">
        <f t="shared" si="35"/>
        <v>682482.54620412621</v>
      </c>
      <c r="I117" s="631">
        <f t="shared" si="36"/>
        <v>682482.54620412621</v>
      </c>
      <c r="J117" s="504">
        <f t="shared" si="31"/>
        <v>0</v>
      </c>
      <c r="K117" s="504"/>
      <c r="L117" s="512"/>
      <c r="M117" s="504">
        <f t="shared" si="24"/>
        <v>0</v>
      </c>
      <c r="N117" s="512"/>
      <c r="O117" s="504">
        <f t="shared" si="25"/>
        <v>0</v>
      </c>
      <c r="P117" s="504">
        <f t="shared" si="26"/>
        <v>0</v>
      </c>
      <c r="Q117" s="243"/>
      <c r="R117" s="243"/>
      <c r="S117" s="243"/>
      <c r="T117" s="243"/>
      <c r="U117" s="243"/>
    </row>
    <row r="118" spans="2:21">
      <c r="B118" s="145" t="str">
        <f t="shared" si="27"/>
        <v/>
      </c>
      <c r="C118" s="495">
        <f>IF(D94="","-",+C117+1)</f>
        <v>2031</v>
      </c>
      <c r="D118" s="349">
        <f>IF(F117+SUM(E$100:E117)=D$93,F117,D$93-SUM(E$100:E117))</f>
        <v>3196447.100887021</v>
      </c>
      <c r="E118" s="629">
        <f t="shared" si="32"/>
        <v>288412.36</v>
      </c>
      <c r="F118" s="510">
        <f t="shared" si="33"/>
        <v>2908034.7408870212</v>
      </c>
      <c r="G118" s="510">
        <f t="shared" si="34"/>
        <v>3052240.9208870213</v>
      </c>
      <c r="H118" s="630">
        <f t="shared" si="35"/>
        <v>648460.84360510844</v>
      </c>
      <c r="I118" s="631">
        <f t="shared" si="36"/>
        <v>648460.84360510844</v>
      </c>
      <c r="J118" s="504">
        <f t="shared" si="31"/>
        <v>0</v>
      </c>
      <c r="K118" s="504"/>
      <c r="L118" s="512"/>
      <c r="M118" s="504">
        <f t="shared" si="24"/>
        <v>0</v>
      </c>
      <c r="N118" s="512"/>
      <c r="O118" s="504">
        <f t="shared" si="25"/>
        <v>0</v>
      </c>
      <c r="P118" s="504">
        <f t="shared" si="26"/>
        <v>0</v>
      </c>
      <c r="Q118" s="243"/>
      <c r="R118" s="243"/>
      <c r="S118" s="243"/>
      <c r="T118" s="243"/>
      <c r="U118" s="243"/>
    </row>
    <row r="119" spans="2:21">
      <c r="B119" s="145" t="str">
        <f t="shared" si="27"/>
        <v/>
      </c>
      <c r="C119" s="495">
        <f>IF(D94="","-",+C118+1)</f>
        <v>2032</v>
      </c>
      <c r="D119" s="349">
        <f>IF(F118+SUM(E$100:E118)=D$93,F118,D$93-SUM(E$100:E118))</f>
        <v>2908034.7408870212</v>
      </c>
      <c r="E119" s="629">
        <f t="shared" si="32"/>
        <v>288412.36</v>
      </c>
      <c r="F119" s="510">
        <f t="shared" si="33"/>
        <v>2619622.3808870213</v>
      </c>
      <c r="G119" s="510">
        <f t="shared" si="34"/>
        <v>2763828.560887021</v>
      </c>
      <c r="H119" s="630">
        <f t="shared" si="35"/>
        <v>614439.14100609056</v>
      </c>
      <c r="I119" s="631">
        <f t="shared" si="36"/>
        <v>614439.14100609056</v>
      </c>
      <c r="J119" s="504">
        <f t="shared" si="31"/>
        <v>0</v>
      </c>
      <c r="K119" s="504"/>
      <c r="L119" s="512"/>
      <c r="M119" s="504">
        <f t="shared" si="24"/>
        <v>0</v>
      </c>
      <c r="N119" s="512"/>
      <c r="O119" s="504">
        <f t="shared" si="25"/>
        <v>0</v>
      </c>
      <c r="P119" s="504">
        <f t="shared" si="26"/>
        <v>0</v>
      </c>
      <c r="Q119" s="243"/>
      <c r="R119" s="243"/>
      <c r="S119" s="243"/>
      <c r="T119" s="243"/>
      <c r="U119" s="243"/>
    </row>
    <row r="120" spans="2:21">
      <c r="B120" s="145" t="str">
        <f t="shared" si="27"/>
        <v/>
      </c>
      <c r="C120" s="495">
        <f>IF(D94="","-",+C119+1)</f>
        <v>2033</v>
      </c>
      <c r="D120" s="349">
        <f>IF(F119+SUM(E$100:E119)=D$93,F119,D$93-SUM(E$100:E119))</f>
        <v>2619622.3808870213</v>
      </c>
      <c r="E120" s="629">
        <f t="shared" si="32"/>
        <v>288412.36</v>
      </c>
      <c r="F120" s="510">
        <f t="shared" si="33"/>
        <v>2331210.0208870214</v>
      </c>
      <c r="G120" s="510">
        <f t="shared" si="34"/>
        <v>2475416.2008870216</v>
      </c>
      <c r="H120" s="630">
        <f t="shared" si="35"/>
        <v>580417.4384070728</v>
      </c>
      <c r="I120" s="631">
        <f t="shared" si="36"/>
        <v>580417.4384070728</v>
      </c>
      <c r="J120" s="504">
        <f t="shared" si="31"/>
        <v>0</v>
      </c>
      <c r="K120" s="504"/>
      <c r="L120" s="512"/>
      <c r="M120" s="504">
        <f t="shared" si="24"/>
        <v>0</v>
      </c>
      <c r="N120" s="512"/>
      <c r="O120" s="504">
        <f t="shared" si="25"/>
        <v>0</v>
      </c>
      <c r="P120" s="504">
        <f t="shared" si="26"/>
        <v>0</v>
      </c>
      <c r="Q120" s="243"/>
      <c r="R120" s="243"/>
      <c r="S120" s="243"/>
      <c r="T120" s="243"/>
      <c r="U120" s="243"/>
    </row>
    <row r="121" spans="2:21">
      <c r="B121" s="145" t="str">
        <f t="shared" si="27"/>
        <v/>
      </c>
      <c r="C121" s="495">
        <f>IF(D94="","-",+C120+1)</f>
        <v>2034</v>
      </c>
      <c r="D121" s="349">
        <f>IF(F120+SUM(E$100:E120)=D$93,F120,D$93-SUM(E$100:E120))</f>
        <v>2331210.0208870214</v>
      </c>
      <c r="E121" s="629">
        <f t="shared" si="32"/>
        <v>288412.36</v>
      </c>
      <c r="F121" s="510">
        <f t="shared" si="33"/>
        <v>2042797.6608870216</v>
      </c>
      <c r="G121" s="510">
        <f t="shared" si="34"/>
        <v>2187003.8408870213</v>
      </c>
      <c r="H121" s="630">
        <f t="shared" si="35"/>
        <v>546395.73580805492</v>
      </c>
      <c r="I121" s="631">
        <f t="shared" si="36"/>
        <v>546395.73580805492</v>
      </c>
      <c r="J121" s="504">
        <f t="shared" si="31"/>
        <v>0</v>
      </c>
      <c r="K121" s="504"/>
      <c r="L121" s="512"/>
      <c r="M121" s="504">
        <f t="shared" si="24"/>
        <v>0</v>
      </c>
      <c r="N121" s="512"/>
      <c r="O121" s="504">
        <f t="shared" si="25"/>
        <v>0</v>
      </c>
      <c r="P121" s="504">
        <f t="shared" si="26"/>
        <v>0</v>
      </c>
      <c r="Q121" s="243"/>
      <c r="R121" s="243"/>
      <c r="S121" s="243"/>
      <c r="T121" s="243"/>
      <c r="U121" s="243"/>
    </row>
    <row r="122" spans="2:21">
      <c r="B122" s="145" t="str">
        <f t="shared" si="27"/>
        <v/>
      </c>
      <c r="C122" s="495">
        <f>IF(D94="","-",+C121+1)</f>
        <v>2035</v>
      </c>
      <c r="D122" s="349">
        <f>IF(F121+SUM(E$100:E121)=D$93,F121,D$93-SUM(E$100:E121))</f>
        <v>2042797.6608870216</v>
      </c>
      <c r="E122" s="629">
        <f t="shared" si="32"/>
        <v>288412.36</v>
      </c>
      <c r="F122" s="510">
        <f t="shared" si="33"/>
        <v>1754385.3008870217</v>
      </c>
      <c r="G122" s="510">
        <f t="shared" si="34"/>
        <v>1898591.4808870216</v>
      </c>
      <c r="H122" s="630">
        <f t="shared" si="35"/>
        <v>512374.03320903704</v>
      </c>
      <c r="I122" s="631">
        <f t="shared" si="36"/>
        <v>512374.03320903704</v>
      </c>
      <c r="J122" s="504">
        <f t="shared" si="31"/>
        <v>0</v>
      </c>
      <c r="K122" s="504"/>
      <c r="L122" s="512"/>
      <c r="M122" s="504">
        <f t="shared" si="24"/>
        <v>0</v>
      </c>
      <c r="N122" s="512"/>
      <c r="O122" s="504">
        <f t="shared" si="25"/>
        <v>0</v>
      </c>
      <c r="P122" s="504">
        <f t="shared" si="26"/>
        <v>0</v>
      </c>
      <c r="Q122" s="243"/>
      <c r="R122" s="243"/>
      <c r="S122" s="243"/>
      <c r="T122" s="243"/>
      <c r="U122" s="243"/>
    </row>
    <row r="123" spans="2:21">
      <c r="B123" s="145" t="str">
        <f t="shared" si="27"/>
        <v/>
      </c>
      <c r="C123" s="495">
        <f>IF(D94="","-",+C122+1)</f>
        <v>2036</v>
      </c>
      <c r="D123" s="349">
        <f>IF(F122+SUM(E$100:E122)=D$93,F122,D$93-SUM(E$100:E122))</f>
        <v>1754385.3008870217</v>
      </c>
      <c r="E123" s="629">
        <f t="shared" si="32"/>
        <v>288412.36</v>
      </c>
      <c r="F123" s="510">
        <f t="shared" si="33"/>
        <v>1465972.9408870218</v>
      </c>
      <c r="G123" s="510">
        <f t="shared" si="34"/>
        <v>1610179.1208870218</v>
      </c>
      <c r="H123" s="630">
        <f t="shared" si="35"/>
        <v>478352.33061001915</v>
      </c>
      <c r="I123" s="631">
        <f t="shared" si="36"/>
        <v>478352.33061001915</v>
      </c>
      <c r="J123" s="504">
        <f t="shared" si="31"/>
        <v>0</v>
      </c>
      <c r="K123" s="504"/>
      <c r="L123" s="512"/>
      <c r="M123" s="504">
        <f t="shared" si="24"/>
        <v>0</v>
      </c>
      <c r="N123" s="512"/>
      <c r="O123" s="504">
        <f t="shared" si="25"/>
        <v>0</v>
      </c>
      <c r="P123" s="504">
        <f t="shared" si="26"/>
        <v>0</v>
      </c>
      <c r="Q123" s="243"/>
      <c r="R123" s="243"/>
      <c r="S123" s="243"/>
      <c r="T123" s="243"/>
      <c r="U123" s="243"/>
    </row>
    <row r="124" spans="2:21">
      <c r="B124" s="145" t="str">
        <f t="shared" si="27"/>
        <v/>
      </c>
      <c r="C124" s="495">
        <f>IF(D94="","-",+C123+1)</f>
        <v>2037</v>
      </c>
      <c r="D124" s="349">
        <f>IF(F123+SUM(E$100:E123)=D$93,F123,D$93-SUM(E$100:E123))</f>
        <v>1465972.9408870218</v>
      </c>
      <c r="E124" s="629">
        <f t="shared" si="32"/>
        <v>288412.36</v>
      </c>
      <c r="F124" s="510">
        <f t="shared" si="33"/>
        <v>1177560.580887022</v>
      </c>
      <c r="G124" s="510">
        <f t="shared" si="34"/>
        <v>1321766.7608870219</v>
      </c>
      <c r="H124" s="630">
        <f t="shared" si="35"/>
        <v>444330.62801100139</v>
      </c>
      <c r="I124" s="631">
        <f t="shared" si="36"/>
        <v>444330.62801100139</v>
      </c>
      <c r="J124" s="504">
        <f t="shared" si="31"/>
        <v>0</v>
      </c>
      <c r="K124" s="504"/>
      <c r="L124" s="512"/>
      <c r="M124" s="504">
        <f t="shared" si="24"/>
        <v>0</v>
      </c>
      <c r="N124" s="512"/>
      <c r="O124" s="504">
        <f t="shared" si="25"/>
        <v>0</v>
      </c>
      <c r="P124" s="504">
        <f t="shared" si="26"/>
        <v>0</v>
      </c>
      <c r="Q124" s="243"/>
      <c r="R124" s="243"/>
      <c r="S124" s="243"/>
      <c r="T124" s="243"/>
      <c r="U124" s="243"/>
    </row>
    <row r="125" spans="2:21">
      <c r="B125" s="145" t="str">
        <f t="shared" si="27"/>
        <v/>
      </c>
      <c r="C125" s="495">
        <f>IF(D94="","-",+C124+1)</f>
        <v>2038</v>
      </c>
      <c r="D125" s="349">
        <f>IF(F124+SUM(E$100:E124)=D$93,F124,D$93-SUM(E$100:E124))</f>
        <v>1177560.580887022</v>
      </c>
      <c r="E125" s="629">
        <f t="shared" si="32"/>
        <v>288412.36</v>
      </c>
      <c r="F125" s="510">
        <f t="shared" si="33"/>
        <v>889148.22088702198</v>
      </c>
      <c r="G125" s="510">
        <f t="shared" si="34"/>
        <v>1033354.400887022</v>
      </c>
      <c r="H125" s="630">
        <f t="shared" si="35"/>
        <v>410308.92541198351</v>
      </c>
      <c r="I125" s="631">
        <f t="shared" si="36"/>
        <v>410308.92541198351</v>
      </c>
      <c r="J125" s="504">
        <f t="shared" si="31"/>
        <v>0</v>
      </c>
      <c r="K125" s="504"/>
      <c r="L125" s="512"/>
      <c r="M125" s="504">
        <f t="shared" si="24"/>
        <v>0</v>
      </c>
      <c r="N125" s="512"/>
      <c r="O125" s="504">
        <f t="shared" si="25"/>
        <v>0</v>
      </c>
      <c r="P125" s="504">
        <f t="shared" si="26"/>
        <v>0</v>
      </c>
      <c r="Q125" s="243"/>
      <c r="R125" s="243"/>
      <c r="S125" s="243"/>
      <c r="T125" s="243"/>
      <c r="U125" s="243"/>
    </row>
    <row r="126" spans="2:21">
      <c r="B126" s="145" t="str">
        <f t="shared" si="27"/>
        <v/>
      </c>
      <c r="C126" s="495">
        <f>IF(D94="","-",+C125+1)</f>
        <v>2039</v>
      </c>
      <c r="D126" s="349">
        <f>IF(F125+SUM(E$100:E125)=D$93,F125,D$93-SUM(E$100:E125))</f>
        <v>889148.22088702198</v>
      </c>
      <c r="E126" s="629">
        <f t="shared" si="32"/>
        <v>288412.36</v>
      </c>
      <c r="F126" s="510">
        <f t="shared" si="33"/>
        <v>600735.86088702199</v>
      </c>
      <c r="G126" s="510">
        <f t="shared" si="34"/>
        <v>744942.04088702193</v>
      </c>
      <c r="H126" s="630">
        <f t="shared" si="35"/>
        <v>376287.22281296563</v>
      </c>
      <c r="I126" s="631">
        <f t="shared" si="36"/>
        <v>376287.22281296563</v>
      </c>
      <c r="J126" s="504">
        <f t="shared" si="31"/>
        <v>0</v>
      </c>
      <c r="K126" s="504"/>
      <c r="L126" s="512"/>
      <c r="M126" s="504">
        <f t="shared" si="24"/>
        <v>0</v>
      </c>
      <c r="N126" s="512"/>
      <c r="O126" s="504">
        <f t="shared" si="25"/>
        <v>0</v>
      </c>
      <c r="P126" s="504">
        <f t="shared" si="26"/>
        <v>0</v>
      </c>
      <c r="Q126" s="243"/>
      <c r="R126" s="243"/>
      <c r="S126" s="243"/>
      <c r="T126" s="243"/>
      <c r="U126" s="243"/>
    </row>
    <row r="127" spans="2:21">
      <c r="B127" s="145" t="str">
        <f t="shared" si="27"/>
        <v/>
      </c>
      <c r="C127" s="495">
        <f>IF(D94="","-",+C126+1)</f>
        <v>2040</v>
      </c>
      <c r="D127" s="349">
        <f>IF(F126+SUM(E$100:E126)=D$93,F126,D$93-SUM(E$100:E126))</f>
        <v>600735.86088702199</v>
      </c>
      <c r="E127" s="629">
        <f t="shared" si="32"/>
        <v>288412.36</v>
      </c>
      <c r="F127" s="510">
        <f t="shared" si="33"/>
        <v>312323.500887022</v>
      </c>
      <c r="G127" s="510">
        <f t="shared" si="34"/>
        <v>456529.680887022</v>
      </c>
      <c r="H127" s="630">
        <f t="shared" si="35"/>
        <v>342265.52021394781</v>
      </c>
      <c r="I127" s="631">
        <f t="shared" si="36"/>
        <v>342265.52021394781</v>
      </c>
      <c r="J127" s="504">
        <f t="shared" si="31"/>
        <v>0</v>
      </c>
      <c r="K127" s="504"/>
      <c r="L127" s="512"/>
      <c r="M127" s="504">
        <f t="shared" si="24"/>
        <v>0</v>
      </c>
      <c r="N127" s="512"/>
      <c r="O127" s="504">
        <f t="shared" si="25"/>
        <v>0</v>
      </c>
      <c r="P127" s="504">
        <f t="shared" si="26"/>
        <v>0</v>
      </c>
      <c r="Q127" s="243"/>
      <c r="R127" s="243"/>
      <c r="S127" s="243"/>
      <c r="T127" s="243"/>
      <c r="U127" s="243"/>
    </row>
    <row r="128" spans="2:21">
      <c r="B128" s="145" t="str">
        <f t="shared" si="27"/>
        <v/>
      </c>
      <c r="C128" s="495">
        <f>IF(D94="","-",+C127+1)</f>
        <v>2041</v>
      </c>
      <c r="D128" s="349">
        <f>IF(F127+SUM(E$100:E127)=D$93,F127,D$93-SUM(E$100:E127))</f>
        <v>312323.500887022</v>
      </c>
      <c r="E128" s="629">
        <f t="shared" si="32"/>
        <v>288412.36</v>
      </c>
      <c r="F128" s="510">
        <f t="shared" si="33"/>
        <v>23911.140887022018</v>
      </c>
      <c r="G128" s="510">
        <f t="shared" si="34"/>
        <v>168117.32088702201</v>
      </c>
      <c r="H128" s="630">
        <f t="shared" si="35"/>
        <v>308243.81761492993</v>
      </c>
      <c r="I128" s="631">
        <f t="shared" si="36"/>
        <v>308243.81761492993</v>
      </c>
      <c r="J128" s="504">
        <f t="shared" si="31"/>
        <v>0</v>
      </c>
      <c r="K128" s="504"/>
      <c r="L128" s="512"/>
      <c r="M128" s="504">
        <f t="shared" si="24"/>
        <v>0</v>
      </c>
      <c r="N128" s="512"/>
      <c r="O128" s="504">
        <f t="shared" si="25"/>
        <v>0</v>
      </c>
      <c r="P128" s="504">
        <f t="shared" si="26"/>
        <v>0</v>
      </c>
      <c r="Q128" s="243"/>
      <c r="R128" s="243"/>
      <c r="S128" s="243"/>
      <c r="T128" s="243"/>
      <c r="U128" s="243"/>
    </row>
    <row r="129" spans="2:21">
      <c r="B129" s="145" t="str">
        <f t="shared" si="27"/>
        <v/>
      </c>
      <c r="C129" s="495">
        <f>IF(D94="","-",+C128+1)</f>
        <v>2042</v>
      </c>
      <c r="D129" s="349">
        <f>IF(F128+SUM(E$100:E128)=D$93,F128,D$93-SUM(E$100:E128))</f>
        <v>23911.140887022018</v>
      </c>
      <c r="E129" s="629">
        <f t="shared" si="32"/>
        <v>23911.140887022018</v>
      </c>
      <c r="F129" s="510">
        <f t="shared" si="33"/>
        <v>0</v>
      </c>
      <c r="G129" s="510">
        <f t="shared" si="34"/>
        <v>11955.570443511009</v>
      </c>
      <c r="H129" s="630">
        <f t="shared" si="35"/>
        <v>25321.444044732525</v>
      </c>
      <c r="I129" s="631">
        <f t="shared" si="36"/>
        <v>25321.444044732525</v>
      </c>
      <c r="J129" s="504">
        <f t="shared" si="31"/>
        <v>0</v>
      </c>
      <c r="K129" s="504"/>
      <c r="L129" s="512"/>
      <c r="M129" s="504">
        <f t="shared" si="24"/>
        <v>0</v>
      </c>
      <c r="N129" s="512"/>
      <c r="O129" s="504">
        <f t="shared" si="25"/>
        <v>0</v>
      </c>
      <c r="P129" s="504">
        <f t="shared" si="26"/>
        <v>0</v>
      </c>
      <c r="Q129" s="243"/>
      <c r="R129" s="243"/>
      <c r="S129" s="243"/>
      <c r="T129" s="243"/>
      <c r="U129" s="243"/>
    </row>
    <row r="130" spans="2:21">
      <c r="B130" s="145" t="str">
        <f t="shared" si="27"/>
        <v/>
      </c>
      <c r="C130" s="495">
        <f>IF(D94="","-",+C129+1)</f>
        <v>2043</v>
      </c>
      <c r="D130" s="349">
        <f>IF(F129+SUM(E$100:E129)=D$93,F129,D$93-SUM(E$100:E129))</f>
        <v>0</v>
      </c>
      <c r="E130" s="629">
        <f t="shared" si="32"/>
        <v>0</v>
      </c>
      <c r="F130" s="510">
        <f t="shared" si="33"/>
        <v>0</v>
      </c>
      <c r="G130" s="510">
        <f t="shared" si="34"/>
        <v>0</v>
      </c>
      <c r="H130" s="630">
        <f t="shared" si="35"/>
        <v>0</v>
      </c>
      <c r="I130" s="631">
        <f t="shared" si="36"/>
        <v>0</v>
      </c>
      <c r="J130" s="504">
        <f t="shared" si="31"/>
        <v>0</v>
      </c>
      <c r="K130" s="504"/>
      <c r="L130" s="512"/>
      <c r="M130" s="504">
        <f t="shared" si="24"/>
        <v>0</v>
      </c>
      <c r="N130" s="512"/>
      <c r="O130" s="504">
        <f t="shared" si="25"/>
        <v>0</v>
      </c>
      <c r="P130" s="504">
        <f t="shared" si="26"/>
        <v>0</v>
      </c>
      <c r="Q130" s="243"/>
      <c r="R130" s="243"/>
      <c r="S130" s="243"/>
      <c r="T130" s="243"/>
      <c r="U130" s="243"/>
    </row>
    <row r="131" spans="2:21">
      <c r="B131" s="145" t="str">
        <f t="shared" si="27"/>
        <v/>
      </c>
      <c r="C131" s="495">
        <f>IF(D94="","-",+C130+1)</f>
        <v>2044</v>
      </c>
      <c r="D131" s="349">
        <f>IF(F130+SUM(E$100:E130)=D$93,F130,D$93-SUM(E$100:E130))</f>
        <v>0</v>
      </c>
      <c r="E131" s="629">
        <f t="shared" si="32"/>
        <v>0</v>
      </c>
      <c r="F131" s="510">
        <f t="shared" si="33"/>
        <v>0</v>
      </c>
      <c r="G131" s="510">
        <f t="shared" si="34"/>
        <v>0</v>
      </c>
      <c r="H131" s="630">
        <f t="shared" si="35"/>
        <v>0</v>
      </c>
      <c r="I131" s="631">
        <f t="shared" si="36"/>
        <v>0</v>
      </c>
      <c r="J131" s="504">
        <f t="shared" si="31"/>
        <v>0</v>
      </c>
      <c r="K131" s="504"/>
      <c r="L131" s="512"/>
      <c r="M131" s="504">
        <f t="shared" si="24"/>
        <v>0</v>
      </c>
      <c r="N131" s="512"/>
      <c r="O131" s="504">
        <f t="shared" si="25"/>
        <v>0</v>
      </c>
      <c r="P131" s="504">
        <f t="shared" si="26"/>
        <v>0</v>
      </c>
      <c r="Q131" s="243"/>
      <c r="R131" s="243"/>
      <c r="S131" s="243"/>
      <c r="T131" s="243"/>
      <c r="U131" s="243"/>
    </row>
    <row r="132" spans="2:21">
      <c r="B132" s="145" t="str">
        <f t="shared" si="27"/>
        <v/>
      </c>
      <c r="C132" s="495">
        <f>IF(D94="","-",+C131+1)</f>
        <v>2045</v>
      </c>
      <c r="D132" s="349">
        <f>IF(F131+SUM(E$100:E131)=D$93,F131,D$93-SUM(E$100:E131))</f>
        <v>0</v>
      </c>
      <c r="E132" s="629">
        <f t="shared" si="32"/>
        <v>0</v>
      </c>
      <c r="F132" s="510">
        <f t="shared" si="33"/>
        <v>0</v>
      </c>
      <c r="G132" s="510">
        <f t="shared" si="34"/>
        <v>0</v>
      </c>
      <c r="H132" s="630">
        <f t="shared" si="35"/>
        <v>0</v>
      </c>
      <c r="I132" s="631">
        <f t="shared" si="36"/>
        <v>0</v>
      </c>
      <c r="J132" s="504">
        <f t="shared" si="31"/>
        <v>0</v>
      </c>
      <c r="K132" s="504"/>
      <c r="L132" s="512"/>
      <c r="M132" s="504">
        <f t="shared" ref="M132:M155" si="37">IF(L542&lt;&gt;0,+H542-L542,0)</f>
        <v>0</v>
      </c>
      <c r="N132" s="512"/>
      <c r="O132" s="504">
        <f t="shared" ref="O132:O155" si="38">IF(N542&lt;&gt;0,+I542-N542,0)</f>
        <v>0</v>
      </c>
      <c r="P132" s="504">
        <f t="shared" ref="P132:P155" si="39">+O542-M542</f>
        <v>0</v>
      </c>
      <c r="Q132" s="243"/>
      <c r="R132" s="243"/>
      <c r="S132" s="243"/>
      <c r="T132" s="243"/>
      <c r="U132" s="243"/>
    </row>
    <row r="133" spans="2:21">
      <c r="B133" s="145" t="str">
        <f t="shared" si="27"/>
        <v/>
      </c>
      <c r="C133" s="495">
        <f>IF(D94="","-",+C132+1)</f>
        <v>2046</v>
      </c>
      <c r="D133" s="349">
        <f>IF(F132+SUM(E$100:E132)=D$93,F132,D$93-SUM(E$100:E132))</f>
        <v>0</v>
      </c>
      <c r="E133" s="629">
        <f t="shared" si="32"/>
        <v>0</v>
      </c>
      <c r="F133" s="510">
        <f t="shared" si="33"/>
        <v>0</v>
      </c>
      <c r="G133" s="510">
        <f t="shared" si="34"/>
        <v>0</v>
      </c>
      <c r="H133" s="630">
        <f t="shared" si="35"/>
        <v>0</v>
      </c>
      <c r="I133" s="631">
        <f t="shared" si="36"/>
        <v>0</v>
      </c>
      <c r="J133" s="504">
        <f t="shared" si="31"/>
        <v>0</v>
      </c>
      <c r="K133" s="504"/>
      <c r="L133" s="512"/>
      <c r="M133" s="504">
        <f t="shared" si="37"/>
        <v>0</v>
      </c>
      <c r="N133" s="512"/>
      <c r="O133" s="504">
        <f t="shared" si="38"/>
        <v>0</v>
      </c>
      <c r="P133" s="504">
        <f t="shared" si="39"/>
        <v>0</v>
      </c>
      <c r="Q133" s="243"/>
      <c r="R133" s="243"/>
      <c r="S133" s="243"/>
      <c r="T133" s="243"/>
      <c r="U133" s="243"/>
    </row>
    <row r="134" spans="2:21">
      <c r="B134" s="145" t="str">
        <f t="shared" si="27"/>
        <v/>
      </c>
      <c r="C134" s="495">
        <f>IF(D94="","-",+C133+1)</f>
        <v>2047</v>
      </c>
      <c r="D134" s="349">
        <f>IF(F133+SUM(E$100:E133)=D$93,F133,D$93-SUM(E$100:E133))</f>
        <v>0</v>
      </c>
      <c r="E134" s="629">
        <f t="shared" si="32"/>
        <v>0</v>
      </c>
      <c r="F134" s="510">
        <f t="shared" si="33"/>
        <v>0</v>
      </c>
      <c r="G134" s="510">
        <f t="shared" si="34"/>
        <v>0</v>
      </c>
      <c r="H134" s="630">
        <f t="shared" si="35"/>
        <v>0</v>
      </c>
      <c r="I134" s="631">
        <f t="shared" si="36"/>
        <v>0</v>
      </c>
      <c r="J134" s="504">
        <f t="shared" si="31"/>
        <v>0</v>
      </c>
      <c r="K134" s="504"/>
      <c r="L134" s="512"/>
      <c r="M134" s="504">
        <f t="shared" si="37"/>
        <v>0</v>
      </c>
      <c r="N134" s="512"/>
      <c r="O134" s="504">
        <f t="shared" si="38"/>
        <v>0</v>
      </c>
      <c r="P134" s="504">
        <f t="shared" si="39"/>
        <v>0</v>
      </c>
      <c r="Q134" s="243"/>
      <c r="R134" s="243"/>
      <c r="S134" s="243"/>
      <c r="T134" s="243"/>
      <c r="U134" s="243"/>
    </row>
    <row r="135" spans="2:21">
      <c r="B135" s="145" t="str">
        <f t="shared" si="27"/>
        <v/>
      </c>
      <c r="C135" s="495">
        <f>IF(D94="","-",+C134+1)</f>
        <v>2048</v>
      </c>
      <c r="D135" s="349">
        <f>IF(F134+SUM(E$100:E134)=D$93,F134,D$93-SUM(E$100:E134))</f>
        <v>0</v>
      </c>
      <c r="E135" s="629">
        <f t="shared" si="32"/>
        <v>0</v>
      </c>
      <c r="F135" s="510">
        <f t="shared" si="33"/>
        <v>0</v>
      </c>
      <c r="G135" s="510">
        <f t="shared" si="34"/>
        <v>0</v>
      </c>
      <c r="H135" s="630">
        <f t="shared" si="35"/>
        <v>0</v>
      </c>
      <c r="I135" s="631">
        <f t="shared" si="36"/>
        <v>0</v>
      </c>
      <c r="J135" s="504">
        <f t="shared" si="31"/>
        <v>0</v>
      </c>
      <c r="K135" s="504"/>
      <c r="L135" s="512"/>
      <c r="M135" s="504">
        <f t="shared" si="37"/>
        <v>0</v>
      </c>
      <c r="N135" s="512"/>
      <c r="O135" s="504">
        <f t="shared" si="38"/>
        <v>0</v>
      </c>
      <c r="P135" s="504">
        <f t="shared" si="39"/>
        <v>0</v>
      </c>
      <c r="Q135" s="243"/>
      <c r="R135" s="243"/>
      <c r="S135" s="243"/>
      <c r="T135" s="243"/>
      <c r="U135" s="243"/>
    </row>
    <row r="136" spans="2:21">
      <c r="B136" s="145" t="str">
        <f t="shared" si="27"/>
        <v/>
      </c>
      <c r="C136" s="495">
        <f>IF(D94="","-",+C135+1)</f>
        <v>2049</v>
      </c>
      <c r="D136" s="349">
        <f>IF(F135+SUM(E$100:E135)=D$93,F135,D$93-SUM(E$100:E135))</f>
        <v>0</v>
      </c>
      <c r="E136" s="629">
        <f t="shared" si="32"/>
        <v>0</v>
      </c>
      <c r="F136" s="510">
        <f t="shared" si="33"/>
        <v>0</v>
      </c>
      <c r="G136" s="510">
        <f t="shared" si="34"/>
        <v>0</v>
      </c>
      <c r="H136" s="630">
        <f t="shared" si="35"/>
        <v>0</v>
      </c>
      <c r="I136" s="631">
        <f t="shared" si="36"/>
        <v>0</v>
      </c>
      <c r="J136" s="504">
        <f t="shared" si="31"/>
        <v>0</v>
      </c>
      <c r="K136" s="504"/>
      <c r="L136" s="512"/>
      <c r="M136" s="504">
        <f t="shared" si="37"/>
        <v>0</v>
      </c>
      <c r="N136" s="512"/>
      <c r="O136" s="504">
        <f t="shared" si="38"/>
        <v>0</v>
      </c>
      <c r="P136" s="504">
        <f t="shared" si="39"/>
        <v>0</v>
      </c>
      <c r="Q136" s="243"/>
      <c r="R136" s="243"/>
      <c r="S136" s="243"/>
      <c r="T136" s="243"/>
      <c r="U136" s="243"/>
    </row>
    <row r="137" spans="2:21">
      <c r="B137" s="145" t="str">
        <f t="shared" si="27"/>
        <v/>
      </c>
      <c r="C137" s="495">
        <f>IF(D94="","-",+C136+1)</f>
        <v>2050</v>
      </c>
      <c r="D137" s="349">
        <f>IF(F136+SUM(E$100:E136)=D$93,F136,D$93-SUM(E$100:E136))</f>
        <v>0</v>
      </c>
      <c r="E137" s="629">
        <f t="shared" si="32"/>
        <v>0</v>
      </c>
      <c r="F137" s="510">
        <f t="shared" si="33"/>
        <v>0</v>
      </c>
      <c r="G137" s="510">
        <f t="shared" si="34"/>
        <v>0</v>
      </c>
      <c r="H137" s="630">
        <f t="shared" si="35"/>
        <v>0</v>
      </c>
      <c r="I137" s="631">
        <f t="shared" si="36"/>
        <v>0</v>
      </c>
      <c r="J137" s="504">
        <f t="shared" si="31"/>
        <v>0</v>
      </c>
      <c r="K137" s="504"/>
      <c r="L137" s="512"/>
      <c r="M137" s="504">
        <f t="shared" si="37"/>
        <v>0</v>
      </c>
      <c r="N137" s="512"/>
      <c r="O137" s="504">
        <f t="shared" si="38"/>
        <v>0</v>
      </c>
      <c r="P137" s="504">
        <f t="shared" si="39"/>
        <v>0</v>
      </c>
      <c r="Q137" s="243"/>
      <c r="R137" s="243"/>
      <c r="S137" s="243"/>
      <c r="T137" s="243"/>
      <c r="U137" s="243"/>
    </row>
    <row r="138" spans="2:21">
      <c r="B138" s="145" t="str">
        <f t="shared" si="27"/>
        <v/>
      </c>
      <c r="C138" s="495">
        <f>IF(D94="","-",+C137+1)</f>
        <v>2051</v>
      </c>
      <c r="D138" s="349">
        <f>IF(F137+SUM(E$100:E137)=D$93,F137,D$93-SUM(E$100:E137))</f>
        <v>0</v>
      </c>
      <c r="E138" s="629">
        <f t="shared" si="32"/>
        <v>0</v>
      </c>
      <c r="F138" s="510">
        <f t="shared" si="33"/>
        <v>0</v>
      </c>
      <c r="G138" s="510">
        <f t="shared" si="34"/>
        <v>0</v>
      </c>
      <c r="H138" s="630">
        <f t="shared" si="35"/>
        <v>0</v>
      </c>
      <c r="I138" s="631">
        <f t="shared" si="36"/>
        <v>0</v>
      </c>
      <c r="J138" s="504">
        <f t="shared" si="31"/>
        <v>0</v>
      </c>
      <c r="K138" s="504"/>
      <c r="L138" s="512"/>
      <c r="M138" s="504">
        <f t="shared" si="37"/>
        <v>0</v>
      </c>
      <c r="N138" s="512"/>
      <c r="O138" s="504">
        <f t="shared" si="38"/>
        <v>0</v>
      </c>
      <c r="P138" s="504">
        <f t="shared" si="39"/>
        <v>0</v>
      </c>
      <c r="Q138" s="243"/>
      <c r="R138" s="243"/>
      <c r="S138" s="243"/>
      <c r="T138" s="243"/>
      <c r="U138" s="243"/>
    </row>
    <row r="139" spans="2:21">
      <c r="B139" s="145" t="str">
        <f t="shared" si="27"/>
        <v/>
      </c>
      <c r="C139" s="495">
        <f>IF(D94="","-",+C138+1)</f>
        <v>2052</v>
      </c>
      <c r="D139" s="349">
        <f>IF(F138+SUM(E$100:E138)=D$93,F138,D$93-SUM(E$100:E138))</f>
        <v>0</v>
      </c>
      <c r="E139" s="629">
        <f t="shared" si="32"/>
        <v>0</v>
      </c>
      <c r="F139" s="510">
        <f t="shared" si="33"/>
        <v>0</v>
      </c>
      <c r="G139" s="510">
        <f t="shared" si="34"/>
        <v>0</v>
      </c>
      <c r="H139" s="630">
        <f t="shared" si="35"/>
        <v>0</v>
      </c>
      <c r="I139" s="631">
        <f t="shared" si="36"/>
        <v>0</v>
      </c>
      <c r="J139" s="504">
        <f t="shared" si="31"/>
        <v>0</v>
      </c>
      <c r="K139" s="504"/>
      <c r="L139" s="512"/>
      <c r="M139" s="504">
        <f t="shared" si="37"/>
        <v>0</v>
      </c>
      <c r="N139" s="512"/>
      <c r="O139" s="504">
        <f t="shared" si="38"/>
        <v>0</v>
      </c>
      <c r="P139" s="504">
        <f t="shared" si="39"/>
        <v>0</v>
      </c>
      <c r="Q139" s="243"/>
      <c r="R139" s="243"/>
      <c r="S139" s="243"/>
      <c r="T139" s="243"/>
      <c r="U139" s="243"/>
    </row>
    <row r="140" spans="2:21">
      <c r="B140" s="145" t="str">
        <f t="shared" si="27"/>
        <v/>
      </c>
      <c r="C140" s="495">
        <f>IF(D94="","-",+C139+1)</f>
        <v>2053</v>
      </c>
      <c r="D140" s="349">
        <f>IF(F139+SUM(E$100:E139)=D$93,F139,D$93-SUM(E$100:E139))</f>
        <v>0</v>
      </c>
      <c r="E140" s="629">
        <f t="shared" si="32"/>
        <v>0</v>
      </c>
      <c r="F140" s="510">
        <f t="shared" si="33"/>
        <v>0</v>
      </c>
      <c r="G140" s="510">
        <f t="shared" si="34"/>
        <v>0</v>
      </c>
      <c r="H140" s="630">
        <f t="shared" si="35"/>
        <v>0</v>
      </c>
      <c r="I140" s="631">
        <f t="shared" si="36"/>
        <v>0</v>
      </c>
      <c r="J140" s="504">
        <f t="shared" si="31"/>
        <v>0</v>
      </c>
      <c r="K140" s="504"/>
      <c r="L140" s="512"/>
      <c r="M140" s="504">
        <f t="shared" si="37"/>
        <v>0</v>
      </c>
      <c r="N140" s="512"/>
      <c r="O140" s="504">
        <f t="shared" si="38"/>
        <v>0</v>
      </c>
      <c r="P140" s="504">
        <f t="shared" si="39"/>
        <v>0</v>
      </c>
      <c r="Q140" s="243"/>
      <c r="R140" s="243"/>
      <c r="S140" s="243"/>
      <c r="T140" s="243"/>
      <c r="U140" s="243"/>
    </row>
    <row r="141" spans="2:21">
      <c r="B141" s="145" t="str">
        <f t="shared" si="27"/>
        <v/>
      </c>
      <c r="C141" s="495">
        <f>IF(D94="","-",+C140+1)</f>
        <v>2054</v>
      </c>
      <c r="D141" s="349">
        <f>IF(F140+SUM(E$100:E140)=D$93,F140,D$93-SUM(E$100:E140))</f>
        <v>0</v>
      </c>
      <c r="E141" s="629">
        <f t="shared" si="32"/>
        <v>0</v>
      </c>
      <c r="F141" s="510">
        <f t="shared" si="33"/>
        <v>0</v>
      </c>
      <c r="G141" s="510">
        <f t="shared" si="34"/>
        <v>0</v>
      </c>
      <c r="H141" s="630">
        <f t="shared" si="35"/>
        <v>0</v>
      </c>
      <c r="I141" s="631">
        <f t="shared" si="36"/>
        <v>0</v>
      </c>
      <c r="J141" s="504">
        <f t="shared" si="31"/>
        <v>0</v>
      </c>
      <c r="K141" s="504"/>
      <c r="L141" s="512"/>
      <c r="M141" s="504">
        <f t="shared" si="37"/>
        <v>0</v>
      </c>
      <c r="N141" s="512"/>
      <c r="O141" s="504">
        <f t="shared" si="38"/>
        <v>0</v>
      </c>
      <c r="P141" s="504">
        <f t="shared" si="39"/>
        <v>0</v>
      </c>
      <c r="Q141" s="243"/>
      <c r="R141" s="243"/>
      <c r="S141" s="243"/>
      <c r="T141" s="243"/>
      <c r="U141" s="243"/>
    </row>
    <row r="142" spans="2:21">
      <c r="B142" s="145" t="str">
        <f t="shared" si="27"/>
        <v/>
      </c>
      <c r="C142" s="495">
        <f>IF(D94="","-",+C141+1)</f>
        <v>2055</v>
      </c>
      <c r="D142" s="349">
        <f>IF(F141+SUM(E$100:E141)=D$93,F141,D$93-SUM(E$100:E141))</f>
        <v>0</v>
      </c>
      <c r="E142" s="629">
        <f t="shared" si="32"/>
        <v>0</v>
      </c>
      <c r="F142" s="510">
        <f t="shared" si="33"/>
        <v>0</v>
      </c>
      <c r="G142" s="510">
        <f t="shared" si="34"/>
        <v>0</v>
      </c>
      <c r="H142" s="630">
        <f t="shared" si="35"/>
        <v>0</v>
      </c>
      <c r="I142" s="631">
        <f t="shared" si="36"/>
        <v>0</v>
      </c>
      <c r="J142" s="504">
        <f t="shared" si="31"/>
        <v>0</v>
      </c>
      <c r="K142" s="504"/>
      <c r="L142" s="512"/>
      <c r="M142" s="504">
        <f t="shared" si="37"/>
        <v>0</v>
      </c>
      <c r="N142" s="512"/>
      <c r="O142" s="504">
        <f t="shared" si="38"/>
        <v>0</v>
      </c>
      <c r="P142" s="504">
        <f t="shared" si="39"/>
        <v>0</v>
      </c>
      <c r="Q142" s="243"/>
      <c r="R142" s="243"/>
      <c r="S142" s="243"/>
      <c r="T142" s="243"/>
      <c r="U142" s="243"/>
    </row>
    <row r="143" spans="2:21">
      <c r="B143" s="145" t="str">
        <f t="shared" si="27"/>
        <v/>
      </c>
      <c r="C143" s="495">
        <f>IF(D94="","-",+C142+1)</f>
        <v>2056</v>
      </c>
      <c r="D143" s="349">
        <f>IF(F142+SUM(E$100:E142)=D$93,F142,D$93-SUM(E$100:E142))</f>
        <v>0</v>
      </c>
      <c r="E143" s="629">
        <f t="shared" si="32"/>
        <v>0</v>
      </c>
      <c r="F143" s="510">
        <f t="shared" si="33"/>
        <v>0</v>
      </c>
      <c r="G143" s="510">
        <f t="shared" si="34"/>
        <v>0</v>
      </c>
      <c r="H143" s="630">
        <f t="shared" si="35"/>
        <v>0</v>
      </c>
      <c r="I143" s="631">
        <f t="shared" si="36"/>
        <v>0</v>
      </c>
      <c r="J143" s="504">
        <f t="shared" si="31"/>
        <v>0</v>
      </c>
      <c r="K143" s="504"/>
      <c r="L143" s="512"/>
      <c r="M143" s="504">
        <f t="shared" si="37"/>
        <v>0</v>
      </c>
      <c r="N143" s="512"/>
      <c r="O143" s="504">
        <f t="shared" si="38"/>
        <v>0</v>
      </c>
      <c r="P143" s="504">
        <f t="shared" si="39"/>
        <v>0</v>
      </c>
      <c r="Q143" s="243"/>
      <c r="R143" s="243"/>
      <c r="S143" s="243"/>
      <c r="T143" s="243"/>
      <c r="U143" s="243"/>
    </row>
    <row r="144" spans="2:21">
      <c r="B144" s="145" t="str">
        <f t="shared" si="27"/>
        <v/>
      </c>
      <c r="C144" s="495">
        <f>IF(D94="","-",+C143+1)</f>
        <v>2057</v>
      </c>
      <c r="D144" s="349">
        <f>IF(F143+SUM(E$100:E143)=D$93,F143,D$93-SUM(E$100:E143))</f>
        <v>0</v>
      </c>
      <c r="E144" s="629">
        <f t="shared" si="32"/>
        <v>0</v>
      </c>
      <c r="F144" s="510">
        <f t="shared" si="33"/>
        <v>0</v>
      </c>
      <c r="G144" s="510">
        <f t="shared" si="34"/>
        <v>0</v>
      </c>
      <c r="H144" s="630">
        <f t="shared" si="35"/>
        <v>0</v>
      </c>
      <c r="I144" s="631">
        <f t="shared" si="36"/>
        <v>0</v>
      </c>
      <c r="J144" s="504">
        <f t="shared" si="31"/>
        <v>0</v>
      </c>
      <c r="K144" s="504"/>
      <c r="L144" s="512"/>
      <c r="M144" s="504">
        <f t="shared" si="37"/>
        <v>0</v>
      </c>
      <c r="N144" s="512"/>
      <c r="O144" s="504">
        <f t="shared" si="38"/>
        <v>0</v>
      </c>
      <c r="P144" s="504">
        <f t="shared" si="39"/>
        <v>0</v>
      </c>
      <c r="Q144" s="243"/>
      <c r="R144" s="243"/>
      <c r="S144" s="243"/>
      <c r="T144" s="243"/>
      <c r="U144" s="243"/>
    </row>
    <row r="145" spans="2:21">
      <c r="B145" s="145" t="str">
        <f t="shared" si="27"/>
        <v/>
      </c>
      <c r="C145" s="495">
        <f>IF(D94="","-",+C144+1)</f>
        <v>2058</v>
      </c>
      <c r="D145" s="349">
        <f>IF(F144+SUM(E$100:E144)=D$93,F144,D$93-SUM(E$100:E144))</f>
        <v>0</v>
      </c>
      <c r="E145" s="629">
        <f t="shared" si="32"/>
        <v>0</v>
      </c>
      <c r="F145" s="510">
        <f t="shared" si="33"/>
        <v>0</v>
      </c>
      <c r="G145" s="510">
        <f t="shared" si="34"/>
        <v>0</v>
      </c>
      <c r="H145" s="630">
        <f t="shared" si="35"/>
        <v>0</v>
      </c>
      <c r="I145" s="631">
        <f t="shared" si="36"/>
        <v>0</v>
      </c>
      <c r="J145" s="504">
        <f t="shared" si="31"/>
        <v>0</v>
      </c>
      <c r="K145" s="504"/>
      <c r="L145" s="512"/>
      <c r="M145" s="504">
        <f t="shared" si="37"/>
        <v>0</v>
      </c>
      <c r="N145" s="512"/>
      <c r="O145" s="504">
        <f t="shared" si="38"/>
        <v>0</v>
      </c>
      <c r="P145" s="504">
        <f t="shared" si="39"/>
        <v>0</v>
      </c>
      <c r="Q145" s="243"/>
      <c r="R145" s="243"/>
      <c r="S145" s="243"/>
      <c r="T145" s="243"/>
      <c r="U145" s="243"/>
    </row>
    <row r="146" spans="2:21">
      <c r="B146" s="145" t="str">
        <f t="shared" si="27"/>
        <v/>
      </c>
      <c r="C146" s="495">
        <f>IF(D94="","-",+C145+1)</f>
        <v>2059</v>
      </c>
      <c r="D146" s="349">
        <f>IF(F145+SUM(E$100:E145)=D$93,F145,D$93-SUM(E$100:E145))</f>
        <v>0</v>
      </c>
      <c r="E146" s="629">
        <f t="shared" si="32"/>
        <v>0</v>
      </c>
      <c r="F146" s="510">
        <f t="shared" si="33"/>
        <v>0</v>
      </c>
      <c r="G146" s="510">
        <f t="shared" si="34"/>
        <v>0</v>
      </c>
      <c r="H146" s="630">
        <f t="shared" si="35"/>
        <v>0</v>
      </c>
      <c r="I146" s="631">
        <f t="shared" si="36"/>
        <v>0</v>
      </c>
      <c r="J146" s="504">
        <f t="shared" si="31"/>
        <v>0</v>
      </c>
      <c r="K146" s="504"/>
      <c r="L146" s="512"/>
      <c r="M146" s="504">
        <f t="shared" si="37"/>
        <v>0</v>
      </c>
      <c r="N146" s="512"/>
      <c r="O146" s="504">
        <f t="shared" si="38"/>
        <v>0</v>
      </c>
      <c r="P146" s="504">
        <f t="shared" si="39"/>
        <v>0</v>
      </c>
      <c r="Q146" s="243"/>
      <c r="R146" s="243"/>
      <c r="S146" s="243"/>
      <c r="T146" s="243"/>
      <c r="U146" s="243"/>
    </row>
    <row r="147" spans="2:21">
      <c r="B147" s="145" t="str">
        <f t="shared" si="27"/>
        <v/>
      </c>
      <c r="C147" s="495">
        <f>IF(D94="","-",+C146+1)</f>
        <v>2060</v>
      </c>
      <c r="D147" s="349">
        <f>IF(F146+SUM(E$100:E146)=D$93,F146,D$93-SUM(E$100:E146))</f>
        <v>0</v>
      </c>
      <c r="E147" s="629">
        <f t="shared" si="32"/>
        <v>0</v>
      </c>
      <c r="F147" s="510">
        <f t="shared" si="33"/>
        <v>0</v>
      </c>
      <c r="G147" s="510">
        <f t="shared" si="34"/>
        <v>0</v>
      </c>
      <c r="H147" s="630">
        <f t="shared" si="35"/>
        <v>0</v>
      </c>
      <c r="I147" s="631">
        <f t="shared" si="36"/>
        <v>0</v>
      </c>
      <c r="J147" s="504">
        <f t="shared" si="31"/>
        <v>0</v>
      </c>
      <c r="K147" s="504"/>
      <c r="L147" s="512"/>
      <c r="M147" s="504">
        <f t="shared" si="37"/>
        <v>0</v>
      </c>
      <c r="N147" s="512"/>
      <c r="O147" s="504">
        <f t="shared" si="38"/>
        <v>0</v>
      </c>
      <c r="P147" s="504">
        <f t="shared" si="39"/>
        <v>0</v>
      </c>
      <c r="Q147" s="243"/>
      <c r="R147" s="243"/>
      <c r="S147" s="243"/>
      <c r="T147" s="243"/>
      <c r="U147" s="243"/>
    </row>
    <row r="148" spans="2:21">
      <c r="B148" s="145" t="str">
        <f t="shared" si="27"/>
        <v/>
      </c>
      <c r="C148" s="495">
        <f>IF(D94="","-",+C147+1)</f>
        <v>2061</v>
      </c>
      <c r="D148" s="349">
        <f>IF(F147+SUM(E$100:E147)=D$93,F147,D$93-SUM(E$100:E147))</f>
        <v>0</v>
      </c>
      <c r="E148" s="629">
        <f t="shared" si="32"/>
        <v>0</v>
      </c>
      <c r="F148" s="510">
        <f t="shared" si="33"/>
        <v>0</v>
      </c>
      <c r="G148" s="510">
        <f t="shared" si="34"/>
        <v>0</v>
      </c>
      <c r="H148" s="630">
        <f t="shared" si="35"/>
        <v>0</v>
      </c>
      <c r="I148" s="631">
        <f t="shared" si="36"/>
        <v>0</v>
      </c>
      <c r="J148" s="504">
        <f t="shared" si="31"/>
        <v>0</v>
      </c>
      <c r="K148" s="504"/>
      <c r="L148" s="512"/>
      <c r="M148" s="504">
        <f t="shared" si="37"/>
        <v>0</v>
      </c>
      <c r="N148" s="512"/>
      <c r="O148" s="504">
        <f t="shared" si="38"/>
        <v>0</v>
      </c>
      <c r="P148" s="504">
        <f t="shared" si="39"/>
        <v>0</v>
      </c>
      <c r="Q148" s="243"/>
      <c r="R148" s="243"/>
      <c r="S148" s="243"/>
      <c r="T148" s="243"/>
      <c r="U148" s="243"/>
    </row>
    <row r="149" spans="2:21">
      <c r="B149" s="145" t="str">
        <f t="shared" si="27"/>
        <v/>
      </c>
      <c r="C149" s="495">
        <f>IF(D94="","-",+C148+1)</f>
        <v>2062</v>
      </c>
      <c r="D149" s="349">
        <f>IF(F148+SUM(E$100:E148)=D$93,F148,D$93-SUM(E$100:E148))</f>
        <v>0</v>
      </c>
      <c r="E149" s="629">
        <f t="shared" si="32"/>
        <v>0</v>
      </c>
      <c r="F149" s="510">
        <f t="shared" si="33"/>
        <v>0</v>
      </c>
      <c r="G149" s="510">
        <f t="shared" si="34"/>
        <v>0</v>
      </c>
      <c r="H149" s="630">
        <f t="shared" si="35"/>
        <v>0</v>
      </c>
      <c r="I149" s="631">
        <f t="shared" si="36"/>
        <v>0</v>
      </c>
      <c r="J149" s="504">
        <f t="shared" si="31"/>
        <v>0</v>
      </c>
      <c r="K149" s="504"/>
      <c r="L149" s="512"/>
      <c r="M149" s="504">
        <f t="shared" si="37"/>
        <v>0</v>
      </c>
      <c r="N149" s="512"/>
      <c r="O149" s="504">
        <f t="shared" si="38"/>
        <v>0</v>
      </c>
      <c r="P149" s="504">
        <f t="shared" si="39"/>
        <v>0</v>
      </c>
      <c r="Q149" s="243"/>
      <c r="R149" s="243"/>
      <c r="S149" s="243"/>
      <c r="T149" s="243"/>
      <c r="U149" s="243"/>
    </row>
    <row r="150" spans="2:21">
      <c r="B150" s="145" t="str">
        <f t="shared" si="27"/>
        <v/>
      </c>
      <c r="C150" s="495">
        <f>IF(D94="","-",+C149+1)</f>
        <v>2063</v>
      </c>
      <c r="D150" s="349">
        <f>IF(F149+SUM(E$100:E149)=D$93,F149,D$93-SUM(E$100:E149))</f>
        <v>0</v>
      </c>
      <c r="E150" s="629">
        <f t="shared" si="32"/>
        <v>0</v>
      </c>
      <c r="F150" s="510">
        <f t="shared" si="33"/>
        <v>0</v>
      </c>
      <c r="G150" s="510">
        <f t="shared" si="34"/>
        <v>0</v>
      </c>
      <c r="H150" s="630">
        <f t="shared" si="35"/>
        <v>0</v>
      </c>
      <c r="I150" s="631">
        <f t="shared" si="36"/>
        <v>0</v>
      </c>
      <c r="J150" s="504">
        <f t="shared" si="31"/>
        <v>0</v>
      </c>
      <c r="K150" s="504"/>
      <c r="L150" s="512"/>
      <c r="M150" s="504">
        <f t="shared" si="37"/>
        <v>0</v>
      </c>
      <c r="N150" s="512"/>
      <c r="O150" s="504">
        <f t="shared" si="38"/>
        <v>0</v>
      </c>
      <c r="P150" s="504">
        <f t="shared" si="39"/>
        <v>0</v>
      </c>
      <c r="Q150" s="243"/>
      <c r="R150" s="243"/>
      <c r="S150" s="243"/>
      <c r="T150" s="243"/>
      <c r="U150" s="243"/>
    </row>
    <row r="151" spans="2:21">
      <c r="B151" s="145" t="str">
        <f t="shared" si="27"/>
        <v/>
      </c>
      <c r="C151" s="495">
        <f>IF(D94="","-",+C150+1)</f>
        <v>2064</v>
      </c>
      <c r="D151" s="349">
        <f>IF(F150+SUM(E$100:E150)=D$93,F150,D$93-SUM(E$100:E150))</f>
        <v>0</v>
      </c>
      <c r="E151" s="629">
        <f t="shared" si="32"/>
        <v>0</v>
      </c>
      <c r="F151" s="510">
        <f t="shared" si="33"/>
        <v>0</v>
      </c>
      <c r="G151" s="510">
        <f t="shared" si="34"/>
        <v>0</v>
      </c>
      <c r="H151" s="630">
        <f t="shared" si="35"/>
        <v>0</v>
      </c>
      <c r="I151" s="631">
        <f t="shared" si="36"/>
        <v>0</v>
      </c>
      <c r="J151" s="504">
        <f t="shared" si="31"/>
        <v>0</v>
      </c>
      <c r="K151" s="504"/>
      <c r="L151" s="512"/>
      <c r="M151" s="504">
        <f t="shared" si="37"/>
        <v>0</v>
      </c>
      <c r="N151" s="512"/>
      <c r="O151" s="504">
        <f t="shared" si="38"/>
        <v>0</v>
      </c>
      <c r="P151" s="504">
        <f t="shared" si="39"/>
        <v>0</v>
      </c>
      <c r="Q151" s="243"/>
      <c r="R151" s="243"/>
      <c r="S151" s="243"/>
      <c r="T151" s="243"/>
      <c r="U151" s="243"/>
    </row>
    <row r="152" spans="2:21">
      <c r="B152" s="145" t="str">
        <f t="shared" si="27"/>
        <v/>
      </c>
      <c r="C152" s="495">
        <f>IF(D94="","-",+C151+1)</f>
        <v>2065</v>
      </c>
      <c r="D152" s="349">
        <f>IF(F151+SUM(E$100:E151)=D$93,F151,D$93-SUM(E$100:E151))</f>
        <v>0</v>
      </c>
      <c r="E152" s="629">
        <f t="shared" si="32"/>
        <v>0</v>
      </c>
      <c r="F152" s="510">
        <f t="shared" si="33"/>
        <v>0</v>
      </c>
      <c r="G152" s="510">
        <f t="shared" si="34"/>
        <v>0</v>
      </c>
      <c r="H152" s="630">
        <f t="shared" si="35"/>
        <v>0</v>
      </c>
      <c r="I152" s="631">
        <f t="shared" si="36"/>
        <v>0</v>
      </c>
      <c r="J152" s="504">
        <f t="shared" si="31"/>
        <v>0</v>
      </c>
      <c r="K152" s="504"/>
      <c r="L152" s="512"/>
      <c r="M152" s="504">
        <f t="shared" si="37"/>
        <v>0</v>
      </c>
      <c r="N152" s="512"/>
      <c r="O152" s="504">
        <f t="shared" si="38"/>
        <v>0</v>
      </c>
      <c r="P152" s="504">
        <f t="shared" si="39"/>
        <v>0</v>
      </c>
      <c r="Q152" s="243"/>
      <c r="R152" s="243"/>
      <c r="S152" s="243"/>
      <c r="T152" s="243"/>
      <c r="U152" s="243"/>
    </row>
    <row r="153" spans="2:21">
      <c r="B153" s="145" t="str">
        <f t="shared" si="27"/>
        <v/>
      </c>
      <c r="C153" s="495">
        <f>IF(D94="","-",+C152+1)</f>
        <v>2066</v>
      </c>
      <c r="D153" s="349">
        <f>IF(F152+SUM(E$100:E152)=D$93,F152,D$93-SUM(E$100:E152))</f>
        <v>0</v>
      </c>
      <c r="E153" s="629">
        <f t="shared" si="32"/>
        <v>0</v>
      </c>
      <c r="F153" s="510">
        <f t="shared" si="33"/>
        <v>0</v>
      </c>
      <c r="G153" s="510">
        <f t="shared" si="34"/>
        <v>0</v>
      </c>
      <c r="H153" s="630">
        <f t="shared" si="35"/>
        <v>0</v>
      </c>
      <c r="I153" s="631">
        <f t="shared" si="36"/>
        <v>0</v>
      </c>
      <c r="J153" s="504">
        <f t="shared" si="31"/>
        <v>0</v>
      </c>
      <c r="K153" s="504"/>
      <c r="L153" s="512"/>
      <c r="M153" s="504">
        <f t="shared" si="37"/>
        <v>0</v>
      </c>
      <c r="N153" s="512"/>
      <c r="O153" s="504">
        <f t="shared" si="38"/>
        <v>0</v>
      </c>
      <c r="P153" s="504">
        <f t="shared" si="39"/>
        <v>0</v>
      </c>
      <c r="Q153" s="243"/>
      <c r="R153" s="243"/>
      <c r="S153" s="243"/>
      <c r="T153" s="243"/>
      <c r="U153" s="243"/>
    </row>
    <row r="154" spans="2:21">
      <c r="B154" s="145" t="str">
        <f t="shared" si="27"/>
        <v/>
      </c>
      <c r="C154" s="495">
        <f>IF(D94="","-",+C153+1)</f>
        <v>2067</v>
      </c>
      <c r="D154" s="349">
        <f>IF(F153+SUM(E$100:E153)=D$93,F153,D$93-SUM(E$100:E153))</f>
        <v>0</v>
      </c>
      <c r="E154" s="629">
        <f t="shared" si="32"/>
        <v>0</v>
      </c>
      <c r="F154" s="510">
        <f t="shared" si="33"/>
        <v>0</v>
      </c>
      <c r="G154" s="510">
        <f t="shared" si="34"/>
        <v>0</v>
      </c>
      <c r="H154" s="630">
        <f t="shared" si="35"/>
        <v>0</v>
      </c>
      <c r="I154" s="631">
        <f t="shared" si="36"/>
        <v>0</v>
      </c>
      <c r="J154" s="504">
        <f t="shared" si="31"/>
        <v>0</v>
      </c>
      <c r="K154" s="504"/>
      <c r="L154" s="512"/>
      <c r="M154" s="504">
        <f t="shared" si="37"/>
        <v>0</v>
      </c>
      <c r="N154" s="512"/>
      <c r="O154" s="504">
        <f t="shared" si="38"/>
        <v>0</v>
      </c>
      <c r="P154" s="504">
        <f t="shared" si="39"/>
        <v>0</v>
      </c>
      <c r="Q154" s="243"/>
      <c r="R154" s="243"/>
      <c r="S154" s="243"/>
      <c r="T154" s="243"/>
      <c r="U154" s="243"/>
    </row>
    <row r="155" spans="2:21" ht="13.5" thickBot="1">
      <c r="B155" s="145" t="str">
        <f t="shared" si="27"/>
        <v/>
      </c>
      <c r="C155" s="524">
        <f>IF(D94="","-",+C154+1)</f>
        <v>2068</v>
      </c>
      <c r="D155" s="618">
        <f>IF(F154+SUM(E$100:E154)=D$93,F154,D$93-SUM(E$100:E154))</f>
        <v>0</v>
      </c>
      <c r="E155" s="632">
        <f t="shared" si="32"/>
        <v>0</v>
      </c>
      <c r="F155" s="527">
        <f t="shared" si="33"/>
        <v>0</v>
      </c>
      <c r="G155" s="527">
        <f t="shared" si="34"/>
        <v>0</v>
      </c>
      <c r="H155" s="633">
        <f t="shared" si="35"/>
        <v>0</v>
      </c>
      <c r="I155" s="634">
        <f t="shared" si="36"/>
        <v>0</v>
      </c>
      <c r="J155" s="531">
        <f t="shared" si="31"/>
        <v>0</v>
      </c>
      <c r="K155" s="504"/>
      <c r="L155" s="530"/>
      <c r="M155" s="531">
        <f t="shared" si="37"/>
        <v>0</v>
      </c>
      <c r="N155" s="530"/>
      <c r="O155" s="531">
        <f t="shared" si="38"/>
        <v>0</v>
      </c>
      <c r="P155" s="531">
        <f t="shared" si="39"/>
        <v>0</v>
      </c>
      <c r="Q155" s="243"/>
      <c r="R155" s="243"/>
      <c r="S155" s="243"/>
      <c r="T155" s="243"/>
      <c r="U155" s="243"/>
    </row>
    <row r="156" spans="2:21">
      <c r="C156" s="349" t="s">
        <v>75</v>
      </c>
      <c r="D156" s="294"/>
      <c r="E156" s="294">
        <f>SUM(E100:E155)</f>
        <v>7210309.0000000028</v>
      </c>
      <c r="F156" s="294"/>
      <c r="G156" s="294"/>
      <c r="H156" s="294">
        <f>SUM(H100:H155)</f>
        <v>19152076.618007261</v>
      </c>
      <c r="I156" s="294">
        <f>SUM(I100:I155)</f>
        <v>19152076.618007261</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4" priority="1" stopIfTrue="1" operator="equal">
      <formula>$I$10</formula>
    </cfRule>
  </conditionalFormatting>
  <conditionalFormatting sqref="C100:C155">
    <cfRule type="cellIs" dxfId="43"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3">
    <tabColor theme="9" tint="0.39997558519241921"/>
  </sheetPr>
  <dimension ref="A1:U163"/>
  <sheetViews>
    <sheetView view="pageBreakPreview" zoomScale="78" zoomScaleNormal="100" zoomScaleSheetLayoutView="78"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11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2377045.5733941188</v>
      </c>
      <c r="P5" s="243"/>
      <c r="R5" s="243"/>
      <c r="S5" s="243"/>
      <c r="T5" s="243"/>
      <c r="U5" s="243"/>
    </row>
    <row r="6" spans="1:21" ht="15.75">
      <c r="C6" s="235"/>
      <c r="D6" s="292"/>
      <c r="E6" s="243"/>
      <c r="F6" s="243"/>
      <c r="G6" s="243"/>
      <c r="H6" s="449"/>
      <c r="I6" s="449"/>
      <c r="J6" s="450"/>
      <c r="K6" s="451" t="s">
        <v>243</v>
      </c>
      <c r="L6" s="452"/>
      <c r="M6" s="278"/>
      <c r="N6" s="453">
        <f>VLOOKUP(I10,C17:I73,6)</f>
        <v>2377045.5733941188</v>
      </c>
      <c r="O6" s="243"/>
      <c r="P6" s="243"/>
      <c r="R6" s="243"/>
      <c r="S6" s="243"/>
      <c r="T6" s="243"/>
      <c r="U6" s="243"/>
    </row>
    <row r="7" spans="1:21" ht="13.5" thickBot="1">
      <c r="C7" s="454" t="s">
        <v>46</v>
      </c>
      <c r="D7" s="455" t="s">
        <v>222</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221</v>
      </c>
      <c r="E9" s="646" t="s">
        <v>302</v>
      </c>
      <c r="F9" s="465"/>
      <c r="G9" s="465"/>
      <c r="H9" s="465"/>
      <c r="I9" s="466"/>
      <c r="J9" s="467"/>
      <c r="O9" s="468"/>
      <c r="P9" s="278"/>
      <c r="R9" s="243"/>
      <c r="S9" s="243"/>
      <c r="T9" s="243"/>
      <c r="U9" s="243"/>
    </row>
    <row r="10" spans="1:21">
      <c r="C10" s="469" t="s">
        <v>49</v>
      </c>
      <c r="D10" s="470">
        <v>20242585.050000001</v>
      </c>
      <c r="E10" s="299" t="s">
        <v>50</v>
      </c>
      <c r="F10" s="468"/>
      <c r="G10" s="408"/>
      <c r="H10" s="408"/>
      <c r="I10" s="471">
        <f>+'OKT.WS.F.BPU.ATRR.Projected'!R101</f>
        <v>2024</v>
      </c>
      <c r="J10" s="467"/>
      <c r="K10" s="294" t="s">
        <v>51</v>
      </c>
      <c r="O10" s="278"/>
      <c r="P10" s="278"/>
      <c r="R10" s="243"/>
      <c r="S10" s="243"/>
      <c r="T10" s="243"/>
      <c r="U10" s="243"/>
    </row>
    <row r="11" spans="1:21">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11</v>
      </c>
      <c r="E12" s="472" t="s">
        <v>55</v>
      </c>
      <c r="F12" s="408"/>
      <c r="G12" s="220"/>
      <c r="H12" s="220"/>
      <c r="I12" s="476">
        <f>'OKT.WS.F.BPU.ATRR.Projected'!$F$79</f>
        <v>0.11393163315254198</v>
      </c>
      <c r="J12" s="413"/>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652986.61451612902</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2014</v>
      </c>
      <c r="D17" s="612">
        <v>19043679.66</v>
      </c>
      <c r="E17" s="620">
        <v>27453.384639991029</v>
      </c>
      <c r="F17" s="612">
        <v>19016226.275360011</v>
      </c>
      <c r="G17" s="620">
        <v>376170.81030765898</v>
      </c>
      <c r="H17" s="617">
        <v>376170.81030765898</v>
      </c>
      <c r="I17" s="584">
        <v>0</v>
      </c>
      <c r="J17" s="500"/>
      <c r="K17" s="501">
        <f t="shared" ref="K17:K22" si="1">G17</f>
        <v>376170.81030765898</v>
      </c>
      <c r="L17" s="502">
        <f t="shared" ref="L17:L22" si="2">IF(K17&lt;&gt;0,+G17-K17,0)</f>
        <v>0</v>
      </c>
      <c r="M17" s="501">
        <f t="shared" ref="M17:M22" si="3">H17</f>
        <v>376170.81030765898</v>
      </c>
      <c r="N17" s="503">
        <f>IF(M17&lt;&gt;0,+H17-M17,0)</f>
        <v>0</v>
      </c>
      <c r="O17" s="504">
        <f>+N17-L17</f>
        <v>0</v>
      </c>
      <c r="P17" s="278"/>
      <c r="R17" s="243"/>
      <c r="S17" s="243"/>
      <c r="T17" s="243"/>
      <c r="U17" s="243"/>
    </row>
    <row r="18" spans="2:21">
      <c r="B18" s="145" t="str">
        <f t="shared" si="0"/>
        <v/>
      </c>
      <c r="C18" s="495">
        <f>IF(D11="","-",+C17+1)</f>
        <v>2015</v>
      </c>
      <c r="D18" s="614">
        <v>19016226.275360011</v>
      </c>
      <c r="E18" s="613">
        <v>329440.61567989236</v>
      </c>
      <c r="F18" s="614">
        <v>18686785.659680117</v>
      </c>
      <c r="G18" s="613">
        <v>2255402.3674066337</v>
      </c>
      <c r="H18" s="617">
        <v>2255402.3674066337</v>
      </c>
      <c r="I18" s="500">
        <v>0</v>
      </c>
      <c r="J18" s="500"/>
      <c r="K18" s="506">
        <f t="shared" si="1"/>
        <v>2255402.3674066337</v>
      </c>
      <c r="L18" s="507">
        <f t="shared" si="2"/>
        <v>0</v>
      </c>
      <c r="M18" s="506">
        <f t="shared" si="3"/>
        <v>2255402.3674066337</v>
      </c>
      <c r="N18" s="504">
        <f>IF(M18&lt;&gt;0,+H18-M18,0)</f>
        <v>0</v>
      </c>
      <c r="O18" s="504">
        <f>+N18-L18</f>
        <v>0</v>
      </c>
      <c r="P18" s="278"/>
      <c r="R18" s="243"/>
      <c r="S18" s="243"/>
      <c r="T18" s="243"/>
      <c r="U18" s="243"/>
    </row>
    <row r="19" spans="2:21">
      <c r="B19" s="145" t="str">
        <f t="shared" si="0"/>
        <v>IU</v>
      </c>
      <c r="C19" s="495">
        <f>IF(D11="","-",+C18+1)</f>
        <v>2016</v>
      </c>
      <c r="D19" s="614">
        <v>19821118.999680117</v>
      </c>
      <c r="E19" s="613">
        <v>419288.09601556091</v>
      </c>
      <c r="F19" s="614">
        <v>19401830.903664555</v>
      </c>
      <c r="G19" s="613">
        <v>2512364.7940132553</v>
      </c>
      <c r="H19" s="617">
        <v>2512364.7940132553</v>
      </c>
      <c r="I19" s="500">
        <f>H19-G19</f>
        <v>0</v>
      </c>
      <c r="J19" s="500"/>
      <c r="K19" s="506">
        <f t="shared" si="1"/>
        <v>2512364.7940132553</v>
      </c>
      <c r="L19" s="507">
        <f t="shared" si="2"/>
        <v>0</v>
      </c>
      <c r="M19" s="506">
        <f t="shared" si="3"/>
        <v>2512364.7940132553</v>
      </c>
      <c r="N19" s="504">
        <f t="shared" ref="N19:N73" si="4">IF(M19&lt;&gt;0,+H19-M19,0)</f>
        <v>0</v>
      </c>
      <c r="O19" s="504">
        <f t="shared" ref="O19:O73" si="5">+N19-L19</f>
        <v>0</v>
      </c>
      <c r="P19" s="278"/>
      <c r="R19" s="243"/>
      <c r="S19" s="243"/>
      <c r="T19" s="243"/>
      <c r="U19" s="243"/>
    </row>
    <row r="20" spans="2:21">
      <c r="B20" s="145" t="str">
        <f t="shared" si="0"/>
        <v>IU</v>
      </c>
      <c r="C20" s="495">
        <f>IF(D11="","-",+C19+1)</f>
        <v>2017</v>
      </c>
      <c r="D20" s="614">
        <v>19471877.903664555</v>
      </c>
      <c r="E20" s="613">
        <v>398116.94637922302</v>
      </c>
      <c r="F20" s="614">
        <v>19073760.957285333</v>
      </c>
      <c r="G20" s="613">
        <v>2516970.1817795802</v>
      </c>
      <c r="H20" s="617">
        <v>2516970.1817795802</v>
      </c>
      <c r="I20" s="500">
        <f t="shared" ref="I20:I73" si="6">H20-G20</f>
        <v>0</v>
      </c>
      <c r="J20" s="500"/>
      <c r="K20" s="506">
        <f t="shared" si="1"/>
        <v>2516970.1817795802</v>
      </c>
      <c r="L20" s="507">
        <f t="shared" si="2"/>
        <v>0</v>
      </c>
      <c r="M20" s="506">
        <f t="shared" si="3"/>
        <v>2516970.1817795802</v>
      </c>
      <c r="N20" s="504">
        <f>IF(M20&lt;&gt;0,+H20-M20,0)</f>
        <v>0</v>
      </c>
      <c r="O20" s="504">
        <f>+N20-L20</f>
        <v>0</v>
      </c>
      <c r="P20" s="278"/>
      <c r="R20" s="243"/>
      <c r="S20" s="243"/>
      <c r="T20" s="243"/>
      <c r="U20" s="243"/>
    </row>
    <row r="21" spans="2:21">
      <c r="B21" s="145" t="str">
        <f t="shared" si="0"/>
        <v/>
      </c>
      <c r="C21" s="495">
        <f>IF(D11="","-",+C20+1)</f>
        <v>2018</v>
      </c>
      <c r="D21" s="614">
        <v>19073760.957285333</v>
      </c>
      <c r="E21" s="613">
        <v>496575.20652112603</v>
      </c>
      <c r="F21" s="614">
        <v>18577185.750764206</v>
      </c>
      <c r="G21" s="613">
        <v>2409688.5146536361</v>
      </c>
      <c r="H21" s="617">
        <v>2409688.5146536361</v>
      </c>
      <c r="I21" s="500">
        <v>0</v>
      </c>
      <c r="J21" s="500"/>
      <c r="K21" s="506">
        <f t="shared" si="1"/>
        <v>2409688.5146536361</v>
      </c>
      <c r="L21" s="507">
        <f t="shared" si="2"/>
        <v>0</v>
      </c>
      <c r="M21" s="506">
        <f t="shared" si="3"/>
        <v>2409688.5146536361</v>
      </c>
      <c r="N21" s="504">
        <f>IF(M21&lt;&gt;0,+H21-M21,0)</f>
        <v>0</v>
      </c>
      <c r="O21" s="504">
        <f>+N21-L21</f>
        <v>0</v>
      </c>
      <c r="P21" s="278"/>
      <c r="R21" s="243"/>
      <c r="S21" s="243"/>
      <c r="T21" s="243"/>
      <c r="U21" s="243"/>
    </row>
    <row r="22" spans="2:21">
      <c r="B22" s="145" t="str">
        <f t="shared" si="0"/>
        <v/>
      </c>
      <c r="C22" s="495">
        <f>IF(D11="","-",+C21+1)</f>
        <v>2019</v>
      </c>
      <c r="D22" s="614">
        <v>18577185.750764206</v>
      </c>
      <c r="E22" s="613">
        <v>600534.11201085045</v>
      </c>
      <c r="F22" s="614">
        <v>17976651.638753355</v>
      </c>
      <c r="G22" s="613">
        <v>2500163.2849116144</v>
      </c>
      <c r="H22" s="617">
        <v>2500163.2849116144</v>
      </c>
      <c r="I22" s="500">
        <f t="shared" si="6"/>
        <v>0</v>
      </c>
      <c r="J22" s="500"/>
      <c r="K22" s="506">
        <f t="shared" si="1"/>
        <v>2500163.2849116144</v>
      </c>
      <c r="L22" s="507">
        <f t="shared" si="2"/>
        <v>0</v>
      </c>
      <c r="M22" s="506">
        <f t="shared" si="3"/>
        <v>2500163.2849116144</v>
      </c>
      <c r="N22" s="504">
        <f>IF(M22&lt;&gt;0,+H22-M22,0)</f>
        <v>0</v>
      </c>
      <c r="O22" s="504">
        <f>+N22-L22</f>
        <v>0</v>
      </c>
      <c r="P22" s="278"/>
      <c r="R22" s="243"/>
      <c r="S22" s="243"/>
      <c r="T22" s="243"/>
      <c r="U22" s="243"/>
    </row>
    <row r="23" spans="2:21">
      <c r="B23" s="145" t="str">
        <f t="shared" si="0"/>
        <v>IU</v>
      </c>
      <c r="C23" s="495">
        <f>IF(D11="","-",+C22+1)</f>
        <v>2020</v>
      </c>
      <c r="D23" s="614">
        <v>18080586.019661143</v>
      </c>
      <c r="E23" s="613">
        <v>592899.2478612588</v>
      </c>
      <c r="F23" s="614">
        <v>17487686.771799885</v>
      </c>
      <c r="G23" s="613">
        <v>2459032.5411911216</v>
      </c>
      <c r="H23" s="617">
        <v>2459032.5411911216</v>
      </c>
      <c r="I23" s="500">
        <f t="shared" si="6"/>
        <v>0</v>
      </c>
      <c r="J23" s="500"/>
      <c r="K23" s="506">
        <f t="shared" ref="K23" si="7">G23</f>
        <v>2459032.5411911216</v>
      </c>
      <c r="L23" s="507">
        <f t="shared" ref="L23" si="8">IF(K23&lt;&gt;0,+G23-K23,0)</f>
        <v>0</v>
      </c>
      <c r="M23" s="506">
        <f t="shared" ref="M23" si="9">H23</f>
        <v>2459032.5411911216</v>
      </c>
      <c r="N23" s="504">
        <f>IF(M23&lt;&gt;0,+H23-M23,0)</f>
        <v>0</v>
      </c>
      <c r="O23" s="504">
        <f t="shared" si="5"/>
        <v>0</v>
      </c>
      <c r="P23" s="278"/>
      <c r="R23" s="243"/>
      <c r="S23" s="243"/>
      <c r="T23" s="243"/>
      <c r="U23" s="243"/>
    </row>
    <row r="24" spans="2:21">
      <c r="B24" s="145" t="str">
        <f t="shared" si="0"/>
        <v>IU</v>
      </c>
      <c r="C24" s="495">
        <f>IF(D11="","-",+C23+1)</f>
        <v>2021</v>
      </c>
      <c r="D24" s="614">
        <v>17378277.390892096</v>
      </c>
      <c r="E24" s="613">
        <v>652986.61290322582</v>
      </c>
      <c r="F24" s="614">
        <v>16725290.77798887</v>
      </c>
      <c r="G24" s="613">
        <v>2497735.0197140798</v>
      </c>
      <c r="H24" s="617">
        <v>2497735.0197140798</v>
      </c>
      <c r="I24" s="500">
        <f t="shared" si="6"/>
        <v>0</v>
      </c>
      <c r="J24" s="500"/>
      <c r="K24" s="506">
        <f t="shared" ref="K24" si="10">G24</f>
        <v>2497735.0197140798</v>
      </c>
      <c r="L24" s="507">
        <f t="shared" ref="L24" si="11">IF(K24&lt;&gt;0,+G24-K24,0)</f>
        <v>0</v>
      </c>
      <c r="M24" s="506">
        <f t="shared" ref="M24" si="12">H24</f>
        <v>2497735.0197140798</v>
      </c>
      <c r="N24" s="504">
        <f t="shared" si="4"/>
        <v>0</v>
      </c>
      <c r="O24" s="504">
        <f t="shared" si="5"/>
        <v>0</v>
      </c>
      <c r="P24" s="278"/>
      <c r="R24" s="243"/>
      <c r="S24" s="243"/>
      <c r="T24" s="243"/>
      <c r="U24" s="243"/>
    </row>
    <row r="25" spans="2:21">
      <c r="B25" s="145" t="str">
        <f t="shared" si="0"/>
        <v/>
      </c>
      <c r="C25" s="580">
        <f>IF(D11="","-",+C24+1)</f>
        <v>2022</v>
      </c>
      <c r="D25" s="614">
        <v>16725290.77798887</v>
      </c>
      <c r="E25" s="613">
        <v>613411.66666666663</v>
      </c>
      <c r="F25" s="614">
        <v>16111879.111322204</v>
      </c>
      <c r="G25" s="613">
        <v>2497588.3440501089</v>
      </c>
      <c r="H25" s="617">
        <v>2497588.3440501089</v>
      </c>
      <c r="I25" s="500">
        <f t="shared" si="6"/>
        <v>0</v>
      </c>
      <c r="J25" s="500"/>
      <c r="K25" s="506">
        <f t="shared" ref="K25" si="13">G25</f>
        <v>2497588.3440501089</v>
      </c>
      <c r="L25" s="507">
        <f t="shared" ref="L25" si="14">IF(K25&lt;&gt;0,+G25-K25,0)</f>
        <v>0</v>
      </c>
      <c r="M25" s="506">
        <f t="shared" ref="M25" si="15">H25</f>
        <v>2497588.3440501089</v>
      </c>
      <c r="N25" s="504">
        <f t="shared" si="4"/>
        <v>0</v>
      </c>
      <c r="O25" s="504">
        <f t="shared" si="5"/>
        <v>0</v>
      </c>
      <c r="P25" s="278"/>
      <c r="R25" s="243"/>
      <c r="S25" s="243"/>
      <c r="T25" s="243"/>
      <c r="U25" s="243"/>
    </row>
    <row r="26" spans="2:21">
      <c r="B26" s="145" t="str">
        <f t="shared" si="0"/>
        <v>IU</v>
      </c>
      <c r="C26" s="495">
        <f>IF(D11="","-",+C25+1)</f>
        <v>2023</v>
      </c>
      <c r="D26" s="614">
        <v>16111879.161322206</v>
      </c>
      <c r="E26" s="613">
        <v>652986.61451612902</v>
      </c>
      <c r="F26" s="614">
        <v>15458892.546806077</v>
      </c>
      <c r="G26" s="613">
        <v>2437253.8454477098</v>
      </c>
      <c r="H26" s="617">
        <v>2437253.8454477098</v>
      </c>
      <c r="I26" s="500">
        <f t="shared" si="6"/>
        <v>0</v>
      </c>
      <c r="J26" s="500"/>
      <c r="K26" s="512"/>
      <c r="L26" s="504">
        <f t="shared" ref="L26:L73" si="16">IF(K26&lt;&gt;0,+G26-K26,0)</f>
        <v>0</v>
      </c>
      <c r="M26" s="512"/>
      <c r="N26" s="504">
        <f t="shared" si="4"/>
        <v>0</v>
      </c>
      <c r="O26" s="504">
        <f t="shared" si="5"/>
        <v>0</v>
      </c>
      <c r="P26" s="278"/>
      <c r="R26" s="243"/>
      <c r="S26" s="243"/>
      <c r="T26" s="243"/>
      <c r="U26" s="243"/>
    </row>
    <row r="27" spans="2:21">
      <c r="B27" s="145" t="str">
        <f t="shared" si="0"/>
        <v/>
      </c>
      <c r="C27" s="495">
        <f>IF(D11="","-",+C26+1)</f>
        <v>2024</v>
      </c>
      <c r="D27" s="508">
        <f>IF(F26+SUM(E$17:E26)=D$10,F26,D$10-SUM(E$17:E26))</f>
        <v>15458892.546806077</v>
      </c>
      <c r="E27" s="509">
        <f t="shared" ref="E27:E73" si="17">IF(+$I$14&lt;F26,$I$14,D27)</f>
        <v>652986.61451612902</v>
      </c>
      <c r="F27" s="510">
        <f t="shared" ref="F27:F73" si="18">+D27-E27</f>
        <v>14805905.932289947</v>
      </c>
      <c r="G27" s="511">
        <f t="shared" ref="G27:G73" si="19">(D27+F27)/2*I$12+E27</f>
        <v>2377045.5733941188</v>
      </c>
      <c r="H27" s="477">
        <f t="shared" ref="H27:H73" si="20">+(D27+F27)/2*I$13+E27</f>
        <v>2377045.5733941188</v>
      </c>
      <c r="I27" s="500">
        <f t="shared" si="6"/>
        <v>0</v>
      </c>
      <c r="J27" s="500"/>
      <c r="K27" s="512"/>
      <c r="L27" s="504">
        <f t="shared" si="16"/>
        <v>0</v>
      </c>
      <c r="M27" s="512"/>
      <c r="N27" s="504">
        <f t="shared" si="4"/>
        <v>0</v>
      </c>
      <c r="O27" s="504">
        <f t="shared" si="5"/>
        <v>0</v>
      </c>
      <c r="P27" s="278"/>
      <c r="R27" s="243"/>
      <c r="S27" s="243"/>
      <c r="T27" s="243"/>
      <c r="U27" s="243"/>
    </row>
    <row r="28" spans="2:21">
      <c r="B28" s="145" t="str">
        <f t="shared" si="0"/>
        <v/>
      </c>
      <c r="C28" s="495">
        <f>IF(D11="","-",+C27+1)</f>
        <v>2025</v>
      </c>
      <c r="D28" s="508">
        <f>IF(F27+SUM(E$17:E27)=D$10,F27,D$10-SUM(E$17:E27))</f>
        <v>14805905.932289947</v>
      </c>
      <c r="E28" s="509">
        <f t="shared" si="17"/>
        <v>652986.61451612902</v>
      </c>
      <c r="F28" s="510">
        <f t="shared" si="18"/>
        <v>14152919.317773817</v>
      </c>
      <c r="G28" s="511">
        <f t="shared" si="19"/>
        <v>2302649.7419755459</v>
      </c>
      <c r="H28" s="477">
        <f t="shared" si="20"/>
        <v>2302649.7419755459</v>
      </c>
      <c r="I28" s="500">
        <f t="shared" si="6"/>
        <v>0</v>
      </c>
      <c r="J28" s="500"/>
      <c r="K28" s="512"/>
      <c r="L28" s="504">
        <f t="shared" si="16"/>
        <v>0</v>
      </c>
      <c r="M28" s="512"/>
      <c r="N28" s="504">
        <f t="shared" si="4"/>
        <v>0</v>
      </c>
      <c r="O28" s="504">
        <f t="shared" si="5"/>
        <v>0</v>
      </c>
      <c r="P28" s="278"/>
      <c r="R28" s="243"/>
      <c r="S28" s="243"/>
      <c r="T28" s="243"/>
      <c r="U28" s="243"/>
    </row>
    <row r="29" spans="2:21">
      <c r="B29" s="145" t="str">
        <f t="shared" si="0"/>
        <v/>
      </c>
      <c r="C29" s="495">
        <f>IF(D11="","-",+C28+1)</f>
        <v>2026</v>
      </c>
      <c r="D29" s="508">
        <f>IF(F28+SUM(E$17:E28)=D$10,F28,D$10-SUM(E$17:E28))</f>
        <v>14152919.317773817</v>
      </c>
      <c r="E29" s="509">
        <f t="shared" si="17"/>
        <v>652986.61451612902</v>
      </c>
      <c r="F29" s="510">
        <f t="shared" si="18"/>
        <v>13499932.703257687</v>
      </c>
      <c r="G29" s="511">
        <f t="shared" si="19"/>
        <v>2228253.9105569744</v>
      </c>
      <c r="H29" s="477">
        <f t="shared" si="20"/>
        <v>2228253.9105569744</v>
      </c>
      <c r="I29" s="500">
        <f t="shared" si="6"/>
        <v>0</v>
      </c>
      <c r="J29" s="500"/>
      <c r="K29" s="512"/>
      <c r="L29" s="504">
        <f t="shared" si="16"/>
        <v>0</v>
      </c>
      <c r="M29" s="512"/>
      <c r="N29" s="504">
        <f t="shared" si="4"/>
        <v>0</v>
      </c>
      <c r="O29" s="504">
        <f t="shared" si="5"/>
        <v>0</v>
      </c>
      <c r="P29" s="278"/>
      <c r="R29" s="243"/>
      <c r="S29" s="243"/>
      <c r="T29" s="243"/>
      <c r="U29" s="243"/>
    </row>
    <row r="30" spans="2:21">
      <c r="B30" s="145" t="str">
        <f t="shared" si="0"/>
        <v/>
      </c>
      <c r="C30" s="495">
        <f>IF(D11="","-",+C29+1)</f>
        <v>2027</v>
      </c>
      <c r="D30" s="508">
        <f>IF(F29+SUM(E$17:E29)=D$10,F29,D$10-SUM(E$17:E29))</f>
        <v>13499932.703257687</v>
      </c>
      <c r="E30" s="509">
        <f t="shared" si="17"/>
        <v>652986.61451612902</v>
      </c>
      <c r="F30" s="510">
        <f t="shared" si="18"/>
        <v>12846946.088741558</v>
      </c>
      <c r="G30" s="511">
        <f t="shared" si="19"/>
        <v>2153858.0791384019</v>
      </c>
      <c r="H30" s="477">
        <f t="shared" si="20"/>
        <v>2153858.0791384019</v>
      </c>
      <c r="I30" s="500">
        <f t="shared" si="6"/>
        <v>0</v>
      </c>
      <c r="J30" s="500"/>
      <c r="K30" s="512"/>
      <c r="L30" s="504">
        <f t="shared" si="16"/>
        <v>0</v>
      </c>
      <c r="M30" s="512"/>
      <c r="N30" s="504">
        <f t="shared" si="4"/>
        <v>0</v>
      </c>
      <c r="O30" s="504">
        <f t="shared" si="5"/>
        <v>0</v>
      </c>
      <c r="P30" s="278"/>
      <c r="R30" s="243"/>
      <c r="S30" s="243"/>
      <c r="T30" s="243"/>
      <c r="U30" s="243"/>
    </row>
    <row r="31" spans="2:21">
      <c r="B31" s="145" t="str">
        <f t="shared" si="0"/>
        <v/>
      </c>
      <c r="C31" s="495">
        <f>IF(D11="","-",+C30+1)</f>
        <v>2028</v>
      </c>
      <c r="D31" s="508">
        <f>IF(F30+SUM(E$17:E30)=D$10,F30,D$10-SUM(E$17:E30))</f>
        <v>12846946.088741558</v>
      </c>
      <c r="E31" s="509">
        <f t="shared" si="17"/>
        <v>652986.61451612902</v>
      </c>
      <c r="F31" s="510">
        <f t="shared" si="18"/>
        <v>12193959.474225428</v>
      </c>
      <c r="G31" s="511">
        <f t="shared" si="19"/>
        <v>2079462.2477198304</v>
      </c>
      <c r="H31" s="477">
        <f t="shared" si="20"/>
        <v>2079462.2477198304</v>
      </c>
      <c r="I31" s="500">
        <f t="shared" si="6"/>
        <v>0</v>
      </c>
      <c r="J31" s="500"/>
      <c r="K31" s="512"/>
      <c r="L31" s="504">
        <f t="shared" si="16"/>
        <v>0</v>
      </c>
      <c r="M31" s="512"/>
      <c r="N31" s="504">
        <f t="shared" si="4"/>
        <v>0</v>
      </c>
      <c r="O31" s="504">
        <f t="shared" si="5"/>
        <v>0</v>
      </c>
      <c r="P31" s="278"/>
      <c r="Q31" s="220"/>
      <c r="R31" s="278"/>
      <c r="S31" s="278"/>
      <c r="T31" s="278"/>
      <c r="U31" s="243"/>
    </row>
    <row r="32" spans="2:21">
      <c r="B32" s="145" t="str">
        <f t="shared" si="0"/>
        <v/>
      </c>
      <c r="C32" s="495">
        <f>IF(D12="","-",+C31+1)</f>
        <v>2029</v>
      </c>
      <c r="D32" s="508">
        <f>IF(F31+SUM(E$17:E31)=D$10,F31,D$10-SUM(E$17:E31))</f>
        <v>12193959.474225428</v>
      </c>
      <c r="E32" s="509">
        <f>IF(+$I$14&lt;F31,$I$14,D32)</f>
        <v>652986.61451612902</v>
      </c>
      <c r="F32" s="510">
        <f>+D32-E32</f>
        <v>11540972.859709298</v>
      </c>
      <c r="G32" s="511">
        <f t="shared" si="19"/>
        <v>2005066.4163012581</v>
      </c>
      <c r="H32" s="477">
        <f t="shared" si="20"/>
        <v>2005066.4163012581</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2030</v>
      </c>
      <c r="D33" s="508">
        <f>IF(F32+SUM(E$17:E32)=D$10,F32,D$10-SUM(E$17:E32))</f>
        <v>11540972.859709298</v>
      </c>
      <c r="E33" s="509">
        <f>IF(+$I$14&lt;F32,$I$14,D33)</f>
        <v>652986.61451612902</v>
      </c>
      <c r="F33" s="510">
        <f>+D33-E33</f>
        <v>10887986.245193169</v>
      </c>
      <c r="G33" s="511">
        <f t="shared" si="19"/>
        <v>1930670.5848826861</v>
      </c>
      <c r="H33" s="477">
        <f t="shared" si="20"/>
        <v>1930670.5848826861</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2031</v>
      </c>
      <c r="D34" s="514">
        <f>IF(F33+SUM(E$17:E33)=D$10,F33,D$10-SUM(E$17:E33))</f>
        <v>10887986.245193169</v>
      </c>
      <c r="E34" s="515">
        <f t="shared" si="17"/>
        <v>652986.61451612902</v>
      </c>
      <c r="F34" s="516">
        <f t="shared" si="18"/>
        <v>10234999.630677039</v>
      </c>
      <c r="G34" s="511">
        <f t="shared" si="19"/>
        <v>1856274.7534641139</v>
      </c>
      <c r="H34" s="477">
        <f t="shared" si="20"/>
        <v>1856274.7534641139</v>
      </c>
      <c r="I34" s="519">
        <f t="shared" si="6"/>
        <v>0</v>
      </c>
      <c r="J34" s="519"/>
      <c r="K34" s="520"/>
      <c r="L34" s="521">
        <f t="shared" si="16"/>
        <v>0</v>
      </c>
      <c r="M34" s="520"/>
      <c r="N34" s="521">
        <f t="shared" si="4"/>
        <v>0</v>
      </c>
      <c r="O34" s="521">
        <f t="shared" si="5"/>
        <v>0</v>
      </c>
      <c r="P34" s="522"/>
      <c r="Q34" s="216"/>
      <c r="R34" s="522"/>
      <c r="S34" s="522"/>
      <c r="T34" s="522"/>
      <c r="U34" s="243"/>
    </row>
    <row r="35" spans="2:21">
      <c r="B35" s="145" t="str">
        <f t="shared" si="0"/>
        <v/>
      </c>
      <c r="C35" s="495">
        <f>IF(D11="","-",+C34+1)</f>
        <v>2032</v>
      </c>
      <c r="D35" s="508">
        <f>IF(F34+SUM(E$17:E34)=D$10,F34,D$10-SUM(E$17:E34))</f>
        <v>10234999.630677039</v>
      </c>
      <c r="E35" s="509">
        <f t="shared" si="17"/>
        <v>652986.61451612902</v>
      </c>
      <c r="F35" s="510">
        <f t="shared" si="18"/>
        <v>9582013.0161609091</v>
      </c>
      <c r="G35" s="511">
        <f t="shared" si="19"/>
        <v>1781878.9220455422</v>
      </c>
      <c r="H35" s="477">
        <f t="shared" si="20"/>
        <v>1781878.9220455422</v>
      </c>
      <c r="I35" s="500">
        <f t="shared" si="6"/>
        <v>0</v>
      </c>
      <c r="J35" s="500"/>
      <c r="K35" s="512"/>
      <c r="L35" s="504">
        <f t="shared" si="16"/>
        <v>0</v>
      </c>
      <c r="M35" s="512"/>
      <c r="N35" s="504">
        <f t="shared" si="4"/>
        <v>0</v>
      </c>
      <c r="O35" s="504">
        <f t="shared" si="5"/>
        <v>0</v>
      </c>
      <c r="P35" s="278"/>
      <c r="R35" s="243"/>
      <c r="S35" s="243"/>
      <c r="T35" s="243"/>
      <c r="U35" s="243"/>
    </row>
    <row r="36" spans="2:21">
      <c r="B36" s="145" t="str">
        <f t="shared" si="0"/>
        <v/>
      </c>
      <c r="C36" s="495">
        <f>IF(D11="","-",+C35+1)</f>
        <v>2033</v>
      </c>
      <c r="D36" s="508">
        <f>IF(F35+SUM(E$17:E35)=D$10,F35,D$10-SUM(E$17:E35))</f>
        <v>9582013.0161609091</v>
      </c>
      <c r="E36" s="509">
        <f t="shared" si="17"/>
        <v>652986.61451612902</v>
      </c>
      <c r="F36" s="510">
        <f t="shared" si="18"/>
        <v>8929026.4016447794</v>
      </c>
      <c r="G36" s="511">
        <f t="shared" si="19"/>
        <v>1707483.0906269699</v>
      </c>
      <c r="H36" s="477">
        <f t="shared" si="20"/>
        <v>1707483.0906269699</v>
      </c>
      <c r="I36" s="500">
        <f t="shared" si="6"/>
        <v>0</v>
      </c>
      <c r="J36" s="500"/>
      <c r="K36" s="512"/>
      <c r="L36" s="504">
        <f t="shared" si="16"/>
        <v>0</v>
      </c>
      <c r="M36" s="512"/>
      <c r="N36" s="504">
        <f t="shared" si="4"/>
        <v>0</v>
      </c>
      <c r="O36" s="504">
        <f t="shared" si="5"/>
        <v>0</v>
      </c>
      <c r="P36" s="278"/>
      <c r="R36" s="243"/>
      <c r="S36" s="243"/>
      <c r="T36" s="243"/>
      <c r="U36" s="243"/>
    </row>
    <row r="37" spans="2:21">
      <c r="B37" s="145" t="str">
        <f t="shared" si="0"/>
        <v/>
      </c>
      <c r="C37" s="495">
        <f>IF(D11="","-",+C36+1)</f>
        <v>2034</v>
      </c>
      <c r="D37" s="508">
        <f>IF(F36+SUM(E$17:E36)=D$10,F36,D$10-SUM(E$17:E36))</f>
        <v>8929026.4016447794</v>
      </c>
      <c r="E37" s="509">
        <f t="shared" si="17"/>
        <v>652986.61451612902</v>
      </c>
      <c r="F37" s="510">
        <f t="shared" si="18"/>
        <v>8276039.7871286506</v>
      </c>
      <c r="G37" s="511">
        <f t="shared" si="19"/>
        <v>1633087.2592083979</v>
      </c>
      <c r="H37" s="477">
        <f t="shared" si="20"/>
        <v>1633087.2592083979</v>
      </c>
      <c r="I37" s="500">
        <f t="shared" si="6"/>
        <v>0</v>
      </c>
      <c r="J37" s="500"/>
      <c r="K37" s="512"/>
      <c r="L37" s="504">
        <f t="shared" si="16"/>
        <v>0</v>
      </c>
      <c r="M37" s="512"/>
      <c r="N37" s="504">
        <f t="shared" si="4"/>
        <v>0</v>
      </c>
      <c r="O37" s="504">
        <f t="shared" si="5"/>
        <v>0</v>
      </c>
      <c r="P37" s="278"/>
      <c r="R37" s="243"/>
      <c r="S37" s="243"/>
      <c r="T37" s="243"/>
      <c r="U37" s="243"/>
    </row>
    <row r="38" spans="2:21">
      <c r="B38" s="145" t="str">
        <f t="shared" si="0"/>
        <v/>
      </c>
      <c r="C38" s="495">
        <f>IF(D11="","-",+C37+1)</f>
        <v>2035</v>
      </c>
      <c r="D38" s="508">
        <f>IF(F37+SUM(E$17:E37)=D$10,F37,D$10-SUM(E$17:E37))</f>
        <v>8276039.7871286506</v>
      </c>
      <c r="E38" s="509">
        <f t="shared" si="17"/>
        <v>652986.61451612902</v>
      </c>
      <c r="F38" s="510">
        <f t="shared" si="18"/>
        <v>7623053.1726125218</v>
      </c>
      <c r="G38" s="511">
        <f t="shared" si="19"/>
        <v>1558691.4277898259</v>
      </c>
      <c r="H38" s="477">
        <f t="shared" si="20"/>
        <v>1558691.4277898259</v>
      </c>
      <c r="I38" s="500">
        <f t="shared" si="6"/>
        <v>0</v>
      </c>
      <c r="J38" s="500"/>
      <c r="K38" s="512"/>
      <c r="L38" s="504">
        <f t="shared" si="16"/>
        <v>0</v>
      </c>
      <c r="M38" s="512"/>
      <c r="N38" s="504">
        <f t="shared" si="4"/>
        <v>0</v>
      </c>
      <c r="O38" s="504">
        <f t="shared" si="5"/>
        <v>0</v>
      </c>
      <c r="P38" s="278"/>
      <c r="R38" s="243"/>
      <c r="S38" s="243"/>
      <c r="T38" s="243"/>
      <c r="U38" s="243"/>
    </row>
    <row r="39" spans="2:21">
      <c r="B39" s="145" t="str">
        <f t="shared" si="0"/>
        <v/>
      </c>
      <c r="C39" s="495">
        <f>IF(D11="","-",+C38+1)</f>
        <v>2036</v>
      </c>
      <c r="D39" s="508">
        <f>IF(F38+SUM(E$17:E38)=D$10,F38,D$10-SUM(E$17:E38))</f>
        <v>7623053.1726125218</v>
      </c>
      <c r="E39" s="509">
        <f t="shared" si="17"/>
        <v>652986.61451612902</v>
      </c>
      <c r="F39" s="510">
        <f t="shared" si="18"/>
        <v>6970066.558096393</v>
      </c>
      <c r="G39" s="511">
        <f t="shared" si="19"/>
        <v>1484295.5963712542</v>
      </c>
      <c r="H39" s="477">
        <f t="shared" si="20"/>
        <v>1484295.5963712542</v>
      </c>
      <c r="I39" s="500">
        <f t="shared" si="6"/>
        <v>0</v>
      </c>
      <c r="J39" s="500"/>
      <c r="K39" s="512"/>
      <c r="L39" s="504">
        <f t="shared" si="16"/>
        <v>0</v>
      </c>
      <c r="M39" s="512"/>
      <c r="N39" s="504">
        <f t="shared" si="4"/>
        <v>0</v>
      </c>
      <c r="O39" s="504">
        <f t="shared" si="5"/>
        <v>0</v>
      </c>
      <c r="P39" s="278"/>
      <c r="R39" s="243"/>
      <c r="S39" s="243"/>
      <c r="T39" s="243"/>
      <c r="U39" s="243"/>
    </row>
    <row r="40" spans="2:21">
      <c r="B40" s="145" t="str">
        <f t="shared" si="0"/>
        <v/>
      </c>
      <c r="C40" s="495">
        <f>IF(D11="","-",+C39+1)</f>
        <v>2037</v>
      </c>
      <c r="D40" s="508">
        <f>IF(F39+SUM(E$17:E39)=D$10,F39,D$10-SUM(E$17:E39))</f>
        <v>6970066.558096393</v>
      </c>
      <c r="E40" s="509">
        <f t="shared" si="17"/>
        <v>652986.61451612902</v>
      </c>
      <c r="F40" s="510">
        <f t="shared" si="18"/>
        <v>6317079.9435802642</v>
      </c>
      <c r="G40" s="511">
        <f t="shared" si="19"/>
        <v>1409899.7649526822</v>
      </c>
      <c r="H40" s="477">
        <f t="shared" si="20"/>
        <v>1409899.7649526822</v>
      </c>
      <c r="I40" s="500">
        <f t="shared" si="6"/>
        <v>0</v>
      </c>
      <c r="J40" s="500"/>
      <c r="K40" s="512"/>
      <c r="L40" s="504">
        <f t="shared" si="16"/>
        <v>0</v>
      </c>
      <c r="M40" s="512"/>
      <c r="N40" s="504">
        <f t="shared" si="4"/>
        <v>0</v>
      </c>
      <c r="O40" s="504">
        <f t="shared" si="5"/>
        <v>0</v>
      </c>
      <c r="P40" s="278"/>
      <c r="R40" s="243"/>
      <c r="S40" s="243"/>
      <c r="T40" s="243"/>
      <c r="U40" s="243"/>
    </row>
    <row r="41" spans="2:21">
      <c r="B41" s="145" t="str">
        <f t="shared" si="0"/>
        <v/>
      </c>
      <c r="C41" s="495">
        <f>IF(D12="","-",+C40+1)</f>
        <v>2038</v>
      </c>
      <c r="D41" s="508">
        <f>IF(F40+SUM(E$17:E40)=D$10,F40,D$10-SUM(E$17:E40))</f>
        <v>6317079.9435802642</v>
      </c>
      <c r="E41" s="509">
        <f t="shared" si="17"/>
        <v>652986.61451612902</v>
      </c>
      <c r="F41" s="510">
        <f t="shared" si="18"/>
        <v>5664093.3290641354</v>
      </c>
      <c r="G41" s="511">
        <f t="shared" si="19"/>
        <v>1335503.9335341104</v>
      </c>
      <c r="H41" s="477">
        <f t="shared" si="20"/>
        <v>1335503.9335341104</v>
      </c>
      <c r="I41" s="500">
        <f t="shared" si="6"/>
        <v>0</v>
      </c>
      <c r="J41" s="500"/>
      <c r="K41" s="512"/>
      <c r="L41" s="504">
        <f t="shared" si="16"/>
        <v>0</v>
      </c>
      <c r="M41" s="512"/>
      <c r="N41" s="504">
        <f t="shared" si="4"/>
        <v>0</v>
      </c>
      <c r="O41" s="504">
        <f t="shared" si="5"/>
        <v>0</v>
      </c>
      <c r="P41" s="278"/>
      <c r="R41" s="243"/>
      <c r="S41" s="243"/>
      <c r="T41" s="243"/>
      <c r="U41" s="243"/>
    </row>
    <row r="42" spans="2:21">
      <c r="B42" s="145" t="str">
        <f t="shared" si="0"/>
        <v/>
      </c>
      <c r="C42" s="495">
        <f>IF(D13="","-",+C41+1)</f>
        <v>2039</v>
      </c>
      <c r="D42" s="508">
        <f>IF(F41+SUM(E$17:E41)=D$10,F41,D$10-SUM(E$17:E41))</f>
        <v>5664093.3290641354</v>
      </c>
      <c r="E42" s="509">
        <f t="shared" si="17"/>
        <v>652986.61451612902</v>
      </c>
      <c r="F42" s="510">
        <f t="shared" si="18"/>
        <v>5011106.7145480067</v>
      </c>
      <c r="G42" s="511">
        <f t="shared" si="19"/>
        <v>1261108.1021155384</v>
      </c>
      <c r="H42" s="477">
        <f t="shared" si="20"/>
        <v>1261108.1021155384</v>
      </c>
      <c r="I42" s="500">
        <f t="shared" si="6"/>
        <v>0</v>
      </c>
      <c r="J42" s="500"/>
      <c r="K42" s="512"/>
      <c r="L42" s="504">
        <f t="shared" si="16"/>
        <v>0</v>
      </c>
      <c r="M42" s="512"/>
      <c r="N42" s="504">
        <f t="shared" si="4"/>
        <v>0</v>
      </c>
      <c r="O42" s="504">
        <f t="shared" si="5"/>
        <v>0</v>
      </c>
      <c r="P42" s="278"/>
      <c r="R42" s="243"/>
      <c r="S42" s="243"/>
      <c r="T42" s="243"/>
      <c r="U42" s="243"/>
    </row>
    <row r="43" spans="2:21">
      <c r="B43" s="145" t="str">
        <f t="shared" si="0"/>
        <v/>
      </c>
      <c r="C43" s="495">
        <f>IF(D11="","-",+C42+1)</f>
        <v>2040</v>
      </c>
      <c r="D43" s="508">
        <f>IF(F42+SUM(E$17:E42)=D$10,F42,D$10-SUM(E$17:E42))</f>
        <v>5011106.7145480067</v>
      </c>
      <c r="E43" s="509">
        <f t="shared" si="17"/>
        <v>652986.61451612902</v>
      </c>
      <c r="F43" s="510">
        <f t="shared" si="18"/>
        <v>4358120.1000318779</v>
      </c>
      <c r="G43" s="511">
        <f t="shared" si="19"/>
        <v>1186712.2706969664</v>
      </c>
      <c r="H43" s="477">
        <f t="shared" si="20"/>
        <v>1186712.2706969664</v>
      </c>
      <c r="I43" s="500">
        <f t="shared" si="6"/>
        <v>0</v>
      </c>
      <c r="J43" s="500"/>
      <c r="K43" s="512"/>
      <c r="L43" s="504">
        <f t="shared" si="16"/>
        <v>0</v>
      </c>
      <c r="M43" s="512"/>
      <c r="N43" s="504">
        <f t="shared" si="4"/>
        <v>0</v>
      </c>
      <c r="O43" s="504">
        <f t="shared" si="5"/>
        <v>0</v>
      </c>
      <c r="P43" s="278"/>
      <c r="R43" s="243"/>
      <c r="S43" s="243"/>
      <c r="T43" s="243"/>
      <c r="U43" s="243"/>
    </row>
    <row r="44" spans="2:21">
      <c r="B44" s="145" t="str">
        <f t="shared" si="0"/>
        <v/>
      </c>
      <c r="C44" s="495">
        <f>IF(D11="","-",+C43+1)</f>
        <v>2041</v>
      </c>
      <c r="D44" s="508">
        <f>IF(F43+SUM(E$17:E43)=D$10,F43,D$10-SUM(E$17:E43))</f>
        <v>4358120.1000318779</v>
      </c>
      <c r="E44" s="509">
        <f t="shared" si="17"/>
        <v>652986.61451612902</v>
      </c>
      <c r="F44" s="510">
        <f t="shared" si="18"/>
        <v>3705133.4855157491</v>
      </c>
      <c r="G44" s="511">
        <f t="shared" si="19"/>
        <v>1112316.4392783944</v>
      </c>
      <c r="H44" s="477">
        <f t="shared" si="20"/>
        <v>1112316.4392783944</v>
      </c>
      <c r="I44" s="500">
        <f t="shared" si="6"/>
        <v>0</v>
      </c>
      <c r="J44" s="500"/>
      <c r="K44" s="512"/>
      <c r="L44" s="504">
        <f t="shared" si="16"/>
        <v>0</v>
      </c>
      <c r="M44" s="512"/>
      <c r="N44" s="504">
        <f t="shared" si="4"/>
        <v>0</v>
      </c>
      <c r="O44" s="504">
        <f t="shared" si="5"/>
        <v>0</v>
      </c>
      <c r="P44" s="278"/>
      <c r="R44" s="243"/>
      <c r="S44" s="243"/>
      <c r="T44" s="243"/>
      <c r="U44" s="243"/>
    </row>
    <row r="45" spans="2:21">
      <c r="B45" s="145" t="str">
        <f t="shared" si="0"/>
        <v/>
      </c>
      <c r="C45" s="495">
        <f>IF(D11="","-",+C44+1)</f>
        <v>2042</v>
      </c>
      <c r="D45" s="508">
        <f>IF(F44+SUM(E$17:E44)=D$10,F44,D$10-SUM(E$17:E44))</f>
        <v>3705133.4855157491</v>
      </c>
      <c r="E45" s="509">
        <f t="shared" si="17"/>
        <v>652986.61451612902</v>
      </c>
      <c r="F45" s="510">
        <f t="shared" si="18"/>
        <v>3052146.8709996203</v>
      </c>
      <c r="G45" s="511">
        <f t="shared" si="19"/>
        <v>1037920.6078598227</v>
      </c>
      <c r="H45" s="477">
        <f t="shared" si="20"/>
        <v>1037920.6078598227</v>
      </c>
      <c r="I45" s="500">
        <f t="shared" si="6"/>
        <v>0</v>
      </c>
      <c r="J45" s="500"/>
      <c r="K45" s="512"/>
      <c r="L45" s="504">
        <f t="shared" si="16"/>
        <v>0</v>
      </c>
      <c r="M45" s="512"/>
      <c r="N45" s="504">
        <f t="shared" si="4"/>
        <v>0</v>
      </c>
      <c r="O45" s="504">
        <f t="shared" si="5"/>
        <v>0</v>
      </c>
      <c r="P45" s="278"/>
      <c r="R45" s="243"/>
      <c r="S45" s="243"/>
      <c r="T45" s="243"/>
      <c r="U45" s="243"/>
    </row>
    <row r="46" spans="2:21">
      <c r="B46" s="145" t="str">
        <f t="shared" si="0"/>
        <v/>
      </c>
      <c r="C46" s="495">
        <f>IF(D11="","-",+C45+1)</f>
        <v>2043</v>
      </c>
      <c r="D46" s="508">
        <f>IF(F45+SUM(E$17:E45)=D$10,F45,D$10-SUM(E$17:E45))</f>
        <v>3052146.8709996203</v>
      </c>
      <c r="E46" s="509">
        <f t="shared" si="17"/>
        <v>652986.61451612902</v>
      </c>
      <c r="F46" s="510">
        <f t="shared" si="18"/>
        <v>2399160.2564834915</v>
      </c>
      <c r="G46" s="511">
        <f t="shared" si="19"/>
        <v>963524.77644125069</v>
      </c>
      <c r="H46" s="477">
        <f t="shared" si="20"/>
        <v>963524.77644125069</v>
      </c>
      <c r="I46" s="500">
        <f t="shared" si="6"/>
        <v>0</v>
      </c>
      <c r="J46" s="500"/>
      <c r="K46" s="512"/>
      <c r="L46" s="504">
        <f t="shared" si="16"/>
        <v>0</v>
      </c>
      <c r="M46" s="512"/>
      <c r="N46" s="504">
        <f t="shared" si="4"/>
        <v>0</v>
      </c>
      <c r="O46" s="504">
        <f t="shared" si="5"/>
        <v>0</v>
      </c>
      <c r="P46" s="278"/>
      <c r="R46" s="243"/>
      <c r="S46" s="243"/>
      <c r="T46" s="243"/>
      <c r="U46" s="243"/>
    </row>
    <row r="47" spans="2:21">
      <c r="B47" s="145" t="str">
        <f t="shared" si="0"/>
        <v/>
      </c>
      <c r="C47" s="495">
        <f>IF(D11="","-",+C46+1)</f>
        <v>2044</v>
      </c>
      <c r="D47" s="508">
        <f>IF(F46+SUM(E$17:E46)=D$10,F46,D$10-SUM(E$17:E46))</f>
        <v>2399160.2564834915</v>
      </c>
      <c r="E47" s="509">
        <f t="shared" si="17"/>
        <v>652986.61451612902</v>
      </c>
      <c r="F47" s="510">
        <f t="shared" si="18"/>
        <v>1746173.6419673625</v>
      </c>
      <c r="G47" s="511">
        <f t="shared" si="19"/>
        <v>889128.9450226787</v>
      </c>
      <c r="H47" s="477">
        <f t="shared" si="20"/>
        <v>889128.9450226787</v>
      </c>
      <c r="I47" s="500">
        <f t="shared" si="6"/>
        <v>0</v>
      </c>
      <c r="J47" s="500"/>
      <c r="K47" s="512"/>
      <c r="L47" s="504">
        <f t="shared" si="16"/>
        <v>0</v>
      </c>
      <c r="M47" s="512"/>
      <c r="N47" s="504">
        <f t="shared" si="4"/>
        <v>0</v>
      </c>
      <c r="O47" s="504">
        <f t="shared" si="5"/>
        <v>0</v>
      </c>
      <c r="P47" s="278"/>
      <c r="R47" s="243"/>
      <c r="S47" s="243"/>
      <c r="T47" s="243"/>
      <c r="U47" s="243"/>
    </row>
    <row r="48" spans="2:21">
      <c r="B48" s="145" t="str">
        <f t="shared" si="0"/>
        <v/>
      </c>
      <c r="C48" s="495">
        <f>IF(D11="","-",+C47+1)</f>
        <v>2045</v>
      </c>
      <c r="D48" s="508">
        <f>IF(F47+SUM(E$17:E47)=D$10,F47,D$10-SUM(E$17:E47))</f>
        <v>1746173.6419673625</v>
      </c>
      <c r="E48" s="509">
        <f t="shared" si="17"/>
        <v>652986.61451612902</v>
      </c>
      <c r="F48" s="510">
        <f t="shared" si="18"/>
        <v>1093187.0274512335</v>
      </c>
      <c r="G48" s="511">
        <f t="shared" si="19"/>
        <v>814733.11360410671</v>
      </c>
      <c r="H48" s="477">
        <f t="shared" si="20"/>
        <v>814733.11360410671</v>
      </c>
      <c r="I48" s="500">
        <f t="shared" si="6"/>
        <v>0</v>
      </c>
      <c r="J48" s="500"/>
      <c r="K48" s="512"/>
      <c r="L48" s="504">
        <f t="shared" si="16"/>
        <v>0</v>
      </c>
      <c r="M48" s="512"/>
      <c r="N48" s="504">
        <f t="shared" si="4"/>
        <v>0</v>
      </c>
      <c r="O48" s="504">
        <f t="shared" si="5"/>
        <v>0</v>
      </c>
      <c r="P48" s="278"/>
      <c r="R48" s="243"/>
      <c r="S48" s="243"/>
      <c r="T48" s="243"/>
      <c r="U48" s="243"/>
    </row>
    <row r="49" spans="2:21">
      <c r="B49" s="145" t="str">
        <f t="shared" si="0"/>
        <v/>
      </c>
      <c r="C49" s="495">
        <f>IF(D11="","-",+C48+1)</f>
        <v>2046</v>
      </c>
      <c r="D49" s="508">
        <f>IF(F48+SUM(E$17:E48)=D$10,F48,D$10-SUM(E$17:E48))</f>
        <v>1093187.0274512335</v>
      </c>
      <c r="E49" s="509">
        <f t="shared" si="17"/>
        <v>652986.61451612902</v>
      </c>
      <c r="F49" s="510">
        <f t="shared" si="18"/>
        <v>440200.41293510445</v>
      </c>
      <c r="G49" s="511">
        <f t="shared" si="19"/>
        <v>740337.28218553483</v>
      </c>
      <c r="H49" s="477">
        <f t="shared" si="20"/>
        <v>740337.28218553483</v>
      </c>
      <c r="I49" s="500">
        <f t="shared" si="6"/>
        <v>0</v>
      </c>
      <c r="J49" s="500"/>
      <c r="K49" s="512"/>
      <c r="L49" s="504">
        <f t="shared" si="16"/>
        <v>0</v>
      </c>
      <c r="M49" s="512"/>
      <c r="N49" s="504">
        <f t="shared" si="4"/>
        <v>0</v>
      </c>
      <c r="O49" s="504">
        <f t="shared" si="5"/>
        <v>0</v>
      </c>
      <c r="P49" s="278"/>
      <c r="R49" s="243"/>
      <c r="S49" s="243"/>
      <c r="T49" s="243"/>
      <c r="U49" s="243"/>
    </row>
    <row r="50" spans="2:21">
      <c r="B50" s="145" t="str">
        <f t="shared" si="0"/>
        <v/>
      </c>
      <c r="C50" s="495">
        <f>IF(D11="","-",+C49+1)</f>
        <v>2047</v>
      </c>
      <c r="D50" s="508">
        <f>IF(F49+SUM(E$17:E49)=D$10,F49,D$10-SUM(E$17:E49))</f>
        <v>440200.41293510445</v>
      </c>
      <c r="E50" s="509">
        <f t="shared" si="17"/>
        <v>440200.41293510445</v>
      </c>
      <c r="F50" s="510">
        <f t="shared" si="18"/>
        <v>0</v>
      </c>
      <c r="G50" s="511">
        <f t="shared" si="19"/>
        <v>465276.78891516436</v>
      </c>
      <c r="H50" s="477">
        <f t="shared" si="20"/>
        <v>465276.78891516436</v>
      </c>
      <c r="I50" s="500">
        <f t="shared" si="6"/>
        <v>0</v>
      </c>
      <c r="J50" s="500"/>
      <c r="K50" s="512"/>
      <c r="L50" s="504">
        <f t="shared" si="16"/>
        <v>0</v>
      </c>
      <c r="M50" s="512"/>
      <c r="N50" s="504">
        <f t="shared" si="4"/>
        <v>0</v>
      </c>
      <c r="O50" s="504">
        <f t="shared" si="5"/>
        <v>0</v>
      </c>
      <c r="P50" s="278"/>
      <c r="R50" s="243"/>
      <c r="S50" s="243"/>
      <c r="T50" s="243"/>
      <c r="U50" s="243"/>
    </row>
    <row r="51" spans="2:21">
      <c r="B51" s="145" t="str">
        <f t="shared" si="0"/>
        <v/>
      </c>
      <c r="C51" s="495">
        <f>IF(D11="","-",+C50+1)</f>
        <v>2048</v>
      </c>
      <c r="D51" s="508">
        <f>IF(F50+SUM(E$17:E50)=D$10,F50,D$10-SUM(E$17:E50))</f>
        <v>0</v>
      </c>
      <c r="E51" s="509">
        <f t="shared" si="17"/>
        <v>0</v>
      </c>
      <c r="F51" s="510">
        <f t="shared" si="18"/>
        <v>0</v>
      </c>
      <c r="G51" s="511">
        <f t="shared" si="19"/>
        <v>0</v>
      </c>
      <c r="H51" s="477">
        <f t="shared" si="20"/>
        <v>0</v>
      </c>
      <c r="I51" s="500">
        <f t="shared" si="6"/>
        <v>0</v>
      </c>
      <c r="J51" s="500"/>
      <c r="K51" s="512"/>
      <c r="L51" s="504">
        <f t="shared" si="16"/>
        <v>0</v>
      </c>
      <c r="M51" s="512"/>
      <c r="N51" s="504">
        <f t="shared" si="4"/>
        <v>0</v>
      </c>
      <c r="O51" s="504">
        <f t="shared" si="5"/>
        <v>0</v>
      </c>
      <c r="P51" s="278"/>
      <c r="R51" s="243"/>
      <c r="S51" s="243"/>
      <c r="T51" s="243"/>
      <c r="U51" s="243"/>
    </row>
    <row r="52" spans="2:21">
      <c r="B52" s="145" t="str">
        <f t="shared" si="0"/>
        <v/>
      </c>
      <c r="C52" s="495">
        <f>IF(D11="","-",+C51+1)</f>
        <v>2049</v>
      </c>
      <c r="D52" s="508">
        <f>IF(F51+SUM(E$17:E51)=D$10,F51,D$10-SUM(E$17:E51))</f>
        <v>0</v>
      </c>
      <c r="E52" s="509">
        <f t="shared" si="17"/>
        <v>0</v>
      </c>
      <c r="F52" s="510">
        <f t="shared" si="18"/>
        <v>0</v>
      </c>
      <c r="G52" s="511">
        <f t="shared" si="19"/>
        <v>0</v>
      </c>
      <c r="H52" s="477">
        <f t="shared" si="20"/>
        <v>0</v>
      </c>
      <c r="I52" s="500">
        <f t="shared" si="6"/>
        <v>0</v>
      </c>
      <c r="J52" s="500"/>
      <c r="K52" s="512"/>
      <c r="L52" s="504">
        <f t="shared" si="16"/>
        <v>0</v>
      </c>
      <c r="M52" s="512"/>
      <c r="N52" s="504">
        <f t="shared" si="4"/>
        <v>0</v>
      </c>
      <c r="O52" s="504">
        <f t="shared" si="5"/>
        <v>0</v>
      </c>
      <c r="P52" s="278"/>
      <c r="R52" s="243"/>
      <c r="S52" s="243"/>
      <c r="T52" s="243"/>
      <c r="U52" s="243"/>
    </row>
    <row r="53" spans="2:21">
      <c r="B53" s="145" t="str">
        <f t="shared" si="0"/>
        <v/>
      </c>
      <c r="C53" s="495">
        <f>IF(D11="","-",+C52+1)</f>
        <v>2050</v>
      </c>
      <c r="D53" s="508">
        <f>IF(F52+SUM(E$17:E52)=D$10,F52,D$10-SUM(E$17:E52))</f>
        <v>0</v>
      </c>
      <c r="E53" s="509">
        <f t="shared" si="17"/>
        <v>0</v>
      </c>
      <c r="F53" s="510">
        <f t="shared" si="18"/>
        <v>0</v>
      </c>
      <c r="G53" s="511">
        <f t="shared" si="19"/>
        <v>0</v>
      </c>
      <c r="H53" s="477">
        <f t="shared" si="20"/>
        <v>0</v>
      </c>
      <c r="I53" s="500">
        <f t="shared" si="6"/>
        <v>0</v>
      </c>
      <c r="J53" s="500"/>
      <c r="K53" s="512"/>
      <c r="L53" s="504">
        <f t="shared" si="16"/>
        <v>0</v>
      </c>
      <c r="M53" s="512"/>
      <c r="N53" s="504">
        <f t="shared" si="4"/>
        <v>0</v>
      </c>
      <c r="O53" s="504">
        <f t="shared" si="5"/>
        <v>0</v>
      </c>
      <c r="P53" s="278"/>
      <c r="R53" s="243"/>
      <c r="S53" s="243"/>
      <c r="T53" s="243"/>
      <c r="U53" s="243"/>
    </row>
    <row r="54" spans="2:21">
      <c r="B54" s="145" t="str">
        <f t="shared" si="0"/>
        <v/>
      </c>
      <c r="C54" s="495">
        <f>IF(D11="","-",+C53+1)</f>
        <v>2051</v>
      </c>
      <c r="D54" s="508">
        <f>IF(F53+SUM(E$17:E53)=D$10,F53,D$10-SUM(E$17:E53))</f>
        <v>0</v>
      </c>
      <c r="E54" s="509">
        <f t="shared" si="17"/>
        <v>0</v>
      </c>
      <c r="F54" s="510">
        <f t="shared" si="18"/>
        <v>0</v>
      </c>
      <c r="G54" s="511">
        <f t="shared" si="19"/>
        <v>0</v>
      </c>
      <c r="H54" s="477">
        <f t="shared" si="20"/>
        <v>0</v>
      </c>
      <c r="I54" s="500">
        <f t="shared" si="6"/>
        <v>0</v>
      </c>
      <c r="J54" s="500"/>
      <c r="K54" s="512"/>
      <c r="L54" s="504">
        <f t="shared" si="16"/>
        <v>0</v>
      </c>
      <c r="M54" s="512"/>
      <c r="N54" s="504">
        <f t="shared" si="4"/>
        <v>0</v>
      </c>
      <c r="O54" s="504">
        <f t="shared" si="5"/>
        <v>0</v>
      </c>
      <c r="P54" s="278"/>
      <c r="R54" s="243"/>
      <c r="S54" s="243"/>
      <c r="T54" s="243"/>
      <c r="U54" s="243"/>
    </row>
    <row r="55" spans="2:21">
      <c r="B55" s="145" t="str">
        <f t="shared" si="0"/>
        <v/>
      </c>
      <c r="C55" s="495">
        <f>IF(D11="","-",+C54+1)</f>
        <v>2052</v>
      </c>
      <c r="D55" s="508">
        <f>IF(F54+SUM(E$17:E54)=D$10,F54,D$10-SUM(E$17:E54))</f>
        <v>0</v>
      </c>
      <c r="E55" s="509">
        <f t="shared" si="17"/>
        <v>0</v>
      </c>
      <c r="F55" s="510">
        <f t="shared" si="18"/>
        <v>0</v>
      </c>
      <c r="G55" s="511">
        <f t="shared" si="19"/>
        <v>0</v>
      </c>
      <c r="H55" s="477">
        <f t="shared" si="20"/>
        <v>0</v>
      </c>
      <c r="I55" s="500">
        <f t="shared" si="6"/>
        <v>0</v>
      </c>
      <c r="J55" s="500"/>
      <c r="K55" s="512"/>
      <c r="L55" s="504">
        <f t="shared" si="16"/>
        <v>0</v>
      </c>
      <c r="M55" s="512"/>
      <c r="N55" s="504">
        <f t="shared" si="4"/>
        <v>0</v>
      </c>
      <c r="O55" s="504">
        <f t="shared" si="5"/>
        <v>0</v>
      </c>
      <c r="P55" s="278"/>
      <c r="R55" s="243"/>
      <c r="S55" s="243"/>
      <c r="T55" s="243"/>
      <c r="U55" s="243"/>
    </row>
    <row r="56" spans="2:21">
      <c r="B56" s="145" t="str">
        <f t="shared" si="0"/>
        <v/>
      </c>
      <c r="C56" s="495">
        <f>IF(D11="","-",+C55+1)</f>
        <v>2053</v>
      </c>
      <c r="D56" s="508">
        <f>IF(F55+SUM(E$17:E55)=D$10,F55,D$10-SUM(E$17:E55))</f>
        <v>0</v>
      </c>
      <c r="E56" s="509">
        <f t="shared" si="17"/>
        <v>0</v>
      </c>
      <c r="F56" s="510">
        <f t="shared" si="18"/>
        <v>0</v>
      </c>
      <c r="G56" s="511">
        <f t="shared" si="19"/>
        <v>0</v>
      </c>
      <c r="H56" s="477">
        <f t="shared" si="20"/>
        <v>0</v>
      </c>
      <c r="I56" s="500">
        <f t="shared" si="6"/>
        <v>0</v>
      </c>
      <c r="J56" s="500"/>
      <c r="K56" s="512"/>
      <c r="L56" s="504">
        <f t="shared" si="16"/>
        <v>0</v>
      </c>
      <c r="M56" s="512"/>
      <c r="N56" s="504">
        <f t="shared" si="4"/>
        <v>0</v>
      </c>
      <c r="O56" s="504">
        <f t="shared" si="5"/>
        <v>0</v>
      </c>
      <c r="P56" s="278"/>
      <c r="R56" s="243"/>
      <c r="S56" s="243"/>
      <c r="T56" s="243"/>
      <c r="U56" s="243"/>
    </row>
    <row r="57" spans="2:21">
      <c r="B57" s="145" t="str">
        <f t="shared" si="0"/>
        <v/>
      </c>
      <c r="C57" s="495">
        <f>IF(D11="","-",+C56+1)</f>
        <v>2054</v>
      </c>
      <c r="D57" s="508">
        <f>IF(F56+SUM(E$17:E56)=D$10,F56,D$10-SUM(E$17:E56))</f>
        <v>0</v>
      </c>
      <c r="E57" s="509">
        <f t="shared" si="17"/>
        <v>0</v>
      </c>
      <c r="F57" s="510">
        <f t="shared" si="18"/>
        <v>0</v>
      </c>
      <c r="G57" s="511">
        <f t="shared" si="19"/>
        <v>0</v>
      </c>
      <c r="H57" s="477">
        <f t="shared" si="20"/>
        <v>0</v>
      </c>
      <c r="I57" s="500">
        <f t="shared" si="6"/>
        <v>0</v>
      </c>
      <c r="J57" s="500"/>
      <c r="K57" s="512"/>
      <c r="L57" s="504">
        <f t="shared" si="16"/>
        <v>0</v>
      </c>
      <c r="M57" s="512"/>
      <c r="N57" s="504">
        <f t="shared" si="4"/>
        <v>0</v>
      </c>
      <c r="O57" s="504">
        <f t="shared" si="5"/>
        <v>0</v>
      </c>
      <c r="P57" s="278"/>
      <c r="R57" s="243"/>
      <c r="S57" s="243"/>
      <c r="T57" s="243"/>
      <c r="U57" s="243"/>
    </row>
    <row r="58" spans="2:21">
      <c r="B58" s="145" t="str">
        <f t="shared" si="0"/>
        <v/>
      </c>
      <c r="C58" s="495">
        <f>IF(D11="","-",+C57+1)</f>
        <v>2055</v>
      </c>
      <c r="D58" s="508">
        <f>IF(F57+SUM(E$17:E57)=D$10,F57,D$10-SUM(E$17:E57))</f>
        <v>0</v>
      </c>
      <c r="E58" s="509">
        <f t="shared" si="17"/>
        <v>0</v>
      </c>
      <c r="F58" s="510">
        <f t="shared" si="18"/>
        <v>0</v>
      </c>
      <c r="G58" s="511">
        <f t="shared" si="19"/>
        <v>0</v>
      </c>
      <c r="H58" s="477">
        <f t="shared" si="20"/>
        <v>0</v>
      </c>
      <c r="I58" s="500">
        <f t="shared" si="6"/>
        <v>0</v>
      </c>
      <c r="J58" s="500"/>
      <c r="K58" s="512"/>
      <c r="L58" s="504">
        <f t="shared" si="16"/>
        <v>0</v>
      </c>
      <c r="M58" s="512"/>
      <c r="N58" s="504">
        <f t="shared" si="4"/>
        <v>0</v>
      </c>
      <c r="O58" s="504">
        <f t="shared" si="5"/>
        <v>0</v>
      </c>
      <c r="P58" s="278"/>
      <c r="R58" s="243"/>
      <c r="S58" s="243"/>
      <c r="T58" s="243"/>
      <c r="U58" s="243"/>
    </row>
    <row r="59" spans="2:21">
      <c r="B59" s="145" t="str">
        <f t="shared" si="0"/>
        <v/>
      </c>
      <c r="C59" s="495">
        <f>IF(D11="","-",+C58+1)</f>
        <v>2056</v>
      </c>
      <c r="D59" s="508">
        <f>IF(F58+SUM(E$17:E58)=D$10,F58,D$10-SUM(E$17:E58))</f>
        <v>0</v>
      </c>
      <c r="E59" s="509">
        <f t="shared" si="17"/>
        <v>0</v>
      </c>
      <c r="F59" s="510">
        <f t="shared" si="18"/>
        <v>0</v>
      </c>
      <c r="G59" s="511">
        <f t="shared" si="19"/>
        <v>0</v>
      </c>
      <c r="H59" s="477">
        <f t="shared" si="20"/>
        <v>0</v>
      </c>
      <c r="I59" s="500">
        <f t="shared" si="6"/>
        <v>0</v>
      </c>
      <c r="J59" s="500"/>
      <c r="K59" s="512"/>
      <c r="L59" s="504">
        <f t="shared" si="16"/>
        <v>0</v>
      </c>
      <c r="M59" s="512"/>
      <c r="N59" s="504">
        <f t="shared" si="4"/>
        <v>0</v>
      </c>
      <c r="O59" s="504">
        <f t="shared" si="5"/>
        <v>0</v>
      </c>
      <c r="P59" s="278"/>
      <c r="R59" s="243"/>
      <c r="S59" s="243"/>
      <c r="T59" s="243"/>
      <c r="U59" s="243"/>
    </row>
    <row r="60" spans="2:21">
      <c r="B60" s="145" t="str">
        <f t="shared" si="0"/>
        <v/>
      </c>
      <c r="C60" s="495">
        <f>IF(D11="","-",+C59+1)</f>
        <v>2057</v>
      </c>
      <c r="D60" s="508">
        <f>IF(F59+SUM(E$17:E59)=D$10,F59,D$10-SUM(E$17:E59))</f>
        <v>0</v>
      </c>
      <c r="E60" s="509">
        <f t="shared" si="17"/>
        <v>0</v>
      </c>
      <c r="F60" s="510">
        <f t="shared" si="18"/>
        <v>0</v>
      </c>
      <c r="G60" s="511">
        <f t="shared" si="19"/>
        <v>0</v>
      </c>
      <c r="H60" s="477">
        <f t="shared" si="20"/>
        <v>0</v>
      </c>
      <c r="I60" s="500">
        <f t="shared" si="6"/>
        <v>0</v>
      </c>
      <c r="J60" s="500"/>
      <c r="K60" s="512"/>
      <c r="L60" s="504">
        <f t="shared" si="16"/>
        <v>0</v>
      </c>
      <c r="M60" s="512"/>
      <c r="N60" s="504">
        <f t="shared" si="4"/>
        <v>0</v>
      </c>
      <c r="O60" s="504">
        <f t="shared" si="5"/>
        <v>0</v>
      </c>
      <c r="P60" s="278"/>
      <c r="R60" s="243"/>
      <c r="S60" s="243"/>
      <c r="T60" s="243"/>
      <c r="U60" s="243"/>
    </row>
    <row r="61" spans="2:21">
      <c r="B61" s="145" t="str">
        <f t="shared" si="0"/>
        <v/>
      </c>
      <c r="C61" s="495">
        <f>IF(D11="","-",+C60+1)</f>
        <v>2058</v>
      </c>
      <c r="D61" s="508">
        <f>IF(F60+SUM(E$17:E60)=D$10,F60,D$10-SUM(E$17:E60))</f>
        <v>0</v>
      </c>
      <c r="E61" s="509">
        <f t="shared" si="17"/>
        <v>0</v>
      </c>
      <c r="F61" s="510">
        <f t="shared" si="18"/>
        <v>0</v>
      </c>
      <c r="G61" s="511">
        <f t="shared" si="19"/>
        <v>0</v>
      </c>
      <c r="H61" s="477">
        <f t="shared" si="20"/>
        <v>0</v>
      </c>
      <c r="I61" s="500">
        <f t="shared" si="6"/>
        <v>0</v>
      </c>
      <c r="J61" s="500"/>
      <c r="K61" s="512"/>
      <c r="L61" s="504">
        <f t="shared" si="16"/>
        <v>0</v>
      </c>
      <c r="M61" s="512"/>
      <c r="N61" s="504">
        <f t="shared" si="4"/>
        <v>0</v>
      </c>
      <c r="O61" s="504">
        <f t="shared" si="5"/>
        <v>0</v>
      </c>
      <c r="P61" s="278"/>
      <c r="R61" s="243"/>
      <c r="S61" s="243"/>
      <c r="T61" s="243"/>
      <c r="U61" s="243"/>
    </row>
    <row r="62" spans="2:21">
      <c r="B62" s="145" t="str">
        <f t="shared" si="0"/>
        <v/>
      </c>
      <c r="C62" s="495">
        <f>IF(D11="","-",+C61+1)</f>
        <v>2059</v>
      </c>
      <c r="D62" s="508">
        <f>IF(F61+SUM(E$17:E61)=D$10,F61,D$10-SUM(E$17:E61))</f>
        <v>0</v>
      </c>
      <c r="E62" s="509">
        <f t="shared" si="17"/>
        <v>0</v>
      </c>
      <c r="F62" s="510">
        <f t="shared" si="18"/>
        <v>0</v>
      </c>
      <c r="G62" s="511">
        <f t="shared" si="19"/>
        <v>0</v>
      </c>
      <c r="H62" s="477">
        <f t="shared" si="20"/>
        <v>0</v>
      </c>
      <c r="I62" s="500">
        <f t="shared" si="6"/>
        <v>0</v>
      </c>
      <c r="J62" s="500"/>
      <c r="K62" s="512"/>
      <c r="L62" s="504">
        <f t="shared" si="16"/>
        <v>0</v>
      </c>
      <c r="M62" s="512"/>
      <c r="N62" s="504">
        <f t="shared" si="4"/>
        <v>0</v>
      </c>
      <c r="O62" s="504">
        <f t="shared" si="5"/>
        <v>0</v>
      </c>
      <c r="P62" s="278"/>
      <c r="R62" s="243"/>
      <c r="S62" s="243"/>
      <c r="T62" s="243"/>
      <c r="U62" s="243"/>
    </row>
    <row r="63" spans="2:21">
      <c r="B63" s="145" t="str">
        <f t="shared" si="0"/>
        <v/>
      </c>
      <c r="C63" s="495">
        <f>IF(D11="","-",+C62+1)</f>
        <v>2060</v>
      </c>
      <c r="D63" s="508">
        <f>IF(F62+SUM(E$17:E62)=D$10,F62,D$10-SUM(E$17:E62))</f>
        <v>0</v>
      </c>
      <c r="E63" s="509">
        <f t="shared" si="17"/>
        <v>0</v>
      </c>
      <c r="F63" s="510">
        <f t="shared" si="18"/>
        <v>0</v>
      </c>
      <c r="G63" s="511">
        <f t="shared" si="19"/>
        <v>0</v>
      </c>
      <c r="H63" s="477">
        <f t="shared" si="20"/>
        <v>0</v>
      </c>
      <c r="I63" s="500">
        <f t="shared" si="6"/>
        <v>0</v>
      </c>
      <c r="J63" s="500"/>
      <c r="K63" s="512"/>
      <c r="L63" s="504">
        <f t="shared" si="16"/>
        <v>0</v>
      </c>
      <c r="M63" s="512"/>
      <c r="N63" s="504">
        <f t="shared" si="4"/>
        <v>0</v>
      </c>
      <c r="O63" s="504">
        <f t="shared" si="5"/>
        <v>0</v>
      </c>
      <c r="P63" s="278"/>
      <c r="R63" s="243"/>
      <c r="S63" s="243"/>
      <c r="T63" s="243"/>
      <c r="U63" s="243"/>
    </row>
    <row r="64" spans="2:21">
      <c r="B64" s="145" t="str">
        <f t="shared" si="0"/>
        <v/>
      </c>
      <c r="C64" s="495">
        <f>IF(D11="","-",+C63+1)</f>
        <v>2061</v>
      </c>
      <c r="D64" s="508">
        <f>IF(F63+SUM(E$17:E63)=D$10,F63,D$10-SUM(E$17:E63))</f>
        <v>0</v>
      </c>
      <c r="E64" s="509">
        <f t="shared" si="17"/>
        <v>0</v>
      </c>
      <c r="F64" s="510">
        <f t="shared" si="18"/>
        <v>0</v>
      </c>
      <c r="G64" s="511">
        <f t="shared" si="19"/>
        <v>0</v>
      </c>
      <c r="H64" s="477">
        <f t="shared" si="20"/>
        <v>0</v>
      </c>
      <c r="I64" s="500">
        <f t="shared" si="6"/>
        <v>0</v>
      </c>
      <c r="J64" s="500"/>
      <c r="K64" s="512"/>
      <c r="L64" s="504">
        <f t="shared" si="16"/>
        <v>0</v>
      </c>
      <c r="M64" s="512"/>
      <c r="N64" s="504">
        <f t="shared" si="4"/>
        <v>0</v>
      </c>
      <c r="O64" s="504">
        <f t="shared" si="5"/>
        <v>0</v>
      </c>
      <c r="P64" s="278"/>
      <c r="R64" s="243"/>
      <c r="S64" s="243"/>
      <c r="T64" s="243"/>
      <c r="U64" s="243"/>
    </row>
    <row r="65" spans="2:21">
      <c r="B65" s="145" t="str">
        <f t="shared" si="0"/>
        <v/>
      </c>
      <c r="C65" s="495">
        <f>IF(D11="","-",+C64+1)</f>
        <v>2062</v>
      </c>
      <c r="D65" s="508">
        <f>IF(F64+SUM(E$17:E64)=D$10,F64,D$10-SUM(E$17:E64))</f>
        <v>0</v>
      </c>
      <c r="E65" s="509">
        <f t="shared" si="17"/>
        <v>0</v>
      </c>
      <c r="F65" s="510">
        <f t="shared" si="18"/>
        <v>0</v>
      </c>
      <c r="G65" s="511">
        <f t="shared" si="19"/>
        <v>0</v>
      </c>
      <c r="H65" s="477">
        <f t="shared" si="20"/>
        <v>0</v>
      </c>
      <c r="I65" s="500">
        <f t="shared" si="6"/>
        <v>0</v>
      </c>
      <c r="J65" s="500"/>
      <c r="K65" s="512"/>
      <c r="L65" s="504">
        <f t="shared" si="16"/>
        <v>0</v>
      </c>
      <c r="M65" s="512"/>
      <c r="N65" s="504">
        <f t="shared" si="4"/>
        <v>0</v>
      </c>
      <c r="O65" s="504">
        <f t="shared" si="5"/>
        <v>0</v>
      </c>
      <c r="P65" s="278"/>
      <c r="R65" s="243"/>
      <c r="S65" s="243"/>
      <c r="T65" s="243"/>
      <c r="U65" s="243"/>
    </row>
    <row r="66" spans="2:21">
      <c r="B66" s="145" t="str">
        <f t="shared" si="0"/>
        <v/>
      </c>
      <c r="C66" s="495">
        <f>IF(D11="","-",+C65+1)</f>
        <v>2063</v>
      </c>
      <c r="D66" s="508">
        <f>IF(F65+SUM(E$17:E65)=D$10,F65,D$10-SUM(E$17:E65))</f>
        <v>0</v>
      </c>
      <c r="E66" s="509">
        <f t="shared" si="17"/>
        <v>0</v>
      </c>
      <c r="F66" s="510">
        <f t="shared" si="18"/>
        <v>0</v>
      </c>
      <c r="G66" s="511">
        <f t="shared" si="19"/>
        <v>0</v>
      </c>
      <c r="H66" s="477">
        <f t="shared" si="20"/>
        <v>0</v>
      </c>
      <c r="I66" s="500">
        <f t="shared" si="6"/>
        <v>0</v>
      </c>
      <c r="J66" s="500"/>
      <c r="K66" s="512"/>
      <c r="L66" s="504">
        <f t="shared" si="16"/>
        <v>0</v>
      </c>
      <c r="M66" s="512"/>
      <c r="N66" s="504">
        <f t="shared" si="4"/>
        <v>0</v>
      </c>
      <c r="O66" s="504">
        <f t="shared" si="5"/>
        <v>0</v>
      </c>
      <c r="P66" s="278"/>
      <c r="R66" s="243"/>
      <c r="S66" s="243"/>
      <c r="T66" s="243"/>
      <c r="U66" s="243"/>
    </row>
    <row r="67" spans="2:21">
      <c r="B67" s="145" t="str">
        <f t="shared" si="0"/>
        <v/>
      </c>
      <c r="C67" s="495">
        <f>IF(D11="","-",+C66+1)</f>
        <v>2064</v>
      </c>
      <c r="D67" s="508">
        <f>IF(F66+SUM(E$17:E66)=D$10,F66,D$10-SUM(E$17:E66))</f>
        <v>0</v>
      </c>
      <c r="E67" s="509">
        <f t="shared" si="17"/>
        <v>0</v>
      </c>
      <c r="F67" s="510">
        <f t="shared" si="18"/>
        <v>0</v>
      </c>
      <c r="G67" s="511">
        <f t="shared" si="19"/>
        <v>0</v>
      </c>
      <c r="H67" s="477">
        <f t="shared" si="20"/>
        <v>0</v>
      </c>
      <c r="I67" s="500">
        <f t="shared" si="6"/>
        <v>0</v>
      </c>
      <c r="J67" s="500"/>
      <c r="K67" s="512"/>
      <c r="L67" s="504">
        <f t="shared" si="16"/>
        <v>0</v>
      </c>
      <c r="M67" s="512"/>
      <c r="N67" s="504">
        <f t="shared" si="4"/>
        <v>0</v>
      </c>
      <c r="O67" s="504">
        <f t="shared" si="5"/>
        <v>0</v>
      </c>
      <c r="P67" s="278"/>
      <c r="R67" s="243"/>
      <c r="S67" s="243"/>
      <c r="T67" s="243"/>
      <c r="U67" s="243"/>
    </row>
    <row r="68" spans="2:21">
      <c r="B68" s="145" t="str">
        <f t="shared" si="0"/>
        <v/>
      </c>
      <c r="C68" s="495">
        <f>IF(D11="","-",+C67+1)</f>
        <v>2065</v>
      </c>
      <c r="D68" s="508">
        <f>IF(F67+SUM(E$17:E67)=D$10,F67,D$10-SUM(E$17:E67))</f>
        <v>0</v>
      </c>
      <c r="E68" s="509">
        <f t="shared" si="17"/>
        <v>0</v>
      </c>
      <c r="F68" s="510">
        <f t="shared" si="18"/>
        <v>0</v>
      </c>
      <c r="G68" s="511">
        <f t="shared" si="19"/>
        <v>0</v>
      </c>
      <c r="H68" s="477">
        <f t="shared" si="20"/>
        <v>0</v>
      </c>
      <c r="I68" s="500">
        <f t="shared" si="6"/>
        <v>0</v>
      </c>
      <c r="J68" s="500"/>
      <c r="K68" s="512"/>
      <c r="L68" s="504">
        <f t="shared" si="16"/>
        <v>0</v>
      </c>
      <c r="M68" s="512"/>
      <c r="N68" s="504">
        <f t="shared" si="4"/>
        <v>0</v>
      </c>
      <c r="O68" s="504">
        <f t="shared" si="5"/>
        <v>0</v>
      </c>
      <c r="P68" s="278"/>
      <c r="R68" s="243"/>
      <c r="S68" s="243"/>
      <c r="T68" s="243"/>
      <c r="U68" s="243"/>
    </row>
    <row r="69" spans="2:21">
      <c r="B69" s="145" t="str">
        <f t="shared" si="0"/>
        <v/>
      </c>
      <c r="C69" s="495">
        <f>IF(D11="","-",+C68+1)</f>
        <v>2066</v>
      </c>
      <c r="D69" s="508">
        <f>IF(F68+SUM(E$17:E68)=D$10,F68,D$10-SUM(E$17:E68))</f>
        <v>0</v>
      </c>
      <c r="E69" s="509">
        <f t="shared" si="17"/>
        <v>0</v>
      </c>
      <c r="F69" s="510">
        <f t="shared" si="18"/>
        <v>0</v>
      </c>
      <c r="G69" s="511">
        <f t="shared" si="19"/>
        <v>0</v>
      </c>
      <c r="H69" s="477">
        <f t="shared" si="20"/>
        <v>0</v>
      </c>
      <c r="I69" s="500">
        <f t="shared" si="6"/>
        <v>0</v>
      </c>
      <c r="J69" s="500"/>
      <c r="K69" s="512"/>
      <c r="L69" s="504">
        <f t="shared" si="16"/>
        <v>0</v>
      </c>
      <c r="M69" s="512"/>
      <c r="N69" s="504">
        <f t="shared" si="4"/>
        <v>0</v>
      </c>
      <c r="O69" s="504">
        <f t="shared" si="5"/>
        <v>0</v>
      </c>
      <c r="P69" s="278"/>
      <c r="R69" s="243"/>
      <c r="S69" s="243"/>
      <c r="T69" s="243"/>
      <c r="U69" s="243"/>
    </row>
    <row r="70" spans="2:21">
      <c r="B70" s="145" t="str">
        <f t="shared" si="0"/>
        <v/>
      </c>
      <c r="C70" s="495">
        <f>IF(D11="","-",+C69+1)</f>
        <v>2067</v>
      </c>
      <c r="D70" s="508">
        <f>IF(F69+SUM(E$17:E69)=D$10,F69,D$10-SUM(E$17:E69))</f>
        <v>0</v>
      </c>
      <c r="E70" s="509">
        <f t="shared" si="17"/>
        <v>0</v>
      </c>
      <c r="F70" s="510">
        <f t="shared" si="18"/>
        <v>0</v>
      </c>
      <c r="G70" s="511">
        <f t="shared" si="19"/>
        <v>0</v>
      </c>
      <c r="H70" s="477">
        <f t="shared" si="20"/>
        <v>0</v>
      </c>
      <c r="I70" s="500">
        <f t="shared" si="6"/>
        <v>0</v>
      </c>
      <c r="J70" s="500"/>
      <c r="K70" s="512"/>
      <c r="L70" s="504">
        <f t="shared" si="16"/>
        <v>0</v>
      </c>
      <c r="M70" s="512"/>
      <c r="N70" s="504">
        <f t="shared" si="4"/>
        <v>0</v>
      </c>
      <c r="O70" s="504">
        <f t="shared" si="5"/>
        <v>0</v>
      </c>
      <c r="P70" s="278"/>
      <c r="R70" s="243"/>
      <c r="S70" s="243"/>
      <c r="T70" s="243"/>
      <c r="U70" s="243"/>
    </row>
    <row r="71" spans="2:21">
      <c r="B71" s="145" t="str">
        <f t="shared" si="0"/>
        <v/>
      </c>
      <c r="C71" s="495">
        <f>IF(D11="","-",+C70+1)</f>
        <v>2068</v>
      </c>
      <c r="D71" s="508">
        <f>IF(F70+SUM(E$17:E70)=D$10,F70,D$10-SUM(E$17:E70))</f>
        <v>0</v>
      </c>
      <c r="E71" s="509">
        <f t="shared" si="17"/>
        <v>0</v>
      </c>
      <c r="F71" s="510">
        <f t="shared" si="18"/>
        <v>0</v>
      </c>
      <c r="G71" s="511">
        <f t="shared" si="19"/>
        <v>0</v>
      </c>
      <c r="H71" s="477">
        <f t="shared" si="20"/>
        <v>0</v>
      </c>
      <c r="I71" s="500">
        <f t="shared" si="6"/>
        <v>0</v>
      </c>
      <c r="J71" s="500"/>
      <c r="K71" s="512"/>
      <c r="L71" s="504">
        <f t="shared" si="16"/>
        <v>0</v>
      </c>
      <c r="M71" s="512"/>
      <c r="N71" s="504">
        <f t="shared" si="4"/>
        <v>0</v>
      </c>
      <c r="O71" s="504">
        <f t="shared" si="5"/>
        <v>0</v>
      </c>
      <c r="P71" s="278"/>
      <c r="R71" s="243"/>
      <c r="S71" s="243"/>
      <c r="T71" s="243"/>
      <c r="U71" s="243"/>
    </row>
    <row r="72" spans="2:21">
      <c r="B72" s="145" t="str">
        <f t="shared" si="0"/>
        <v/>
      </c>
      <c r="C72" s="495">
        <f>IF(D11="","-",+C71+1)</f>
        <v>2069</v>
      </c>
      <c r="D72" s="508">
        <f>IF(F71+SUM(E$17:E71)=D$10,F71,D$10-SUM(E$17:E71))</f>
        <v>0</v>
      </c>
      <c r="E72" s="509">
        <f t="shared" si="17"/>
        <v>0</v>
      </c>
      <c r="F72" s="510">
        <f t="shared" si="18"/>
        <v>0</v>
      </c>
      <c r="G72" s="511">
        <f t="shared" si="19"/>
        <v>0</v>
      </c>
      <c r="H72" s="477">
        <f t="shared" si="20"/>
        <v>0</v>
      </c>
      <c r="I72" s="500">
        <f t="shared" si="6"/>
        <v>0</v>
      </c>
      <c r="J72" s="500"/>
      <c r="K72" s="512"/>
      <c r="L72" s="504">
        <f t="shared" si="16"/>
        <v>0</v>
      </c>
      <c r="M72" s="512"/>
      <c r="N72" s="504">
        <f t="shared" si="4"/>
        <v>0</v>
      </c>
      <c r="O72" s="504">
        <f t="shared" si="5"/>
        <v>0</v>
      </c>
      <c r="P72" s="278"/>
      <c r="R72" s="243"/>
      <c r="S72" s="243"/>
      <c r="T72" s="243"/>
      <c r="U72" s="243"/>
    </row>
    <row r="73" spans="2:21" ht="13.5" thickBot="1">
      <c r="B73" s="145" t="str">
        <f t="shared" si="0"/>
        <v/>
      </c>
      <c r="C73" s="524">
        <f>IF(D11="","-",+C72+1)</f>
        <v>2070</v>
      </c>
      <c r="D73" s="525">
        <f>IF(F72+SUM(E$17:E72)=D$10,F72,D$10-SUM(E$17:E72))</f>
        <v>0</v>
      </c>
      <c r="E73" s="526">
        <f t="shared" si="17"/>
        <v>0</v>
      </c>
      <c r="F73" s="527">
        <f t="shared" si="18"/>
        <v>0</v>
      </c>
      <c r="G73" s="527">
        <f t="shared" si="19"/>
        <v>0</v>
      </c>
      <c r="H73" s="527">
        <f t="shared" si="20"/>
        <v>0</v>
      </c>
      <c r="I73" s="529">
        <f t="shared" si="6"/>
        <v>0</v>
      </c>
      <c r="J73" s="500"/>
      <c r="K73" s="530"/>
      <c r="L73" s="531">
        <f t="shared" si="16"/>
        <v>0</v>
      </c>
      <c r="M73" s="530"/>
      <c r="N73" s="531">
        <f t="shared" si="4"/>
        <v>0</v>
      </c>
      <c r="O73" s="531">
        <f t="shared" si="5"/>
        <v>0</v>
      </c>
      <c r="P73" s="278"/>
      <c r="R73" s="243"/>
      <c r="S73" s="243"/>
      <c r="T73" s="243"/>
      <c r="U73" s="243"/>
    </row>
    <row r="74" spans="2:21">
      <c r="C74" s="349" t="s">
        <v>75</v>
      </c>
      <c r="D74" s="294"/>
      <c r="E74" s="294">
        <f>SUM(E17:E73)</f>
        <v>20242585.049999997</v>
      </c>
      <c r="F74" s="294"/>
      <c r="G74" s="294">
        <f>SUM(G17:G73)</f>
        <v>58777549.331556574</v>
      </c>
      <c r="H74" s="294">
        <f>SUM(H17:H73)</f>
        <v>58777549.331556574</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11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2497735.0197140798</v>
      </c>
      <c r="N88" s="544">
        <f>IF(J93&lt;D11,0,VLOOKUP(J93,C17:O73,11))</f>
        <v>2497735.0197140798</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2776210.8124179048</v>
      </c>
      <c r="N89" s="548">
        <f>IF(J93&lt;D11,0,VLOOKUP(J93,C100:P155,7))</f>
        <v>2776210.8124179048</v>
      </c>
      <c r="O89" s="549">
        <f>+N89-M89</f>
        <v>0</v>
      </c>
      <c r="P89" s="243"/>
      <c r="Q89" s="243"/>
      <c r="R89" s="243"/>
      <c r="S89" s="243"/>
      <c r="T89" s="243"/>
      <c r="U89" s="243"/>
    </row>
    <row r="90" spans="1:21" ht="13.5" thickBot="1">
      <c r="C90" s="454" t="s">
        <v>82</v>
      </c>
      <c r="D90" s="550" t="str">
        <f>+D7</f>
        <v>Grady Customer Connection</v>
      </c>
      <c r="E90" s="243"/>
      <c r="F90" s="243"/>
      <c r="G90" s="243"/>
      <c r="H90" s="243"/>
      <c r="I90" s="325"/>
      <c r="J90" s="325"/>
      <c r="K90" s="551"/>
      <c r="L90" s="552" t="s">
        <v>135</v>
      </c>
      <c r="M90" s="553">
        <f>+M89-M88</f>
        <v>278475.79270382505</v>
      </c>
      <c r="N90" s="553">
        <f>+N89-N88</f>
        <v>278475.79270382505</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TP2013002</v>
      </c>
      <c r="E92" s="558"/>
      <c r="F92" s="558"/>
      <c r="G92" s="558"/>
      <c r="H92" s="558"/>
      <c r="I92" s="558"/>
      <c r="J92" s="558"/>
      <c r="K92" s="560"/>
      <c r="P92" s="468"/>
      <c r="Q92" s="243"/>
      <c r="R92" s="243"/>
      <c r="S92" s="243"/>
      <c r="T92" s="243"/>
      <c r="U92" s="243"/>
    </row>
    <row r="93" spans="1:21">
      <c r="C93" s="472" t="s">
        <v>49</v>
      </c>
      <c r="D93" s="622">
        <v>20242585</v>
      </c>
      <c r="E93" s="248" t="s">
        <v>84</v>
      </c>
      <c r="H93" s="408"/>
      <c r="I93" s="408"/>
      <c r="J93" s="471">
        <f>+'OKT.WS.G.BPU.ATRR.True-up'!M16</f>
        <v>2021</v>
      </c>
      <c r="K93" s="467"/>
      <c r="L93" s="294" t="s">
        <v>85</v>
      </c>
      <c r="P93" s="278"/>
      <c r="Q93" s="243"/>
      <c r="R93" s="243"/>
      <c r="S93" s="243"/>
      <c r="T93" s="243"/>
      <c r="U93" s="243"/>
    </row>
    <row r="94" spans="1:21">
      <c r="C94" s="472" t="s">
        <v>52</v>
      </c>
      <c r="D94" s="561">
        <f>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11</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809703.4</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2014</v>
      </c>
      <c r="D100" s="349"/>
      <c r="E100" s="511"/>
      <c r="F100" s="510"/>
      <c r="G100" s="605"/>
      <c r="H100" s="605"/>
      <c r="I100" s="605"/>
      <c r="J100" s="504"/>
      <c r="K100" s="504"/>
      <c r="L100" s="501"/>
      <c r="M100" s="502">
        <f t="shared" ref="M100:M131" si="21">IF(L100&lt;&gt;0,+H100-L100,0)</f>
        <v>0</v>
      </c>
      <c r="N100" s="501"/>
      <c r="O100" s="503">
        <f t="shared" ref="O100:O131" si="22">IF(N100&lt;&gt;0,+I100-N100,0)</f>
        <v>0</v>
      </c>
      <c r="P100" s="503">
        <f t="shared" ref="P100:P131" si="23">+O100-M100</f>
        <v>0</v>
      </c>
      <c r="Q100" s="243"/>
      <c r="R100" s="243"/>
      <c r="S100" s="243"/>
      <c r="T100" s="243"/>
      <c r="U100" s="243"/>
    </row>
    <row r="101" spans="1:21">
      <c r="B101" s="145" t="str">
        <f t="shared" ref="B101:B155" si="24">IF(D101=F100,"","IU")</f>
        <v>IU</v>
      </c>
      <c r="C101" s="495">
        <f>IF(D94="","-",+C100+1)</f>
        <v>2015</v>
      </c>
      <c r="D101" s="496">
        <v>19016226.275360011</v>
      </c>
      <c r="E101" s="498">
        <v>416545.33333333331</v>
      </c>
      <c r="F101" s="505">
        <v>18599680.942026678</v>
      </c>
      <c r="G101" s="505">
        <v>18807953.608693346</v>
      </c>
      <c r="H101" s="498">
        <v>2510424.0615898012</v>
      </c>
      <c r="I101" s="499">
        <v>2510424.0615898012</v>
      </c>
      <c r="J101" s="504">
        <v>0</v>
      </c>
      <c r="K101" s="504"/>
      <c r="L101" s="506">
        <f t="shared" ref="L101:L106" si="25">H101</f>
        <v>2510424.0615898012</v>
      </c>
      <c r="M101" s="504">
        <f t="shared" ref="M101:M106" si="26">IF(L101&lt;&gt;0,+H101-L101,0)</f>
        <v>0</v>
      </c>
      <c r="N101" s="506">
        <f t="shared" ref="N101:N106" si="27">I101</f>
        <v>2510424.0615898012</v>
      </c>
      <c r="O101" s="504">
        <f t="shared" si="22"/>
        <v>0</v>
      </c>
      <c r="P101" s="504">
        <f t="shared" si="23"/>
        <v>0</v>
      </c>
      <c r="Q101" s="243"/>
      <c r="R101" s="243"/>
      <c r="S101" s="243"/>
      <c r="T101" s="243"/>
      <c r="U101" s="243"/>
    </row>
    <row r="102" spans="1:21">
      <c r="B102" s="145" t="str">
        <f t="shared" si="24"/>
        <v>IU</v>
      </c>
      <c r="C102" s="495">
        <f>IF(D94="","-",+C101+1)</f>
        <v>2016</v>
      </c>
      <c r="D102" s="496">
        <v>19825461.666666668</v>
      </c>
      <c r="E102" s="498">
        <v>396902.09803921566</v>
      </c>
      <c r="F102" s="505">
        <v>19428559.568627451</v>
      </c>
      <c r="G102" s="505">
        <v>19627010.617647059</v>
      </c>
      <c r="H102" s="498">
        <v>2523870.6286029778</v>
      </c>
      <c r="I102" s="499">
        <v>2523870.6286029778</v>
      </c>
      <c r="J102" s="504">
        <f>+I102-H102</f>
        <v>0</v>
      </c>
      <c r="K102" s="504"/>
      <c r="L102" s="506">
        <f t="shared" si="25"/>
        <v>2523870.6286029778</v>
      </c>
      <c r="M102" s="504">
        <f t="shared" si="26"/>
        <v>0</v>
      </c>
      <c r="N102" s="506">
        <f t="shared" si="27"/>
        <v>2523870.6286029778</v>
      </c>
      <c r="O102" s="504">
        <f>IF(N102&lt;&gt;0,+I102-N102,0)</f>
        <v>0</v>
      </c>
      <c r="P102" s="504">
        <f>+O102-M102</f>
        <v>0</v>
      </c>
      <c r="Q102" s="243"/>
      <c r="R102" s="243"/>
      <c r="S102" s="243"/>
      <c r="T102" s="243"/>
      <c r="U102" s="243"/>
    </row>
    <row r="103" spans="1:21">
      <c r="B103" s="145" t="str">
        <f t="shared" si="24"/>
        <v>IU</v>
      </c>
      <c r="C103" s="495">
        <f>IF(D94="","-",+C102+1)</f>
        <v>2017</v>
      </c>
      <c r="D103" s="496">
        <v>19429137.568627451</v>
      </c>
      <c r="E103" s="498">
        <v>506064.625</v>
      </c>
      <c r="F103" s="505">
        <v>18923072.943627451</v>
      </c>
      <c r="G103" s="505">
        <v>19176105.256127451</v>
      </c>
      <c r="H103" s="498">
        <v>2756109.5074390932</v>
      </c>
      <c r="I103" s="499">
        <v>2756109.5074390932</v>
      </c>
      <c r="J103" s="504">
        <v>0</v>
      </c>
      <c r="K103" s="504"/>
      <c r="L103" s="506">
        <f t="shared" si="25"/>
        <v>2756109.5074390932</v>
      </c>
      <c r="M103" s="504">
        <f t="shared" si="26"/>
        <v>0</v>
      </c>
      <c r="N103" s="506">
        <f t="shared" si="27"/>
        <v>2756109.5074390932</v>
      </c>
      <c r="O103" s="504">
        <f>IF(N103&lt;&gt;0,+I103-N103,0)</f>
        <v>0</v>
      </c>
      <c r="P103" s="504">
        <f>+O103-M103</f>
        <v>0</v>
      </c>
      <c r="Q103" s="243"/>
      <c r="R103" s="243"/>
      <c r="S103" s="243"/>
      <c r="T103" s="243"/>
      <c r="U103" s="243"/>
    </row>
    <row r="104" spans="1:21">
      <c r="B104" s="145" t="str">
        <f t="shared" si="24"/>
        <v/>
      </c>
      <c r="C104" s="495">
        <f>IF(D94="","-",+C103+1)</f>
        <v>2018</v>
      </c>
      <c r="D104" s="496">
        <v>18923072.943627451</v>
      </c>
      <c r="E104" s="498">
        <v>562294.02777777775</v>
      </c>
      <c r="F104" s="505">
        <v>18360778.915849674</v>
      </c>
      <c r="G104" s="505">
        <v>18641925.929738563</v>
      </c>
      <c r="H104" s="498">
        <v>2530181.3848446766</v>
      </c>
      <c r="I104" s="499">
        <v>2530181.3848446766</v>
      </c>
      <c r="J104" s="504">
        <f t="shared" ref="J104:J155" si="28">+I104-H104</f>
        <v>0</v>
      </c>
      <c r="K104" s="504"/>
      <c r="L104" s="506">
        <f t="shared" si="25"/>
        <v>2530181.3848446766</v>
      </c>
      <c r="M104" s="504">
        <f t="shared" si="26"/>
        <v>0</v>
      </c>
      <c r="N104" s="506">
        <f t="shared" si="27"/>
        <v>2530181.3848446766</v>
      </c>
      <c r="O104" s="504">
        <f>IF(N104&lt;&gt;0,+I104-N104,0)</f>
        <v>0</v>
      </c>
      <c r="P104" s="504">
        <f>+O104-M104</f>
        <v>0</v>
      </c>
      <c r="Q104" s="243"/>
      <c r="R104" s="243"/>
      <c r="S104" s="243"/>
      <c r="T104" s="243"/>
      <c r="U104" s="243"/>
    </row>
    <row r="105" spans="1:21">
      <c r="B105" s="145" t="str">
        <f t="shared" si="24"/>
        <v/>
      </c>
      <c r="C105" s="495">
        <f>IF(D94="","-",+C104+1)</f>
        <v>2019</v>
      </c>
      <c r="D105" s="496">
        <v>18360778.915849674</v>
      </c>
      <c r="E105" s="498">
        <v>562294.02777777775</v>
      </c>
      <c r="F105" s="505">
        <v>17798484.888071898</v>
      </c>
      <c r="G105" s="505">
        <v>18079631.901960786</v>
      </c>
      <c r="H105" s="498">
        <v>2470824.2501586666</v>
      </c>
      <c r="I105" s="499">
        <v>2470824.2501586666</v>
      </c>
      <c r="J105" s="504">
        <f t="shared" si="28"/>
        <v>0</v>
      </c>
      <c r="K105" s="504"/>
      <c r="L105" s="506">
        <f t="shared" si="25"/>
        <v>2470824.2501586666</v>
      </c>
      <c r="M105" s="504">
        <f t="shared" si="26"/>
        <v>0</v>
      </c>
      <c r="N105" s="506">
        <f t="shared" si="27"/>
        <v>2470824.2501586666</v>
      </c>
      <c r="O105" s="504">
        <f t="shared" si="22"/>
        <v>0</v>
      </c>
      <c r="P105" s="504">
        <f t="shared" si="23"/>
        <v>0</v>
      </c>
      <c r="Q105" s="243"/>
      <c r="R105" s="243"/>
      <c r="S105" s="243"/>
      <c r="T105" s="243"/>
      <c r="U105" s="243"/>
    </row>
    <row r="106" spans="1:21">
      <c r="B106" s="145" t="str">
        <f t="shared" si="24"/>
        <v/>
      </c>
      <c r="C106" s="495">
        <f>IF(D94="","-",+C105+1)</f>
        <v>2020</v>
      </c>
      <c r="D106" s="496">
        <v>17798484.888071898</v>
      </c>
      <c r="E106" s="498">
        <v>722949.46428571432</v>
      </c>
      <c r="F106" s="505">
        <v>17075535.423786186</v>
      </c>
      <c r="G106" s="505">
        <v>17437010.155929044</v>
      </c>
      <c r="H106" s="498">
        <v>2578482.7265587896</v>
      </c>
      <c r="I106" s="499">
        <v>2578482.7265587896</v>
      </c>
      <c r="J106" s="504">
        <f t="shared" si="28"/>
        <v>0</v>
      </c>
      <c r="K106" s="504"/>
      <c r="L106" s="506">
        <f t="shared" si="25"/>
        <v>2578482.7265587896</v>
      </c>
      <c r="M106" s="504">
        <f t="shared" si="26"/>
        <v>0</v>
      </c>
      <c r="N106" s="506">
        <f t="shared" si="27"/>
        <v>2578482.7265587896</v>
      </c>
      <c r="O106" s="504">
        <f t="shared" si="22"/>
        <v>0</v>
      </c>
      <c r="P106" s="504">
        <f t="shared" si="23"/>
        <v>0</v>
      </c>
      <c r="Q106" s="243"/>
      <c r="R106" s="243"/>
      <c r="S106" s="243"/>
      <c r="T106" s="243"/>
      <c r="U106" s="243"/>
    </row>
    <row r="107" spans="1:21">
      <c r="B107" s="145" t="str">
        <f t="shared" si="24"/>
        <v/>
      </c>
      <c r="C107" s="495">
        <f>IF(D94="","-",+C106+1)</f>
        <v>2021</v>
      </c>
      <c r="D107" s="349">
        <f>IF(F106+SUM(E$100:E106)=D$93,F106,D$93-SUM(E$100:E106))</f>
        <v>17075535.423786186</v>
      </c>
      <c r="E107" s="629">
        <f t="shared" ref="E107:E155" si="29">IF(+$J$97&lt;F106,$J$97,D107)</f>
        <v>809703.4</v>
      </c>
      <c r="F107" s="510">
        <f t="shared" ref="F107:F155" si="30">+D107-E107</f>
        <v>16265832.023786185</v>
      </c>
      <c r="G107" s="510">
        <f t="shared" ref="G107:G155" si="31">+(F107+D107)/2</f>
        <v>16670683.723786186</v>
      </c>
      <c r="H107" s="630">
        <f t="shared" ref="H107:H155" si="32">+J$95*G107+E107</f>
        <v>2776210.8124179048</v>
      </c>
      <c r="I107" s="631">
        <f t="shared" ref="I107:I155" si="33">+J$96*G107+E107</f>
        <v>2776210.8124179048</v>
      </c>
      <c r="J107" s="504">
        <f t="shared" si="28"/>
        <v>0</v>
      </c>
      <c r="K107" s="504"/>
      <c r="L107" s="512"/>
      <c r="M107" s="504">
        <f t="shared" si="21"/>
        <v>0</v>
      </c>
      <c r="N107" s="512"/>
      <c r="O107" s="504">
        <f t="shared" si="22"/>
        <v>0</v>
      </c>
      <c r="P107" s="504">
        <f t="shared" si="23"/>
        <v>0</v>
      </c>
      <c r="Q107" s="243"/>
      <c r="R107" s="243"/>
      <c r="S107" s="243"/>
      <c r="T107" s="243"/>
      <c r="U107" s="243"/>
    </row>
    <row r="108" spans="1:21">
      <c r="B108" s="145" t="str">
        <f t="shared" si="24"/>
        <v/>
      </c>
      <c r="C108" s="495">
        <f>IF(D94="","-",+C107+1)</f>
        <v>2022</v>
      </c>
      <c r="D108" s="349">
        <f>IF(F107+SUM(E$100:E107)=D$93,F107,D$93-SUM(E$100:E107))</f>
        <v>16265832.023786185</v>
      </c>
      <c r="E108" s="629">
        <f t="shared" si="29"/>
        <v>809703.4</v>
      </c>
      <c r="F108" s="510">
        <f t="shared" si="30"/>
        <v>15456128.623786185</v>
      </c>
      <c r="G108" s="510">
        <f t="shared" si="31"/>
        <v>15860980.323786184</v>
      </c>
      <c r="H108" s="630">
        <f t="shared" si="32"/>
        <v>2680696.5693105231</v>
      </c>
      <c r="I108" s="631">
        <f t="shared" si="33"/>
        <v>2680696.5693105231</v>
      </c>
      <c r="J108" s="504">
        <f t="shared" si="28"/>
        <v>0</v>
      </c>
      <c r="K108" s="504"/>
      <c r="L108" s="512"/>
      <c r="M108" s="504">
        <f t="shared" si="21"/>
        <v>0</v>
      </c>
      <c r="N108" s="512"/>
      <c r="O108" s="504">
        <f t="shared" si="22"/>
        <v>0</v>
      </c>
      <c r="P108" s="504">
        <f t="shared" si="23"/>
        <v>0</v>
      </c>
      <c r="Q108" s="243"/>
      <c r="R108" s="243"/>
      <c r="S108" s="243"/>
      <c r="T108" s="243"/>
      <c r="U108" s="243"/>
    </row>
    <row r="109" spans="1:21">
      <c r="B109" s="145" t="str">
        <f t="shared" si="24"/>
        <v/>
      </c>
      <c r="C109" s="495">
        <f>IF(D94="","-",+C108+1)</f>
        <v>2023</v>
      </c>
      <c r="D109" s="349">
        <f>IF(F108+SUM(E$100:E108)=D$93,F108,D$93-SUM(E$100:E108))</f>
        <v>15456128.623786185</v>
      </c>
      <c r="E109" s="629">
        <f t="shared" si="29"/>
        <v>809703.4</v>
      </c>
      <c r="F109" s="510">
        <f t="shared" si="30"/>
        <v>14646425.223786185</v>
      </c>
      <c r="G109" s="510">
        <f t="shared" si="31"/>
        <v>15051276.923786186</v>
      </c>
      <c r="H109" s="630">
        <f t="shared" si="32"/>
        <v>2585182.3262031418</v>
      </c>
      <c r="I109" s="631">
        <f t="shared" si="33"/>
        <v>2585182.3262031418</v>
      </c>
      <c r="J109" s="504">
        <f t="shared" si="28"/>
        <v>0</v>
      </c>
      <c r="K109" s="504"/>
      <c r="L109" s="512"/>
      <c r="M109" s="504">
        <f t="shared" si="21"/>
        <v>0</v>
      </c>
      <c r="N109" s="512"/>
      <c r="O109" s="504">
        <f t="shared" si="22"/>
        <v>0</v>
      </c>
      <c r="P109" s="504">
        <f t="shared" si="23"/>
        <v>0</v>
      </c>
      <c r="Q109" s="243"/>
      <c r="R109" s="243"/>
      <c r="S109" s="243"/>
      <c r="T109" s="243"/>
      <c r="U109" s="243"/>
    </row>
    <row r="110" spans="1:21">
      <c r="B110" s="145" t="str">
        <f t="shared" si="24"/>
        <v/>
      </c>
      <c r="C110" s="495">
        <f>IF(D94="","-",+C109+1)</f>
        <v>2024</v>
      </c>
      <c r="D110" s="349">
        <f>IF(F109+SUM(E$100:E109)=D$93,F109,D$93-SUM(E$100:E109))</f>
        <v>14646425.223786185</v>
      </c>
      <c r="E110" s="629">
        <f t="shared" si="29"/>
        <v>809703.4</v>
      </c>
      <c r="F110" s="510">
        <f t="shared" si="30"/>
        <v>13836721.823786184</v>
      </c>
      <c r="G110" s="510">
        <f t="shared" si="31"/>
        <v>14241573.523786183</v>
      </c>
      <c r="H110" s="630">
        <f t="shared" si="32"/>
        <v>2489668.0830957601</v>
      </c>
      <c r="I110" s="631">
        <f t="shared" si="33"/>
        <v>2489668.0830957601</v>
      </c>
      <c r="J110" s="504">
        <f t="shared" si="28"/>
        <v>0</v>
      </c>
      <c r="K110" s="504"/>
      <c r="L110" s="512"/>
      <c r="M110" s="504">
        <f t="shared" si="21"/>
        <v>0</v>
      </c>
      <c r="N110" s="512"/>
      <c r="O110" s="504">
        <f t="shared" si="22"/>
        <v>0</v>
      </c>
      <c r="P110" s="504">
        <f t="shared" si="23"/>
        <v>0</v>
      </c>
      <c r="Q110" s="243"/>
      <c r="R110" s="243"/>
      <c r="S110" s="243"/>
      <c r="T110" s="243"/>
      <c r="U110" s="243"/>
    </row>
    <row r="111" spans="1:21">
      <c r="B111" s="145" t="str">
        <f t="shared" si="24"/>
        <v/>
      </c>
      <c r="C111" s="495">
        <f>IF(D94="","-",+C110+1)</f>
        <v>2025</v>
      </c>
      <c r="D111" s="349">
        <f>IF(F110+SUM(E$100:E110)=D$93,F110,D$93-SUM(E$100:E110))</f>
        <v>13836721.823786184</v>
      </c>
      <c r="E111" s="629">
        <f t="shared" si="29"/>
        <v>809703.4</v>
      </c>
      <c r="F111" s="510">
        <f t="shared" si="30"/>
        <v>13027018.423786184</v>
      </c>
      <c r="G111" s="510">
        <f t="shared" si="31"/>
        <v>13431870.123786185</v>
      </c>
      <c r="H111" s="630">
        <f t="shared" si="32"/>
        <v>2394153.8399883793</v>
      </c>
      <c r="I111" s="631">
        <f t="shared" si="33"/>
        <v>2394153.8399883793</v>
      </c>
      <c r="J111" s="504">
        <f t="shared" si="28"/>
        <v>0</v>
      </c>
      <c r="K111" s="504"/>
      <c r="L111" s="512"/>
      <c r="M111" s="504">
        <f t="shared" si="21"/>
        <v>0</v>
      </c>
      <c r="N111" s="512"/>
      <c r="O111" s="504">
        <f t="shared" si="22"/>
        <v>0</v>
      </c>
      <c r="P111" s="504">
        <f t="shared" si="23"/>
        <v>0</v>
      </c>
      <c r="Q111" s="243"/>
      <c r="R111" s="243"/>
      <c r="S111" s="243"/>
      <c r="T111" s="243"/>
      <c r="U111" s="243"/>
    </row>
    <row r="112" spans="1:21">
      <c r="B112" s="145" t="str">
        <f t="shared" si="24"/>
        <v/>
      </c>
      <c r="C112" s="495">
        <f>IF(D94="","-",+C111+1)</f>
        <v>2026</v>
      </c>
      <c r="D112" s="349">
        <f>IF(F111+SUM(E$100:E111)=D$93,F111,D$93-SUM(E$100:E111))</f>
        <v>13027018.423786184</v>
      </c>
      <c r="E112" s="629">
        <f t="shared" si="29"/>
        <v>809703.4</v>
      </c>
      <c r="F112" s="510">
        <f t="shared" si="30"/>
        <v>12217315.023786183</v>
      </c>
      <c r="G112" s="510">
        <f t="shared" si="31"/>
        <v>12622166.723786183</v>
      </c>
      <c r="H112" s="630">
        <f t="shared" si="32"/>
        <v>2298639.5968809975</v>
      </c>
      <c r="I112" s="631">
        <f t="shared" si="33"/>
        <v>2298639.5968809975</v>
      </c>
      <c r="J112" s="504">
        <f t="shared" si="28"/>
        <v>0</v>
      </c>
      <c r="K112" s="504"/>
      <c r="L112" s="512"/>
      <c r="M112" s="504">
        <f t="shared" si="21"/>
        <v>0</v>
      </c>
      <c r="N112" s="512"/>
      <c r="O112" s="504">
        <f t="shared" si="22"/>
        <v>0</v>
      </c>
      <c r="P112" s="504">
        <f t="shared" si="23"/>
        <v>0</v>
      </c>
      <c r="Q112" s="243"/>
      <c r="R112" s="243"/>
      <c r="S112" s="243"/>
      <c r="T112" s="243"/>
      <c r="U112" s="243"/>
    </row>
    <row r="113" spans="2:21">
      <c r="B113" s="145" t="str">
        <f t="shared" si="24"/>
        <v/>
      </c>
      <c r="C113" s="495">
        <f>IF(D94="","-",+C112+1)</f>
        <v>2027</v>
      </c>
      <c r="D113" s="349">
        <f>IF(F112+SUM(E$100:E112)=D$93,F112,D$93-SUM(E$100:E112))</f>
        <v>12217315.023786183</v>
      </c>
      <c r="E113" s="629">
        <f t="shared" si="29"/>
        <v>809703.4</v>
      </c>
      <c r="F113" s="510">
        <f t="shared" si="30"/>
        <v>11407611.623786183</v>
      </c>
      <c r="G113" s="510">
        <f t="shared" si="31"/>
        <v>11812463.323786184</v>
      </c>
      <c r="H113" s="630">
        <f t="shared" si="32"/>
        <v>2203125.3537736163</v>
      </c>
      <c r="I113" s="631">
        <f t="shared" si="33"/>
        <v>2203125.3537736163</v>
      </c>
      <c r="J113" s="504">
        <f t="shared" si="28"/>
        <v>0</v>
      </c>
      <c r="K113" s="504"/>
      <c r="L113" s="512"/>
      <c r="M113" s="504">
        <f t="shared" si="21"/>
        <v>0</v>
      </c>
      <c r="N113" s="512"/>
      <c r="O113" s="504">
        <f t="shared" si="22"/>
        <v>0</v>
      </c>
      <c r="P113" s="504">
        <f t="shared" si="23"/>
        <v>0</v>
      </c>
      <c r="Q113" s="243"/>
      <c r="R113" s="243"/>
      <c r="S113" s="243"/>
      <c r="T113" s="243"/>
      <c r="U113" s="243"/>
    </row>
    <row r="114" spans="2:21">
      <c r="B114" s="145" t="str">
        <f t="shared" si="24"/>
        <v/>
      </c>
      <c r="C114" s="495">
        <f>IF(D94="","-",+C113+1)</f>
        <v>2028</v>
      </c>
      <c r="D114" s="349">
        <f>IF(F113+SUM(E$100:E113)=D$93,F113,D$93-SUM(E$100:E113))</f>
        <v>11407611.623786183</v>
      </c>
      <c r="E114" s="629">
        <f t="shared" si="29"/>
        <v>809703.4</v>
      </c>
      <c r="F114" s="510">
        <f t="shared" si="30"/>
        <v>10597908.223786183</v>
      </c>
      <c r="G114" s="510">
        <f t="shared" si="31"/>
        <v>11002759.923786182</v>
      </c>
      <c r="H114" s="630">
        <f t="shared" si="32"/>
        <v>2107611.1106662345</v>
      </c>
      <c r="I114" s="631">
        <f t="shared" si="33"/>
        <v>2107611.1106662345</v>
      </c>
      <c r="J114" s="504">
        <f t="shared" si="28"/>
        <v>0</v>
      </c>
      <c r="K114" s="504"/>
      <c r="L114" s="512"/>
      <c r="M114" s="504">
        <f t="shared" si="21"/>
        <v>0</v>
      </c>
      <c r="N114" s="512"/>
      <c r="O114" s="504">
        <f t="shared" si="22"/>
        <v>0</v>
      </c>
      <c r="P114" s="504">
        <f t="shared" si="23"/>
        <v>0</v>
      </c>
      <c r="Q114" s="243"/>
      <c r="R114" s="243"/>
      <c r="S114" s="243"/>
      <c r="T114" s="243"/>
      <c r="U114" s="243"/>
    </row>
    <row r="115" spans="2:21">
      <c r="B115" s="145" t="str">
        <f t="shared" si="24"/>
        <v/>
      </c>
      <c r="C115" s="495">
        <f>IF(D94="","-",+C114+1)</f>
        <v>2029</v>
      </c>
      <c r="D115" s="349">
        <f>IF(F114+SUM(E$100:E114)=D$93,F114,D$93-SUM(E$100:E114))</f>
        <v>10597908.223786183</v>
      </c>
      <c r="E115" s="629">
        <f t="shared" si="29"/>
        <v>809703.4</v>
      </c>
      <c r="F115" s="510">
        <f t="shared" si="30"/>
        <v>9788204.8237861823</v>
      </c>
      <c r="G115" s="510">
        <f t="shared" si="31"/>
        <v>10193056.523786183</v>
      </c>
      <c r="H115" s="630">
        <f t="shared" si="32"/>
        <v>2012096.8675588532</v>
      </c>
      <c r="I115" s="631">
        <f t="shared" si="33"/>
        <v>2012096.8675588532</v>
      </c>
      <c r="J115" s="504">
        <f t="shared" si="28"/>
        <v>0</v>
      </c>
      <c r="K115" s="504"/>
      <c r="L115" s="512"/>
      <c r="M115" s="504">
        <f t="shared" si="21"/>
        <v>0</v>
      </c>
      <c r="N115" s="512"/>
      <c r="O115" s="504">
        <f t="shared" si="22"/>
        <v>0</v>
      </c>
      <c r="P115" s="504">
        <f t="shared" si="23"/>
        <v>0</v>
      </c>
      <c r="Q115" s="243"/>
      <c r="R115" s="243"/>
      <c r="S115" s="243"/>
      <c r="T115" s="243"/>
      <c r="U115" s="243"/>
    </row>
    <row r="116" spans="2:21">
      <c r="B116" s="145" t="str">
        <f t="shared" si="24"/>
        <v/>
      </c>
      <c r="C116" s="495">
        <f>IF(D94="","-",+C115+1)</f>
        <v>2030</v>
      </c>
      <c r="D116" s="349">
        <f>IF(F115+SUM(E$100:E115)=D$93,F115,D$93-SUM(E$100:E115))</f>
        <v>9788204.8237861823</v>
      </c>
      <c r="E116" s="629">
        <f t="shared" si="29"/>
        <v>809703.4</v>
      </c>
      <c r="F116" s="510">
        <f t="shared" si="30"/>
        <v>8978501.423786182</v>
      </c>
      <c r="G116" s="510">
        <f t="shared" si="31"/>
        <v>9383353.1237861812</v>
      </c>
      <c r="H116" s="630">
        <f t="shared" si="32"/>
        <v>1916582.624451472</v>
      </c>
      <c r="I116" s="631">
        <f t="shared" si="33"/>
        <v>1916582.624451472</v>
      </c>
      <c r="J116" s="504">
        <f t="shared" si="28"/>
        <v>0</v>
      </c>
      <c r="K116" s="504"/>
      <c r="L116" s="512"/>
      <c r="M116" s="504">
        <f t="shared" si="21"/>
        <v>0</v>
      </c>
      <c r="N116" s="512"/>
      <c r="O116" s="504">
        <f t="shared" si="22"/>
        <v>0</v>
      </c>
      <c r="P116" s="504">
        <f t="shared" si="23"/>
        <v>0</v>
      </c>
      <c r="Q116" s="243"/>
      <c r="R116" s="243"/>
      <c r="S116" s="243"/>
      <c r="T116" s="243"/>
      <c r="U116" s="243"/>
    </row>
    <row r="117" spans="2:21">
      <c r="B117" s="145" t="str">
        <f t="shared" si="24"/>
        <v/>
      </c>
      <c r="C117" s="495">
        <f>IF(D94="","-",+C116+1)</f>
        <v>2031</v>
      </c>
      <c r="D117" s="349">
        <f>IF(F116+SUM(E$100:E116)=D$93,F116,D$93-SUM(E$100:E116))</f>
        <v>8978501.423786182</v>
      </c>
      <c r="E117" s="629">
        <f t="shared" si="29"/>
        <v>809703.4</v>
      </c>
      <c r="F117" s="510">
        <f t="shared" si="30"/>
        <v>8168798.0237861816</v>
      </c>
      <c r="G117" s="510">
        <f t="shared" si="31"/>
        <v>8573649.7237861827</v>
      </c>
      <c r="H117" s="630">
        <f t="shared" si="32"/>
        <v>1821068.3813440907</v>
      </c>
      <c r="I117" s="631">
        <f t="shared" si="33"/>
        <v>1821068.3813440907</v>
      </c>
      <c r="J117" s="504">
        <f t="shared" si="28"/>
        <v>0</v>
      </c>
      <c r="K117" s="504"/>
      <c r="L117" s="512"/>
      <c r="M117" s="504">
        <f t="shared" si="21"/>
        <v>0</v>
      </c>
      <c r="N117" s="512"/>
      <c r="O117" s="504">
        <f t="shared" si="22"/>
        <v>0</v>
      </c>
      <c r="P117" s="504">
        <f t="shared" si="23"/>
        <v>0</v>
      </c>
      <c r="Q117" s="243"/>
      <c r="R117" s="243"/>
      <c r="S117" s="243"/>
      <c r="T117" s="243"/>
      <c r="U117" s="243"/>
    </row>
    <row r="118" spans="2:21">
      <c r="B118" s="145" t="str">
        <f t="shared" si="24"/>
        <v/>
      </c>
      <c r="C118" s="495">
        <f>IF(D94="","-",+C117+1)</f>
        <v>2032</v>
      </c>
      <c r="D118" s="349">
        <f>IF(F117+SUM(E$100:E117)=D$93,F117,D$93-SUM(E$100:E117))</f>
        <v>8168798.0237861816</v>
      </c>
      <c r="E118" s="629">
        <f t="shared" si="29"/>
        <v>809703.4</v>
      </c>
      <c r="F118" s="510">
        <f t="shared" si="30"/>
        <v>7359094.6237861812</v>
      </c>
      <c r="G118" s="510">
        <f t="shared" si="31"/>
        <v>7763946.3237861814</v>
      </c>
      <c r="H118" s="630">
        <f t="shared" si="32"/>
        <v>1725554.1382367089</v>
      </c>
      <c r="I118" s="631">
        <f t="shared" si="33"/>
        <v>1725554.1382367089</v>
      </c>
      <c r="J118" s="504">
        <f t="shared" si="28"/>
        <v>0</v>
      </c>
      <c r="K118" s="504"/>
      <c r="L118" s="512"/>
      <c r="M118" s="504">
        <f t="shared" si="21"/>
        <v>0</v>
      </c>
      <c r="N118" s="512"/>
      <c r="O118" s="504">
        <f t="shared" si="22"/>
        <v>0</v>
      </c>
      <c r="P118" s="504">
        <f t="shared" si="23"/>
        <v>0</v>
      </c>
      <c r="Q118" s="243"/>
      <c r="R118" s="243"/>
      <c r="S118" s="243"/>
      <c r="T118" s="243"/>
      <c r="U118" s="243"/>
    </row>
    <row r="119" spans="2:21">
      <c r="B119" s="145" t="str">
        <f t="shared" si="24"/>
        <v/>
      </c>
      <c r="C119" s="495">
        <f>IF(D94="","-",+C118+1)</f>
        <v>2033</v>
      </c>
      <c r="D119" s="349">
        <f>IF(F118+SUM(E$100:E118)=D$93,F118,D$93-SUM(E$100:E118))</f>
        <v>7359094.6237861812</v>
      </c>
      <c r="E119" s="629">
        <f t="shared" si="29"/>
        <v>809703.4</v>
      </c>
      <c r="F119" s="510">
        <f t="shared" si="30"/>
        <v>6549391.2237861808</v>
      </c>
      <c r="G119" s="510">
        <f t="shared" si="31"/>
        <v>6954242.923786181</v>
      </c>
      <c r="H119" s="630">
        <f t="shared" si="32"/>
        <v>1630039.8951293277</v>
      </c>
      <c r="I119" s="631">
        <f t="shared" si="33"/>
        <v>1630039.8951293277</v>
      </c>
      <c r="J119" s="504">
        <f t="shared" si="28"/>
        <v>0</v>
      </c>
      <c r="K119" s="504"/>
      <c r="L119" s="512"/>
      <c r="M119" s="504">
        <f t="shared" si="21"/>
        <v>0</v>
      </c>
      <c r="N119" s="512"/>
      <c r="O119" s="504">
        <f t="shared" si="22"/>
        <v>0</v>
      </c>
      <c r="P119" s="504">
        <f t="shared" si="23"/>
        <v>0</v>
      </c>
      <c r="Q119" s="243"/>
      <c r="R119" s="243"/>
      <c r="S119" s="243"/>
      <c r="T119" s="243"/>
      <c r="U119" s="243"/>
    </row>
    <row r="120" spans="2:21">
      <c r="B120" s="145" t="str">
        <f t="shared" si="24"/>
        <v/>
      </c>
      <c r="C120" s="495">
        <f>IF(D94="","-",+C119+1)</f>
        <v>2034</v>
      </c>
      <c r="D120" s="349">
        <f>IF(F119+SUM(E$100:E119)=D$93,F119,D$93-SUM(E$100:E119))</f>
        <v>6549391.2237861808</v>
      </c>
      <c r="E120" s="629">
        <f t="shared" si="29"/>
        <v>809703.4</v>
      </c>
      <c r="F120" s="510">
        <f t="shared" si="30"/>
        <v>5739687.8237861805</v>
      </c>
      <c r="G120" s="510">
        <f t="shared" si="31"/>
        <v>6144539.5237861807</v>
      </c>
      <c r="H120" s="630">
        <f t="shared" si="32"/>
        <v>1534525.6520219462</v>
      </c>
      <c r="I120" s="631">
        <f t="shared" si="33"/>
        <v>1534525.6520219462</v>
      </c>
      <c r="J120" s="504">
        <f t="shared" si="28"/>
        <v>0</v>
      </c>
      <c r="K120" s="504"/>
      <c r="L120" s="512"/>
      <c r="M120" s="504">
        <f t="shared" si="21"/>
        <v>0</v>
      </c>
      <c r="N120" s="512"/>
      <c r="O120" s="504">
        <f t="shared" si="22"/>
        <v>0</v>
      </c>
      <c r="P120" s="504">
        <f t="shared" si="23"/>
        <v>0</v>
      </c>
      <c r="Q120" s="243"/>
      <c r="R120" s="243"/>
      <c r="S120" s="243"/>
      <c r="T120" s="243"/>
      <c r="U120" s="243"/>
    </row>
    <row r="121" spans="2:21">
      <c r="B121" s="145" t="str">
        <f t="shared" si="24"/>
        <v/>
      </c>
      <c r="C121" s="495">
        <f>IF(D94="","-",+C120+1)</f>
        <v>2035</v>
      </c>
      <c r="D121" s="349">
        <f>IF(F120+SUM(E$100:E120)=D$93,F120,D$93-SUM(E$100:E120))</f>
        <v>5739687.8237861805</v>
      </c>
      <c r="E121" s="629">
        <f t="shared" si="29"/>
        <v>809703.4</v>
      </c>
      <c r="F121" s="510">
        <f t="shared" si="30"/>
        <v>4929984.4237861801</v>
      </c>
      <c r="G121" s="510">
        <f t="shared" si="31"/>
        <v>5334836.1237861803</v>
      </c>
      <c r="H121" s="630">
        <f t="shared" si="32"/>
        <v>1439011.4089145646</v>
      </c>
      <c r="I121" s="631">
        <f t="shared" si="33"/>
        <v>1439011.4089145646</v>
      </c>
      <c r="J121" s="504">
        <f t="shared" si="28"/>
        <v>0</v>
      </c>
      <c r="K121" s="504"/>
      <c r="L121" s="512"/>
      <c r="M121" s="504">
        <f t="shared" si="21"/>
        <v>0</v>
      </c>
      <c r="N121" s="512"/>
      <c r="O121" s="504">
        <f t="shared" si="22"/>
        <v>0</v>
      </c>
      <c r="P121" s="504">
        <f t="shared" si="23"/>
        <v>0</v>
      </c>
      <c r="Q121" s="243"/>
      <c r="R121" s="243"/>
      <c r="S121" s="243"/>
      <c r="T121" s="243"/>
      <c r="U121" s="243"/>
    </row>
    <row r="122" spans="2:21">
      <c r="B122" s="145" t="str">
        <f t="shared" si="24"/>
        <v/>
      </c>
      <c r="C122" s="495">
        <f>IF(D94="","-",+C121+1)</f>
        <v>2036</v>
      </c>
      <c r="D122" s="349">
        <f>IF(F121+SUM(E$100:E121)=D$93,F121,D$93-SUM(E$100:E121))</f>
        <v>4929984.4237861801</v>
      </c>
      <c r="E122" s="629">
        <f t="shared" si="29"/>
        <v>809703.4</v>
      </c>
      <c r="F122" s="510">
        <f t="shared" si="30"/>
        <v>4120281.0237861802</v>
      </c>
      <c r="G122" s="510">
        <f t="shared" si="31"/>
        <v>4525132.7237861799</v>
      </c>
      <c r="H122" s="630">
        <f t="shared" si="32"/>
        <v>1343497.1658071834</v>
      </c>
      <c r="I122" s="631">
        <f t="shared" si="33"/>
        <v>1343497.1658071834</v>
      </c>
      <c r="J122" s="504">
        <f t="shared" si="28"/>
        <v>0</v>
      </c>
      <c r="K122" s="504"/>
      <c r="L122" s="512"/>
      <c r="M122" s="504">
        <f t="shared" si="21"/>
        <v>0</v>
      </c>
      <c r="N122" s="512"/>
      <c r="O122" s="504">
        <f t="shared" si="22"/>
        <v>0</v>
      </c>
      <c r="P122" s="504">
        <f t="shared" si="23"/>
        <v>0</v>
      </c>
      <c r="Q122" s="243"/>
      <c r="R122" s="243"/>
      <c r="S122" s="243"/>
      <c r="T122" s="243"/>
      <c r="U122" s="243"/>
    </row>
    <row r="123" spans="2:21">
      <c r="B123" s="145" t="str">
        <f t="shared" si="24"/>
        <v/>
      </c>
      <c r="C123" s="495">
        <f>IF(D94="","-",+C122+1)</f>
        <v>2037</v>
      </c>
      <c r="D123" s="349">
        <f>IF(F122+SUM(E$100:E122)=D$93,F122,D$93-SUM(E$100:E122))</f>
        <v>4120281.0237861802</v>
      </c>
      <c r="E123" s="629">
        <f t="shared" si="29"/>
        <v>809703.4</v>
      </c>
      <c r="F123" s="510">
        <f t="shared" si="30"/>
        <v>3310577.6237861803</v>
      </c>
      <c r="G123" s="510">
        <f t="shared" si="31"/>
        <v>3715429.3237861805</v>
      </c>
      <c r="H123" s="630">
        <f t="shared" si="32"/>
        <v>1247982.9226998021</v>
      </c>
      <c r="I123" s="631">
        <f t="shared" si="33"/>
        <v>1247982.9226998021</v>
      </c>
      <c r="J123" s="504">
        <f t="shared" si="28"/>
        <v>0</v>
      </c>
      <c r="K123" s="504"/>
      <c r="L123" s="512"/>
      <c r="M123" s="504">
        <f t="shared" si="21"/>
        <v>0</v>
      </c>
      <c r="N123" s="512"/>
      <c r="O123" s="504">
        <f t="shared" si="22"/>
        <v>0</v>
      </c>
      <c r="P123" s="504">
        <f t="shared" si="23"/>
        <v>0</v>
      </c>
      <c r="Q123" s="243"/>
      <c r="R123" s="243"/>
      <c r="S123" s="243"/>
      <c r="T123" s="243"/>
      <c r="U123" s="243"/>
    </row>
    <row r="124" spans="2:21">
      <c r="B124" s="145" t="str">
        <f t="shared" si="24"/>
        <v/>
      </c>
      <c r="C124" s="495">
        <f>IF(D94="","-",+C123+1)</f>
        <v>2038</v>
      </c>
      <c r="D124" s="349">
        <f>IF(F123+SUM(E$100:E123)=D$93,F123,D$93-SUM(E$100:E123))</f>
        <v>3310577.6237861803</v>
      </c>
      <c r="E124" s="629">
        <f t="shared" si="29"/>
        <v>809703.4</v>
      </c>
      <c r="F124" s="510">
        <f t="shared" si="30"/>
        <v>2500874.2237861804</v>
      </c>
      <c r="G124" s="510">
        <f t="shared" si="31"/>
        <v>2905725.9237861801</v>
      </c>
      <c r="H124" s="630">
        <f t="shared" si="32"/>
        <v>1152468.6795924206</v>
      </c>
      <c r="I124" s="631">
        <f t="shared" si="33"/>
        <v>1152468.6795924206</v>
      </c>
      <c r="J124" s="504">
        <f t="shared" si="28"/>
        <v>0</v>
      </c>
      <c r="K124" s="504"/>
      <c r="L124" s="512"/>
      <c r="M124" s="504">
        <f t="shared" si="21"/>
        <v>0</v>
      </c>
      <c r="N124" s="512"/>
      <c r="O124" s="504">
        <f t="shared" si="22"/>
        <v>0</v>
      </c>
      <c r="P124" s="504">
        <f t="shared" si="23"/>
        <v>0</v>
      </c>
      <c r="Q124" s="243"/>
      <c r="R124" s="243"/>
      <c r="S124" s="243"/>
      <c r="T124" s="243"/>
      <c r="U124" s="243"/>
    </row>
    <row r="125" spans="2:21">
      <c r="B125" s="145" t="str">
        <f t="shared" si="24"/>
        <v/>
      </c>
      <c r="C125" s="495">
        <f>IF(D94="","-",+C124+1)</f>
        <v>2039</v>
      </c>
      <c r="D125" s="349">
        <f>IF(F124+SUM(E$100:E124)=D$93,F124,D$93-SUM(E$100:E124))</f>
        <v>2500874.2237861804</v>
      </c>
      <c r="E125" s="629">
        <f t="shared" si="29"/>
        <v>809703.4</v>
      </c>
      <c r="F125" s="510">
        <f t="shared" si="30"/>
        <v>1691170.8237861805</v>
      </c>
      <c r="G125" s="510">
        <f t="shared" si="31"/>
        <v>2096022.5237861804</v>
      </c>
      <c r="H125" s="630">
        <f t="shared" si="32"/>
        <v>1056954.4364850393</v>
      </c>
      <c r="I125" s="631">
        <f t="shared" si="33"/>
        <v>1056954.4364850393</v>
      </c>
      <c r="J125" s="504">
        <f t="shared" si="28"/>
        <v>0</v>
      </c>
      <c r="K125" s="504"/>
      <c r="L125" s="512"/>
      <c r="M125" s="504">
        <f t="shared" si="21"/>
        <v>0</v>
      </c>
      <c r="N125" s="512"/>
      <c r="O125" s="504">
        <f t="shared" si="22"/>
        <v>0</v>
      </c>
      <c r="P125" s="504">
        <f t="shared" si="23"/>
        <v>0</v>
      </c>
      <c r="Q125" s="243"/>
      <c r="R125" s="243"/>
      <c r="S125" s="243"/>
      <c r="T125" s="243"/>
      <c r="U125" s="243"/>
    </row>
    <row r="126" spans="2:21">
      <c r="B126" s="145" t="str">
        <f t="shared" si="24"/>
        <v/>
      </c>
      <c r="C126" s="495">
        <f>IF(D94="","-",+C125+1)</f>
        <v>2040</v>
      </c>
      <c r="D126" s="349">
        <f>IF(F125+SUM(E$100:E125)=D$93,F125,D$93-SUM(E$100:E125))</f>
        <v>1691170.8237861805</v>
      </c>
      <c r="E126" s="629">
        <f t="shared" si="29"/>
        <v>809703.4</v>
      </c>
      <c r="F126" s="510">
        <f t="shared" si="30"/>
        <v>881467.42378618044</v>
      </c>
      <c r="G126" s="510">
        <f t="shared" si="31"/>
        <v>1286319.1237861805</v>
      </c>
      <c r="H126" s="630">
        <f t="shared" si="32"/>
        <v>961440.19337765791</v>
      </c>
      <c r="I126" s="631">
        <f t="shared" si="33"/>
        <v>961440.19337765791</v>
      </c>
      <c r="J126" s="504">
        <f t="shared" si="28"/>
        <v>0</v>
      </c>
      <c r="K126" s="504"/>
      <c r="L126" s="512"/>
      <c r="M126" s="504">
        <f t="shared" si="21"/>
        <v>0</v>
      </c>
      <c r="N126" s="512"/>
      <c r="O126" s="504">
        <f t="shared" si="22"/>
        <v>0</v>
      </c>
      <c r="P126" s="504">
        <f t="shared" si="23"/>
        <v>0</v>
      </c>
      <c r="Q126" s="243"/>
      <c r="R126" s="243"/>
      <c r="S126" s="243"/>
      <c r="T126" s="243"/>
      <c r="U126" s="243"/>
    </row>
    <row r="127" spans="2:21">
      <c r="B127" s="145" t="str">
        <f t="shared" si="24"/>
        <v/>
      </c>
      <c r="C127" s="495">
        <f>IF(D94="","-",+C126+1)</f>
        <v>2041</v>
      </c>
      <c r="D127" s="349">
        <f>IF(F126+SUM(E$100:E126)=D$93,F126,D$93-SUM(E$100:E126))</f>
        <v>881467.42378618044</v>
      </c>
      <c r="E127" s="629">
        <f t="shared" si="29"/>
        <v>809703.4</v>
      </c>
      <c r="F127" s="510">
        <f t="shared" si="30"/>
        <v>71764.02378618042</v>
      </c>
      <c r="G127" s="510">
        <f t="shared" si="31"/>
        <v>476615.72378618043</v>
      </c>
      <c r="H127" s="630">
        <f t="shared" si="32"/>
        <v>865925.95027027652</v>
      </c>
      <c r="I127" s="631">
        <f t="shared" si="33"/>
        <v>865925.95027027652</v>
      </c>
      <c r="J127" s="504">
        <f t="shared" si="28"/>
        <v>0</v>
      </c>
      <c r="K127" s="504"/>
      <c r="L127" s="512"/>
      <c r="M127" s="504">
        <f t="shared" si="21"/>
        <v>0</v>
      </c>
      <c r="N127" s="512"/>
      <c r="O127" s="504">
        <f t="shared" si="22"/>
        <v>0</v>
      </c>
      <c r="P127" s="504">
        <f t="shared" si="23"/>
        <v>0</v>
      </c>
      <c r="Q127" s="243"/>
      <c r="R127" s="243"/>
      <c r="S127" s="243"/>
      <c r="T127" s="243"/>
      <c r="U127" s="243"/>
    </row>
    <row r="128" spans="2:21">
      <c r="B128" s="145" t="str">
        <f t="shared" si="24"/>
        <v/>
      </c>
      <c r="C128" s="495">
        <f>IF(D94="","-",+C127+1)</f>
        <v>2042</v>
      </c>
      <c r="D128" s="349">
        <f>IF(F127+SUM(E$100:E127)=D$93,F127,D$93-SUM(E$100:E127))</f>
        <v>71764.02378618042</v>
      </c>
      <c r="E128" s="629">
        <f t="shared" si="29"/>
        <v>71764.02378618042</v>
      </c>
      <c r="F128" s="510">
        <f t="shared" si="30"/>
        <v>0</v>
      </c>
      <c r="G128" s="510">
        <f t="shared" si="31"/>
        <v>35882.01189309021</v>
      </c>
      <c r="H128" s="630">
        <f t="shared" si="32"/>
        <v>75996.738144473304</v>
      </c>
      <c r="I128" s="631">
        <f t="shared" si="33"/>
        <v>75996.738144473304</v>
      </c>
      <c r="J128" s="504">
        <f t="shared" si="28"/>
        <v>0</v>
      </c>
      <c r="K128" s="504"/>
      <c r="L128" s="512"/>
      <c r="M128" s="504">
        <f t="shared" si="21"/>
        <v>0</v>
      </c>
      <c r="N128" s="512"/>
      <c r="O128" s="504">
        <f t="shared" si="22"/>
        <v>0</v>
      </c>
      <c r="P128" s="504">
        <f t="shared" si="23"/>
        <v>0</v>
      </c>
      <c r="Q128" s="243"/>
      <c r="R128" s="243"/>
      <c r="S128" s="243"/>
      <c r="T128" s="243"/>
      <c r="U128" s="243"/>
    </row>
    <row r="129" spans="2:21">
      <c r="B129" s="145" t="str">
        <f t="shared" si="24"/>
        <v/>
      </c>
      <c r="C129" s="495">
        <f>IF(D94="","-",+C128+1)</f>
        <v>2043</v>
      </c>
      <c r="D129" s="349">
        <f>IF(F128+SUM(E$100:E128)=D$93,F128,D$93-SUM(E$100:E128))</f>
        <v>0</v>
      </c>
      <c r="E129" s="629">
        <f t="shared" si="29"/>
        <v>0</v>
      </c>
      <c r="F129" s="510">
        <f t="shared" si="30"/>
        <v>0</v>
      </c>
      <c r="G129" s="510">
        <f t="shared" si="31"/>
        <v>0</v>
      </c>
      <c r="H129" s="630">
        <f t="shared" si="32"/>
        <v>0</v>
      </c>
      <c r="I129" s="631">
        <f t="shared" si="33"/>
        <v>0</v>
      </c>
      <c r="J129" s="504">
        <f t="shared" si="28"/>
        <v>0</v>
      </c>
      <c r="K129" s="504"/>
      <c r="L129" s="512"/>
      <c r="M129" s="504">
        <f t="shared" si="21"/>
        <v>0</v>
      </c>
      <c r="N129" s="512"/>
      <c r="O129" s="504">
        <f t="shared" si="22"/>
        <v>0</v>
      </c>
      <c r="P129" s="504">
        <f t="shared" si="23"/>
        <v>0</v>
      </c>
      <c r="Q129" s="243"/>
      <c r="R129" s="243"/>
      <c r="S129" s="243"/>
      <c r="T129" s="243"/>
      <c r="U129" s="243"/>
    </row>
    <row r="130" spans="2:21">
      <c r="B130" s="145" t="str">
        <f t="shared" si="24"/>
        <v/>
      </c>
      <c r="C130" s="495">
        <f>IF(D94="","-",+C129+1)</f>
        <v>2044</v>
      </c>
      <c r="D130" s="349">
        <f>IF(F129+SUM(E$100:E129)=D$93,F129,D$93-SUM(E$100:E129))</f>
        <v>0</v>
      </c>
      <c r="E130" s="629">
        <f t="shared" si="29"/>
        <v>0</v>
      </c>
      <c r="F130" s="510">
        <f t="shared" si="30"/>
        <v>0</v>
      </c>
      <c r="G130" s="510">
        <f t="shared" si="31"/>
        <v>0</v>
      </c>
      <c r="H130" s="630">
        <f t="shared" si="32"/>
        <v>0</v>
      </c>
      <c r="I130" s="631">
        <f t="shared" si="33"/>
        <v>0</v>
      </c>
      <c r="J130" s="504">
        <f t="shared" si="28"/>
        <v>0</v>
      </c>
      <c r="K130" s="504"/>
      <c r="L130" s="512"/>
      <c r="M130" s="504">
        <f t="shared" si="21"/>
        <v>0</v>
      </c>
      <c r="N130" s="512"/>
      <c r="O130" s="504">
        <f t="shared" si="22"/>
        <v>0</v>
      </c>
      <c r="P130" s="504">
        <f t="shared" si="23"/>
        <v>0</v>
      </c>
      <c r="Q130" s="243"/>
      <c r="R130" s="243"/>
      <c r="S130" s="243"/>
      <c r="T130" s="243"/>
      <c r="U130" s="243"/>
    </row>
    <row r="131" spans="2:21">
      <c r="B131" s="145" t="str">
        <f t="shared" si="24"/>
        <v/>
      </c>
      <c r="C131" s="495">
        <f>IF(D94="","-",+C130+1)</f>
        <v>2045</v>
      </c>
      <c r="D131" s="349">
        <f>IF(F130+SUM(E$100:E130)=D$93,F130,D$93-SUM(E$100:E130))</f>
        <v>0</v>
      </c>
      <c r="E131" s="629">
        <f t="shared" si="29"/>
        <v>0</v>
      </c>
      <c r="F131" s="510">
        <f t="shared" si="30"/>
        <v>0</v>
      </c>
      <c r="G131" s="510">
        <f t="shared" si="31"/>
        <v>0</v>
      </c>
      <c r="H131" s="630">
        <f t="shared" si="32"/>
        <v>0</v>
      </c>
      <c r="I131" s="631">
        <f t="shared" si="33"/>
        <v>0</v>
      </c>
      <c r="J131" s="504">
        <f t="shared" si="28"/>
        <v>0</v>
      </c>
      <c r="K131" s="504"/>
      <c r="L131" s="512"/>
      <c r="M131" s="504">
        <f t="shared" si="21"/>
        <v>0</v>
      </c>
      <c r="N131" s="512"/>
      <c r="O131" s="504">
        <f t="shared" si="22"/>
        <v>0</v>
      </c>
      <c r="P131" s="504">
        <f t="shared" si="23"/>
        <v>0</v>
      </c>
      <c r="Q131" s="243"/>
      <c r="R131" s="243"/>
      <c r="S131" s="243"/>
      <c r="T131" s="243"/>
      <c r="U131" s="243"/>
    </row>
    <row r="132" spans="2:21">
      <c r="B132" s="145" t="str">
        <f t="shared" si="24"/>
        <v/>
      </c>
      <c r="C132" s="495">
        <f>IF(D94="","-",+C131+1)</f>
        <v>2046</v>
      </c>
      <c r="D132" s="349">
        <f>IF(F131+SUM(E$100:E131)=D$93,F131,D$93-SUM(E$100:E131))</f>
        <v>0</v>
      </c>
      <c r="E132" s="629">
        <f t="shared" si="29"/>
        <v>0</v>
      </c>
      <c r="F132" s="510">
        <f t="shared" si="30"/>
        <v>0</v>
      </c>
      <c r="G132" s="510">
        <f t="shared" si="31"/>
        <v>0</v>
      </c>
      <c r="H132" s="630">
        <f t="shared" si="32"/>
        <v>0</v>
      </c>
      <c r="I132" s="631">
        <f t="shared" si="33"/>
        <v>0</v>
      </c>
      <c r="J132" s="504">
        <f t="shared" si="28"/>
        <v>0</v>
      </c>
      <c r="K132" s="504"/>
      <c r="L132" s="512"/>
      <c r="M132" s="504">
        <f t="shared" ref="M132:M155" si="34">IF(L542&lt;&gt;0,+H542-L542,0)</f>
        <v>0</v>
      </c>
      <c r="N132" s="512"/>
      <c r="O132" s="504">
        <f t="shared" ref="O132:O155" si="35">IF(N542&lt;&gt;0,+I542-N542,0)</f>
        <v>0</v>
      </c>
      <c r="P132" s="504">
        <f t="shared" ref="P132:P155" si="36">+O542-M542</f>
        <v>0</v>
      </c>
      <c r="Q132" s="243"/>
      <c r="R132" s="243"/>
      <c r="S132" s="243"/>
      <c r="T132" s="243"/>
      <c r="U132" s="243"/>
    </row>
    <row r="133" spans="2:21">
      <c r="B133" s="145" t="str">
        <f t="shared" si="24"/>
        <v/>
      </c>
      <c r="C133" s="495">
        <f>IF(D94="","-",+C132+1)</f>
        <v>2047</v>
      </c>
      <c r="D133" s="349">
        <f>IF(F132+SUM(E$100:E132)=D$93,F132,D$93-SUM(E$100:E132))</f>
        <v>0</v>
      </c>
      <c r="E133" s="629">
        <f t="shared" si="29"/>
        <v>0</v>
      </c>
      <c r="F133" s="510">
        <f t="shared" si="30"/>
        <v>0</v>
      </c>
      <c r="G133" s="510">
        <f t="shared" si="31"/>
        <v>0</v>
      </c>
      <c r="H133" s="630">
        <f t="shared" si="32"/>
        <v>0</v>
      </c>
      <c r="I133" s="631">
        <f t="shared" si="33"/>
        <v>0</v>
      </c>
      <c r="J133" s="504">
        <f t="shared" si="28"/>
        <v>0</v>
      </c>
      <c r="K133" s="504"/>
      <c r="L133" s="512"/>
      <c r="M133" s="504">
        <f t="shared" si="34"/>
        <v>0</v>
      </c>
      <c r="N133" s="512"/>
      <c r="O133" s="504">
        <f t="shared" si="35"/>
        <v>0</v>
      </c>
      <c r="P133" s="504">
        <f t="shared" si="36"/>
        <v>0</v>
      </c>
      <c r="Q133" s="243"/>
      <c r="R133" s="243"/>
      <c r="S133" s="243"/>
      <c r="T133" s="243"/>
      <c r="U133" s="243"/>
    </row>
    <row r="134" spans="2:21">
      <c r="B134" s="145" t="str">
        <f t="shared" si="24"/>
        <v/>
      </c>
      <c r="C134" s="495">
        <f>IF(D94="","-",+C133+1)</f>
        <v>2048</v>
      </c>
      <c r="D134" s="349">
        <f>IF(F133+SUM(E$100:E133)=D$93,F133,D$93-SUM(E$100:E133))</f>
        <v>0</v>
      </c>
      <c r="E134" s="629">
        <f t="shared" si="29"/>
        <v>0</v>
      </c>
      <c r="F134" s="510">
        <f t="shared" si="30"/>
        <v>0</v>
      </c>
      <c r="G134" s="510">
        <f t="shared" si="31"/>
        <v>0</v>
      </c>
      <c r="H134" s="630">
        <f t="shared" si="32"/>
        <v>0</v>
      </c>
      <c r="I134" s="631">
        <f t="shared" si="33"/>
        <v>0</v>
      </c>
      <c r="J134" s="504">
        <f t="shared" si="28"/>
        <v>0</v>
      </c>
      <c r="K134" s="504"/>
      <c r="L134" s="512"/>
      <c r="M134" s="504">
        <f t="shared" si="34"/>
        <v>0</v>
      </c>
      <c r="N134" s="512"/>
      <c r="O134" s="504">
        <f t="shared" si="35"/>
        <v>0</v>
      </c>
      <c r="P134" s="504">
        <f t="shared" si="36"/>
        <v>0</v>
      </c>
      <c r="Q134" s="243"/>
      <c r="R134" s="243"/>
      <c r="S134" s="243"/>
      <c r="T134" s="243"/>
      <c r="U134" s="243"/>
    </row>
    <row r="135" spans="2:21">
      <c r="B135" s="145" t="str">
        <f t="shared" si="24"/>
        <v/>
      </c>
      <c r="C135" s="495">
        <f>IF(D94="","-",+C134+1)</f>
        <v>2049</v>
      </c>
      <c r="D135" s="349">
        <f>IF(F134+SUM(E$100:E134)=D$93,F134,D$93-SUM(E$100:E134))</f>
        <v>0</v>
      </c>
      <c r="E135" s="629">
        <f t="shared" si="29"/>
        <v>0</v>
      </c>
      <c r="F135" s="510">
        <f t="shared" si="30"/>
        <v>0</v>
      </c>
      <c r="G135" s="510">
        <f t="shared" si="31"/>
        <v>0</v>
      </c>
      <c r="H135" s="630">
        <f t="shared" si="32"/>
        <v>0</v>
      </c>
      <c r="I135" s="631">
        <f t="shared" si="33"/>
        <v>0</v>
      </c>
      <c r="J135" s="504">
        <f t="shared" si="28"/>
        <v>0</v>
      </c>
      <c r="K135" s="504"/>
      <c r="L135" s="512"/>
      <c r="M135" s="504">
        <f t="shared" si="34"/>
        <v>0</v>
      </c>
      <c r="N135" s="512"/>
      <c r="O135" s="504">
        <f t="shared" si="35"/>
        <v>0</v>
      </c>
      <c r="P135" s="504">
        <f t="shared" si="36"/>
        <v>0</v>
      </c>
      <c r="Q135" s="243"/>
      <c r="R135" s="243"/>
      <c r="S135" s="243"/>
      <c r="T135" s="243"/>
      <c r="U135" s="243"/>
    </row>
    <row r="136" spans="2:21">
      <c r="B136" s="145" t="str">
        <f t="shared" si="24"/>
        <v/>
      </c>
      <c r="C136" s="495">
        <f>IF(D94="","-",+C135+1)</f>
        <v>2050</v>
      </c>
      <c r="D136" s="349">
        <f>IF(F135+SUM(E$100:E135)=D$93,F135,D$93-SUM(E$100:E135))</f>
        <v>0</v>
      </c>
      <c r="E136" s="629">
        <f t="shared" si="29"/>
        <v>0</v>
      </c>
      <c r="F136" s="510">
        <f t="shared" si="30"/>
        <v>0</v>
      </c>
      <c r="G136" s="510">
        <f t="shared" si="31"/>
        <v>0</v>
      </c>
      <c r="H136" s="630">
        <f t="shared" si="32"/>
        <v>0</v>
      </c>
      <c r="I136" s="631">
        <f t="shared" si="33"/>
        <v>0</v>
      </c>
      <c r="J136" s="504">
        <f t="shared" si="28"/>
        <v>0</v>
      </c>
      <c r="K136" s="504"/>
      <c r="L136" s="512"/>
      <c r="M136" s="504">
        <f t="shared" si="34"/>
        <v>0</v>
      </c>
      <c r="N136" s="512"/>
      <c r="O136" s="504">
        <f t="shared" si="35"/>
        <v>0</v>
      </c>
      <c r="P136" s="504">
        <f t="shared" si="36"/>
        <v>0</v>
      </c>
      <c r="Q136" s="243"/>
      <c r="R136" s="243"/>
      <c r="S136" s="243"/>
      <c r="T136" s="243"/>
      <c r="U136" s="243"/>
    </row>
    <row r="137" spans="2:21">
      <c r="B137" s="145" t="str">
        <f t="shared" si="24"/>
        <v/>
      </c>
      <c r="C137" s="495">
        <f>IF(D94="","-",+C136+1)</f>
        <v>2051</v>
      </c>
      <c r="D137" s="349">
        <f>IF(F136+SUM(E$100:E136)=D$93,F136,D$93-SUM(E$100:E136))</f>
        <v>0</v>
      </c>
      <c r="E137" s="629">
        <f t="shared" si="29"/>
        <v>0</v>
      </c>
      <c r="F137" s="510">
        <f t="shared" si="30"/>
        <v>0</v>
      </c>
      <c r="G137" s="510">
        <f t="shared" si="31"/>
        <v>0</v>
      </c>
      <c r="H137" s="630">
        <f t="shared" si="32"/>
        <v>0</v>
      </c>
      <c r="I137" s="631">
        <f t="shared" si="33"/>
        <v>0</v>
      </c>
      <c r="J137" s="504">
        <f t="shared" si="28"/>
        <v>0</v>
      </c>
      <c r="K137" s="504"/>
      <c r="L137" s="512"/>
      <c r="M137" s="504">
        <f t="shared" si="34"/>
        <v>0</v>
      </c>
      <c r="N137" s="512"/>
      <c r="O137" s="504">
        <f t="shared" si="35"/>
        <v>0</v>
      </c>
      <c r="P137" s="504">
        <f t="shared" si="36"/>
        <v>0</v>
      </c>
      <c r="Q137" s="243"/>
      <c r="R137" s="243"/>
      <c r="S137" s="243"/>
      <c r="T137" s="243"/>
      <c r="U137" s="243"/>
    </row>
    <row r="138" spans="2:21">
      <c r="B138" s="145" t="str">
        <f t="shared" si="24"/>
        <v/>
      </c>
      <c r="C138" s="495">
        <f>IF(D94="","-",+C137+1)</f>
        <v>2052</v>
      </c>
      <c r="D138" s="349">
        <f>IF(F137+SUM(E$100:E137)=D$93,F137,D$93-SUM(E$100:E137))</f>
        <v>0</v>
      </c>
      <c r="E138" s="629">
        <f t="shared" si="29"/>
        <v>0</v>
      </c>
      <c r="F138" s="510">
        <f t="shared" si="30"/>
        <v>0</v>
      </c>
      <c r="G138" s="510">
        <f t="shared" si="31"/>
        <v>0</v>
      </c>
      <c r="H138" s="630">
        <f t="shared" si="32"/>
        <v>0</v>
      </c>
      <c r="I138" s="631">
        <f t="shared" si="33"/>
        <v>0</v>
      </c>
      <c r="J138" s="504">
        <f t="shared" si="28"/>
        <v>0</v>
      </c>
      <c r="K138" s="504"/>
      <c r="L138" s="512"/>
      <c r="M138" s="504">
        <f t="shared" si="34"/>
        <v>0</v>
      </c>
      <c r="N138" s="512"/>
      <c r="O138" s="504">
        <f t="shared" si="35"/>
        <v>0</v>
      </c>
      <c r="P138" s="504">
        <f t="shared" si="36"/>
        <v>0</v>
      </c>
      <c r="Q138" s="243"/>
      <c r="R138" s="243"/>
      <c r="S138" s="243"/>
      <c r="T138" s="243"/>
      <c r="U138" s="243"/>
    </row>
    <row r="139" spans="2:21">
      <c r="B139" s="145" t="str">
        <f t="shared" si="24"/>
        <v/>
      </c>
      <c r="C139" s="495">
        <f>IF(D94="","-",+C138+1)</f>
        <v>2053</v>
      </c>
      <c r="D139" s="349">
        <f>IF(F138+SUM(E$100:E138)=D$93,F138,D$93-SUM(E$100:E138))</f>
        <v>0</v>
      </c>
      <c r="E139" s="629">
        <f t="shared" si="29"/>
        <v>0</v>
      </c>
      <c r="F139" s="510">
        <f t="shared" si="30"/>
        <v>0</v>
      </c>
      <c r="G139" s="510">
        <f t="shared" si="31"/>
        <v>0</v>
      </c>
      <c r="H139" s="630">
        <f t="shared" si="32"/>
        <v>0</v>
      </c>
      <c r="I139" s="631">
        <f t="shared" si="33"/>
        <v>0</v>
      </c>
      <c r="J139" s="504">
        <f t="shared" si="28"/>
        <v>0</v>
      </c>
      <c r="K139" s="504"/>
      <c r="L139" s="512"/>
      <c r="M139" s="504">
        <f t="shared" si="34"/>
        <v>0</v>
      </c>
      <c r="N139" s="512"/>
      <c r="O139" s="504">
        <f t="shared" si="35"/>
        <v>0</v>
      </c>
      <c r="P139" s="504">
        <f t="shared" si="36"/>
        <v>0</v>
      </c>
      <c r="Q139" s="243"/>
      <c r="R139" s="243"/>
      <c r="S139" s="243"/>
      <c r="T139" s="243"/>
      <c r="U139" s="243"/>
    </row>
    <row r="140" spans="2:21">
      <c r="B140" s="145" t="str">
        <f t="shared" si="24"/>
        <v/>
      </c>
      <c r="C140" s="495">
        <f>IF(D94="","-",+C139+1)</f>
        <v>2054</v>
      </c>
      <c r="D140" s="349">
        <f>IF(F139+SUM(E$100:E139)=D$93,F139,D$93-SUM(E$100:E139))</f>
        <v>0</v>
      </c>
      <c r="E140" s="629">
        <f t="shared" si="29"/>
        <v>0</v>
      </c>
      <c r="F140" s="510">
        <f t="shared" si="30"/>
        <v>0</v>
      </c>
      <c r="G140" s="510">
        <f t="shared" si="31"/>
        <v>0</v>
      </c>
      <c r="H140" s="630">
        <f t="shared" si="32"/>
        <v>0</v>
      </c>
      <c r="I140" s="631">
        <f t="shared" si="33"/>
        <v>0</v>
      </c>
      <c r="J140" s="504">
        <f t="shared" si="28"/>
        <v>0</v>
      </c>
      <c r="K140" s="504"/>
      <c r="L140" s="512"/>
      <c r="M140" s="504">
        <f t="shared" si="34"/>
        <v>0</v>
      </c>
      <c r="N140" s="512"/>
      <c r="O140" s="504">
        <f t="shared" si="35"/>
        <v>0</v>
      </c>
      <c r="P140" s="504">
        <f t="shared" si="36"/>
        <v>0</v>
      </c>
      <c r="Q140" s="243"/>
      <c r="R140" s="243"/>
      <c r="S140" s="243"/>
      <c r="T140" s="243"/>
      <c r="U140" s="243"/>
    </row>
    <row r="141" spans="2:21">
      <c r="B141" s="145" t="str">
        <f t="shared" si="24"/>
        <v/>
      </c>
      <c r="C141" s="495">
        <f>IF(D94="","-",+C140+1)</f>
        <v>2055</v>
      </c>
      <c r="D141" s="349">
        <f>IF(F140+SUM(E$100:E140)=D$93,F140,D$93-SUM(E$100:E140))</f>
        <v>0</v>
      </c>
      <c r="E141" s="629">
        <f t="shared" si="29"/>
        <v>0</v>
      </c>
      <c r="F141" s="510">
        <f t="shared" si="30"/>
        <v>0</v>
      </c>
      <c r="G141" s="510">
        <f t="shared" si="31"/>
        <v>0</v>
      </c>
      <c r="H141" s="630">
        <f t="shared" si="32"/>
        <v>0</v>
      </c>
      <c r="I141" s="631">
        <f t="shared" si="33"/>
        <v>0</v>
      </c>
      <c r="J141" s="504">
        <f t="shared" si="28"/>
        <v>0</v>
      </c>
      <c r="K141" s="504"/>
      <c r="L141" s="512"/>
      <c r="M141" s="504">
        <f t="shared" si="34"/>
        <v>0</v>
      </c>
      <c r="N141" s="512"/>
      <c r="O141" s="504">
        <f t="shared" si="35"/>
        <v>0</v>
      </c>
      <c r="P141" s="504">
        <f t="shared" si="36"/>
        <v>0</v>
      </c>
      <c r="Q141" s="243"/>
      <c r="R141" s="243"/>
      <c r="S141" s="243"/>
      <c r="T141" s="243"/>
      <c r="U141" s="243"/>
    </row>
    <row r="142" spans="2:21">
      <c r="B142" s="145" t="str">
        <f t="shared" si="24"/>
        <v/>
      </c>
      <c r="C142" s="495">
        <f>IF(D94="","-",+C141+1)</f>
        <v>2056</v>
      </c>
      <c r="D142" s="349">
        <f>IF(F141+SUM(E$100:E141)=D$93,F141,D$93-SUM(E$100:E141))</f>
        <v>0</v>
      </c>
      <c r="E142" s="629">
        <f t="shared" si="29"/>
        <v>0</v>
      </c>
      <c r="F142" s="510">
        <f t="shared" si="30"/>
        <v>0</v>
      </c>
      <c r="G142" s="510">
        <f t="shared" si="31"/>
        <v>0</v>
      </c>
      <c r="H142" s="630">
        <f t="shared" si="32"/>
        <v>0</v>
      </c>
      <c r="I142" s="631">
        <f t="shared" si="33"/>
        <v>0</v>
      </c>
      <c r="J142" s="504">
        <f t="shared" si="28"/>
        <v>0</v>
      </c>
      <c r="K142" s="504"/>
      <c r="L142" s="512"/>
      <c r="M142" s="504">
        <f t="shared" si="34"/>
        <v>0</v>
      </c>
      <c r="N142" s="512"/>
      <c r="O142" s="504">
        <f t="shared" si="35"/>
        <v>0</v>
      </c>
      <c r="P142" s="504">
        <f t="shared" si="36"/>
        <v>0</v>
      </c>
      <c r="Q142" s="243"/>
      <c r="R142" s="243"/>
      <c r="S142" s="243"/>
      <c r="T142" s="243"/>
      <c r="U142" s="243"/>
    </row>
    <row r="143" spans="2:21">
      <c r="B143" s="145" t="str">
        <f t="shared" si="24"/>
        <v/>
      </c>
      <c r="C143" s="495">
        <f>IF(D94="","-",+C142+1)</f>
        <v>2057</v>
      </c>
      <c r="D143" s="349">
        <f>IF(F142+SUM(E$100:E142)=D$93,F142,D$93-SUM(E$100:E142))</f>
        <v>0</v>
      </c>
      <c r="E143" s="629">
        <f t="shared" si="29"/>
        <v>0</v>
      </c>
      <c r="F143" s="510">
        <f t="shared" si="30"/>
        <v>0</v>
      </c>
      <c r="G143" s="510">
        <f t="shared" si="31"/>
        <v>0</v>
      </c>
      <c r="H143" s="630">
        <f t="shared" si="32"/>
        <v>0</v>
      </c>
      <c r="I143" s="631">
        <f t="shared" si="33"/>
        <v>0</v>
      </c>
      <c r="J143" s="504">
        <f t="shared" si="28"/>
        <v>0</v>
      </c>
      <c r="K143" s="504"/>
      <c r="L143" s="512"/>
      <c r="M143" s="504">
        <f t="shared" si="34"/>
        <v>0</v>
      </c>
      <c r="N143" s="512"/>
      <c r="O143" s="504">
        <f t="shared" si="35"/>
        <v>0</v>
      </c>
      <c r="P143" s="504">
        <f t="shared" si="36"/>
        <v>0</v>
      </c>
      <c r="Q143" s="243"/>
      <c r="R143" s="243"/>
      <c r="S143" s="243"/>
      <c r="T143" s="243"/>
      <c r="U143" s="243"/>
    </row>
    <row r="144" spans="2:21">
      <c r="B144" s="145" t="str">
        <f t="shared" si="24"/>
        <v/>
      </c>
      <c r="C144" s="495">
        <f>IF(D94="","-",+C143+1)</f>
        <v>2058</v>
      </c>
      <c r="D144" s="349">
        <f>IF(F143+SUM(E$100:E143)=D$93,F143,D$93-SUM(E$100:E143))</f>
        <v>0</v>
      </c>
      <c r="E144" s="629">
        <f t="shared" si="29"/>
        <v>0</v>
      </c>
      <c r="F144" s="510">
        <f t="shared" si="30"/>
        <v>0</v>
      </c>
      <c r="G144" s="510">
        <f t="shared" si="31"/>
        <v>0</v>
      </c>
      <c r="H144" s="630">
        <f t="shared" si="32"/>
        <v>0</v>
      </c>
      <c r="I144" s="631">
        <f t="shared" si="33"/>
        <v>0</v>
      </c>
      <c r="J144" s="504">
        <f t="shared" si="28"/>
        <v>0</v>
      </c>
      <c r="K144" s="504"/>
      <c r="L144" s="512"/>
      <c r="M144" s="504">
        <f t="shared" si="34"/>
        <v>0</v>
      </c>
      <c r="N144" s="512"/>
      <c r="O144" s="504">
        <f t="shared" si="35"/>
        <v>0</v>
      </c>
      <c r="P144" s="504">
        <f t="shared" si="36"/>
        <v>0</v>
      </c>
      <c r="Q144" s="243"/>
      <c r="R144" s="243"/>
      <c r="S144" s="243"/>
      <c r="T144" s="243"/>
      <c r="U144" s="243"/>
    </row>
    <row r="145" spans="2:21">
      <c r="B145" s="145" t="str">
        <f t="shared" si="24"/>
        <v/>
      </c>
      <c r="C145" s="495">
        <f>IF(D94="","-",+C144+1)</f>
        <v>2059</v>
      </c>
      <c r="D145" s="349">
        <f>IF(F144+SUM(E$100:E144)=D$93,F144,D$93-SUM(E$100:E144))</f>
        <v>0</v>
      </c>
      <c r="E145" s="629">
        <f t="shared" si="29"/>
        <v>0</v>
      </c>
      <c r="F145" s="510">
        <f t="shared" si="30"/>
        <v>0</v>
      </c>
      <c r="G145" s="510">
        <f t="shared" si="31"/>
        <v>0</v>
      </c>
      <c r="H145" s="630">
        <f t="shared" si="32"/>
        <v>0</v>
      </c>
      <c r="I145" s="631">
        <f t="shared" si="33"/>
        <v>0</v>
      </c>
      <c r="J145" s="504">
        <f t="shared" si="28"/>
        <v>0</v>
      </c>
      <c r="K145" s="504"/>
      <c r="L145" s="512"/>
      <c r="M145" s="504">
        <f t="shared" si="34"/>
        <v>0</v>
      </c>
      <c r="N145" s="512"/>
      <c r="O145" s="504">
        <f t="shared" si="35"/>
        <v>0</v>
      </c>
      <c r="P145" s="504">
        <f t="shared" si="36"/>
        <v>0</v>
      </c>
      <c r="Q145" s="243"/>
      <c r="R145" s="243"/>
      <c r="S145" s="243"/>
      <c r="T145" s="243"/>
      <c r="U145" s="243"/>
    </row>
    <row r="146" spans="2:21">
      <c r="B146" s="145" t="str">
        <f t="shared" si="24"/>
        <v/>
      </c>
      <c r="C146" s="495">
        <f>IF(D94="","-",+C145+1)</f>
        <v>2060</v>
      </c>
      <c r="D146" s="349">
        <f>IF(F145+SUM(E$100:E145)=D$93,F145,D$93-SUM(E$100:E145))</f>
        <v>0</v>
      </c>
      <c r="E146" s="629">
        <f t="shared" si="29"/>
        <v>0</v>
      </c>
      <c r="F146" s="510">
        <f t="shared" si="30"/>
        <v>0</v>
      </c>
      <c r="G146" s="510">
        <f t="shared" si="31"/>
        <v>0</v>
      </c>
      <c r="H146" s="630">
        <f t="shared" si="32"/>
        <v>0</v>
      </c>
      <c r="I146" s="631">
        <f t="shared" si="33"/>
        <v>0</v>
      </c>
      <c r="J146" s="504">
        <f t="shared" si="28"/>
        <v>0</v>
      </c>
      <c r="K146" s="504"/>
      <c r="L146" s="512"/>
      <c r="M146" s="504">
        <f t="shared" si="34"/>
        <v>0</v>
      </c>
      <c r="N146" s="512"/>
      <c r="O146" s="504">
        <f t="shared" si="35"/>
        <v>0</v>
      </c>
      <c r="P146" s="504">
        <f t="shared" si="36"/>
        <v>0</v>
      </c>
      <c r="Q146" s="243"/>
      <c r="R146" s="243"/>
      <c r="S146" s="243"/>
      <c r="T146" s="243"/>
      <c r="U146" s="243"/>
    </row>
    <row r="147" spans="2:21">
      <c r="B147" s="145" t="str">
        <f t="shared" si="24"/>
        <v/>
      </c>
      <c r="C147" s="495">
        <f>IF(D94="","-",+C146+1)</f>
        <v>2061</v>
      </c>
      <c r="D147" s="349">
        <f>IF(F146+SUM(E$100:E146)=D$93,F146,D$93-SUM(E$100:E146))</f>
        <v>0</v>
      </c>
      <c r="E147" s="629">
        <f t="shared" si="29"/>
        <v>0</v>
      </c>
      <c r="F147" s="510">
        <f t="shared" si="30"/>
        <v>0</v>
      </c>
      <c r="G147" s="510">
        <f t="shared" si="31"/>
        <v>0</v>
      </c>
      <c r="H147" s="630">
        <f t="shared" si="32"/>
        <v>0</v>
      </c>
      <c r="I147" s="631">
        <f t="shared" si="33"/>
        <v>0</v>
      </c>
      <c r="J147" s="504">
        <f t="shared" si="28"/>
        <v>0</v>
      </c>
      <c r="K147" s="504"/>
      <c r="L147" s="512"/>
      <c r="M147" s="504">
        <f t="shared" si="34"/>
        <v>0</v>
      </c>
      <c r="N147" s="512"/>
      <c r="O147" s="504">
        <f t="shared" si="35"/>
        <v>0</v>
      </c>
      <c r="P147" s="504">
        <f t="shared" si="36"/>
        <v>0</v>
      </c>
      <c r="Q147" s="243"/>
      <c r="R147" s="243"/>
      <c r="S147" s="243"/>
      <c r="T147" s="243"/>
      <c r="U147" s="243"/>
    </row>
    <row r="148" spans="2:21">
      <c r="B148" s="145" t="str">
        <f t="shared" si="24"/>
        <v/>
      </c>
      <c r="C148" s="495">
        <f>IF(D94="","-",+C147+1)</f>
        <v>2062</v>
      </c>
      <c r="D148" s="349">
        <f>IF(F147+SUM(E$100:E147)=D$93,F147,D$93-SUM(E$100:E147))</f>
        <v>0</v>
      </c>
      <c r="E148" s="629">
        <f t="shared" si="29"/>
        <v>0</v>
      </c>
      <c r="F148" s="510">
        <f t="shared" si="30"/>
        <v>0</v>
      </c>
      <c r="G148" s="510">
        <f t="shared" si="31"/>
        <v>0</v>
      </c>
      <c r="H148" s="630">
        <f t="shared" si="32"/>
        <v>0</v>
      </c>
      <c r="I148" s="631">
        <f t="shared" si="33"/>
        <v>0</v>
      </c>
      <c r="J148" s="504">
        <f t="shared" si="28"/>
        <v>0</v>
      </c>
      <c r="K148" s="504"/>
      <c r="L148" s="512"/>
      <c r="M148" s="504">
        <f t="shared" si="34"/>
        <v>0</v>
      </c>
      <c r="N148" s="512"/>
      <c r="O148" s="504">
        <f t="shared" si="35"/>
        <v>0</v>
      </c>
      <c r="P148" s="504">
        <f t="shared" si="36"/>
        <v>0</v>
      </c>
      <c r="Q148" s="243"/>
      <c r="R148" s="243"/>
      <c r="S148" s="243"/>
      <c r="T148" s="243"/>
      <c r="U148" s="243"/>
    </row>
    <row r="149" spans="2:21">
      <c r="B149" s="145" t="str">
        <f t="shared" si="24"/>
        <v/>
      </c>
      <c r="C149" s="495">
        <f>IF(D94="","-",+C148+1)</f>
        <v>2063</v>
      </c>
      <c r="D149" s="349">
        <f>IF(F148+SUM(E$100:E148)=D$93,F148,D$93-SUM(E$100:E148))</f>
        <v>0</v>
      </c>
      <c r="E149" s="629">
        <f t="shared" si="29"/>
        <v>0</v>
      </c>
      <c r="F149" s="510">
        <f t="shared" si="30"/>
        <v>0</v>
      </c>
      <c r="G149" s="510">
        <f t="shared" si="31"/>
        <v>0</v>
      </c>
      <c r="H149" s="630">
        <f t="shared" si="32"/>
        <v>0</v>
      </c>
      <c r="I149" s="631">
        <f t="shared" si="33"/>
        <v>0</v>
      </c>
      <c r="J149" s="504">
        <f t="shared" si="28"/>
        <v>0</v>
      </c>
      <c r="K149" s="504"/>
      <c r="L149" s="512"/>
      <c r="M149" s="504">
        <f t="shared" si="34"/>
        <v>0</v>
      </c>
      <c r="N149" s="512"/>
      <c r="O149" s="504">
        <f t="shared" si="35"/>
        <v>0</v>
      </c>
      <c r="P149" s="504">
        <f t="shared" si="36"/>
        <v>0</v>
      </c>
      <c r="Q149" s="243"/>
      <c r="R149" s="243"/>
      <c r="S149" s="243"/>
      <c r="T149" s="243"/>
      <c r="U149" s="243"/>
    </row>
    <row r="150" spans="2:21">
      <c r="B150" s="145" t="str">
        <f t="shared" si="24"/>
        <v/>
      </c>
      <c r="C150" s="495">
        <f>IF(D94="","-",+C149+1)</f>
        <v>2064</v>
      </c>
      <c r="D150" s="349">
        <f>IF(F149+SUM(E$100:E149)=D$93,F149,D$93-SUM(E$100:E149))</f>
        <v>0</v>
      </c>
      <c r="E150" s="629">
        <f t="shared" si="29"/>
        <v>0</v>
      </c>
      <c r="F150" s="510">
        <f t="shared" si="30"/>
        <v>0</v>
      </c>
      <c r="G150" s="510">
        <f t="shared" si="31"/>
        <v>0</v>
      </c>
      <c r="H150" s="630">
        <f t="shared" si="32"/>
        <v>0</v>
      </c>
      <c r="I150" s="631">
        <f t="shared" si="33"/>
        <v>0</v>
      </c>
      <c r="J150" s="504">
        <f t="shared" si="28"/>
        <v>0</v>
      </c>
      <c r="K150" s="504"/>
      <c r="L150" s="512"/>
      <c r="M150" s="504">
        <f t="shared" si="34"/>
        <v>0</v>
      </c>
      <c r="N150" s="512"/>
      <c r="O150" s="504">
        <f t="shared" si="35"/>
        <v>0</v>
      </c>
      <c r="P150" s="504">
        <f t="shared" si="36"/>
        <v>0</v>
      </c>
      <c r="Q150" s="243"/>
      <c r="R150" s="243"/>
      <c r="S150" s="243"/>
      <c r="T150" s="243"/>
      <c r="U150" s="243"/>
    </row>
    <row r="151" spans="2:21">
      <c r="B151" s="145" t="str">
        <f t="shared" si="24"/>
        <v/>
      </c>
      <c r="C151" s="495">
        <f>IF(D94="","-",+C150+1)</f>
        <v>2065</v>
      </c>
      <c r="D151" s="349">
        <f>IF(F150+SUM(E$100:E150)=D$93,F150,D$93-SUM(E$100:E150))</f>
        <v>0</v>
      </c>
      <c r="E151" s="629">
        <f t="shared" si="29"/>
        <v>0</v>
      </c>
      <c r="F151" s="510">
        <f t="shared" si="30"/>
        <v>0</v>
      </c>
      <c r="G151" s="510">
        <f t="shared" si="31"/>
        <v>0</v>
      </c>
      <c r="H151" s="630">
        <f t="shared" si="32"/>
        <v>0</v>
      </c>
      <c r="I151" s="631">
        <f t="shared" si="33"/>
        <v>0</v>
      </c>
      <c r="J151" s="504">
        <f t="shared" si="28"/>
        <v>0</v>
      </c>
      <c r="K151" s="504"/>
      <c r="L151" s="512"/>
      <c r="M151" s="504">
        <f t="shared" si="34"/>
        <v>0</v>
      </c>
      <c r="N151" s="512"/>
      <c r="O151" s="504">
        <f t="shared" si="35"/>
        <v>0</v>
      </c>
      <c r="P151" s="504">
        <f t="shared" si="36"/>
        <v>0</v>
      </c>
      <c r="Q151" s="243"/>
      <c r="R151" s="243"/>
      <c r="S151" s="243"/>
      <c r="T151" s="243"/>
      <c r="U151" s="243"/>
    </row>
    <row r="152" spans="2:21">
      <c r="B152" s="145" t="str">
        <f t="shared" si="24"/>
        <v/>
      </c>
      <c r="C152" s="495">
        <f>IF(D94="","-",+C151+1)</f>
        <v>2066</v>
      </c>
      <c r="D152" s="349">
        <f>IF(F151+SUM(E$100:E151)=D$93,F151,D$93-SUM(E$100:E151))</f>
        <v>0</v>
      </c>
      <c r="E152" s="629">
        <f t="shared" si="29"/>
        <v>0</v>
      </c>
      <c r="F152" s="510">
        <f t="shared" si="30"/>
        <v>0</v>
      </c>
      <c r="G152" s="510">
        <f t="shared" si="31"/>
        <v>0</v>
      </c>
      <c r="H152" s="630">
        <f t="shared" si="32"/>
        <v>0</v>
      </c>
      <c r="I152" s="631">
        <f t="shared" si="33"/>
        <v>0</v>
      </c>
      <c r="J152" s="504">
        <f t="shared" si="28"/>
        <v>0</v>
      </c>
      <c r="K152" s="504"/>
      <c r="L152" s="512"/>
      <c r="M152" s="504">
        <f t="shared" si="34"/>
        <v>0</v>
      </c>
      <c r="N152" s="512"/>
      <c r="O152" s="504">
        <f t="shared" si="35"/>
        <v>0</v>
      </c>
      <c r="P152" s="504">
        <f t="shared" si="36"/>
        <v>0</v>
      </c>
      <c r="Q152" s="243"/>
      <c r="R152" s="243"/>
      <c r="S152" s="243"/>
      <c r="T152" s="243"/>
      <c r="U152" s="243"/>
    </row>
    <row r="153" spans="2:21">
      <c r="B153" s="145" t="str">
        <f t="shared" si="24"/>
        <v/>
      </c>
      <c r="C153" s="495">
        <f>IF(D94="","-",+C152+1)</f>
        <v>2067</v>
      </c>
      <c r="D153" s="349">
        <f>IF(F152+SUM(E$100:E152)=D$93,F152,D$93-SUM(E$100:E152))</f>
        <v>0</v>
      </c>
      <c r="E153" s="629">
        <f t="shared" si="29"/>
        <v>0</v>
      </c>
      <c r="F153" s="510">
        <f t="shared" si="30"/>
        <v>0</v>
      </c>
      <c r="G153" s="510">
        <f t="shared" si="31"/>
        <v>0</v>
      </c>
      <c r="H153" s="630">
        <f t="shared" si="32"/>
        <v>0</v>
      </c>
      <c r="I153" s="631">
        <f t="shared" si="33"/>
        <v>0</v>
      </c>
      <c r="J153" s="504">
        <f t="shared" si="28"/>
        <v>0</v>
      </c>
      <c r="K153" s="504"/>
      <c r="L153" s="512"/>
      <c r="M153" s="504">
        <f t="shared" si="34"/>
        <v>0</v>
      </c>
      <c r="N153" s="512"/>
      <c r="O153" s="504">
        <f t="shared" si="35"/>
        <v>0</v>
      </c>
      <c r="P153" s="504">
        <f t="shared" si="36"/>
        <v>0</v>
      </c>
      <c r="Q153" s="243"/>
      <c r="R153" s="243"/>
      <c r="S153" s="243"/>
      <c r="T153" s="243"/>
      <c r="U153" s="243"/>
    </row>
    <row r="154" spans="2:21">
      <c r="B154" s="145" t="str">
        <f t="shared" si="24"/>
        <v/>
      </c>
      <c r="C154" s="495">
        <f>IF(D94="","-",+C153+1)</f>
        <v>2068</v>
      </c>
      <c r="D154" s="349">
        <f>IF(F153+SUM(E$100:E153)=D$93,F153,D$93-SUM(E$100:E153))</f>
        <v>0</v>
      </c>
      <c r="E154" s="629">
        <f t="shared" si="29"/>
        <v>0</v>
      </c>
      <c r="F154" s="510">
        <f t="shared" si="30"/>
        <v>0</v>
      </c>
      <c r="G154" s="510">
        <f t="shared" si="31"/>
        <v>0</v>
      </c>
      <c r="H154" s="630">
        <f t="shared" si="32"/>
        <v>0</v>
      </c>
      <c r="I154" s="631">
        <f t="shared" si="33"/>
        <v>0</v>
      </c>
      <c r="J154" s="504">
        <f t="shared" si="28"/>
        <v>0</v>
      </c>
      <c r="K154" s="504"/>
      <c r="L154" s="512"/>
      <c r="M154" s="504">
        <f t="shared" si="34"/>
        <v>0</v>
      </c>
      <c r="N154" s="512"/>
      <c r="O154" s="504">
        <f t="shared" si="35"/>
        <v>0</v>
      </c>
      <c r="P154" s="504">
        <f t="shared" si="36"/>
        <v>0</v>
      </c>
      <c r="Q154" s="243"/>
      <c r="R154" s="243"/>
      <c r="S154" s="243"/>
      <c r="T154" s="243"/>
      <c r="U154" s="243"/>
    </row>
    <row r="155" spans="2:21" ht="13.5" thickBot="1">
      <c r="B155" s="145" t="str">
        <f t="shared" si="24"/>
        <v/>
      </c>
      <c r="C155" s="524">
        <f>IF(D94="","-",+C154+1)</f>
        <v>2069</v>
      </c>
      <c r="D155" s="618">
        <f>IF(F154+SUM(E$100:E154)=D$93,F154,D$93-SUM(E$100:E154))</f>
        <v>0</v>
      </c>
      <c r="E155" s="632">
        <f t="shared" si="29"/>
        <v>0</v>
      </c>
      <c r="F155" s="527">
        <f t="shared" si="30"/>
        <v>0</v>
      </c>
      <c r="G155" s="527">
        <f t="shared" si="31"/>
        <v>0</v>
      </c>
      <c r="H155" s="633">
        <f t="shared" si="32"/>
        <v>0</v>
      </c>
      <c r="I155" s="634">
        <f t="shared" si="33"/>
        <v>0</v>
      </c>
      <c r="J155" s="531">
        <f t="shared" si="28"/>
        <v>0</v>
      </c>
      <c r="K155" s="504"/>
      <c r="L155" s="530"/>
      <c r="M155" s="531">
        <f t="shared" si="34"/>
        <v>0</v>
      </c>
      <c r="N155" s="530"/>
      <c r="O155" s="531">
        <f t="shared" si="35"/>
        <v>0</v>
      </c>
      <c r="P155" s="531">
        <f t="shared" si="36"/>
        <v>0</v>
      </c>
      <c r="Q155" s="243"/>
      <c r="R155" s="243"/>
      <c r="S155" s="243"/>
      <c r="T155" s="243"/>
      <c r="U155" s="243"/>
    </row>
    <row r="156" spans="2:21">
      <c r="C156" s="349" t="s">
        <v>75</v>
      </c>
      <c r="D156" s="294"/>
      <c r="E156" s="294">
        <f>SUM(E100:E155)</f>
        <v>20242584.999999996</v>
      </c>
      <c r="F156" s="294"/>
      <c r="G156" s="294"/>
      <c r="H156" s="294">
        <f>SUM(H100:H155)</f>
        <v>53688325.305564374</v>
      </c>
      <c r="I156" s="294">
        <f>SUM(I100:I155)</f>
        <v>53688325.305564374</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2" priority="1" stopIfTrue="1" operator="equal">
      <formula>$I$10</formula>
    </cfRule>
  </conditionalFormatting>
  <conditionalFormatting sqref="C100:C155">
    <cfRule type="cellIs" dxfId="41"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theme="9" tint="0.39997558519241921"/>
  </sheetPr>
  <dimension ref="A1:U163"/>
  <sheetViews>
    <sheetView view="pageBreakPreview" zoomScale="78" zoomScaleNormal="100" zoomScaleSheetLayoutView="78"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12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1565201.541840293</v>
      </c>
      <c r="P5" s="243"/>
      <c r="R5" s="243"/>
      <c r="S5" s="243"/>
      <c r="T5" s="243"/>
      <c r="U5" s="243"/>
    </row>
    <row r="6" spans="1:21" ht="15.75">
      <c r="C6" s="235"/>
      <c r="D6" s="292"/>
      <c r="E6" s="243"/>
      <c r="F6" s="243"/>
      <c r="G6" s="243"/>
      <c r="H6" s="449"/>
      <c r="I6" s="449"/>
      <c r="J6" s="450"/>
      <c r="K6" s="451" t="s">
        <v>243</v>
      </c>
      <c r="L6" s="452"/>
      <c r="M6" s="278"/>
      <c r="N6" s="453">
        <f>VLOOKUP(I10,C17:I73,6)</f>
        <v>1565201.541840293</v>
      </c>
      <c r="O6" s="243"/>
      <c r="P6" s="243"/>
      <c r="R6" s="243"/>
      <c r="S6" s="243"/>
      <c r="T6" s="243"/>
      <c r="U6" s="243"/>
    </row>
    <row r="7" spans="1:21" ht="13.5" thickBot="1">
      <c r="C7" s="454" t="s">
        <v>46</v>
      </c>
      <c r="D7" s="455" t="s">
        <v>224</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223</v>
      </c>
      <c r="E9" s="646" t="s">
        <v>300</v>
      </c>
      <c r="F9" s="465"/>
      <c r="G9" s="465"/>
      <c r="H9" s="465"/>
      <c r="I9" s="466"/>
      <c r="J9" s="467"/>
      <c r="O9" s="468"/>
      <c r="P9" s="278"/>
      <c r="R9" s="243"/>
      <c r="S9" s="243"/>
      <c r="T9" s="243"/>
      <c r="U9" s="243"/>
    </row>
    <row r="10" spans="1:21">
      <c r="C10" s="469" t="s">
        <v>49</v>
      </c>
      <c r="D10" s="470">
        <v>13254470</v>
      </c>
      <c r="E10" s="299" t="s">
        <v>50</v>
      </c>
      <c r="F10" s="468"/>
      <c r="G10" s="408"/>
      <c r="H10" s="408"/>
      <c r="I10" s="471">
        <f>+'OKT.WS.F.BPU.ATRR.Projected'!R101</f>
        <v>2024</v>
      </c>
      <c r="J10" s="467"/>
      <c r="K10" s="294" t="s">
        <v>51</v>
      </c>
      <c r="O10" s="278"/>
      <c r="P10" s="278"/>
      <c r="R10" s="243"/>
      <c r="S10" s="243"/>
      <c r="T10" s="243"/>
      <c r="U10" s="243"/>
    </row>
    <row r="11" spans="1:21">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4</v>
      </c>
      <c r="E12" s="472" t="s">
        <v>55</v>
      </c>
      <c r="F12" s="408"/>
      <c r="G12" s="220"/>
      <c r="H12" s="220"/>
      <c r="I12" s="476">
        <f>'OKT.WS.F.BPU.ATRR.Projected'!$F$79</f>
        <v>0.11393163315254198</v>
      </c>
      <c r="J12" s="413"/>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427563.54838709679</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2014</v>
      </c>
      <c r="D17" s="612">
        <v>13254470.189999999</v>
      </c>
      <c r="E17" s="620">
        <v>38215.310782576453</v>
      </c>
      <c r="F17" s="612">
        <v>13216254.879217423</v>
      </c>
      <c r="G17" s="620">
        <v>401752.61137886974</v>
      </c>
      <c r="H17" s="617">
        <v>401752.61137886974</v>
      </c>
      <c r="I17" s="635">
        <v>0</v>
      </c>
      <c r="J17" s="500"/>
      <c r="K17" s="501">
        <f t="shared" ref="K17:K22" si="1">G17</f>
        <v>401752.61137886974</v>
      </c>
      <c r="L17" s="502">
        <f t="shared" ref="L17:L22" si="2">IF(K17&lt;&gt;0,+G17-K17,0)</f>
        <v>0</v>
      </c>
      <c r="M17" s="501">
        <f t="shared" ref="M17:M22" si="3">H17</f>
        <v>401752.61137886974</v>
      </c>
      <c r="N17" s="503">
        <f>IF(M17&lt;&gt;0,+H17-M17,0)</f>
        <v>0</v>
      </c>
      <c r="O17" s="504">
        <f>+N17-L17</f>
        <v>0</v>
      </c>
      <c r="P17" s="278"/>
      <c r="R17" s="243"/>
      <c r="S17" s="243"/>
      <c r="T17" s="243"/>
      <c r="U17" s="243"/>
    </row>
    <row r="18" spans="2:21">
      <c r="B18" s="145" t="str">
        <f t="shared" si="0"/>
        <v/>
      </c>
      <c r="C18" s="495">
        <f>IF(D11="","-",+C17+1)</f>
        <v>2015</v>
      </c>
      <c r="D18" s="614">
        <v>13216254.879217423</v>
      </c>
      <c r="E18" s="613">
        <v>229291.86469545873</v>
      </c>
      <c r="F18" s="614">
        <v>12986963.014521964</v>
      </c>
      <c r="G18" s="613">
        <v>1658212.6960173119</v>
      </c>
      <c r="H18" s="617">
        <v>1658212.6960173119</v>
      </c>
      <c r="I18" s="635">
        <v>0</v>
      </c>
      <c r="J18" s="500"/>
      <c r="K18" s="506">
        <f t="shared" si="1"/>
        <v>1658212.6960173119</v>
      </c>
      <c r="L18" s="507">
        <f t="shared" si="2"/>
        <v>0</v>
      </c>
      <c r="M18" s="506">
        <f t="shared" si="3"/>
        <v>1658212.6960173119</v>
      </c>
      <c r="N18" s="504">
        <f>IF(M18&lt;&gt;0,+H18-M18,0)</f>
        <v>0</v>
      </c>
      <c r="O18" s="504">
        <f>+N18-L18</f>
        <v>0</v>
      </c>
      <c r="P18" s="278"/>
      <c r="R18" s="243"/>
      <c r="S18" s="243"/>
      <c r="T18" s="243"/>
      <c r="U18" s="243"/>
    </row>
    <row r="19" spans="2:21">
      <c r="B19" s="145" t="str">
        <f t="shared" si="0"/>
        <v/>
      </c>
      <c r="C19" s="495">
        <f>IF(D11="","-",+C18+1)</f>
        <v>2016</v>
      </c>
      <c r="D19" s="614">
        <v>12986963.014521964</v>
      </c>
      <c r="E19" s="613">
        <v>229291.86469545873</v>
      </c>
      <c r="F19" s="614">
        <v>12757671.149826504</v>
      </c>
      <c r="G19" s="613">
        <v>1544166.8315919416</v>
      </c>
      <c r="H19" s="617">
        <v>1544166.8315919416</v>
      </c>
      <c r="I19" s="500">
        <v>0</v>
      </c>
      <c r="J19" s="500"/>
      <c r="K19" s="506">
        <f t="shared" si="1"/>
        <v>1544166.8315919416</v>
      </c>
      <c r="L19" s="507">
        <f t="shared" si="2"/>
        <v>0</v>
      </c>
      <c r="M19" s="506">
        <f t="shared" si="3"/>
        <v>1544166.8315919416</v>
      </c>
      <c r="N19" s="504">
        <f>IF(M19&lt;&gt;0,+H19-M19,0)</f>
        <v>0</v>
      </c>
      <c r="O19" s="504">
        <f>+N19-L19</f>
        <v>0</v>
      </c>
      <c r="P19" s="278"/>
      <c r="R19" s="243"/>
      <c r="S19" s="243"/>
      <c r="T19" s="243"/>
      <c r="U19" s="243"/>
    </row>
    <row r="20" spans="2:21">
      <c r="B20" s="145" t="str">
        <f t="shared" si="0"/>
        <v/>
      </c>
      <c r="C20" s="495">
        <f>IF(D11="","-",+C19+1)</f>
        <v>2017</v>
      </c>
      <c r="D20" s="614">
        <v>12757671.149826504</v>
      </c>
      <c r="E20" s="613">
        <v>275420.65562452108</v>
      </c>
      <c r="F20" s="614">
        <v>12482250.494201982</v>
      </c>
      <c r="G20" s="613">
        <v>1622010.458293594</v>
      </c>
      <c r="H20" s="617">
        <v>1622010.458293594</v>
      </c>
      <c r="I20" s="500">
        <f>H20-G20</f>
        <v>0</v>
      </c>
      <c r="J20" s="500"/>
      <c r="K20" s="506">
        <f t="shared" si="1"/>
        <v>1622010.458293594</v>
      </c>
      <c r="L20" s="507">
        <f t="shared" si="2"/>
        <v>0</v>
      </c>
      <c r="M20" s="506">
        <f t="shared" si="3"/>
        <v>1622010.458293594</v>
      </c>
      <c r="N20" s="504">
        <f t="shared" ref="N20:N73" si="4">IF(M20&lt;&gt;0,+H20-M20,0)</f>
        <v>0</v>
      </c>
      <c r="O20" s="504">
        <f t="shared" ref="O20:O73" si="5">+N20-L20</f>
        <v>0</v>
      </c>
      <c r="P20" s="278"/>
      <c r="R20" s="243"/>
      <c r="S20" s="243"/>
      <c r="T20" s="243"/>
      <c r="U20" s="243"/>
    </row>
    <row r="21" spans="2:21">
      <c r="B21" s="145" t="str">
        <f t="shared" si="0"/>
        <v>IU</v>
      </c>
      <c r="C21" s="495">
        <f>IF(D11="","-",+C20+1)</f>
        <v>2018</v>
      </c>
      <c r="D21" s="614">
        <v>12221641.369282497</v>
      </c>
      <c r="E21" s="613">
        <v>325060.34019690572</v>
      </c>
      <c r="F21" s="614">
        <v>11896581.029085591</v>
      </c>
      <c r="G21" s="613">
        <v>1741897.6993738853</v>
      </c>
      <c r="H21" s="617">
        <v>1741897.6993738853</v>
      </c>
      <c r="I21" s="500">
        <f t="shared" ref="I21:I73" si="6">H21-G21</f>
        <v>0</v>
      </c>
      <c r="J21" s="500"/>
      <c r="K21" s="506">
        <f t="shared" si="1"/>
        <v>1741897.6993738853</v>
      </c>
      <c r="L21" s="507">
        <f t="shared" si="2"/>
        <v>0</v>
      </c>
      <c r="M21" s="506">
        <f t="shared" si="3"/>
        <v>1741897.6993738853</v>
      </c>
      <c r="N21" s="504">
        <f>IF(M21&lt;&gt;0,+H21-M21,0)</f>
        <v>0</v>
      </c>
      <c r="O21" s="504">
        <f>+N21-L21</f>
        <v>0</v>
      </c>
      <c r="P21" s="278"/>
      <c r="R21" s="243"/>
      <c r="S21" s="243"/>
      <c r="T21" s="243"/>
      <c r="U21" s="243"/>
    </row>
    <row r="22" spans="2:21">
      <c r="B22" s="145" t="str">
        <f t="shared" si="0"/>
        <v/>
      </c>
      <c r="C22" s="495">
        <f>IF(D11="","-",+C21+1)</f>
        <v>2019</v>
      </c>
      <c r="D22" s="614">
        <v>11896581.029085591</v>
      </c>
      <c r="E22" s="613">
        <v>325060.34019690572</v>
      </c>
      <c r="F22" s="614">
        <v>11571520.688888686</v>
      </c>
      <c r="G22" s="613">
        <v>1703706.0261758706</v>
      </c>
      <c r="H22" s="617">
        <v>1703706.0261758706</v>
      </c>
      <c r="I22" s="500">
        <v>0</v>
      </c>
      <c r="J22" s="500"/>
      <c r="K22" s="506">
        <f t="shared" si="1"/>
        <v>1703706.0261758706</v>
      </c>
      <c r="L22" s="507">
        <f t="shared" si="2"/>
        <v>0</v>
      </c>
      <c r="M22" s="506">
        <f t="shared" si="3"/>
        <v>1703706.0261758706</v>
      </c>
      <c r="N22" s="504">
        <f>IF(M22&lt;&gt;0,+H22-M22,0)</f>
        <v>0</v>
      </c>
      <c r="O22" s="504">
        <f>+N22-L22</f>
        <v>0</v>
      </c>
      <c r="P22" s="278"/>
      <c r="R22" s="243"/>
      <c r="S22" s="243"/>
      <c r="T22" s="243"/>
      <c r="U22" s="243"/>
    </row>
    <row r="23" spans="2:21">
      <c r="B23" s="145" t="str">
        <f t="shared" si="0"/>
        <v/>
      </c>
      <c r="C23" s="495">
        <f>IF(D11="","-",+C22+1)</f>
        <v>2020</v>
      </c>
      <c r="D23" s="614">
        <v>11571520.688888686</v>
      </c>
      <c r="E23" s="613">
        <v>388114.48634834524</v>
      </c>
      <c r="F23" s="614">
        <v>11183406.20254034</v>
      </c>
      <c r="G23" s="613">
        <v>1581979.7861437595</v>
      </c>
      <c r="H23" s="617">
        <v>1581979.7861437595</v>
      </c>
      <c r="I23" s="500">
        <f t="shared" si="6"/>
        <v>0</v>
      </c>
      <c r="J23" s="500"/>
      <c r="K23" s="506">
        <f t="shared" ref="K23" si="7">G23</f>
        <v>1581979.7861437595</v>
      </c>
      <c r="L23" s="507">
        <f t="shared" ref="L23" si="8">IF(K23&lt;&gt;0,+G23-K23,0)</f>
        <v>0</v>
      </c>
      <c r="M23" s="506">
        <f t="shared" ref="M23" si="9">H23</f>
        <v>1581979.7861437595</v>
      </c>
      <c r="N23" s="504">
        <f>IF(M23&lt;&gt;0,+H23-M23,0)</f>
        <v>0</v>
      </c>
      <c r="O23" s="504">
        <f>+N23-L23</f>
        <v>0</v>
      </c>
      <c r="P23" s="278"/>
      <c r="R23" s="243"/>
      <c r="S23" s="243"/>
      <c r="T23" s="243"/>
      <c r="U23" s="243"/>
    </row>
    <row r="24" spans="2:21">
      <c r="B24" s="145" t="str">
        <f t="shared" si="0"/>
        <v>IU</v>
      </c>
      <c r="C24" s="495">
        <f>IF(D11="","-",+C23+1)</f>
        <v>2021</v>
      </c>
      <c r="D24" s="614">
        <v>11075905.172169829</v>
      </c>
      <c r="E24" s="613">
        <v>427563.55451612902</v>
      </c>
      <c r="F24" s="614">
        <v>10648341.6176537</v>
      </c>
      <c r="G24" s="613">
        <v>1602683.1037737736</v>
      </c>
      <c r="H24" s="617">
        <v>1602683.1037737736</v>
      </c>
      <c r="I24" s="500">
        <f t="shared" si="6"/>
        <v>0</v>
      </c>
      <c r="J24" s="500"/>
      <c r="K24" s="506">
        <f t="shared" ref="K24" si="10">G24</f>
        <v>1602683.1037737736</v>
      </c>
      <c r="L24" s="507">
        <f t="shared" ref="L24" si="11">IF(K24&lt;&gt;0,+G24-K24,0)</f>
        <v>0</v>
      </c>
      <c r="M24" s="506">
        <f t="shared" ref="M24" si="12">H24</f>
        <v>1602683.1037737736</v>
      </c>
      <c r="N24" s="504">
        <f t="shared" si="4"/>
        <v>0</v>
      </c>
      <c r="O24" s="504">
        <f t="shared" si="5"/>
        <v>0</v>
      </c>
      <c r="P24" s="278"/>
      <c r="R24" s="243"/>
      <c r="S24" s="243"/>
      <c r="T24" s="243"/>
      <c r="U24" s="243"/>
    </row>
    <row r="25" spans="2:21">
      <c r="B25" s="145" t="str">
        <f t="shared" si="0"/>
        <v>IU</v>
      </c>
      <c r="C25" s="580">
        <f>IF(D11="","-",+C24+1)</f>
        <v>2022</v>
      </c>
      <c r="D25" s="614">
        <v>11016451.772943698</v>
      </c>
      <c r="E25" s="613">
        <v>389837.35852941172</v>
      </c>
      <c r="F25" s="614">
        <v>10626614.414414287</v>
      </c>
      <c r="G25" s="613">
        <v>1541434.0555617388</v>
      </c>
      <c r="H25" s="617">
        <v>1541434.0555617388</v>
      </c>
      <c r="I25" s="500">
        <f t="shared" si="6"/>
        <v>0</v>
      </c>
      <c r="J25" s="500"/>
      <c r="K25" s="506">
        <f t="shared" ref="K25" si="13">G25</f>
        <v>1541434.0555617388</v>
      </c>
      <c r="L25" s="507">
        <f t="shared" ref="L25" si="14">IF(K25&lt;&gt;0,+G25-K25,0)</f>
        <v>0</v>
      </c>
      <c r="M25" s="506">
        <f t="shared" ref="M25" si="15">H25</f>
        <v>1541434.0555617388</v>
      </c>
      <c r="N25" s="504">
        <f t="shared" si="4"/>
        <v>0</v>
      </c>
      <c r="O25" s="504">
        <f t="shared" si="5"/>
        <v>0</v>
      </c>
      <c r="P25" s="278"/>
      <c r="R25" s="243"/>
      <c r="S25" s="243"/>
      <c r="T25" s="243"/>
      <c r="U25" s="243"/>
    </row>
    <row r="26" spans="2:21">
      <c r="B26" s="145" t="str">
        <f t="shared" si="0"/>
        <v>IU</v>
      </c>
      <c r="C26" s="495">
        <f>IF(D11="","-",+C25+1)</f>
        <v>2023</v>
      </c>
      <c r="D26" s="614">
        <v>10626614.224414287</v>
      </c>
      <c r="E26" s="613">
        <v>427563.54838709679</v>
      </c>
      <c r="F26" s="614">
        <v>10199050.67602719</v>
      </c>
      <c r="G26" s="613">
        <v>1604555.7292482569</v>
      </c>
      <c r="H26" s="617">
        <v>1604555.7292482569</v>
      </c>
      <c r="I26" s="500">
        <f t="shared" si="6"/>
        <v>0</v>
      </c>
      <c r="J26" s="500"/>
      <c r="K26" s="512"/>
      <c r="L26" s="504">
        <f t="shared" ref="L26:L73" si="16">IF(K26&lt;&gt;0,+G26-K26,0)</f>
        <v>0</v>
      </c>
      <c r="M26" s="512"/>
      <c r="N26" s="504">
        <f t="shared" si="4"/>
        <v>0</v>
      </c>
      <c r="O26" s="504">
        <f t="shared" si="5"/>
        <v>0</v>
      </c>
      <c r="P26" s="278"/>
      <c r="R26" s="243"/>
      <c r="S26" s="243"/>
      <c r="T26" s="243"/>
      <c r="U26" s="243"/>
    </row>
    <row r="27" spans="2:21">
      <c r="B27" s="145" t="str">
        <f t="shared" si="0"/>
        <v/>
      </c>
      <c r="C27" s="495">
        <f>IF(D11="","-",+C26+1)</f>
        <v>2024</v>
      </c>
      <c r="D27" s="508">
        <f>IF(F26+SUM(E$17:E26)=D$10,F26,D$10-SUM(E$17:E26))</f>
        <v>10199050.67602719</v>
      </c>
      <c r="E27" s="509">
        <f t="shared" ref="E27:E73" si="17">IF(+$I$14&lt;F26,$I$14,D27)</f>
        <v>427563.54838709679</v>
      </c>
      <c r="F27" s="510">
        <f t="shared" ref="F27:F73" si="18">+D27-E27</f>
        <v>9771487.1276400927</v>
      </c>
      <c r="G27" s="511">
        <f t="shared" ref="G27:G73" si="19">(D27+F27)/2*I$12+E27</f>
        <v>1565201.541840293</v>
      </c>
      <c r="H27" s="477">
        <f t="shared" ref="H27:H73" si="20">+(D27+F27)/2*I$13+E27</f>
        <v>1565201.541840293</v>
      </c>
      <c r="I27" s="500">
        <f t="shared" si="6"/>
        <v>0</v>
      </c>
      <c r="J27" s="500"/>
      <c r="K27" s="512"/>
      <c r="L27" s="504">
        <f t="shared" si="16"/>
        <v>0</v>
      </c>
      <c r="M27" s="512"/>
      <c r="N27" s="504">
        <f t="shared" si="4"/>
        <v>0</v>
      </c>
      <c r="O27" s="504">
        <f t="shared" si="5"/>
        <v>0</v>
      </c>
      <c r="P27" s="278"/>
      <c r="R27" s="243"/>
      <c r="S27" s="243"/>
      <c r="T27" s="243"/>
      <c r="U27" s="243"/>
    </row>
    <row r="28" spans="2:21">
      <c r="B28" s="145" t="str">
        <f t="shared" si="0"/>
        <v/>
      </c>
      <c r="C28" s="495">
        <f>IF(D11="","-",+C27+1)</f>
        <v>2025</v>
      </c>
      <c r="D28" s="508">
        <f>IF(F27+SUM(E$17:E27)=D$10,F27,D$10-SUM(E$17:E27))</f>
        <v>9771487.1276400927</v>
      </c>
      <c r="E28" s="509">
        <f t="shared" si="17"/>
        <v>427563.54838709679</v>
      </c>
      <c r="F28" s="510">
        <f t="shared" si="18"/>
        <v>9343923.5792529956</v>
      </c>
      <c r="G28" s="511">
        <f t="shared" si="19"/>
        <v>1516488.5284960549</v>
      </c>
      <c r="H28" s="477">
        <f t="shared" si="20"/>
        <v>1516488.5284960549</v>
      </c>
      <c r="I28" s="500">
        <f t="shared" si="6"/>
        <v>0</v>
      </c>
      <c r="J28" s="500"/>
      <c r="K28" s="512"/>
      <c r="L28" s="504">
        <f t="shared" si="16"/>
        <v>0</v>
      </c>
      <c r="M28" s="512"/>
      <c r="N28" s="504">
        <f t="shared" si="4"/>
        <v>0</v>
      </c>
      <c r="O28" s="504">
        <f t="shared" si="5"/>
        <v>0</v>
      </c>
      <c r="P28" s="278"/>
      <c r="R28" s="243"/>
      <c r="S28" s="243"/>
      <c r="T28" s="243"/>
      <c r="U28" s="243"/>
    </row>
    <row r="29" spans="2:21">
      <c r="B29" s="145" t="str">
        <f t="shared" si="0"/>
        <v/>
      </c>
      <c r="C29" s="495">
        <f>IF(D11="","-",+C28+1)</f>
        <v>2026</v>
      </c>
      <c r="D29" s="508">
        <f>IF(F28+SUM(E$17:E28)=D$10,F28,D$10-SUM(E$17:E28))</f>
        <v>9343923.5792529956</v>
      </c>
      <c r="E29" s="509">
        <f t="shared" si="17"/>
        <v>427563.54838709679</v>
      </c>
      <c r="F29" s="510">
        <f t="shared" si="18"/>
        <v>8916360.0308658984</v>
      </c>
      <c r="G29" s="511">
        <f t="shared" si="19"/>
        <v>1467775.5151518174</v>
      </c>
      <c r="H29" s="477">
        <f t="shared" si="20"/>
        <v>1467775.5151518174</v>
      </c>
      <c r="I29" s="500">
        <f t="shared" si="6"/>
        <v>0</v>
      </c>
      <c r="J29" s="500"/>
      <c r="K29" s="512"/>
      <c r="L29" s="504">
        <f t="shared" si="16"/>
        <v>0</v>
      </c>
      <c r="M29" s="512"/>
      <c r="N29" s="504">
        <f t="shared" si="4"/>
        <v>0</v>
      </c>
      <c r="O29" s="504">
        <f t="shared" si="5"/>
        <v>0</v>
      </c>
      <c r="P29" s="278"/>
      <c r="R29" s="243"/>
      <c r="S29" s="243"/>
      <c r="T29" s="243"/>
      <c r="U29" s="243"/>
    </row>
    <row r="30" spans="2:21">
      <c r="B30" s="145" t="str">
        <f t="shared" si="0"/>
        <v/>
      </c>
      <c r="C30" s="495">
        <f>IF(D11="","-",+C29+1)</f>
        <v>2027</v>
      </c>
      <c r="D30" s="508">
        <f>IF(F29+SUM(E$17:E29)=D$10,F29,D$10-SUM(E$17:E29))</f>
        <v>8916360.0308658984</v>
      </c>
      <c r="E30" s="509">
        <f t="shared" si="17"/>
        <v>427563.54838709679</v>
      </c>
      <c r="F30" s="510">
        <f t="shared" si="18"/>
        <v>8488796.4824788012</v>
      </c>
      <c r="G30" s="511">
        <f t="shared" si="19"/>
        <v>1419062.5018075791</v>
      </c>
      <c r="H30" s="477">
        <f t="shared" si="20"/>
        <v>1419062.5018075791</v>
      </c>
      <c r="I30" s="500">
        <f t="shared" si="6"/>
        <v>0</v>
      </c>
      <c r="J30" s="500"/>
      <c r="K30" s="512"/>
      <c r="L30" s="504">
        <f t="shared" si="16"/>
        <v>0</v>
      </c>
      <c r="M30" s="512"/>
      <c r="N30" s="504">
        <f t="shared" si="4"/>
        <v>0</v>
      </c>
      <c r="O30" s="504">
        <f t="shared" si="5"/>
        <v>0</v>
      </c>
      <c r="P30" s="278"/>
      <c r="R30" s="243"/>
      <c r="S30" s="243"/>
      <c r="T30" s="243"/>
      <c r="U30" s="243"/>
    </row>
    <row r="31" spans="2:21">
      <c r="B31" s="145" t="str">
        <f t="shared" si="0"/>
        <v/>
      </c>
      <c r="C31" s="495">
        <f>IF(D11="","-",+C30+1)</f>
        <v>2028</v>
      </c>
      <c r="D31" s="508">
        <f>IF(F30+SUM(E$17:E30)=D$10,F30,D$10-SUM(E$17:E30))</f>
        <v>8488796.4824788012</v>
      </c>
      <c r="E31" s="509">
        <f t="shared" si="17"/>
        <v>427563.54838709679</v>
      </c>
      <c r="F31" s="510">
        <f t="shared" si="18"/>
        <v>8061232.934091704</v>
      </c>
      <c r="G31" s="511">
        <f t="shared" si="19"/>
        <v>1370349.4884633415</v>
      </c>
      <c r="H31" s="477">
        <f t="shared" si="20"/>
        <v>1370349.4884633415</v>
      </c>
      <c r="I31" s="500">
        <f t="shared" si="6"/>
        <v>0</v>
      </c>
      <c r="J31" s="500"/>
      <c r="K31" s="512"/>
      <c r="L31" s="504">
        <f t="shared" si="16"/>
        <v>0</v>
      </c>
      <c r="M31" s="512"/>
      <c r="N31" s="504">
        <f t="shared" si="4"/>
        <v>0</v>
      </c>
      <c r="O31" s="504">
        <f t="shared" si="5"/>
        <v>0</v>
      </c>
      <c r="P31" s="278"/>
      <c r="Q31" s="220"/>
      <c r="R31" s="278"/>
      <c r="S31" s="278"/>
      <c r="T31" s="278"/>
      <c r="U31" s="243"/>
    </row>
    <row r="32" spans="2:21">
      <c r="B32" s="145" t="str">
        <f t="shared" si="0"/>
        <v/>
      </c>
      <c r="C32" s="495">
        <f>IF(D12="","-",+C31+1)</f>
        <v>2029</v>
      </c>
      <c r="D32" s="508">
        <f>IF(F31+SUM(E$17:E31)=D$10,F31,D$10-SUM(E$17:E31))</f>
        <v>8061232.934091704</v>
      </c>
      <c r="E32" s="509">
        <f>IF(+$I$14&lt;F31,$I$14,D32)</f>
        <v>427563.54838709679</v>
      </c>
      <c r="F32" s="510">
        <f>+D32-E32</f>
        <v>7633669.3857046068</v>
      </c>
      <c r="G32" s="511">
        <f t="shared" si="19"/>
        <v>1321636.4751191034</v>
      </c>
      <c r="H32" s="477">
        <f t="shared" si="20"/>
        <v>1321636.4751191034</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2030</v>
      </c>
      <c r="D33" s="508">
        <f>IF(F32+SUM(E$17:E32)=D$10,F32,D$10-SUM(E$17:E32))</f>
        <v>7633669.3857046068</v>
      </c>
      <c r="E33" s="509">
        <f>IF(+$I$14&lt;F32,$I$14,D33)</f>
        <v>427563.54838709679</v>
      </c>
      <c r="F33" s="510">
        <f>+D33-E33</f>
        <v>7206105.8373175096</v>
      </c>
      <c r="G33" s="511">
        <f t="shared" si="19"/>
        <v>1272923.4617748656</v>
      </c>
      <c r="H33" s="477">
        <f t="shared" si="20"/>
        <v>1272923.4617748656</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2031</v>
      </c>
      <c r="D34" s="514">
        <f>IF(F33+SUM(E$17:E33)=D$10,F33,D$10-SUM(E$17:E33))</f>
        <v>7206105.8373175096</v>
      </c>
      <c r="E34" s="515">
        <f t="shared" si="17"/>
        <v>427563.54838709679</v>
      </c>
      <c r="F34" s="516">
        <f t="shared" si="18"/>
        <v>6778542.2889304124</v>
      </c>
      <c r="G34" s="511">
        <f t="shared" si="19"/>
        <v>1224210.4484306278</v>
      </c>
      <c r="H34" s="477">
        <f t="shared" si="20"/>
        <v>1224210.4484306278</v>
      </c>
      <c r="I34" s="519">
        <f t="shared" si="6"/>
        <v>0</v>
      </c>
      <c r="J34" s="519"/>
      <c r="K34" s="520"/>
      <c r="L34" s="521">
        <f t="shared" si="16"/>
        <v>0</v>
      </c>
      <c r="M34" s="520"/>
      <c r="N34" s="521">
        <f t="shared" si="4"/>
        <v>0</v>
      </c>
      <c r="O34" s="521">
        <f t="shared" si="5"/>
        <v>0</v>
      </c>
      <c r="P34" s="522"/>
      <c r="Q34" s="216"/>
      <c r="R34" s="522"/>
      <c r="S34" s="522"/>
      <c r="T34" s="522"/>
      <c r="U34" s="243"/>
    </row>
    <row r="35" spans="2:21">
      <c r="B35" s="145" t="str">
        <f t="shared" si="0"/>
        <v/>
      </c>
      <c r="C35" s="495">
        <f>IF(D11="","-",+C34+1)</f>
        <v>2032</v>
      </c>
      <c r="D35" s="508">
        <f>IF(F34+SUM(E$17:E34)=D$10,F34,D$10-SUM(E$17:E34))</f>
        <v>6778542.2889304124</v>
      </c>
      <c r="E35" s="509">
        <f t="shared" si="17"/>
        <v>427563.54838709679</v>
      </c>
      <c r="F35" s="510">
        <f t="shared" si="18"/>
        <v>6350978.7405433152</v>
      </c>
      <c r="G35" s="511">
        <f t="shared" si="19"/>
        <v>1175497.4350863898</v>
      </c>
      <c r="H35" s="477">
        <f t="shared" si="20"/>
        <v>1175497.4350863898</v>
      </c>
      <c r="I35" s="500">
        <f t="shared" si="6"/>
        <v>0</v>
      </c>
      <c r="J35" s="500"/>
      <c r="K35" s="512"/>
      <c r="L35" s="504">
        <f t="shared" si="16"/>
        <v>0</v>
      </c>
      <c r="M35" s="512"/>
      <c r="N35" s="504">
        <f t="shared" si="4"/>
        <v>0</v>
      </c>
      <c r="O35" s="504">
        <f t="shared" si="5"/>
        <v>0</v>
      </c>
      <c r="P35" s="278"/>
      <c r="R35" s="243"/>
      <c r="S35" s="243"/>
      <c r="T35" s="243"/>
      <c r="U35" s="243"/>
    </row>
    <row r="36" spans="2:21">
      <c r="B36" s="145" t="str">
        <f t="shared" si="0"/>
        <v/>
      </c>
      <c r="C36" s="495">
        <f>IF(D11="","-",+C35+1)</f>
        <v>2033</v>
      </c>
      <c r="D36" s="508">
        <f>IF(F35+SUM(E$17:E35)=D$10,F35,D$10-SUM(E$17:E35))</f>
        <v>6350978.7405433152</v>
      </c>
      <c r="E36" s="509">
        <f t="shared" si="17"/>
        <v>427563.54838709679</v>
      </c>
      <c r="F36" s="510">
        <f t="shared" si="18"/>
        <v>5923415.192156218</v>
      </c>
      <c r="G36" s="511">
        <f t="shared" si="19"/>
        <v>1126784.421742152</v>
      </c>
      <c r="H36" s="477">
        <f t="shared" si="20"/>
        <v>1126784.421742152</v>
      </c>
      <c r="I36" s="500">
        <f t="shared" si="6"/>
        <v>0</v>
      </c>
      <c r="J36" s="500"/>
      <c r="K36" s="512"/>
      <c r="L36" s="504">
        <f t="shared" si="16"/>
        <v>0</v>
      </c>
      <c r="M36" s="512"/>
      <c r="N36" s="504">
        <f t="shared" si="4"/>
        <v>0</v>
      </c>
      <c r="O36" s="504">
        <f t="shared" si="5"/>
        <v>0</v>
      </c>
      <c r="P36" s="278"/>
      <c r="R36" s="243"/>
      <c r="S36" s="243"/>
      <c r="T36" s="243"/>
      <c r="U36" s="243"/>
    </row>
    <row r="37" spans="2:21">
      <c r="B37" s="145" t="str">
        <f t="shared" si="0"/>
        <v/>
      </c>
      <c r="C37" s="495">
        <f>IF(D11="","-",+C36+1)</f>
        <v>2034</v>
      </c>
      <c r="D37" s="508">
        <f>IF(F36+SUM(E$17:E36)=D$10,F36,D$10-SUM(E$17:E36))</f>
        <v>5923415.192156218</v>
      </c>
      <c r="E37" s="509">
        <f t="shared" si="17"/>
        <v>427563.54838709679</v>
      </c>
      <c r="F37" s="510">
        <f t="shared" si="18"/>
        <v>5495851.6437691208</v>
      </c>
      <c r="G37" s="511">
        <f t="shared" si="19"/>
        <v>1078071.4083979141</v>
      </c>
      <c r="H37" s="477">
        <f t="shared" si="20"/>
        <v>1078071.4083979141</v>
      </c>
      <c r="I37" s="500">
        <f t="shared" si="6"/>
        <v>0</v>
      </c>
      <c r="J37" s="500"/>
      <c r="K37" s="512"/>
      <c r="L37" s="504">
        <f t="shared" si="16"/>
        <v>0</v>
      </c>
      <c r="M37" s="512"/>
      <c r="N37" s="504">
        <f t="shared" si="4"/>
        <v>0</v>
      </c>
      <c r="O37" s="504">
        <f t="shared" si="5"/>
        <v>0</v>
      </c>
      <c r="P37" s="278"/>
      <c r="R37" s="243"/>
      <c r="S37" s="243"/>
      <c r="T37" s="243"/>
      <c r="U37" s="243"/>
    </row>
    <row r="38" spans="2:21">
      <c r="B38" s="145" t="str">
        <f t="shared" si="0"/>
        <v/>
      </c>
      <c r="C38" s="495">
        <f>IF(D11="","-",+C37+1)</f>
        <v>2035</v>
      </c>
      <c r="D38" s="508">
        <f>IF(F37+SUM(E$17:E37)=D$10,F37,D$10-SUM(E$17:E37))</f>
        <v>5495851.6437691208</v>
      </c>
      <c r="E38" s="509">
        <f t="shared" si="17"/>
        <v>427563.54838709679</v>
      </c>
      <c r="F38" s="510">
        <f t="shared" si="18"/>
        <v>5068288.0953820236</v>
      </c>
      <c r="G38" s="511">
        <f t="shared" si="19"/>
        <v>1029358.3950536761</v>
      </c>
      <c r="H38" s="477">
        <f t="shared" si="20"/>
        <v>1029358.3950536761</v>
      </c>
      <c r="I38" s="500">
        <f t="shared" si="6"/>
        <v>0</v>
      </c>
      <c r="J38" s="500"/>
      <c r="K38" s="512"/>
      <c r="L38" s="504">
        <f t="shared" si="16"/>
        <v>0</v>
      </c>
      <c r="M38" s="512"/>
      <c r="N38" s="504">
        <f t="shared" si="4"/>
        <v>0</v>
      </c>
      <c r="O38" s="504">
        <f t="shared" si="5"/>
        <v>0</v>
      </c>
      <c r="P38" s="278"/>
      <c r="R38" s="243"/>
      <c r="S38" s="243"/>
      <c r="T38" s="243"/>
      <c r="U38" s="243"/>
    </row>
    <row r="39" spans="2:21">
      <c r="B39" s="145" t="str">
        <f t="shared" si="0"/>
        <v/>
      </c>
      <c r="C39" s="495">
        <f>IF(D11="","-",+C38+1)</f>
        <v>2036</v>
      </c>
      <c r="D39" s="508">
        <f>IF(F38+SUM(E$17:E38)=D$10,F38,D$10-SUM(E$17:E38))</f>
        <v>5068288.0953820236</v>
      </c>
      <c r="E39" s="509">
        <f t="shared" si="17"/>
        <v>427563.54838709679</v>
      </c>
      <c r="F39" s="510">
        <f t="shared" si="18"/>
        <v>4640724.5469949264</v>
      </c>
      <c r="G39" s="511">
        <f t="shared" si="19"/>
        <v>980645.38170943828</v>
      </c>
      <c r="H39" s="477">
        <f t="shared" si="20"/>
        <v>980645.38170943828</v>
      </c>
      <c r="I39" s="500">
        <f t="shared" si="6"/>
        <v>0</v>
      </c>
      <c r="J39" s="500"/>
      <c r="K39" s="512"/>
      <c r="L39" s="504">
        <f t="shared" si="16"/>
        <v>0</v>
      </c>
      <c r="M39" s="512"/>
      <c r="N39" s="504">
        <f t="shared" si="4"/>
        <v>0</v>
      </c>
      <c r="O39" s="504">
        <f t="shared" si="5"/>
        <v>0</v>
      </c>
      <c r="P39" s="278"/>
      <c r="R39" s="243"/>
      <c r="S39" s="243"/>
      <c r="T39" s="243"/>
      <c r="U39" s="243"/>
    </row>
    <row r="40" spans="2:21">
      <c r="B40" s="145" t="str">
        <f t="shared" si="0"/>
        <v/>
      </c>
      <c r="C40" s="495">
        <f>IF(D11="","-",+C39+1)</f>
        <v>2037</v>
      </c>
      <c r="D40" s="508">
        <f>IF(F39+SUM(E$17:E39)=D$10,F39,D$10-SUM(E$17:E39))</f>
        <v>4640724.5469949264</v>
      </c>
      <c r="E40" s="509">
        <f t="shared" si="17"/>
        <v>427563.54838709679</v>
      </c>
      <c r="F40" s="510">
        <f t="shared" si="18"/>
        <v>4213160.9986078292</v>
      </c>
      <c r="G40" s="511">
        <f t="shared" si="19"/>
        <v>931932.36836520035</v>
      </c>
      <c r="H40" s="477">
        <f t="shared" si="20"/>
        <v>931932.36836520035</v>
      </c>
      <c r="I40" s="500">
        <f t="shared" si="6"/>
        <v>0</v>
      </c>
      <c r="J40" s="500"/>
      <c r="K40" s="512"/>
      <c r="L40" s="504">
        <f t="shared" si="16"/>
        <v>0</v>
      </c>
      <c r="M40" s="512"/>
      <c r="N40" s="504">
        <f t="shared" si="4"/>
        <v>0</v>
      </c>
      <c r="O40" s="504">
        <f t="shared" si="5"/>
        <v>0</v>
      </c>
      <c r="P40" s="278"/>
      <c r="R40" s="243"/>
      <c r="S40" s="243"/>
      <c r="T40" s="243"/>
      <c r="U40" s="243"/>
    </row>
    <row r="41" spans="2:21">
      <c r="B41" s="145" t="str">
        <f t="shared" si="0"/>
        <v/>
      </c>
      <c r="C41" s="495">
        <f>IF(D12="","-",+C40+1)</f>
        <v>2038</v>
      </c>
      <c r="D41" s="508">
        <f>IF(F40+SUM(E$17:E40)=D$10,F40,D$10-SUM(E$17:E40))</f>
        <v>4213160.9986078292</v>
      </c>
      <c r="E41" s="509">
        <f t="shared" si="17"/>
        <v>427563.54838709679</v>
      </c>
      <c r="F41" s="510">
        <f t="shared" si="18"/>
        <v>3785597.4502207325</v>
      </c>
      <c r="G41" s="511">
        <f t="shared" si="19"/>
        <v>883219.35502096242</v>
      </c>
      <c r="H41" s="477">
        <f t="shared" si="20"/>
        <v>883219.35502096242</v>
      </c>
      <c r="I41" s="500">
        <f t="shared" si="6"/>
        <v>0</v>
      </c>
      <c r="J41" s="500"/>
      <c r="K41" s="512"/>
      <c r="L41" s="504">
        <f t="shared" si="16"/>
        <v>0</v>
      </c>
      <c r="M41" s="512"/>
      <c r="N41" s="504">
        <f t="shared" si="4"/>
        <v>0</v>
      </c>
      <c r="O41" s="504">
        <f t="shared" si="5"/>
        <v>0</v>
      </c>
      <c r="P41" s="278"/>
      <c r="R41" s="243"/>
      <c r="S41" s="243"/>
      <c r="T41" s="243"/>
      <c r="U41" s="243"/>
    </row>
    <row r="42" spans="2:21">
      <c r="B42" s="145" t="str">
        <f t="shared" si="0"/>
        <v/>
      </c>
      <c r="C42" s="495">
        <f>IF(D13="","-",+C41+1)</f>
        <v>2039</v>
      </c>
      <c r="D42" s="508">
        <f>IF(F41+SUM(E$17:E41)=D$10,F41,D$10-SUM(E$17:E41))</f>
        <v>3785597.4502207325</v>
      </c>
      <c r="E42" s="509">
        <f t="shared" si="17"/>
        <v>427563.54838709679</v>
      </c>
      <c r="F42" s="510">
        <f t="shared" si="18"/>
        <v>3358033.9018336358</v>
      </c>
      <c r="G42" s="511">
        <f t="shared" si="19"/>
        <v>834506.34167672473</v>
      </c>
      <c r="H42" s="477">
        <f t="shared" si="20"/>
        <v>834506.34167672473</v>
      </c>
      <c r="I42" s="500">
        <f t="shared" si="6"/>
        <v>0</v>
      </c>
      <c r="J42" s="500"/>
      <c r="K42" s="512"/>
      <c r="L42" s="504">
        <f t="shared" si="16"/>
        <v>0</v>
      </c>
      <c r="M42" s="512"/>
      <c r="N42" s="504">
        <f t="shared" si="4"/>
        <v>0</v>
      </c>
      <c r="O42" s="504">
        <f t="shared" si="5"/>
        <v>0</v>
      </c>
      <c r="P42" s="278"/>
      <c r="R42" s="243"/>
      <c r="S42" s="243"/>
      <c r="T42" s="243"/>
      <c r="U42" s="243"/>
    </row>
    <row r="43" spans="2:21">
      <c r="B43" s="145" t="str">
        <f t="shared" si="0"/>
        <v/>
      </c>
      <c r="C43" s="495">
        <f>IF(D11="","-",+C42+1)</f>
        <v>2040</v>
      </c>
      <c r="D43" s="508">
        <f>IF(F42+SUM(E$17:E42)=D$10,F42,D$10-SUM(E$17:E42))</f>
        <v>3358033.9018336358</v>
      </c>
      <c r="E43" s="509">
        <f t="shared" si="17"/>
        <v>427563.54838709679</v>
      </c>
      <c r="F43" s="510">
        <f t="shared" si="18"/>
        <v>2930470.353446539</v>
      </c>
      <c r="G43" s="511">
        <f t="shared" si="19"/>
        <v>785793.3283324868</v>
      </c>
      <c r="H43" s="477">
        <f t="shared" si="20"/>
        <v>785793.3283324868</v>
      </c>
      <c r="I43" s="500">
        <f t="shared" si="6"/>
        <v>0</v>
      </c>
      <c r="J43" s="500"/>
      <c r="K43" s="512"/>
      <c r="L43" s="504">
        <f t="shared" si="16"/>
        <v>0</v>
      </c>
      <c r="M43" s="512"/>
      <c r="N43" s="504">
        <f t="shared" si="4"/>
        <v>0</v>
      </c>
      <c r="O43" s="504">
        <f t="shared" si="5"/>
        <v>0</v>
      </c>
      <c r="P43" s="278"/>
      <c r="R43" s="243"/>
      <c r="S43" s="243"/>
      <c r="T43" s="243"/>
      <c r="U43" s="243"/>
    </row>
    <row r="44" spans="2:21">
      <c r="B44" s="145" t="str">
        <f t="shared" si="0"/>
        <v/>
      </c>
      <c r="C44" s="495">
        <f>IF(D11="","-",+C43+1)</f>
        <v>2041</v>
      </c>
      <c r="D44" s="508">
        <f>IF(F43+SUM(E$17:E43)=D$10,F43,D$10-SUM(E$17:E43))</f>
        <v>2930470.353446539</v>
      </c>
      <c r="E44" s="509">
        <f t="shared" si="17"/>
        <v>427563.54838709679</v>
      </c>
      <c r="F44" s="510">
        <f t="shared" si="18"/>
        <v>2502906.8050594423</v>
      </c>
      <c r="G44" s="511">
        <f t="shared" si="19"/>
        <v>737080.31498824898</v>
      </c>
      <c r="H44" s="477">
        <f t="shared" si="20"/>
        <v>737080.31498824898</v>
      </c>
      <c r="I44" s="500">
        <f t="shared" si="6"/>
        <v>0</v>
      </c>
      <c r="J44" s="500"/>
      <c r="K44" s="512"/>
      <c r="L44" s="504">
        <f t="shared" si="16"/>
        <v>0</v>
      </c>
      <c r="M44" s="512"/>
      <c r="N44" s="504">
        <f t="shared" si="4"/>
        <v>0</v>
      </c>
      <c r="O44" s="504">
        <f t="shared" si="5"/>
        <v>0</v>
      </c>
      <c r="P44" s="278"/>
      <c r="R44" s="243"/>
      <c r="S44" s="243"/>
      <c r="T44" s="243"/>
      <c r="U44" s="243"/>
    </row>
    <row r="45" spans="2:21">
      <c r="B45" s="145" t="str">
        <f t="shared" si="0"/>
        <v/>
      </c>
      <c r="C45" s="495">
        <f>IF(D11="","-",+C44+1)</f>
        <v>2042</v>
      </c>
      <c r="D45" s="508">
        <f>IF(F44+SUM(E$17:E44)=D$10,F44,D$10-SUM(E$17:E44))</f>
        <v>2502906.8050594423</v>
      </c>
      <c r="E45" s="509">
        <f t="shared" si="17"/>
        <v>427563.54838709679</v>
      </c>
      <c r="F45" s="510">
        <f t="shared" si="18"/>
        <v>2075343.2566723456</v>
      </c>
      <c r="G45" s="511">
        <f t="shared" si="19"/>
        <v>688367.30164401117</v>
      </c>
      <c r="H45" s="477">
        <f t="shared" si="20"/>
        <v>688367.30164401117</v>
      </c>
      <c r="I45" s="500">
        <f t="shared" si="6"/>
        <v>0</v>
      </c>
      <c r="J45" s="500"/>
      <c r="K45" s="512"/>
      <c r="L45" s="504">
        <f t="shared" si="16"/>
        <v>0</v>
      </c>
      <c r="M45" s="512"/>
      <c r="N45" s="504">
        <f t="shared" si="4"/>
        <v>0</v>
      </c>
      <c r="O45" s="504">
        <f t="shared" si="5"/>
        <v>0</v>
      </c>
      <c r="P45" s="278"/>
      <c r="R45" s="243"/>
      <c r="S45" s="243"/>
      <c r="T45" s="243"/>
      <c r="U45" s="243"/>
    </row>
    <row r="46" spans="2:21">
      <c r="B46" s="145" t="str">
        <f t="shared" si="0"/>
        <v/>
      </c>
      <c r="C46" s="495">
        <f>IF(D11="","-",+C45+1)</f>
        <v>2043</v>
      </c>
      <c r="D46" s="508">
        <f>IF(F45+SUM(E$17:E45)=D$10,F45,D$10-SUM(E$17:E45))</f>
        <v>2075343.2566723456</v>
      </c>
      <c r="E46" s="509">
        <f t="shared" si="17"/>
        <v>427563.54838709679</v>
      </c>
      <c r="F46" s="510">
        <f t="shared" si="18"/>
        <v>1647779.7082852488</v>
      </c>
      <c r="G46" s="511">
        <f t="shared" si="19"/>
        <v>639654.28829977335</v>
      </c>
      <c r="H46" s="477">
        <f t="shared" si="20"/>
        <v>639654.28829977335</v>
      </c>
      <c r="I46" s="500">
        <f t="shared" si="6"/>
        <v>0</v>
      </c>
      <c r="J46" s="500"/>
      <c r="K46" s="512"/>
      <c r="L46" s="504">
        <f t="shared" si="16"/>
        <v>0</v>
      </c>
      <c r="M46" s="512"/>
      <c r="N46" s="504">
        <f t="shared" si="4"/>
        <v>0</v>
      </c>
      <c r="O46" s="504">
        <f t="shared" si="5"/>
        <v>0</v>
      </c>
      <c r="P46" s="278"/>
      <c r="R46" s="243"/>
      <c r="S46" s="243"/>
      <c r="T46" s="243"/>
      <c r="U46" s="243"/>
    </row>
    <row r="47" spans="2:21">
      <c r="B47" s="145" t="str">
        <f t="shared" si="0"/>
        <v/>
      </c>
      <c r="C47" s="495">
        <f>IF(D11="","-",+C46+1)</f>
        <v>2044</v>
      </c>
      <c r="D47" s="508">
        <f>IF(F46+SUM(E$17:E46)=D$10,F46,D$10-SUM(E$17:E46))</f>
        <v>1647779.7082852488</v>
      </c>
      <c r="E47" s="509">
        <f t="shared" si="17"/>
        <v>427563.54838709679</v>
      </c>
      <c r="F47" s="510">
        <f t="shared" si="18"/>
        <v>1220216.1598981521</v>
      </c>
      <c r="G47" s="511">
        <f t="shared" si="19"/>
        <v>590941.27495553554</v>
      </c>
      <c r="H47" s="477">
        <f t="shared" si="20"/>
        <v>590941.27495553554</v>
      </c>
      <c r="I47" s="500">
        <f t="shared" si="6"/>
        <v>0</v>
      </c>
      <c r="J47" s="500"/>
      <c r="K47" s="512"/>
      <c r="L47" s="504">
        <f t="shared" si="16"/>
        <v>0</v>
      </c>
      <c r="M47" s="512"/>
      <c r="N47" s="504">
        <f t="shared" si="4"/>
        <v>0</v>
      </c>
      <c r="O47" s="504">
        <f t="shared" si="5"/>
        <v>0</v>
      </c>
      <c r="P47" s="278"/>
      <c r="R47" s="243"/>
      <c r="S47" s="243"/>
      <c r="T47" s="243"/>
      <c r="U47" s="243"/>
    </row>
    <row r="48" spans="2:21">
      <c r="B48" s="145" t="str">
        <f t="shared" si="0"/>
        <v/>
      </c>
      <c r="C48" s="495">
        <f>IF(D11="","-",+C47+1)</f>
        <v>2045</v>
      </c>
      <c r="D48" s="508">
        <f>IF(F47+SUM(E$17:E47)=D$10,F47,D$10-SUM(E$17:E47))</f>
        <v>1220216.1598981521</v>
      </c>
      <c r="E48" s="509">
        <f t="shared" si="17"/>
        <v>427563.54838709679</v>
      </c>
      <c r="F48" s="510">
        <f t="shared" si="18"/>
        <v>792652.61151105538</v>
      </c>
      <c r="G48" s="511">
        <f t="shared" si="19"/>
        <v>542228.26161129761</v>
      </c>
      <c r="H48" s="477">
        <f t="shared" si="20"/>
        <v>542228.26161129761</v>
      </c>
      <c r="I48" s="500">
        <f t="shared" si="6"/>
        <v>0</v>
      </c>
      <c r="J48" s="500"/>
      <c r="K48" s="512"/>
      <c r="L48" s="504">
        <f t="shared" si="16"/>
        <v>0</v>
      </c>
      <c r="M48" s="512"/>
      <c r="N48" s="504">
        <f t="shared" si="4"/>
        <v>0</v>
      </c>
      <c r="O48" s="504">
        <f t="shared" si="5"/>
        <v>0</v>
      </c>
      <c r="P48" s="278"/>
      <c r="R48" s="243"/>
      <c r="S48" s="243"/>
      <c r="T48" s="243"/>
      <c r="U48" s="243"/>
    </row>
    <row r="49" spans="2:21">
      <c r="B49" s="145" t="str">
        <f t="shared" si="0"/>
        <v/>
      </c>
      <c r="C49" s="495">
        <f>IF(D11="","-",+C48+1)</f>
        <v>2046</v>
      </c>
      <c r="D49" s="508">
        <f>IF(F48+SUM(E$17:E48)=D$10,F48,D$10-SUM(E$17:E48))</f>
        <v>792652.61151105538</v>
      </c>
      <c r="E49" s="509">
        <f t="shared" si="17"/>
        <v>427563.54838709679</v>
      </c>
      <c r="F49" s="510">
        <f t="shared" si="18"/>
        <v>365089.06312395859</v>
      </c>
      <c r="G49" s="511">
        <f t="shared" si="19"/>
        <v>493515.2482670598</v>
      </c>
      <c r="H49" s="477">
        <f t="shared" si="20"/>
        <v>493515.2482670598</v>
      </c>
      <c r="I49" s="500">
        <f t="shared" si="6"/>
        <v>0</v>
      </c>
      <c r="J49" s="500"/>
      <c r="K49" s="512"/>
      <c r="L49" s="504">
        <f t="shared" si="16"/>
        <v>0</v>
      </c>
      <c r="M49" s="512"/>
      <c r="N49" s="504">
        <f t="shared" si="4"/>
        <v>0</v>
      </c>
      <c r="O49" s="504">
        <f t="shared" si="5"/>
        <v>0</v>
      </c>
      <c r="P49" s="278"/>
      <c r="R49" s="243"/>
      <c r="S49" s="243"/>
      <c r="T49" s="243"/>
      <c r="U49" s="243"/>
    </row>
    <row r="50" spans="2:21">
      <c r="B50" s="145" t="str">
        <f t="shared" si="0"/>
        <v/>
      </c>
      <c r="C50" s="495">
        <f>IF(D11="","-",+C49+1)</f>
        <v>2047</v>
      </c>
      <c r="D50" s="508">
        <f>IF(F49+SUM(E$17:E49)=D$10,F49,D$10-SUM(E$17:E49))</f>
        <v>365089.06312395859</v>
      </c>
      <c r="E50" s="509">
        <f t="shared" si="17"/>
        <v>365089.06312395859</v>
      </c>
      <c r="F50" s="510">
        <f t="shared" si="18"/>
        <v>0</v>
      </c>
      <c r="G50" s="511">
        <f t="shared" si="19"/>
        <v>385886.65972788061</v>
      </c>
      <c r="H50" s="477">
        <f t="shared" si="20"/>
        <v>385886.65972788061</v>
      </c>
      <c r="I50" s="500">
        <f t="shared" si="6"/>
        <v>0</v>
      </c>
      <c r="J50" s="500"/>
      <c r="K50" s="512"/>
      <c r="L50" s="504">
        <f t="shared" si="16"/>
        <v>0</v>
      </c>
      <c r="M50" s="512"/>
      <c r="N50" s="504">
        <f t="shared" si="4"/>
        <v>0</v>
      </c>
      <c r="O50" s="504">
        <f t="shared" si="5"/>
        <v>0</v>
      </c>
      <c r="P50" s="278"/>
      <c r="R50" s="243"/>
      <c r="S50" s="243"/>
      <c r="T50" s="243"/>
      <c r="U50" s="243"/>
    </row>
    <row r="51" spans="2:21">
      <c r="B51" s="145" t="str">
        <f t="shared" si="0"/>
        <v/>
      </c>
      <c r="C51" s="495">
        <f>IF(D11="","-",+C50+1)</f>
        <v>2048</v>
      </c>
      <c r="D51" s="508">
        <f>IF(F50+SUM(E$17:E50)=D$10,F50,D$10-SUM(E$17:E50))</f>
        <v>0</v>
      </c>
      <c r="E51" s="509">
        <f t="shared" si="17"/>
        <v>0</v>
      </c>
      <c r="F51" s="510">
        <f t="shared" si="18"/>
        <v>0</v>
      </c>
      <c r="G51" s="511">
        <f t="shared" si="19"/>
        <v>0</v>
      </c>
      <c r="H51" s="477">
        <f t="shared" si="20"/>
        <v>0</v>
      </c>
      <c r="I51" s="500">
        <f t="shared" si="6"/>
        <v>0</v>
      </c>
      <c r="J51" s="500"/>
      <c r="K51" s="512"/>
      <c r="L51" s="504">
        <f t="shared" si="16"/>
        <v>0</v>
      </c>
      <c r="M51" s="512"/>
      <c r="N51" s="504">
        <f t="shared" si="4"/>
        <v>0</v>
      </c>
      <c r="O51" s="504">
        <f t="shared" si="5"/>
        <v>0</v>
      </c>
      <c r="P51" s="278"/>
      <c r="R51" s="243"/>
      <c r="S51" s="243"/>
      <c r="T51" s="243"/>
      <c r="U51" s="243"/>
    </row>
    <row r="52" spans="2:21">
      <c r="B52" s="145" t="str">
        <f t="shared" si="0"/>
        <v/>
      </c>
      <c r="C52" s="495">
        <f>IF(D11="","-",+C51+1)</f>
        <v>2049</v>
      </c>
      <c r="D52" s="508">
        <f>IF(F51+SUM(E$17:E51)=D$10,F51,D$10-SUM(E$17:E51))</f>
        <v>0</v>
      </c>
      <c r="E52" s="509">
        <f t="shared" si="17"/>
        <v>0</v>
      </c>
      <c r="F52" s="510">
        <f t="shared" si="18"/>
        <v>0</v>
      </c>
      <c r="G52" s="511">
        <f t="shared" si="19"/>
        <v>0</v>
      </c>
      <c r="H52" s="477">
        <f t="shared" si="20"/>
        <v>0</v>
      </c>
      <c r="I52" s="500">
        <f t="shared" si="6"/>
        <v>0</v>
      </c>
      <c r="J52" s="500"/>
      <c r="K52" s="512"/>
      <c r="L52" s="504">
        <f t="shared" si="16"/>
        <v>0</v>
      </c>
      <c r="M52" s="512"/>
      <c r="N52" s="504">
        <f t="shared" si="4"/>
        <v>0</v>
      </c>
      <c r="O52" s="504">
        <f t="shared" si="5"/>
        <v>0</v>
      </c>
      <c r="P52" s="278"/>
      <c r="R52" s="243"/>
      <c r="S52" s="243"/>
      <c r="T52" s="243"/>
      <c r="U52" s="243"/>
    </row>
    <row r="53" spans="2:21">
      <c r="B53" s="145" t="str">
        <f t="shared" si="0"/>
        <v/>
      </c>
      <c r="C53" s="495">
        <f>IF(D11="","-",+C52+1)</f>
        <v>2050</v>
      </c>
      <c r="D53" s="508">
        <f>IF(F52+SUM(E$17:E52)=D$10,F52,D$10-SUM(E$17:E52))</f>
        <v>0</v>
      </c>
      <c r="E53" s="509">
        <f t="shared" si="17"/>
        <v>0</v>
      </c>
      <c r="F53" s="510">
        <f t="shared" si="18"/>
        <v>0</v>
      </c>
      <c r="G53" s="511">
        <f t="shared" si="19"/>
        <v>0</v>
      </c>
      <c r="H53" s="477">
        <f t="shared" si="20"/>
        <v>0</v>
      </c>
      <c r="I53" s="500">
        <f t="shared" si="6"/>
        <v>0</v>
      </c>
      <c r="J53" s="500"/>
      <c r="K53" s="512"/>
      <c r="L53" s="504">
        <f t="shared" si="16"/>
        <v>0</v>
      </c>
      <c r="M53" s="512"/>
      <c r="N53" s="504">
        <f t="shared" si="4"/>
        <v>0</v>
      </c>
      <c r="O53" s="504">
        <f t="shared" si="5"/>
        <v>0</v>
      </c>
      <c r="P53" s="278"/>
      <c r="R53" s="243"/>
      <c r="S53" s="243"/>
      <c r="T53" s="243"/>
      <c r="U53" s="243"/>
    </row>
    <row r="54" spans="2:21">
      <c r="B54" s="145" t="str">
        <f t="shared" si="0"/>
        <v/>
      </c>
      <c r="C54" s="495">
        <f>IF(D11="","-",+C53+1)</f>
        <v>2051</v>
      </c>
      <c r="D54" s="508">
        <f>IF(F53+SUM(E$17:E53)=D$10,F53,D$10-SUM(E$17:E53))</f>
        <v>0</v>
      </c>
      <c r="E54" s="509">
        <f t="shared" si="17"/>
        <v>0</v>
      </c>
      <c r="F54" s="510">
        <f t="shared" si="18"/>
        <v>0</v>
      </c>
      <c r="G54" s="511">
        <f t="shared" si="19"/>
        <v>0</v>
      </c>
      <c r="H54" s="477">
        <f t="shared" si="20"/>
        <v>0</v>
      </c>
      <c r="I54" s="500">
        <f t="shared" si="6"/>
        <v>0</v>
      </c>
      <c r="J54" s="500"/>
      <c r="K54" s="512"/>
      <c r="L54" s="504">
        <f t="shared" si="16"/>
        <v>0</v>
      </c>
      <c r="M54" s="512"/>
      <c r="N54" s="504">
        <f t="shared" si="4"/>
        <v>0</v>
      </c>
      <c r="O54" s="504">
        <f t="shared" si="5"/>
        <v>0</v>
      </c>
      <c r="P54" s="278"/>
      <c r="R54" s="243"/>
      <c r="S54" s="243"/>
      <c r="T54" s="243"/>
      <c r="U54" s="243"/>
    </row>
    <row r="55" spans="2:21">
      <c r="B55" s="145" t="str">
        <f t="shared" si="0"/>
        <v/>
      </c>
      <c r="C55" s="495">
        <f>IF(D11="","-",+C54+1)</f>
        <v>2052</v>
      </c>
      <c r="D55" s="508">
        <f>IF(F54+SUM(E$17:E54)=D$10,F54,D$10-SUM(E$17:E54))</f>
        <v>0</v>
      </c>
      <c r="E55" s="509">
        <f t="shared" si="17"/>
        <v>0</v>
      </c>
      <c r="F55" s="510">
        <f t="shared" si="18"/>
        <v>0</v>
      </c>
      <c r="G55" s="511">
        <f t="shared" si="19"/>
        <v>0</v>
      </c>
      <c r="H55" s="477">
        <f t="shared" si="20"/>
        <v>0</v>
      </c>
      <c r="I55" s="500">
        <f t="shared" si="6"/>
        <v>0</v>
      </c>
      <c r="J55" s="500"/>
      <c r="K55" s="512"/>
      <c r="L55" s="504">
        <f t="shared" si="16"/>
        <v>0</v>
      </c>
      <c r="M55" s="512"/>
      <c r="N55" s="504">
        <f t="shared" si="4"/>
        <v>0</v>
      </c>
      <c r="O55" s="504">
        <f t="shared" si="5"/>
        <v>0</v>
      </c>
      <c r="P55" s="278"/>
      <c r="R55" s="243"/>
      <c r="S55" s="243"/>
      <c r="T55" s="243"/>
      <c r="U55" s="243"/>
    </row>
    <row r="56" spans="2:21">
      <c r="B56" s="145" t="str">
        <f t="shared" si="0"/>
        <v/>
      </c>
      <c r="C56" s="495">
        <f>IF(D11="","-",+C55+1)</f>
        <v>2053</v>
      </c>
      <c r="D56" s="508">
        <f>IF(F55+SUM(E$17:E55)=D$10,F55,D$10-SUM(E$17:E55))</f>
        <v>0</v>
      </c>
      <c r="E56" s="509">
        <f t="shared" si="17"/>
        <v>0</v>
      </c>
      <c r="F56" s="510">
        <f t="shared" si="18"/>
        <v>0</v>
      </c>
      <c r="G56" s="511">
        <f t="shared" si="19"/>
        <v>0</v>
      </c>
      <c r="H56" s="477">
        <f t="shared" si="20"/>
        <v>0</v>
      </c>
      <c r="I56" s="500">
        <f t="shared" si="6"/>
        <v>0</v>
      </c>
      <c r="J56" s="500"/>
      <c r="K56" s="512"/>
      <c r="L56" s="504">
        <f t="shared" si="16"/>
        <v>0</v>
      </c>
      <c r="M56" s="512"/>
      <c r="N56" s="504">
        <f t="shared" si="4"/>
        <v>0</v>
      </c>
      <c r="O56" s="504">
        <f t="shared" si="5"/>
        <v>0</v>
      </c>
      <c r="P56" s="278"/>
      <c r="R56" s="243"/>
      <c r="S56" s="243"/>
      <c r="T56" s="243"/>
      <c r="U56" s="243"/>
    </row>
    <row r="57" spans="2:21">
      <c r="B57" s="145" t="str">
        <f t="shared" si="0"/>
        <v/>
      </c>
      <c r="C57" s="495">
        <f>IF(D11="","-",+C56+1)</f>
        <v>2054</v>
      </c>
      <c r="D57" s="508">
        <f>IF(F56+SUM(E$17:E56)=D$10,F56,D$10-SUM(E$17:E56))</f>
        <v>0</v>
      </c>
      <c r="E57" s="509">
        <f t="shared" si="17"/>
        <v>0</v>
      </c>
      <c r="F57" s="510">
        <f t="shared" si="18"/>
        <v>0</v>
      </c>
      <c r="G57" s="511">
        <f t="shared" si="19"/>
        <v>0</v>
      </c>
      <c r="H57" s="477">
        <f t="shared" si="20"/>
        <v>0</v>
      </c>
      <c r="I57" s="500">
        <f t="shared" si="6"/>
        <v>0</v>
      </c>
      <c r="J57" s="500"/>
      <c r="K57" s="512"/>
      <c r="L57" s="504">
        <f t="shared" si="16"/>
        <v>0</v>
      </c>
      <c r="M57" s="512"/>
      <c r="N57" s="504">
        <f t="shared" si="4"/>
        <v>0</v>
      </c>
      <c r="O57" s="504">
        <f t="shared" si="5"/>
        <v>0</v>
      </c>
      <c r="P57" s="278"/>
      <c r="R57" s="243"/>
      <c r="S57" s="243"/>
      <c r="T57" s="243"/>
      <c r="U57" s="243"/>
    </row>
    <row r="58" spans="2:21">
      <c r="B58" s="145" t="str">
        <f t="shared" si="0"/>
        <v/>
      </c>
      <c r="C58" s="495">
        <f>IF(D11="","-",+C57+1)</f>
        <v>2055</v>
      </c>
      <c r="D58" s="508">
        <f>IF(F57+SUM(E$17:E57)=D$10,F57,D$10-SUM(E$17:E57))</f>
        <v>0</v>
      </c>
      <c r="E58" s="509">
        <f t="shared" si="17"/>
        <v>0</v>
      </c>
      <c r="F58" s="510">
        <f t="shared" si="18"/>
        <v>0</v>
      </c>
      <c r="G58" s="511">
        <f t="shared" si="19"/>
        <v>0</v>
      </c>
      <c r="H58" s="477">
        <f t="shared" si="20"/>
        <v>0</v>
      </c>
      <c r="I58" s="500">
        <f t="shared" si="6"/>
        <v>0</v>
      </c>
      <c r="J58" s="500"/>
      <c r="K58" s="512"/>
      <c r="L58" s="504">
        <f t="shared" si="16"/>
        <v>0</v>
      </c>
      <c r="M58" s="512"/>
      <c r="N58" s="504">
        <f t="shared" si="4"/>
        <v>0</v>
      </c>
      <c r="O58" s="504">
        <f t="shared" si="5"/>
        <v>0</v>
      </c>
      <c r="P58" s="278"/>
      <c r="R58" s="243"/>
      <c r="S58" s="243"/>
      <c r="T58" s="243"/>
      <c r="U58" s="243"/>
    </row>
    <row r="59" spans="2:21">
      <c r="B59" s="145" t="str">
        <f t="shared" si="0"/>
        <v/>
      </c>
      <c r="C59" s="495">
        <f>IF(D11="","-",+C58+1)</f>
        <v>2056</v>
      </c>
      <c r="D59" s="508">
        <f>IF(F58+SUM(E$17:E58)=D$10,F58,D$10-SUM(E$17:E58))</f>
        <v>0</v>
      </c>
      <c r="E59" s="509">
        <f t="shared" si="17"/>
        <v>0</v>
      </c>
      <c r="F59" s="510">
        <f t="shared" si="18"/>
        <v>0</v>
      </c>
      <c r="G59" s="511">
        <f t="shared" si="19"/>
        <v>0</v>
      </c>
      <c r="H59" s="477">
        <f t="shared" si="20"/>
        <v>0</v>
      </c>
      <c r="I59" s="500">
        <f t="shared" si="6"/>
        <v>0</v>
      </c>
      <c r="J59" s="500"/>
      <c r="K59" s="512"/>
      <c r="L59" s="504">
        <f t="shared" si="16"/>
        <v>0</v>
      </c>
      <c r="M59" s="512"/>
      <c r="N59" s="504">
        <f t="shared" si="4"/>
        <v>0</v>
      </c>
      <c r="O59" s="504">
        <f t="shared" si="5"/>
        <v>0</v>
      </c>
      <c r="P59" s="278"/>
      <c r="R59" s="243"/>
      <c r="S59" s="243"/>
      <c r="T59" s="243"/>
      <c r="U59" s="243"/>
    </row>
    <row r="60" spans="2:21">
      <c r="B60" s="145" t="str">
        <f t="shared" si="0"/>
        <v/>
      </c>
      <c r="C60" s="495">
        <f>IF(D11="","-",+C59+1)</f>
        <v>2057</v>
      </c>
      <c r="D60" s="508">
        <f>IF(F59+SUM(E$17:E59)=D$10,F59,D$10-SUM(E$17:E59))</f>
        <v>0</v>
      </c>
      <c r="E60" s="509">
        <f t="shared" si="17"/>
        <v>0</v>
      </c>
      <c r="F60" s="510">
        <f t="shared" si="18"/>
        <v>0</v>
      </c>
      <c r="G60" s="511">
        <f t="shared" si="19"/>
        <v>0</v>
      </c>
      <c r="H60" s="477">
        <f t="shared" si="20"/>
        <v>0</v>
      </c>
      <c r="I60" s="500">
        <f t="shared" si="6"/>
        <v>0</v>
      </c>
      <c r="J60" s="500"/>
      <c r="K60" s="512"/>
      <c r="L60" s="504">
        <f t="shared" si="16"/>
        <v>0</v>
      </c>
      <c r="M60" s="512"/>
      <c r="N60" s="504">
        <f t="shared" si="4"/>
        <v>0</v>
      </c>
      <c r="O60" s="504">
        <f t="shared" si="5"/>
        <v>0</v>
      </c>
      <c r="P60" s="278"/>
      <c r="R60" s="243"/>
      <c r="S60" s="243"/>
      <c r="T60" s="243"/>
      <c r="U60" s="243"/>
    </row>
    <row r="61" spans="2:21">
      <c r="B61" s="145" t="str">
        <f t="shared" si="0"/>
        <v/>
      </c>
      <c r="C61" s="495">
        <f>IF(D11="","-",+C60+1)</f>
        <v>2058</v>
      </c>
      <c r="D61" s="508">
        <f>IF(F60+SUM(E$17:E60)=D$10,F60,D$10-SUM(E$17:E60))</f>
        <v>0</v>
      </c>
      <c r="E61" s="509">
        <f t="shared" si="17"/>
        <v>0</v>
      </c>
      <c r="F61" s="510">
        <f t="shared" si="18"/>
        <v>0</v>
      </c>
      <c r="G61" s="511">
        <f t="shared" si="19"/>
        <v>0</v>
      </c>
      <c r="H61" s="477">
        <f t="shared" si="20"/>
        <v>0</v>
      </c>
      <c r="I61" s="500">
        <f t="shared" si="6"/>
        <v>0</v>
      </c>
      <c r="J61" s="500"/>
      <c r="K61" s="512"/>
      <c r="L61" s="504">
        <f t="shared" si="16"/>
        <v>0</v>
      </c>
      <c r="M61" s="512"/>
      <c r="N61" s="504">
        <f t="shared" si="4"/>
        <v>0</v>
      </c>
      <c r="O61" s="504">
        <f t="shared" si="5"/>
        <v>0</v>
      </c>
      <c r="P61" s="278"/>
      <c r="R61" s="243"/>
      <c r="S61" s="243"/>
      <c r="T61" s="243"/>
      <c r="U61" s="243"/>
    </row>
    <row r="62" spans="2:21">
      <c r="B62" s="145" t="str">
        <f t="shared" si="0"/>
        <v/>
      </c>
      <c r="C62" s="495">
        <f>IF(D11="","-",+C61+1)</f>
        <v>2059</v>
      </c>
      <c r="D62" s="508">
        <f>IF(F61+SUM(E$17:E61)=D$10,F61,D$10-SUM(E$17:E61))</f>
        <v>0</v>
      </c>
      <c r="E62" s="509">
        <f t="shared" si="17"/>
        <v>0</v>
      </c>
      <c r="F62" s="510">
        <f t="shared" si="18"/>
        <v>0</v>
      </c>
      <c r="G62" s="511">
        <f t="shared" si="19"/>
        <v>0</v>
      </c>
      <c r="H62" s="477">
        <f t="shared" si="20"/>
        <v>0</v>
      </c>
      <c r="I62" s="500">
        <f t="shared" si="6"/>
        <v>0</v>
      </c>
      <c r="J62" s="500"/>
      <c r="K62" s="512"/>
      <c r="L62" s="504">
        <f t="shared" si="16"/>
        <v>0</v>
      </c>
      <c r="M62" s="512"/>
      <c r="N62" s="504">
        <f t="shared" si="4"/>
        <v>0</v>
      </c>
      <c r="O62" s="504">
        <f t="shared" si="5"/>
        <v>0</v>
      </c>
      <c r="P62" s="278"/>
      <c r="R62" s="243"/>
      <c r="S62" s="243"/>
      <c r="T62" s="243"/>
      <c r="U62" s="243"/>
    </row>
    <row r="63" spans="2:21">
      <c r="B63" s="145" t="str">
        <f t="shared" si="0"/>
        <v/>
      </c>
      <c r="C63" s="495">
        <f>IF(D11="","-",+C62+1)</f>
        <v>2060</v>
      </c>
      <c r="D63" s="508">
        <f>IF(F62+SUM(E$17:E62)=D$10,F62,D$10-SUM(E$17:E62))</f>
        <v>0</v>
      </c>
      <c r="E63" s="509">
        <f t="shared" si="17"/>
        <v>0</v>
      </c>
      <c r="F63" s="510">
        <f t="shared" si="18"/>
        <v>0</v>
      </c>
      <c r="G63" s="511">
        <f t="shared" si="19"/>
        <v>0</v>
      </c>
      <c r="H63" s="477">
        <f t="shared" si="20"/>
        <v>0</v>
      </c>
      <c r="I63" s="500">
        <f t="shared" si="6"/>
        <v>0</v>
      </c>
      <c r="J63" s="500"/>
      <c r="K63" s="512"/>
      <c r="L63" s="504">
        <f t="shared" si="16"/>
        <v>0</v>
      </c>
      <c r="M63" s="512"/>
      <c r="N63" s="504">
        <f t="shared" si="4"/>
        <v>0</v>
      </c>
      <c r="O63" s="504">
        <f t="shared" si="5"/>
        <v>0</v>
      </c>
      <c r="P63" s="278"/>
      <c r="R63" s="243"/>
      <c r="S63" s="243"/>
      <c r="T63" s="243"/>
      <c r="U63" s="243"/>
    </row>
    <row r="64" spans="2:21">
      <c r="B64" s="145" t="str">
        <f t="shared" si="0"/>
        <v/>
      </c>
      <c r="C64" s="495">
        <f>IF(D11="","-",+C63+1)</f>
        <v>2061</v>
      </c>
      <c r="D64" s="508">
        <f>IF(F63+SUM(E$17:E63)=D$10,F63,D$10-SUM(E$17:E63))</f>
        <v>0</v>
      </c>
      <c r="E64" s="509">
        <f t="shared" si="17"/>
        <v>0</v>
      </c>
      <c r="F64" s="510">
        <f t="shared" si="18"/>
        <v>0</v>
      </c>
      <c r="G64" s="511">
        <f t="shared" si="19"/>
        <v>0</v>
      </c>
      <c r="H64" s="477">
        <f t="shared" si="20"/>
        <v>0</v>
      </c>
      <c r="I64" s="500">
        <f t="shared" si="6"/>
        <v>0</v>
      </c>
      <c r="J64" s="500"/>
      <c r="K64" s="512"/>
      <c r="L64" s="504">
        <f t="shared" si="16"/>
        <v>0</v>
      </c>
      <c r="M64" s="512"/>
      <c r="N64" s="504">
        <f t="shared" si="4"/>
        <v>0</v>
      </c>
      <c r="O64" s="504">
        <f t="shared" si="5"/>
        <v>0</v>
      </c>
      <c r="P64" s="278"/>
      <c r="R64" s="243"/>
      <c r="S64" s="243"/>
      <c r="T64" s="243"/>
      <c r="U64" s="243"/>
    </row>
    <row r="65" spans="2:21">
      <c r="B65" s="145" t="str">
        <f t="shared" si="0"/>
        <v/>
      </c>
      <c r="C65" s="495">
        <f>IF(D11="","-",+C64+1)</f>
        <v>2062</v>
      </c>
      <c r="D65" s="508">
        <f>IF(F64+SUM(E$17:E64)=D$10,F64,D$10-SUM(E$17:E64))</f>
        <v>0</v>
      </c>
      <c r="E65" s="509">
        <f t="shared" si="17"/>
        <v>0</v>
      </c>
      <c r="F65" s="510">
        <f t="shared" si="18"/>
        <v>0</v>
      </c>
      <c r="G65" s="511">
        <f t="shared" si="19"/>
        <v>0</v>
      </c>
      <c r="H65" s="477">
        <f t="shared" si="20"/>
        <v>0</v>
      </c>
      <c r="I65" s="500">
        <f t="shared" si="6"/>
        <v>0</v>
      </c>
      <c r="J65" s="500"/>
      <c r="K65" s="512"/>
      <c r="L65" s="504">
        <f t="shared" si="16"/>
        <v>0</v>
      </c>
      <c r="M65" s="512"/>
      <c r="N65" s="504">
        <f t="shared" si="4"/>
        <v>0</v>
      </c>
      <c r="O65" s="504">
        <f t="shared" si="5"/>
        <v>0</v>
      </c>
      <c r="P65" s="278"/>
      <c r="R65" s="243"/>
      <c r="S65" s="243"/>
      <c r="T65" s="243"/>
      <c r="U65" s="243"/>
    </row>
    <row r="66" spans="2:21">
      <c r="B66" s="145" t="str">
        <f t="shared" si="0"/>
        <v/>
      </c>
      <c r="C66" s="495">
        <f>IF(D11="","-",+C65+1)</f>
        <v>2063</v>
      </c>
      <c r="D66" s="508">
        <f>IF(F65+SUM(E$17:E65)=D$10,F65,D$10-SUM(E$17:E65))</f>
        <v>0</v>
      </c>
      <c r="E66" s="509">
        <f t="shared" si="17"/>
        <v>0</v>
      </c>
      <c r="F66" s="510">
        <f t="shared" si="18"/>
        <v>0</v>
      </c>
      <c r="G66" s="511">
        <f t="shared" si="19"/>
        <v>0</v>
      </c>
      <c r="H66" s="477">
        <f t="shared" si="20"/>
        <v>0</v>
      </c>
      <c r="I66" s="500">
        <f t="shared" si="6"/>
        <v>0</v>
      </c>
      <c r="J66" s="500"/>
      <c r="K66" s="512"/>
      <c r="L66" s="504">
        <f t="shared" si="16"/>
        <v>0</v>
      </c>
      <c r="M66" s="512"/>
      <c r="N66" s="504">
        <f t="shared" si="4"/>
        <v>0</v>
      </c>
      <c r="O66" s="504">
        <f t="shared" si="5"/>
        <v>0</v>
      </c>
      <c r="P66" s="278"/>
      <c r="R66" s="243"/>
      <c r="S66" s="243"/>
      <c r="T66" s="243"/>
      <c r="U66" s="243"/>
    </row>
    <row r="67" spans="2:21">
      <c r="B67" s="145" t="str">
        <f t="shared" si="0"/>
        <v/>
      </c>
      <c r="C67" s="495">
        <f>IF(D11="","-",+C66+1)</f>
        <v>2064</v>
      </c>
      <c r="D67" s="508">
        <f>IF(F66+SUM(E$17:E66)=D$10,F66,D$10-SUM(E$17:E66))</f>
        <v>0</v>
      </c>
      <c r="E67" s="509">
        <f t="shared" si="17"/>
        <v>0</v>
      </c>
      <c r="F67" s="510">
        <f t="shared" si="18"/>
        <v>0</v>
      </c>
      <c r="G67" s="511">
        <f t="shared" si="19"/>
        <v>0</v>
      </c>
      <c r="H67" s="477">
        <f t="shared" si="20"/>
        <v>0</v>
      </c>
      <c r="I67" s="500">
        <f t="shared" si="6"/>
        <v>0</v>
      </c>
      <c r="J67" s="500"/>
      <c r="K67" s="512"/>
      <c r="L67" s="504">
        <f t="shared" si="16"/>
        <v>0</v>
      </c>
      <c r="M67" s="512"/>
      <c r="N67" s="504">
        <f t="shared" si="4"/>
        <v>0</v>
      </c>
      <c r="O67" s="504">
        <f t="shared" si="5"/>
        <v>0</v>
      </c>
      <c r="P67" s="278"/>
      <c r="R67" s="243"/>
      <c r="S67" s="243"/>
      <c r="T67" s="243"/>
      <c r="U67" s="243"/>
    </row>
    <row r="68" spans="2:21">
      <c r="B68" s="145" t="str">
        <f t="shared" si="0"/>
        <v/>
      </c>
      <c r="C68" s="495">
        <f>IF(D11="","-",+C67+1)</f>
        <v>2065</v>
      </c>
      <c r="D68" s="508">
        <f>IF(F67+SUM(E$17:E67)=D$10,F67,D$10-SUM(E$17:E67))</f>
        <v>0</v>
      </c>
      <c r="E68" s="509">
        <f t="shared" si="17"/>
        <v>0</v>
      </c>
      <c r="F68" s="510">
        <f t="shared" si="18"/>
        <v>0</v>
      </c>
      <c r="G68" s="511">
        <f t="shared" si="19"/>
        <v>0</v>
      </c>
      <c r="H68" s="477">
        <f t="shared" si="20"/>
        <v>0</v>
      </c>
      <c r="I68" s="500">
        <f t="shared" si="6"/>
        <v>0</v>
      </c>
      <c r="J68" s="500"/>
      <c r="K68" s="512"/>
      <c r="L68" s="504">
        <f t="shared" si="16"/>
        <v>0</v>
      </c>
      <c r="M68" s="512"/>
      <c r="N68" s="504">
        <f t="shared" si="4"/>
        <v>0</v>
      </c>
      <c r="O68" s="504">
        <f t="shared" si="5"/>
        <v>0</v>
      </c>
      <c r="P68" s="278"/>
      <c r="R68" s="243"/>
      <c r="S68" s="243"/>
      <c r="T68" s="243"/>
      <c r="U68" s="243"/>
    </row>
    <row r="69" spans="2:21">
      <c r="B69" s="145" t="str">
        <f t="shared" si="0"/>
        <v/>
      </c>
      <c r="C69" s="495">
        <f>IF(D11="","-",+C68+1)</f>
        <v>2066</v>
      </c>
      <c r="D69" s="508">
        <f>IF(F68+SUM(E$17:E68)=D$10,F68,D$10-SUM(E$17:E68))</f>
        <v>0</v>
      </c>
      <c r="E69" s="509">
        <f t="shared" si="17"/>
        <v>0</v>
      </c>
      <c r="F69" s="510">
        <f t="shared" si="18"/>
        <v>0</v>
      </c>
      <c r="G69" s="511">
        <f t="shared" si="19"/>
        <v>0</v>
      </c>
      <c r="H69" s="477">
        <f t="shared" si="20"/>
        <v>0</v>
      </c>
      <c r="I69" s="500">
        <f t="shared" si="6"/>
        <v>0</v>
      </c>
      <c r="J69" s="500"/>
      <c r="K69" s="512"/>
      <c r="L69" s="504">
        <f t="shared" si="16"/>
        <v>0</v>
      </c>
      <c r="M69" s="512"/>
      <c r="N69" s="504">
        <f t="shared" si="4"/>
        <v>0</v>
      </c>
      <c r="O69" s="504">
        <f t="shared" si="5"/>
        <v>0</v>
      </c>
      <c r="P69" s="278"/>
      <c r="R69" s="243"/>
      <c r="S69" s="243"/>
      <c r="T69" s="243"/>
      <c r="U69" s="243"/>
    </row>
    <row r="70" spans="2:21">
      <c r="B70" s="145" t="str">
        <f t="shared" si="0"/>
        <v/>
      </c>
      <c r="C70" s="495">
        <f>IF(D11="","-",+C69+1)</f>
        <v>2067</v>
      </c>
      <c r="D70" s="508">
        <f>IF(F69+SUM(E$17:E69)=D$10,F69,D$10-SUM(E$17:E69))</f>
        <v>0</v>
      </c>
      <c r="E70" s="509">
        <f t="shared" si="17"/>
        <v>0</v>
      </c>
      <c r="F70" s="510">
        <f t="shared" si="18"/>
        <v>0</v>
      </c>
      <c r="G70" s="511">
        <f t="shared" si="19"/>
        <v>0</v>
      </c>
      <c r="H70" s="477">
        <f t="shared" si="20"/>
        <v>0</v>
      </c>
      <c r="I70" s="500">
        <f t="shared" si="6"/>
        <v>0</v>
      </c>
      <c r="J70" s="500"/>
      <c r="K70" s="512"/>
      <c r="L70" s="504">
        <f t="shared" si="16"/>
        <v>0</v>
      </c>
      <c r="M70" s="512"/>
      <c r="N70" s="504">
        <f t="shared" si="4"/>
        <v>0</v>
      </c>
      <c r="O70" s="504">
        <f t="shared" si="5"/>
        <v>0</v>
      </c>
      <c r="P70" s="278"/>
      <c r="R70" s="243"/>
      <c r="S70" s="243"/>
      <c r="T70" s="243"/>
      <c r="U70" s="243"/>
    </row>
    <row r="71" spans="2:21">
      <c r="B71" s="145" t="str">
        <f t="shared" si="0"/>
        <v/>
      </c>
      <c r="C71" s="495">
        <f>IF(D11="","-",+C70+1)</f>
        <v>2068</v>
      </c>
      <c r="D71" s="508">
        <f>IF(F70+SUM(E$17:E70)=D$10,F70,D$10-SUM(E$17:E70))</f>
        <v>0</v>
      </c>
      <c r="E71" s="509">
        <f t="shared" si="17"/>
        <v>0</v>
      </c>
      <c r="F71" s="510">
        <f t="shared" si="18"/>
        <v>0</v>
      </c>
      <c r="G71" s="511">
        <f t="shared" si="19"/>
        <v>0</v>
      </c>
      <c r="H71" s="477">
        <f t="shared" si="20"/>
        <v>0</v>
      </c>
      <c r="I71" s="500">
        <f t="shared" si="6"/>
        <v>0</v>
      </c>
      <c r="J71" s="500"/>
      <c r="K71" s="512"/>
      <c r="L71" s="504">
        <f t="shared" si="16"/>
        <v>0</v>
      </c>
      <c r="M71" s="512"/>
      <c r="N71" s="504">
        <f t="shared" si="4"/>
        <v>0</v>
      </c>
      <c r="O71" s="504">
        <f t="shared" si="5"/>
        <v>0</v>
      </c>
      <c r="P71" s="278"/>
      <c r="R71" s="243"/>
      <c r="S71" s="243"/>
      <c r="T71" s="243"/>
      <c r="U71" s="243"/>
    </row>
    <row r="72" spans="2:21">
      <c r="B72" s="145" t="str">
        <f t="shared" si="0"/>
        <v/>
      </c>
      <c r="C72" s="495">
        <f>IF(D11="","-",+C71+1)</f>
        <v>2069</v>
      </c>
      <c r="D72" s="508">
        <f>IF(F71+SUM(E$17:E71)=D$10,F71,D$10-SUM(E$17:E71))</f>
        <v>0</v>
      </c>
      <c r="E72" s="509">
        <f t="shared" si="17"/>
        <v>0</v>
      </c>
      <c r="F72" s="510">
        <f t="shared" si="18"/>
        <v>0</v>
      </c>
      <c r="G72" s="511">
        <f t="shared" si="19"/>
        <v>0</v>
      </c>
      <c r="H72" s="477">
        <f t="shared" si="20"/>
        <v>0</v>
      </c>
      <c r="I72" s="500">
        <f t="shared" si="6"/>
        <v>0</v>
      </c>
      <c r="J72" s="500"/>
      <c r="K72" s="512"/>
      <c r="L72" s="504">
        <f t="shared" si="16"/>
        <v>0</v>
      </c>
      <c r="M72" s="512"/>
      <c r="N72" s="504">
        <f t="shared" si="4"/>
        <v>0</v>
      </c>
      <c r="O72" s="504">
        <f t="shared" si="5"/>
        <v>0</v>
      </c>
      <c r="P72" s="278"/>
      <c r="R72" s="243"/>
      <c r="S72" s="243"/>
      <c r="T72" s="243"/>
      <c r="U72" s="243"/>
    </row>
    <row r="73" spans="2:21" ht="13.5" thickBot="1">
      <c r="B73" s="145" t="str">
        <f t="shared" si="0"/>
        <v/>
      </c>
      <c r="C73" s="524">
        <f>IF(D11="","-",+C72+1)</f>
        <v>2070</v>
      </c>
      <c r="D73" s="525">
        <f>IF(F72+SUM(E$17:E72)=D$10,F72,D$10-SUM(E$17:E72))</f>
        <v>0</v>
      </c>
      <c r="E73" s="526">
        <f t="shared" si="17"/>
        <v>0</v>
      </c>
      <c r="F73" s="527">
        <f t="shared" si="18"/>
        <v>0</v>
      </c>
      <c r="G73" s="527">
        <f t="shared" si="19"/>
        <v>0</v>
      </c>
      <c r="H73" s="527">
        <f t="shared" si="20"/>
        <v>0</v>
      </c>
      <c r="I73" s="529">
        <f t="shared" si="6"/>
        <v>0</v>
      </c>
      <c r="J73" s="500"/>
      <c r="K73" s="530"/>
      <c r="L73" s="531">
        <f t="shared" si="16"/>
        <v>0</v>
      </c>
      <c r="M73" s="530"/>
      <c r="N73" s="531">
        <f t="shared" si="4"/>
        <v>0</v>
      </c>
      <c r="O73" s="531">
        <f t="shared" si="5"/>
        <v>0</v>
      </c>
      <c r="P73" s="278"/>
      <c r="R73" s="243"/>
      <c r="S73" s="243"/>
      <c r="T73" s="243"/>
      <c r="U73" s="243"/>
    </row>
    <row r="74" spans="2:21">
      <c r="C74" s="349" t="s">
        <v>75</v>
      </c>
      <c r="D74" s="294"/>
      <c r="E74" s="294">
        <f>SUM(E17:E73)</f>
        <v>13254470.000000002</v>
      </c>
      <c r="F74" s="294"/>
      <c r="G74" s="294">
        <f>SUM(G17:G73)</f>
        <v>39063528.74352143</v>
      </c>
      <c r="H74" s="294">
        <f>SUM(H17:H73)</f>
        <v>39063528.74352143</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12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1602683.1037737736</v>
      </c>
      <c r="N88" s="544">
        <f>IF(J93&lt;D11,0,VLOOKUP(J93,C17:O73,11))</f>
        <v>1602683.1037737736</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1813462.5604316716</v>
      </c>
      <c r="N89" s="548">
        <f>IF(J93&lt;D11,0,VLOOKUP(J93,C100:P155,7))</f>
        <v>1813462.5604316716</v>
      </c>
      <c r="O89" s="549">
        <f>+N89-M89</f>
        <v>0</v>
      </c>
      <c r="P89" s="243"/>
      <c r="Q89" s="243"/>
      <c r="R89" s="243"/>
      <c r="S89" s="243"/>
      <c r="T89" s="243"/>
      <c r="U89" s="243"/>
    </row>
    <row r="90" spans="1:21" ht="13.5" thickBot="1">
      <c r="C90" s="454" t="s">
        <v>82</v>
      </c>
      <c r="D90" s="550" t="str">
        <f>+D7</f>
        <v>Darlington-Red Rock 138 kV line</v>
      </c>
      <c r="E90" s="243"/>
      <c r="F90" s="243"/>
      <c r="G90" s="243"/>
      <c r="H90" s="243"/>
      <c r="I90" s="325"/>
      <c r="J90" s="325"/>
      <c r="K90" s="551"/>
      <c r="L90" s="552" t="s">
        <v>135</v>
      </c>
      <c r="M90" s="553">
        <f>+M89-M88</f>
        <v>210779.45665789791</v>
      </c>
      <c r="N90" s="553">
        <f>+N89-N88</f>
        <v>210779.45665789791</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TP2012112</v>
      </c>
      <c r="E92" s="558"/>
      <c r="F92" s="558"/>
      <c r="G92" s="558"/>
      <c r="H92" s="558"/>
      <c r="I92" s="558"/>
      <c r="J92" s="558"/>
      <c r="K92" s="560"/>
      <c r="P92" s="468"/>
      <c r="Q92" s="243"/>
      <c r="R92" s="243"/>
      <c r="S92" s="243"/>
      <c r="T92" s="243"/>
      <c r="U92" s="243"/>
    </row>
    <row r="93" spans="1:21">
      <c r="C93" s="472" t="s">
        <v>49</v>
      </c>
      <c r="D93" s="622">
        <v>13254470</v>
      </c>
      <c r="E93" s="248" t="s">
        <v>84</v>
      </c>
      <c r="H93" s="408"/>
      <c r="I93" s="408"/>
      <c r="J93" s="471">
        <f>+'OKT.WS.G.BPU.ATRR.True-up'!M16</f>
        <v>2021</v>
      </c>
      <c r="K93" s="467"/>
      <c r="L93" s="294" t="s">
        <v>85</v>
      </c>
      <c r="P93" s="278"/>
      <c r="Q93" s="243"/>
      <c r="R93" s="243"/>
      <c r="S93" s="243"/>
      <c r="T93" s="243"/>
      <c r="U93" s="243"/>
    </row>
    <row r="94" spans="1:21">
      <c r="C94" s="472" t="s">
        <v>52</v>
      </c>
      <c r="D94" s="561">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4</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530178.80000000005</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2014</v>
      </c>
      <c r="D100" s="349"/>
      <c r="E100" s="511"/>
      <c r="F100" s="510"/>
      <c r="G100" s="605"/>
      <c r="H100" s="605"/>
      <c r="I100" s="605"/>
      <c r="J100" s="504"/>
      <c r="K100" s="504"/>
      <c r="L100" s="501"/>
      <c r="M100" s="502">
        <f t="shared" ref="M100:M131" si="21">IF(L100&lt;&gt;0,+H100-L100,0)</f>
        <v>0</v>
      </c>
      <c r="N100" s="501"/>
      <c r="O100" s="503">
        <f t="shared" ref="O100:O131" si="22">IF(N100&lt;&gt;0,+I100-N100,0)</f>
        <v>0</v>
      </c>
      <c r="P100" s="503">
        <f t="shared" ref="P100:P131" si="23">+O100-M100</f>
        <v>0</v>
      </c>
      <c r="Q100" s="243"/>
      <c r="R100" s="243"/>
      <c r="S100" s="243"/>
      <c r="T100" s="243"/>
      <c r="U100" s="243"/>
    </row>
    <row r="101" spans="1:21">
      <c r="C101" s="495">
        <f>IF(D94="","-",+C100+1)</f>
        <v>2015</v>
      </c>
      <c r="D101" s="496">
        <v>12986963.014521964</v>
      </c>
      <c r="E101" s="498">
        <v>276134.79166666669</v>
      </c>
      <c r="F101" s="505">
        <v>12710828.222855298</v>
      </c>
      <c r="G101" s="505">
        <v>12848895.618688632</v>
      </c>
      <c r="H101" s="498">
        <v>1706594.9989443137</v>
      </c>
      <c r="I101" s="499">
        <v>1706594.9989443137</v>
      </c>
      <c r="J101" s="504"/>
      <c r="K101" s="504"/>
      <c r="L101" s="506"/>
      <c r="M101" s="507">
        <f t="shared" si="21"/>
        <v>0</v>
      </c>
      <c r="N101" s="506"/>
      <c r="O101" s="504">
        <f t="shared" si="22"/>
        <v>0</v>
      </c>
      <c r="P101" s="504">
        <f t="shared" si="23"/>
        <v>0</v>
      </c>
      <c r="Q101" s="243"/>
      <c r="R101" s="243"/>
      <c r="S101" s="243"/>
      <c r="T101" s="243"/>
      <c r="U101" s="243"/>
    </row>
    <row r="102" spans="1:21">
      <c r="B102" s="145" t="str">
        <f t="shared" ref="B102:B155" si="24">IF(D102=F101,"","IU")</f>
        <v>IU</v>
      </c>
      <c r="C102" s="495">
        <f>IF(D94="","-",+C101+1)</f>
        <v>2016</v>
      </c>
      <c r="D102" s="496">
        <v>12978335.208333334</v>
      </c>
      <c r="E102" s="498">
        <v>259891.56862745099</v>
      </c>
      <c r="F102" s="505">
        <v>12718443.639705883</v>
      </c>
      <c r="G102" s="505">
        <v>12848389.424019609</v>
      </c>
      <c r="H102" s="498">
        <v>1652264.5848598198</v>
      </c>
      <c r="I102" s="499">
        <v>1652264.5848598198</v>
      </c>
      <c r="J102" s="504">
        <v>0</v>
      </c>
      <c r="K102" s="504"/>
      <c r="L102" s="506">
        <f>H102</f>
        <v>1652264.5848598198</v>
      </c>
      <c r="M102" s="504">
        <f>IF(L102&lt;&gt;0,+H102-L102,0)</f>
        <v>0</v>
      </c>
      <c r="N102" s="506">
        <f>I102</f>
        <v>1652264.5848598198</v>
      </c>
      <c r="O102" s="504">
        <f t="shared" si="22"/>
        <v>0</v>
      </c>
      <c r="P102" s="504">
        <f t="shared" si="23"/>
        <v>0</v>
      </c>
      <c r="Q102" s="243"/>
      <c r="R102" s="243"/>
      <c r="S102" s="243"/>
      <c r="T102" s="243"/>
      <c r="U102" s="243"/>
    </row>
    <row r="103" spans="1:21">
      <c r="B103" s="145" t="str">
        <f t="shared" si="24"/>
        <v/>
      </c>
      <c r="C103" s="495">
        <f>IF(D94="","-",+C102+1)</f>
        <v>2017</v>
      </c>
      <c r="D103" s="496">
        <v>12718443.639705883</v>
      </c>
      <c r="E103" s="498">
        <v>331361.75</v>
      </c>
      <c r="F103" s="505">
        <v>12387081.889705883</v>
      </c>
      <c r="G103" s="505">
        <v>12552762.764705883</v>
      </c>
      <c r="H103" s="498">
        <v>1804251.0172391555</v>
      </c>
      <c r="I103" s="499">
        <v>1804251.0172391555</v>
      </c>
      <c r="J103" s="504">
        <f>+I103-H103</f>
        <v>0</v>
      </c>
      <c r="K103" s="504"/>
      <c r="L103" s="506">
        <f>H103</f>
        <v>1804251.0172391555</v>
      </c>
      <c r="M103" s="504">
        <f>IF(L103&lt;&gt;0,+H103-L103,0)</f>
        <v>0</v>
      </c>
      <c r="N103" s="506">
        <f>I103</f>
        <v>1804251.0172391555</v>
      </c>
      <c r="O103" s="504">
        <f>IF(N103&lt;&gt;0,+I103-N103,0)</f>
        <v>0</v>
      </c>
      <c r="P103" s="504">
        <f>+O103-M103</f>
        <v>0</v>
      </c>
      <c r="Q103" s="243"/>
      <c r="R103" s="243"/>
      <c r="S103" s="243"/>
      <c r="T103" s="243"/>
      <c r="U103" s="243"/>
    </row>
    <row r="104" spans="1:21">
      <c r="B104" s="145" t="str">
        <f t="shared" si="24"/>
        <v/>
      </c>
      <c r="C104" s="495">
        <f>IF(D94="","-",+C103+1)</f>
        <v>2018</v>
      </c>
      <c r="D104" s="496">
        <v>12387081.889705883</v>
      </c>
      <c r="E104" s="498">
        <v>368179.72222222225</v>
      </c>
      <c r="F104" s="505">
        <v>12018902.167483661</v>
      </c>
      <c r="G104" s="505">
        <v>12202992.028594773</v>
      </c>
      <c r="H104" s="498">
        <v>1656357.447097271</v>
      </c>
      <c r="I104" s="499">
        <v>1656357.447097271</v>
      </c>
      <c r="J104" s="504">
        <v>0</v>
      </c>
      <c r="K104" s="504"/>
      <c r="L104" s="506">
        <f>H104</f>
        <v>1656357.447097271</v>
      </c>
      <c r="M104" s="504">
        <f>IF(L104&lt;&gt;0,+H104-L104,0)</f>
        <v>0</v>
      </c>
      <c r="N104" s="506">
        <f>I104</f>
        <v>1656357.447097271</v>
      </c>
      <c r="O104" s="504">
        <f>IF(N104&lt;&gt;0,+I104-N104,0)</f>
        <v>0</v>
      </c>
      <c r="P104" s="504">
        <f>+O104-M104</f>
        <v>0</v>
      </c>
      <c r="Q104" s="243"/>
      <c r="R104" s="243"/>
      <c r="S104" s="243"/>
      <c r="T104" s="243"/>
      <c r="U104" s="243"/>
    </row>
    <row r="105" spans="1:21">
      <c r="B105" s="145" t="str">
        <f t="shared" si="24"/>
        <v/>
      </c>
      <c r="C105" s="495">
        <f>IF(D94="","-",+C104+1)</f>
        <v>2019</v>
      </c>
      <c r="D105" s="496">
        <v>12018902.167483661</v>
      </c>
      <c r="E105" s="498">
        <v>401650.60606060608</v>
      </c>
      <c r="F105" s="505">
        <v>11617251.561423056</v>
      </c>
      <c r="G105" s="505">
        <v>11818076.864453359</v>
      </c>
      <c r="H105" s="498">
        <v>1678111.9401217271</v>
      </c>
      <c r="I105" s="499">
        <v>1678111.9401217271</v>
      </c>
      <c r="J105" s="504">
        <f t="shared" ref="J105:J155" si="25">+I105-H105</f>
        <v>0</v>
      </c>
      <c r="K105" s="504"/>
      <c r="L105" s="506">
        <f>H105</f>
        <v>1678111.9401217271</v>
      </c>
      <c r="M105" s="504">
        <f>IF(L105&lt;&gt;0,+H105-L105,0)</f>
        <v>0</v>
      </c>
      <c r="N105" s="506">
        <f>I105</f>
        <v>1678111.9401217271</v>
      </c>
      <c r="O105" s="504">
        <f>IF(N105&lt;&gt;0,+I105-N105,0)</f>
        <v>0</v>
      </c>
      <c r="P105" s="504">
        <f>+O105-M105</f>
        <v>0</v>
      </c>
      <c r="Q105" s="243"/>
      <c r="R105" s="243"/>
      <c r="S105" s="243"/>
      <c r="T105" s="243"/>
      <c r="U105" s="243"/>
    </row>
    <row r="106" spans="1:21">
      <c r="B106" s="145" t="str">
        <f t="shared" si="24"/>
        <v>IU</v>
      </c>
      <c r="C106" s="495">
        <f>IF(D94="","-",+C105+1)</f>
        <v>2020</v>
      </c>
      <c r="D106" s="496">
        <v>12018902.167483661</v>
      </c>
      <c r="E106" s="498">
        <v>473373.92857142858</v>
      </c>
      <c r="F106" s="505">
        <v>11545528.238912232</v>
      </c>
      <c r="G106" s="505">
        <v>11782215.203197947</v>
      </c>
      <c r="H106" s="498">
        <v>1727160.6739647929</v>
      </c>
      <c r="I106" s="499">
        <v>1727160.6739647929</v>
      </c>
      <c r="J106" s="504">
        <f t="shared" si="25"/>
        <v>0</v>
      </c>
      <c r="K106" s="504"/>
      <c r="L106" s="506">
        <f>H106</f>
        <v>1727160.6739647929</v>
      </c>
      <c r="M106" s="504">
        <f>IF(L106&lt;&gt;0,+H106-L106,0)</f>
        <v>0</v>
      </c>
      <c r="N106" s="506">
        <f>I106</f>
        <v>1727160.6739647929</v>
      </c>
      <c r="O106" s="504">
        <f t="shared" si="22"/>
        <v>0</v>
      </c>
      <c r="P106" s="504">
        <f t="shared" si="23"/>
        <v>0</v>
      </c>
      <c r="Q106" s="243"/>
      <c r="R106" s="243"/>
      <c r="S106" s="243"/>
      <c r="T106" s="243"/>
      <c r="U106" s="243"/>
    </row>
    <row r="107" spans="1:21">
      <c r="B107" s="145" t="str">
        <f t="shared" si="24"/>
        <v>IU</v>
      </c>
      <c r="C107" s="495">
        <f>IF(D94="","-",+C106+1)</f>
        <v>2021</v>
      </c>
      <c r="D107" s="349">
        <f>IF(F106+SUM(E$100:E106)=D$93,F106,D$93-SUM(E$100:E106))</f>
        <v>11143877.632851625</v>
      </c>
      <c r="E107" s="629">
        <f t="shared" ref="E107:E155" si="26">IF(+$J$97&lt;F106,$J$97,D107)</f>
        <v>530178.80000000005</v>
      </c>
      <c r="F107" s="510">
        <f t="shared" ref="F107:F155" si="27">+D107-E107</f>
        <v>10613698.832851624</v>
      </c>
      <c r="G107" s="510">
        <f t="shared" ref="G107:G155" si="28">+(F107+D107)/2</f>
        <v>10878788.232851624</v>
      </c>
      <c r="H107" s="630">
        <f t="shared" ref="H107:H155" si="29">+J$95*G107+E107</f>
        <v>1813462.5604316716</v>
      </c>
      <c r="I107" s="631">
        <f t="shared" ref="I107:I155" si="30">+J$96*G107+E107</f>
        <v>1813462.5604316716</v>
      </c>
      <c r="J107" s="504">
        <f t="shared" si="25"/>
        <v>0</v>
      </c>
      <c r="K107" s="504"/>
      <c r="L107" s="512"/>
      <c r="M107" s="504">
        <f t="shared" si="21"/>
        <v>0</v>
      </c>
      <c r="N107" s="512"/>
      <c r="O107" s="504">
        <f t="shared" si="22"/>
        <v>0</v>
      </c>
      <c r="P107" s="504">
        <f t="shared" si="23"/>
        <v>0</v>
      </c>
      <c r="Q107" s="243"/>
      <c r="R107" s="243"/>
      <c r="S107" s="243"/>
      <c r="T107" s="243"/>
      <c r="U107" s="243"/>
    </row>
    <row r="108" spans="1:21">
      <c r="B108" s="145" t="str">
        <f t="shared" si="24"/>
        <v/>
      </c>
      <c r="C108" s="495">
        <f>IF(D94="","-",+C107+1)</f>
        <v>2022</v>
      </c>
      <c r="D108" s="349">
        <f>IF(F107+SUM(E$100:E107)=D$93,F107,D$93-SUM(E$100:E107))</f>
        <v>10613698.832851624</v>
      </c>
      <c r="E108" s="629">
        <f t="shared" si="26"/>
        <v>530178.80000000005</v>
      </c>
      <c r="F108" s="510">
        <f t="shared" si="27"/>
        <v>10083520.032851623</v>
      </c>
      <c r="G108" s="510">
        <f t="shared" si="28"/>
        <v>10348609.432851624</v>
      </c>
      <c r="H108" s="630">
        <f t="shared" si="29"/>
        <v>1750921.601861435</v>
      </c>
      <c r="I108" s="631">
        <f t="shared" si="30"/>
        <v>1750921.601861435</v>
      </c>
      <c r="J108" s="504">
        <f t="shared" si="25"/>
        <v>0</v>
      </c>
      <c r="K108" s="504"/>
      <c r="L108" s="512"/>
      <c r="M108" s="504">
        <f t="shared" si="21"/>
        <v>0</v>
      </c>
      <c r="N108" s="512"/>
      <c r="O108" s="504">
        <f t="shared" si="22"/>
        <v>0</v>
      </c>
      <c r="P108" s="504">
        <f t="shared" si="23"/>
        <v>0</v>
      </c>
      <c r="Q108" s="243"/>
      <c r="R108" s="243"/>
      <c r="S108" s="243"/>
      <c r="T108" s="243"/>
      <c r="U108" s="243"/>
    </row>
    <row r="109" spans="1:21">
      <c r="B109" s="145" t="str">
        <f t="shared" si="24"/>
        <v/>
      </c>
      <c r="C109" s="495">
        <f>IF(D94="","-",+C108+1)</f>
        <v>2023</v>
      </c>
      <c r="D109" s="349">
        <f>IF(F108+SUM(E$100:E108)=D$93,F108,D$93-SUM(E$100:E108))</f>
        <v>10083520.032851623</v>
      </c>
      <c r="E109" s="629">
        <f t="shared" si="26"/>
        <v>530178.80000000005</v>
      </c>
      <c r="F109" s="510">
        <f t="shared" si="27"/>
        <v>9553341.2328516226</v>
      </c>
      <c r="G109" s="510">
        <f t="shared" si="28"/>
        <v>9818430.632851623</v>
      </c>
      <c r="H109" s="630">
        <f t="shared" si="29"/>
        <v>1688380.6432911982</v>
      </c>
      <c r="I109" s="631">
        <f t="shared" si="30"/>
        <v>1688380.6432911982</v>
      </c>
      <c r="J109" s="504">
        <f t="shared" si="25"/>
        <v>0</v>
      </c>
      <c r="K109" s="504"/>
      <c r="L109" s="512"/>
      <c r="M109" s="504">
        <f t="shared" si="21"/>
        <v>0</v>
      </c>
      <c r="N109" s="512"/>
      <c r="O109" s="504">
        <f t="shared" si="22"/>
        <v>0</v>
      </c>
      <c r="P109" s="504">
        <f t="shared" si="23"/>
        <v>0</v>
      </c>
      <c r="Q109" s="243"/>
      <c r="R109" s="243"/>
      <c r="S109" s="243"/>
      <c r="T109" s="243"/>
      <c r="U109" s="243"/>
    </row>
    <row r="110" spans="1:21">
      <c r="B110" s="145" t="str">
        <f t="shared" si="24"/>
        <v/>
      </c>
      <c r="C110" s="495">
        <f>IF(D94="","-",+C109+1)</f>
        <v>2024</v>
      </c>
      <c r="D110" s="349">
        <f>IF(F109+SUM(E$100:E109)=D$93,F109,D$93-SUM(E$100:E109))</f>
        <v>9553341.2328516226</v>
      </c>
      <c r="E110" s="629">
        <f t="shared" si="26"/>
        <v>530178.80000000005</v>
      </c>
      <c r="F110" s="510">
        <f t="shared" si="27"/>
        <v>9023162.4328516219</v>
      </c>
      <c r="G110" s="510">
        <f t="shared" si="28"/>
        <v>9288251.8328516223</v>
      </c>
      <c r="H110" s="630">
        <f t="shared" si="29"/>
        <v>1625839.6847209614</v>
      </c>
      <c r="I110" s="631">
        <f t="shared" si="30"/>
        <v>1625839.6847209614</v>
      </c>
      <c r="J110" s="504">
        <f t="shared" si="25"/>
        <v>0</v>
      </c>
      <c r="K110" s="504"/>
      <c r="L110" s="512"/>
      <c r="M110" s="504">
        <f t="shared" si="21"/>
        <v>0</v>
      </c>
      <c r="N110" s="512"/>
      <c r="O110" s="504">
        <f t="shared" si="22"/>
        <v>0</v>
      </c>
      <c r="P110" s="504">
        <f t="shared" si="23"/>
        <v>0</v>
      </c>
      <c r="Q110" s="243"/>
      <c r="R110" s="243"/>
      <c r="S110" s="243"/>
      <c r="T110" s="243"/>
      <c r="U110" s="243"/>
    </row>
    <row r="111" spans="1:21">
      <c r="B111" s="145" t="str">
        <f t="shared" si="24"/>
        <v/>
      </c>
      <c r="C111" s="495">
        <f>IF(D94="","-",+C110+1)</f>
        <v>2025</v>
      </c>
      <c r="D111" s="349">
        <f>IF(F110+SUM(E$100:E110)=D$93,F110,D$93-SUM(E$100:E110))</f>
        <v>9023162.4328516219</v>
      </c>
      <c r="E111" s="629">
        <f t="shared" si="26"/>
        <v>530178.80000000005</v>
      </c>
      <c r="F111" s="510">
        <f t="shared" si="27"/>
        <v>8492983.6328516211</v>
      </c>
      <c r="G111" s="510">
        <f t="shared" si="28"/>
        <v>8758073.0328516215</v>
      </c>
      <c r="H111" s="630">
        <f t="shared" si="29"/>
        <v>1563298.7261507248</v>
      </c>
      <c r="I111" s="631">
        <f t="shared" si="30"/>
        <v>1563298.7261507248</v>
      </c>
      <c r="J111" s="504">
        <f t="shared" si="25"/>
        <v>0</v>
      </c>
      <c r="K111" s="504"/>
      <c r="L111" s="512"/>
      <c r="M111" s="504">
        <f t="shared" si="21"/>
        <v>0</v>
      </c>
      <c r="N111" s="512"/>
      <c r="O111" s="504">
        <f t="shared" si="22"/>
        <v>0</v>
      </c>
      <c r="P111" s="504">
        <f t="shared" si="23"/>
        <v>0</v>
      </c>
      <c r="Q111" s="243"/>
      <c r="R111" s="243"/>
      <c r="S111" s="243"/>
      <c r="T111" s="243"/>
      <c r="U111" s="243"/>
    </row>
    <row r="112" spans="1:21">
      <c r="B112" s="145" t="str">
        <f t="shared" si="24"/>
        <v/>
      </c>
      <c r="C112" s="495">
        <f>IF(D94="","-",+C111+1)</f>
        <v>2026</v>
      </c>
      <c r="D112" s="349">
        <f>IF(F111+SUM(E$100:E111)=D$93,F111,D$93-SUM(E$100:E111))</f>
        <v>8492983.6328516211</v>
      </c>
      <c r="E112" s="629">
        <f t="shared" si="26"/>
        <v>530178.80000000005</v>
      </c>
      <c r="F112" s="510">
        <f t="shared" si="27"/>
        <v>7962804.8328516213</v>
      </c>
      <c r="G112" s="510">
        <f t="shared" si="28"/>
        <v>8227894.2328516208</v>
      </c>
      <c r="H112" s="630">
        <f t="shared" si="29"/>
        <v>1500757.767580488</v>
      </c>
      <c r="I112" s="631">
        <f t="shared" si="30"/>
        <v>1500757.767580488</v>
      </c>
      <c r="J112" s="504">
        <f t="shared" si="25"/>
        <v>0</v>
      </c>
      <c r="K112" s="504"/>
      <c r="L112" s="512"/>
      <c r="M112" s="504">
        <f t="shared" si="21"/>
        <v>0</v>
      </c>
      <c r="N112" s="512"/>
      <c r="O112" s="504">
        <f t="shared" si="22"/>
        <v>0</v>
      </c>
      <c r="P112" s="504">
        <f t="shared" si="23"/>
        <v>0</v>
      </c>
      <c r="Q112" s="243"/>
      <c r="R112" s="243"/>
      <c r="S112" s="243"/>
      <c r="T112" s="243"/>
      <c r="U112" s="243"/>
    </row>
    <row r="113" spans="2:21">
      <c r="B113" s="145" t="str">
        <f t="shared" si="24"/>
        <v/>
      </c>
      <c r="C113" s="495">
        <f>IF(D94="","-",+C112+1)</f>
        <v>2027</v>
      </c>
      <c r="D113" s="349">
        <f>IF(F112+SUM(E$100:E112)=D$93,F112,D$93-SUM(E$100:E112))</f>
        <v>7962804.8328516213</v>
      </c>
      <c r="E113" s="629">
        <f t="shared" si="26"/>
        <v>530178.80000000005</v>
      </c>
      <c r="F113" s="510">
        <f t="shared" si="27"/>
        <v>7432626.0328516215</v>
      </c>
      <c r="G113" s="510">
        <f t="shared" si="28"/>
        <v>7697715.4328516219</v>
      </c>
      <c r="H113" s="630">
        <f t="shared" si="29"/>
        <v>1438216.8090102514</v>
      </c>
      <c r="I113" s="631">
        <f t="shared" si="30"/>
        <v>1438216.8090102514</v>
      </c>
      <c r="J113" s="504">
        <f t="shared" si="25"/>
        <v>0</v>
      </c>
      <c r="K113" s="504"/>
      <c r="L113" s="512"/>
      <c r="M113" s="504">
        <f t="shared" si="21"/>
        <v>0</v>
      </c>
      <c r="N113" s="512"/>
      <c r="O113" s="504">
        <f t="shared" si="22"/>
        <v>0</v>
      </c>
      <c r="P113" s="504">
        <f t="shared" si="23"/>
        <v>0</v>
      </c>
      <c r="Q113" s="243"/>
      <c r="R113" s="243"/>
      <c r="S113" s="243"/>
      <c r="T113" s="243"/>
      <c r="U113" s="243"/>
    </row>
    <row r="114" spans="2:21">
      <c r="B114" s="145" t="str">
        <f t="shared" si="24"/>
        <v/>
      </c>
      <c r="C114" s="495">
        <f>IF(D94="","-",+C113+1)</f>
        <v>2028</v>
      </c>
      <c r="D114" s="349">
        <f>IF(F113+SUM(E$100:E113)=D$93,F113,D$93-SUM(E$100:E113))</f>
        <v>7432626.0328516215</v>
      </c>
      <c r="E114" s="629">
        <f t="shared" si="26"/>
        <v>530178.80000000005</v>
      </c>
      <c r="F114" s="510">
        <f t="shared" si="27"/>
        <v>6902447.2328516217</v>
      </c>
      <c r="G114" s="510">
        <f t="shared" si="28"/>
        <v>7167536.6328516211</v>
      </c>
      <c r="H114" s="630">
        <f t="shared" si="29"/>
        <v>1375675.8504400149</v>
      </c>
      <c r="I114" s="631">
        <f t="shared" si="30"/>
        <v>1375675.8504400149</v>
      </c>
      <c r="J114" s="504">
        <f t="shared" si="25"/>
        <v>0</v>
      </c>
      <c r="K114" s="504"/>
      <c r="L114" s="512"/>
      <c r="M114" s="504">
        <f t="shared" si="21"/>
        <v>0</v>
      </c>
      <c r="N114" s="512"/>
      <c r="O114" s="504">
        <f t="shared" si="22"/>
        <v>0</v>
      </c>
      <c r="P114" s="504">
        <f t="shared" si="23"/>
        <v>0</v>
      </c>
      <c r="Q114" s="243"/>
      <c r="R114" s="243"/>
      <c r="S114" s="243"/>
      <c r="T114" s="243"/>
      <c r="U114" s="243"/>
    </row>
    <row r="115" spans="2:21">
      <c r="B115" s="145" t="str">
        <f t="shared" si="24"/>
        <v/>
      </c>
      <c r="C115" s="495">
        <f>IF(D94="","-",+C114+1)</f>
        <v>2029</v>
      </c>
      <c r="D115" s="349">
        <f>IF(F114+SUM(E$100:E114)=D$93,F114,D$93-SUM(E$100:E114))</f>
        <v>6902447.2328516217</v>
      </c>
      <c r="E115" s="629">
        <f t="shared" si="26"/>
        <v>530178.80000000005</v>
      </c>
      <c r="F115" s="510">
        <f t="shared" si="27"/>
        <v>6372268.4328516219</v>
      </c>
      <c r="G115" s="510">
        <f t="shared" si="28"/>
        <v>6637357.8328516223</v>
      </c>
      <c r="H115" s="630">
        <f t="shared" si="29"/>
        <v>1313134.8918697783</v>
      </c>
      <c r="I115" s="631">
        <f t="shared" si="30"/>
        <v>1313134.8918697783</v>
      </c>
      <c r="J115" s="504">
        <f t="shared" si="25"/>
        <v>0</v>
      </c>
      <c r="K115" s="504"/>
      <c r="L115" s="512"/>
      <c r="M115" s="504">
        <f t="shared" si="21"/>
        <v>0</v>
      </c>
      <c r="N115" s="512"/>
      <c r="O115" s="504">
        <f t="shared" si="22"/>
        <v>0</v>
      </c>
      <c r="P115" s="504">
        <f t="shared" si="23"/>
        <v>0</v>
      </c>
      <c r="Q115" s="243"/>
      <c r="R115" s="243"/>
      <c r="S115" s="243"/>
      <c r="T115" s="243"/>
      <c r="U115" s="243"/>
    </row>
    <row r="116" spans="2:21">
      <c r="B116" s="145" t="str">
        <f t="shared" si="24"/>
        <v/>
      </c>
      <c r="C116" s="495">
        <f>IF(D94="","-",+C115+1)</f>
        <v>2030</v>
      </c>
      <c r="D116" s="349">
        <f>IF(F115+SUM(E$100:E115)=D$93,F115,D$93-SUM(E$100:E115))</f>
        <v>6372268.4328516219</v>
      </c>
      <c r="E116" s="629">
        <f t="shared" si="26"/>
        <v>530178.80000000005</v>
      </c>
      <c r="F116" s="510">
        <f t="shared" si="27"/>
        <v>5842089.6328516221</v>
      </c>
      <c r="G116" s="510">
        <f t="shared" si="28"/>
        <v>6107179.0328516215</v>
      </c>
      <c r="H116" s="630">
        <f t="shared" si="29"/>
        <v>1250593.9332995417</v>
      </c>
      <c r="I116" s="631">
        <f t="shared" si="30"/>
        <v>1250593.9332995417</v>
      </c>
      <c r="J116" s="504">
        <f t="shared" si="25"/>
        <v>0</v>
      </c>
      <c r="K116" s="504"/>
      <c r="L116" s="512"/>
      <c r="M116" s="504">
        <f t="shared" si="21"/>
        <v>0</v>
      </c>
      <c r="N116" s="512"/>
      <c r="O116" s="504">
        <f t="shared" si="22"/>
        <v>0</v>
      </c>
      <c r="P116" s="504">
        <f t="shared" si="23"/>
        <v>0</v>
      </c>
      <c r="Q116" s="243"/>
      <c r="R116" s="243"/>
      <c r="S116" s="243"/>
      <c r="T116" s="243"/>
      <c r="U116" s="243"/>
    </row>
    <row r="117" spans="2:21">
      <c r="B117" s="145" t="str">
        <f t="shared" si="24"/>
        <v/>
      </c>
      <c r="C117" s="495">
        <f>IF(D94="","-",+C116+1)</f>
        <v>2031</v>
      </c>
      <c r="D117" s="349">
        <f>IF(F116+SUM(E$100:E116)=D$93,F116,D$93-SUM(E$100:E116))</f>
        <v>5842089.6328516221</v>
      </c>
      <c r="E117" s="629">
        <f t="shared" si="26"/>
        <v>530178.80000000005</v>
      </c>
      <c r="F117" s="510">
        <f t="shared" si="27"/>
        <v>5311910.8328516223</v>
      </c>
      <c r="G117" s="510">
        <f t="shared" si="28"/>
        <v>5577000.2328516226</v>
      </c>
      <c r="H117" s="630">
        <f t="shared" si="29"/>
        <v>1188052.9747293051</v>
      </c>
      <c r="I117" s="631">
        <f t="shared" si="30"/>
        <v>1188052.9747293051</v>
      </c>
      <c r="J117" s="504">
        <f t="shared" si="25"/>
        <v>0</v>
      </c>
      <c r="K117" s="504"/>
      <c r="L117" s="512"/>
      <c r="M117" s="504">
        <f t="shared" si="21"/>
        <v>0</v>
      </c>
      <c r="N117" s="512"/>
      <c r="O117" s="504">
        <f t="shared" si="22"/>
        <v>0</v>
      </c>
      <c r="P117" s="504">
        <f t="shared" si="23"/>
        <v>0</v>
      </c>
      <c r="Q117" s="243"/>
      <c r="R117" s="243"/>
      <c r="S117" s="243"/>
      <c r="T117" s="243"/>
      <c r="U117" s="243"/>
    </row>
    <row r="118" spans="2:21">
      <c r="B118" s="145" t="str">
        <f t="shared" si="24"/>
        <v/>
      </c>
      <c r="C118" s="495">
        <f>IF(D94="","-",+C117+1)</f>
        <v>2032</v>
      </c>
      <c r="D118" s="349">
        <f>IF(F117+SUM(E$100:E117)=D$93,F117,D$93-SUM(E$100:E117))</f>
        <v>5311910.8328516223</v>
      </c>
      <c r="E118" s="629">
        <f t="shared" si="26"/>
        <v>530178.80000000005</v>
      </c>
      <c r="F118" s="510">
        <f t="shared" si="27"/>
        <v>4781732.0328516224</v>
      </c>
      <c r="G118" s="510">
        <f t="shared" si="28"/>
        <v>5046821.4328516219</v>
      </c>
      <c r="H118" s="630">
        <f t="shared" si="29"/>
        <v>1125512.0161590683</v>
      </c>
      <c r="I118" s="631">
        <f t="shared" si="30"/>
        <v>1125512.0161590683</v>
      </c>
      <c r="J118" s="504">
        <f t="shared" si="25"/>
        <v>0</v>
      </c>
      <c r="K118" s="504"/>
      <c r="L118" s="512"/>
      <c r="M118" s="504">
        <f t="shared" si="21"/>
        <v>0</v>
      </c>
      <c r="N118" s="512"/>
      <c r="O118" s="504">
        <f t="shared" si="22"/>
        <v>0</v>
      </c>
      <c r="P118" s="504">
        <f t="shared" si="23"/>
        <v>0</v>
      </c>
      <c r="Q118" s="243"/>
      <c r="R118" s="243"/>
      <c r="S118" s="243"/>
      <c r="T118" s="243"/>
      <c r="U118" s="243"/>
    </row>
    <row r="119" spans="2:21">
      <c r="B119" s="145" t="str">
        <f t="shared" si="24"/>
        <v/>
      </c>
      <c r="C119" s="495">
        <f>IF(D94="","-",+C118+1)</f>
        <v>2033</v>
      </c>
      <c r="D119" s="349">
        <f>IF(F118+SUM(E$100:E118)=D$93,F118,D$93-SUM(E$100:E118))</f>
        <v>4781732.0328516224</v>
      </c>
      <c r="E119" s="629">
        <f t="shared" si="26"/>
        <v>530178.80000000005</v>
      </c>
      <c r="F119" s="510">
        <f t="shared" si="27"/>
        <v>4251553.2328516226</v>
      </c>
      <c r="G119" s="510">
        <f t="shared" si="28"/>
        <v>4516642.632851623</v>
      </c>
      <c r="H119" s="630">
        <f t="shared" si="29"/>
        <v>1062971.057588832</v>
      </c>
      <c r="I119" s="631">
        <f t="shared" si="30"/>
        <v>1062971.057588832</v>
      </c>
      <c r="J119" s="504">
        <f t="shared" si="25"/>
        <v>0</v>
      </c>
      <c r="K119" s="504"/>
      <c r="L119" s="512"/>
      <c r="M119" s="504">
        <f t="shared" si="21"/>
        <v>0</v>
      </c>
      <c r="N119" s="512"/>
      <c r="O119" s="504">
        <f t="shared" si="22"/>
        <v>0</v>
      </c>
      <c r="P119" s="504">
        <f t="shared" si="23"/>
        <v>0</v>
      </c>
      <c r="Q119" s="243"/>
      <c r="R119" s="243"/>
      <c r="S119" s="243"/>
      <c r="T119" s="243"/>
      <c r="U119" s="243"/>
    </row>
    <row r="120" spans="2:21">
      <c r="B120" s="145" t="str">
        <f t="shared" si="24"/>
        <v/>
      </c>
      <c r="C120" s="495">
        <f>IF(D94="","-",+C119+1)</f>
        <v>2034</v>
      </c>
      <c r="D120" s="349">
        <f>IF(F119+SUM(E$100:E119)=D$93,F119,D$93-SUM(E$100:E119))</f>
        <v>4251553.2328516226</v>
      </c>
      <c r="E120" s="629">
        <f t="shared" si="26"/>
        <v>530178.80000000005</v>
      </c>
      <c r="F120" s="510">
        <f t="shared" si="27"/>
        <v>3721374.4328516228</v>
      </c>
      <c r="G120" s="510">
        <f t="shared" si="28"/>
        <v>3986463.8328516227</v>
      </c>
      <c r="H120" s="630">
        <f t="shared" si="29"/>
        <v>1000430.0990185953</v>
      </c>
      <c r="I120" s="631">
        <f t="shared" si="30"/>
        <v>1000430.0990185953</v>
      </c>
      <c r="J120" s="504">
        <f t="shared" si="25"/>
        <v>0</v>
      </c>
      <c r="K120" s="504"/>
      <c r="L120" s="512"/>
      <c r="M120" s="504">
        <f t="shared" si="21"/>
        <v>0</v>
      </c>
      <c r="N120" s="512"/>
      <c r="O120" s="504">
        <f t="shared" si="22"/>
        <v>0</v>
      </c>
      <c r="P120" s="504">
        <f t="shared" si="23"/>
        <v>0</v>
      </c>
      <c r="Q120" s="243"/>
      <c r="R120" s="243"/>
      <c r="S120" s="243"/>
      <c r="T120" s="243"/>
      <c r="U120" s="243"/>
    </row>
    <row r="121" spans="2:21">
      <c r="B121" s="145" t="str">
        <f t="shared" si="24"/>
        <v/>
      </c>
      <c r="C121" s="495">
        <f>IF(D94="","-",+C120+1)</f>
        <v>2035</v>
      </c>
      <c r="D121" s="349">
        <f>IF(F120+SUM(E$100:E120)=D$93,F120,D$93-SUM(E$100:E120))</f>
        <v>3721374.4328516228</v>
      </c>
      <c r="E121" s="629">
        <f t="shared" si="26"/>
        <v>530178.80000000005</v>
      </c>
      <c r="F121" s="510">
        <f t="shared" si="27"/>
        <v>3191195.632851623</v>
      </c>
      <c r="G121" s="510">
        <f t="shared" si="28"/>
        <v>3456285.0328516229</v>
      </c>
      <c r="H121" s="630">
        <f t="shared" si="29"/>
        <v>937889.14044835872</v>
      </c>
      <c r="I121" s="631">
        <f t="shared" si="30"/>
        <v>937889.14044835872</v>
      </c>
      <c r="J121" s="504">
        <f t="shared" si="25"/>
        <v>0</v>
      </c>
      <c r="K121" s="504"/>
      <c r="L121" s="512"/>
      <c r="M121" s="504">
        <f t="shared" si="21"/>
        <v>0</v>
      </c>
      <c r="N121" s="512"/>
      <c r="O121" s="504">
        <f t="shared" si="22"/>
        <v>0</v>
      </c>
      <c r="P121" s="504">
        <f t="shared" si="23"/>
        <v>0</v>
      </c>
      <c r="Q121" s="243"/>
      <c r="R121" s="243"/>
      <c r="S121" s="243"/>
      <c r="T121" s="243"/>
      <c r="U121" s="243"/>
    </row>
    <row r="122" spans="2:21">
      <c r="B122" s="145" t="str">
        <f t="shared" si="24"/>
        <v/>
      </c>
      <c r="C122" s="495">
        <f>IF(D94="","-",+C121+1)</f>
        <v>2036</v>
      </c>
      <c r="D122" s="349">
        <f>IF(F121+SUM(E$100:E121)=D$93,F121,D$93-SUM(E$100:E121))</f>
        <v>3191195.632851623</v>
      </c>
      <c r="E122" s="629">
        <f t="shared" si="26"/>
        <v>530178.80000000005</v>
      </c>
      <c r="F122" s="510">
        <f t="shared" si="27"/>
        <v>2661016.8328516232</v>
      </c>
      <c r="G122" s="510">
        <f t="shared" si="28"/>
        <v>2926106.2328516231</v>
      </c>
      <c r="H122" s="630">
        <f t="shared" si="29"/>
        <v>875348.18187812204</v>
      </c>
      <c r="I122" s="631">
        <f t="shared" si="30"/>
        <v>875348.18187812204</v>
      </c>
      <c r="J122" s="504">
        <f t="shared" si="25"/>
        <v>0</v>
      </c>
      <c r="K122" s="504"/>
      <c r="L122" s="512"/>
      <c r="M122" s="504">
        <f t="shared" si="21"/>
        <v>0</v>
      </c>
      <c r="N122" s="512"/>
      <c r="O122" s="504">
        <f t="shared" si="22"/>
        <v>0</v>
      </c>
      <c r="P122" s="504">
        <f t="shared" si="23"/>
        <v>0</v>
      </c>
      <c r="Q122" s="243"/>
      <c r="R122" s="243"/>
      <c r="S122" s="243"/>
      <c r="T122" s="243"/>
      <c r="U122" s="243"/>
    </row>
    <row r="123" spans="2:21">
      <c r="B123" s="145" t="str">
        <f t="shared" si="24"/>
        <v/>
      </c>
      <c r="C123" s="495">
        <f>IF(D94="","-",+C122+1)</f>
        <v>2037</v>
      </c>
      <c r="D123" s="349">
        <f>IF(F122+SUM(E$100:E122)=D$93,F122,D$93-SUM(E$100:E122))</f>
        <v>2661016.8328516232</v>
      </c>
      <c r="E123" s="629">
        <f t="shared" si="26"/>
        <v>530178.80000000005</v>
      </c>
      <c r="F123" s="510">
        <f t="shared" si="27"/>
        <v>2130838.0328516234</v>
      </c>
      <c r="G123" s="510">
        <f t="shared" si="28"/>
        <v>2395927.4328516233</v>
      </c>
      <c r="H123" s="630">
        <f t="shared" si="29"/>
        <v>812807.22330788546</v>
      </c>
      <c r="I123" s="631">
        <f t="shared" si="30"/>
        <v>812807.22330788546</v>
      </c>
      <c r="J123" s="504">
        <f t="shared" si="25"/>
        <v>0</v>
      </c>
      <c r="K123" s="504"/>
      <c r="L123" s="512"/>
      <c r="M123" s="504">
        <f t="shared" si="21"/>
        <v>0</v>
      </c>
      <c r="N123" s="512"/>
      <c r="O123" s="504">
        <f t="shared" si="22"/>
        <v>0</v>
      </c>
      <c r="P123" s="504">
        <f t="shared" si="23"/>
        <v>0</v>
      </c>
      <c r="Q123" s="243"/>
      <c r="R123" s="243"/>
      <c r="S123" s="243"/>
      <c r="T123" s="243"/>
      <c r="U123" s="243"/>
    </row>
    <row r="124" spans="2:21">
      <c r="B124" s="145" t="str">
        <f t="shared" si="24"/>
        <v/>
      </c>
      <c r="C124" s="495">
        <f>IF(D94="","-",+C123+1)</f>
        <v>2038</v>
      </c>
      <c r="D124" s="349">
        <f>IF(F123+SUM(E$100:E123)=D$93,F123,D$93-SUM(E$100:E123))</f>
        <v>2130838.0328516234</v>
      </c>
      <c r="E124" s="629">
        <f t="shared" si="26"/>
        <v>530178.80000000005</v>
      </c>
      <c r="F124" s="510">
        <f t="shared" si="27"/>
        <v>1600659.2328516233</v>
      </c>
      <c r="G124" s="510">
        <f t="shared" si="28"/>
        <v>1865748.6328516235</v>
      </c>
      <c r="H124" s="630">
        <f t="shared" si="29"/>
        <v>750266.26473764889</v>
      </c>
      <c r="I124" s="631">
        <f t="shared" si="30"/>
        <v>750266.26473764889</v>
      </c>
      <c r="J124" s="504">
        <f t="shared" si="25"/>
        <v>0</v>
      </c>
      <c r="K124" s="504"/>
      <c r="L124" s="512"/>
      <c r="M124" s="504">
        <f t="shared" si="21"/>
        <v>0</v>
      </c>
      <c r="N124" s="512"/>
      <c r="O124" s="504">
        <f t="shared" si="22"/>
        <v>0</v>
      </c>
      <c r="P124" s="504">
        <f t="shared" si="23"/>
        <v>0</v>
      </c>
      <c r="Q124" s="243"/>
      <c r="R124" s="243"/>
      <c r="S124" s="243"/>
      <c r="T124" s="243"/>
      <c r="U124" s="243"/>
    </row>
    <row r="125" spans="2:21">
      <c r="B125" s="145" t="str">
        <f t="shared" si="24"/>
        <v/>
      </c>
      <c r="C125" s="495">
        <f>IF(D94="","-",+C124+1)</f>
        <v>2039</v>
      </c>
      <c r="D125" s="349">
        <f>IF(F124+SUM(E$100:E124)=D$93,F124,D$93-SUM(E$100:E124))</f>
        <v>1600659.2328516233</v>
      </c>
      <c r="E125" s="629">
        <f t="shared" si="26"/>
        <v>530178.80000000005</v>
      </c>
      <c r="F125" s="510">
        <f t="shared" si="27"/>
        <v>1070480.4328516233</v>
      </c>
      <c r="G125" s="510">
        <f t="shared" si="28"/>
        <v>1335569.8328516232</v>
      </c>
      <c r="H125" s="630">
        <f t="shared" si="29"/>
        <v>687725.30616741232</v>
      </c>
      <c r="I125" s="631">
        <f t="shared" si="30"/>
        <v>687725.30616741232</v>
      </c>
      <c r="J125" s="504">
        <f t="shared" si="25"/>
        <v>0</v>
      </c>
      <c r="K125" s="504"/>
      <c r="L125" s="512"/>
      <c r="M125" s="504">
        <f t="shared" si="21"/>
        <v>0</v>
      </c>
      <c r="N125" s="512"/>
      <c r="O125" s="504">
        <f t="shared" si="22"/>
        <v>0</v>
      </c>
      <c r="P125" s="504">
        <f t="shared" si="23"/>
        <v>0</v>
      </c>
      <c r="Q125" s="243"/>
      <c r="R125" s="243"/>
      <c r="S125" s="243"/>
      <c r="T125" s="243"/>
      <c r="U125" s="243"/>
    </row>
    <row r="126" spans="2:21">
      <c r="B126" s="145" t="str">
        <f t="shared" si="24"/>
        <v/>
      </c>
      <c r="C126" s="495">
        <f>IF(D94="","-",+C125+1)</f>
        <v>2040</v>
      </c>
      <c r="D126" s="349">
        <f>IF(F125+SUM(E$100:E125)=D$93,F125,D$93-SUM(E$100:E125))</f>
        <v>1070480.4328516233</v>
      </c>
      <c r="E126" s="629">
        <f t="shared" si="26"/>
        <v>530178.80000000005</v>
      </c>
      <c r="F126" s="510">
        <f t="shared" si="27"/>
        <v>540301.63285162323</v>
      </c>
      <c r="G126" s="510">
        <f t="shared" si="28"/>
        <v>805391.03285162325</v>
      </c>
      <c r="H126" s="630">
        <f t="shared" si="29"/>
        <v>625184.34759717563</v>
      </c>
      <c r="I126" s="631">
        <f t="shared" si="30"/>
        <v>625184.34759717563</v>
      </c>
      <c r="J126" s="504">
        <f t="shared" si="25"/>
        <v>0</v>
      </c>
      <c r="K126" s="504"/>
      <c r="L126" s="512"/>
      <c r="M126" s="504">
        <f t="shared" si="21"/>
        <v>0</v>
      </c>
      <c r="N126" s="512"/>
      <c r="O126" s="504">
        <f t="shared" si="22"/>
        <v>0</v>
      </c>
      <c r="P126" s="504">
        <f t="shared" si="23"/>
        <v>0</v>
      </c>
      <c r="Q126" s="243"/>
      <c r="R126" s="243"/>
      <c r="S126" s="243"/>
      <c r="T126" s="243"/>
      <c r="U126" s="243"/>
    </row>
    <row r="127" spans="2:21">
      <c r="B127" s="145" t="str">
        <f t="shared" si="24"/>
        <v/>
      </c>
      <c r="C127" s="495">
        <f>IF(D94="","-",+C126+1)</f>
        <v>2041</v>
      </c>
      <c r="D127" s="349">
        <f>IF(F126+SUM(E$100:E126)=D$93,F126,D$93-SUM(E$100:E126))</f>
        <v>540301.63285162323</v>
      </c>
      <c r="E127" s="629">
        <f t="shared" si="26"/>
        <v>530178.80000000005</v>
      </c>
      <c r="F127" s="510">
        <f t="shared" si="27"/>
        <v>10122.832851623185</v>
      </c>
      <c r="G127" s="510">
        <f t="shared" si="28"/>
        <v>275212.23285162321</v>
      </c>
      <c r="H127" s="630">
        <f t="shared" si="29"/>
        <v>562643.38902693905</v>
      </c>
      <c r="I127" s="631">
        <f t="shared" si="30"/>
        <v>562643.38902693905</v>
      </c>
      <c r="J127" s="504">
        <f t="shared" si="25"/>
        <v>0</v>
      </c>
      <c r="K127" s="504"/>
      <c r="L127" s="512"/>
      <c r="M127" s="504">
        <f t="shared" si="21"/>
        <v>0</v>
      </c>
      <c r="N127" s="512"/>
      <c r="O127" s="504">
        <f t="shared" si="22"/>
        <v>0</v>
      </c>
      <c r="P127" s="504">
        <f t="shared" si="23"/>
        <v>0</v>
      </c>
      <c r="Q127" s="243"/>
      <c r="R127" s="243"/>
      <c r="S127" s="243"/>
      <c r="T127" s="243"/>
      <c r="U127" s="243"/>
    </row>
    <row r="128" spans="2:21">
      <c r="B128" s="145" t="str">
        <f t="shared" si="24"/>
        <v/>
      </c>
      <c r="C128" s="495">
        <f>IF(D94="","-",+C127+1)</f>
        <v>2042</v>
      </c>
      <c r="D128" s="349">
        <f>IF(F127+SUM(E$100:E127)=D$93,F127,D$93-SUM(E$100:E127))</f>
        <v>10122.832851623185</v>
      </c>
      <c r="E128" s="629">
        <f t="shared" si="26"/>
        <v>10122.832851623185</v>
      </c>
      <c r="F128" s="510">
        <f t="shared" si="27"/>
        <v>0</v>
      </c>
      <c r="G128" s="510">
        <f t="shared" si="28"/>
        <v>5061.4164258115925</v>
      </c>
      <c r="H128" s="630">
        <f t="shared" si="29"/>
        <v>10719.887722533524</v>
      </c>
      <c r="I128" s="631">
        <f t="shared" si="30"/>
        <v>10719.887722533524</v>
      </c>
      <c r="J128" s="504">
        <f t="shared" si="25"/>
        <v>0</v>
      </c>
      <c r="K128" s="504"/>
      <c r="L128" s="512"/>
      <c r="M128" s="504">
        <f t="shared" si="21"/>
        <v>0</v>
      </c>
      <c r="N128" s="512"/>
      <c r="O128" s="504">
        <f t="shared" si="22"/>
        <v>0</v>
      </c>
      <c r="P128" s="504">
        <f t="shared" si="23"/>
        <v>0</v>
      </c>
      <c r="Q128" s="243"/>
      <c r="R128" s="243"/>
      <c r="S128" s="243"/>
      <c r="T128" s="243"/>
      <c r="U128" s="243"/>
    </row>
    <row r="129" spans="2:21">
      <c r="B129" s="145" t="str">
        <f t="shared" si="24"/>
        <v/>
      </c>
      <c r="C129" s="495">
        <f>IF(D94="","-",+C128+1)</f>
        <v>2043</v>
      </c>
      <c r="D129" s="349">
        <f>IF(F128+SUM(E$100:E128)=D$93,F128,D$93-SUM(E$100:E128))</f>
        <v>0</v>
      </c>
      <c r="E129" s="629">
        <f t="shared" si="26"/>
        <v>0</v>
      </c>
      <c r="F129" s="510">
        <f t="shared" si="27"/>
        <v>0</v>
      </c>
      <c r="G129" s="510">
        <f t="shared" si="28"/>
        <v>0</v>
      </c>
      <c r="H129" s="630">
        <f t="shared" si="29"/>
        <v>0</v>
      </c>
      <c r="I129" s="631">
        <f t="shared" si="30"/>
        <v>0</v>
      </c>
      <c r="J129" s="504">
        <f t="shared" si="25"/>
        <v>0</v>
      </c>
      <c r="K129" s="504"/>
      <c r="L129" s="512"/>
      <c r="M129" s="504">
        <f t="shared" si="21"/>
        <v>0</v>
      </c>
      <c r="N129" s="512"/>
      <c r="O129" s="504">
        <f t="shared" si="22"/>
        <v>0</v>
      </c>
      <c r="P129" s="504">
        <f t="shared" si="23"/>
        <v>0</v>
      </c>
      <c r="Q129" s="243"/>
      <c r="R129" s="243"/>
      <c r="S129" s="243"/>
      <c r="T129" s="243"/>
      <c r="U129" s="243"/>
    </row>
    <row r="130" spans="2:21">
      <c r="B130" s="145" t="str">
        <f t="shared" si="24"/>
        <v/>
      </c>
      <c r="C130" s="495">
        <f>IF(D94="","-",+C129+1)</f>
        <v>2044</v>
      </c>
      <c r="D130" s="349">
        <f>IF(F129+SUM(E$100:E129)=D$93,F129,D$93-SUM(E$100:E129))</f>
        <v>0</v>
      </c>
      <c r="E130" s="629">
        <f t="shared" si="26"/>
        <v>0</v>
      </c>
      <c r="F130" s="510">
        <f t="shared" si="27"/>
        <v>0</v>
      </c>
      <c r="G130" s="510">
        <f t="shared" si="28"/>
        <v>0</v>
      </c>
      <c r="H130" s="630">
        <f t="shared" si="29"/>
        <v>0</v>
      </c>
      <c r="I130" s="631">
        <f t="shared" si="30"/>
        <v>0</v>
      </c>
      <c r="J130" s="504">
        <f t="shared" si="25"/>
        <v>0</v>
      </c>
      <c r="K130" s="504"/>
      <c r="L130" s="512"/>
      <c r="M130" s="504">
        <f t="shared" si="21"/>
        <v>0</v>
      </c>
      <c r="N130" s="512"/>
      <c r="O130" s="504">
        <f t="shared" si="22"/>
        <v>0</v>
      </c>
      <c r="P130" s="504">
        <f t="shared" si="23"/>
        <v>0</v>
      </c>
      <c r="Q130" s="243"/>
      <c r="R130" s="243"/>
      <c r="S130" s="243"/>
      <c r="T130" s="243"/>
      <c r="U130" s="243"/>
    </row>
    <row r="131" spans="2:21">
      <c r="B131" s="145" t="str">
        <f t="shared" si="24"/>
        <v/>
      </c>
      <c r="C131" s="495">
        <f>IF(D94="","-",+C130+1)</f>
        <v>2045</v>
      </c>
      <c r="D131" s="349">
        <f>IF(F130+SUM(E$100:E130)=D$93,F130,D$93-SUM(E$100:E130))</f>
        <v>0</v>
      </c>
      <c r="E131" s="629">
        <f t="shared" si="26"/>
        <v>0</v>
      </c>
      <c r="F131" s="510">
        <f t="shared" si="27"/>
        <v>0</v>
      </c>
      <c r="G131" s="510">
        <f t="shared" si="28"/>
        <v>0</v>
      </c>
      <c r="H131" s="630">
        <f t="shared" si="29"/>
        <v>0</v>
      </c>
      <c r="I131" s="631">
        <f t="shared" si="30"/>
        <v>0</v>
      </c>
      <c r="J131" s="504">
        <f t="shared" si="25"/>
        <v>0</v>
      </c>
      <c r="K131" s="504"/>
      <c r="L131" s="512"/>
      <c r="M131" s="504">
        <f t="shared" si="21"/>
        <v>0</v>
      </c>
      <c r="N131" s="512"/>
      <c r="O131" s="504">
        <f t="shared" si="22"/>
        <v>0</v>
      </c>
      <c r="P131" s="504">
        <f t="shared" si="23"/>
        <v>0</v>
      </c>
      <c r="Q131" s="243"/>
      <c r="R131" s="243"/>
      <c r="S131" s="243"/>
      <c r="T131" s="243"/>
      <c r="U131" s="243"/>
    </row>
    <row r="132" spans="2:21">
      <c r="B132" s="145" t="str">
        <f t="shared" si="24"/>
        <v/>
      </c>
      <c r="C132" s="495">
        <f>IF(D94="","-",+C131+1)</f>
        <v>2046</v>
      </c>
      <c r="D132" s="349">
        <f>IF(F131+SUM(E$100:E131)=D$93,F131,D$93-SUM(E$100:E131))</f>
        <v>0</v>
      </c>
      <c r="E132" s="629">
        <f t="shared" si="26"/>
        <v>0</v>
      </c>
      <c r="F132" s="510">
        <f t="shared" si="27"/>
        <v>0</v>
      </c>
      <c r="G132" s="510">
        <f t="shared" si="28"/>
        <v>0</v>
      </c>
      <c r="H132" s="630">
        <f t="shared" si="29"/>
        <v>0</v>
      </c>
      <c r="I132" s="631">
        <f t="shared" si="30"/>
        <v>0</v>
      </c>
      <c r="J132" s="504">
        <f t="shared" si="25"/>
        <v>0</v>
      </c>
      <c r="K132" s="504"/>
      <c r="L132" s="512"/>
      <c r="M132" s="504">
        <f t="shared" ref="M132:M155" si="31">IF(L542&lt;&gt;0,+H542-L542,0)</f>
        <v>0</v>
      </c>
      <c r="N132" s="512"/>
      <c r="O132" s="504">
        <f t="shared" ref="O132:O155" si="32">IF(N542&lt;&gt;0,+I542-N542,0)</f>
        <v>0</v>
      </c>
      <c r="P132" s="504">
        <f t="shared" ref="P132:P155" si="33">+O542-M542</f>
        <v>0</v>
      </c>
      <c r="Q132" s="243"/>
      <c r="R132" s="243"/>
      <c r="S132" s="243"/>
      <c r="T132" s="243"/>
      <c r="U132" s="243"/>
    </row>
    <row r="133" spans="2:21">
      <c r="B133" s="145" t="str">
        <f t="shared" si="24"/>
        <v/>
      </c>
      <c r="C133" s="495">
        <f>IF(D94="","-",+C132+1)</f>
        <v>2047</v>
      </c>
      <c r="D133" s="349">
        <f>IF(F132+SUM(E$100:E132)=D$93,F132,D$93-SUM(E$100:E132))</f>
        <v>0</v>
      </c>
      <c r="E133" s="629">
        <f t="shared" si="26"/>
        <v>0</v>
      </c>
      <c r="F133" s="510">
        <f t="shared" si="27"/>
        <v>0</v>
      </c>
      <c r="G133" s="510">
        <f t="shared" si="28"/>
        <v>0</v>
      </c>
      <c r="H133" s="630">
        <f t="shared" si="29"/>
        <v>0</v>
      </c>
      <c r="I133" s="631">
        <f t="shared" si="30"/>
        <v>0</v>
      </c>
      <c r="J133" s="504">
        <f t="shared" si="25"/>
        <v>0</v>
      </c>
      <c r="K133" s="504"/>
      <c r="L133" s="512"/>
      <c r="M133" s="504">
        <f t="shared" si="31"/>
        <v>0</v>
      </c>
      <c r="N133" s="512"/>
      <c r="O133" s="504">
        <f t="shared" si="32"/>
        <v>0</v>
      </c>
      <c r="P133" s="504">
        <f t="shared" si="33"/>
        <v>0</v>
      </c>
      <c r="Q133" s="243"/>
      <c r="R133" s="243"/>
      <c r="S133" s="243"/>
      <c r="T133" s="243"/>
      <c r="U133" s="243"/>
    </row>
    <row r="134" spans="2:21">
      <c r="B134" s="145" t="str">
        <f t="shared" si="24"/>
        <v/>
      </c>
      <c r="C134" s="495">
        <f>IF(D94="","-",+C133+1)</f>
        <v>2048</v>
      </c>
      <c r="D134" s="349">
        <f>IF(F133+SUM(E$100:E133)=D$93,F133,D$93-SUM(E$100:E133))</f>
        <v>0</v>
      </c>
      <c r="E134" s="629">
        <f t="shared" si="26"/>
        <v>0</v>
      </c>
      <c r="F134" s="510">
        <f t="shared" si="27"/>
        <v>0</v>
      </c>
      <c r="G134" s="510">
        <f t="shared" si="28"/>
        <v>0</v>
      </c>
      <c r="H134" s="630">
        <f t="shared" si="29"/>
        <v>0</v>
      </c>
      <c r="I134" s="631">
        <f t="shared" si="30"/>
        <v>0</v>
      </c>
      <c r="J134" s="504">
        <f t="shared" si="25"/>
        <v>0</v>
      </c>
      <c r="K134" s="504"/>
      <c r="L134" s="512"/>
      <c r="M134" s="504">
        <f t="shared" si="31"/>
        <v>0</v>
      </c>
      <c r="N134" s="512"/>
      <c r="O134" s="504">
        <f t="shared" si="32"/>
        <v>0</v>
      </c>
      <c r="P134" s="504">
        <f t="shared" si="33"/>
        <v>0</v>
      </c>
      <c r="Q134" s="243"/>
      <c r="R134" s="243"/>
      <c r="S134" s="243"/>
      <c r="T134" s="243"/>
      <c r="U134" s="243"/>
    </row>
    <row r="135" spans="2:21">
      <c r="B135" s="145" t="str">
        <f t="shared" si="24"/>
        <v/>
      </c>
      <c r="C135" s="495">
        <f>IF(D94="","-",+C134+1)</f>
        <v>2049</v>
      </c>
      <c r="D135" s="349">
        <f>IF(F134+SUM(E$100:E134)=D$93,F134,D$93-SUM(E$100:E134))</f>
        <v>0</v>
      </c>
      <c r="E135" s="629">
        <f t="shared" si="26"/>
        <v>0</v>
      </c>
      <c r="F135" s="510">
        <f t="shared" si="27"/>
        <v>0</v>
      </c>
      <c r="G135" s="510">
        <f t="shared" si="28"/>
        <v>0</v>
      </c>
      <c r="H135" s="630">
        <f t="shared" si="29"/>
        <v>0</v>
      </c>
      <c r="I135" s="631">
        <f t="shared" si="30"/>
        <v>0</v>
      </c>
      <c r="J135" s="504">
        <f t="shared" si="25"/>
        <v>0</v>
      </c>
      <c r="K135" s="504"/>
      <c r="L135" s="512"/>
      <c r="M135" s="504">
        <f t="shared" si="31"/>
        <v>0</v>
      </c>
      <c r="N135" s="512"/>
      <c r="O135" s="504">
        <f t="shared" si="32"/>
        <v>0</v>
      </c>
      <c r="P135" s="504">
        <f t="shared" si="33"/>
        <v>0</v>
      </c>
      <c r="Q135" s="243"/>
      <c r="R135" s="243"/>
      <c r="S135" s="243"/>
      <c r="T135" s="243"/>
      <c r="U135" s="243"/>
    </row>
    <row r="136" spans="2:21">
      <c r="B136" s="145" t="str">
        <f t="shared" si="24"/>
        <v/>
      </c>
      <c r="C136" s="495">
        <f>IF(D94="","-",+C135+1)</f>
        <v>2050</v>
      </c>
      <c r="D136" s="349">
        <f>IF(F135+SUM(E$100:E135)=D$93,F135,D$93-SUM(E$100:E135))</f>
        <v>0</v>
      </c>
      <c r="E136" s="629">
        <f t="shared" si="26"/>
        <v>0</v>
      </c>
      <c r="F136" s="510">
        <f t="shared" si="27"/>
        <v>0</v>
      </c>
      <c r="G136" s="510">
        <f t="shared" si="28"/>
        <v>0</v>
      </c>
      <c r="H136" s="630">
        <f t="shared" si="29"/>
        <v>0</v>
      </c>
      <c r="I136" s="631">
        <f t="shared" si="30"/>
        <v>0</v>
      </c>
      <c r="J136" s="504">
        <f t="shared" si="25"/>
        <v>0</v>
      </c>
      <c r="K136" s="504"/>
      <c r="L136" s="512"/>
      <c r="M136" s="504">
        <f t="shared" si="31"/>
        <v>0</v>
      </c>
      <c r="N136" s="512"/>
      <c r="O136" s="504">
        <f t="shared" si="32"/>
        <v>0</v>
      </c>
      <c r="P136" s="504">
        <f t="shared" si="33"/>
        <v>0</v>
      </c>
      <c r="Q136" s="243"/>
      <c r="R136" s="243"/>
      <c r="S136" s="243"/>
      <c r="T136" s="243"/>
      <c r="U136" s="243"/>
    </row>
    <row r="137" spans="2:21">
      <c r="B137" s="145" t="str">
        <f t="shared" si="24"/>
        <v/>
      </c>
      <c r="C137" s="495">
        <f>IF(D94="","-",+C136+1)</f>
        <v>2051</v>
      </c>
      <c r="D137" s="349">
        <f>IF(F136+SUM(E$100:E136)=D$93,F136,D$93-SUM(E$100:E136))</f>
        <v>0</v>
      </c>
      <c r="E137" s="629">
        <f t="shared" si="26"/>
        <v>0</v>
      </c>
      <c r="F137" s="510">
        <f t="shared" si="27"/>
        <v>0</v>
      </c>
      <c r="G137" s="510">
        <f t="shared" si="28"/>
        <v>0</v>
      </c>
      <c r="H137" s="630">
        <f t="shared" si="29"/>
        <v>0</v>
      </c>
      <c r="I137" s="631">
        <f t="shared" si="30"/>
        <v>0</v>
      </c>
      <c r="J137" s="504">
        <f t="shared" si="25"/>
        <v>0</v>
      </c>
      <c r="K137" s="504"/>
      <c r="L137" s="512"/>
      <c r="M137" s="504">
        <f t="shared" si="31"/>
        <v>0</v>
      </c>
      <c r="N137" s="512"/>
      <c r="O137" s="504">
        <f t="shared" si="32"/>
        <v>0</v>
      </c>
      <c r="P137" s="504">
        <f t="shared" si="33"/>
        <v>0</v>
      </c>
      <c r="Q137" s="243"/>
      <c r="R137" s="243"/>
      <c r="S137" s="243"/>
      <c r="T137" s="243"/>
      <c r="U137" s="243"/>
    </row>
    <row r="138" spans="2:21">
      <c r="B138" s="145" t="str">
        <f t="shared" si="24"/>
        <v/>
      </c>
      <c r="C138" s="495">
        <f>IF(D94="","-",+C137+1)</f>
        <v>2052</v>
      </c>
      <c r="D138" s="349">
        <f>IF(F137+SUM(E$100:E137)=D$93,F137,D$93-SUM(E$100:E137))</f>
        <v>0</v>
      </c>
      <c r="E138" s="629">
        <f t="shared" si="26"/>
        <v>0</v>
      </c>
      <c r="F138" s="510">
        <f t="shared" si="27"/>
        <v>0</v>
      </c>
      <c r="G138" s="510">
        <f t="shared" si="28"/>
        <v>0</v>
      </c>
      <c r="H138" s="630">
        <f t="shared" si="29"/>
        <v>0</v>
      </c>
      <c r="I138" s="631">
        <f t="shared" si="30"/>
        <v>0</v>
      </c>
      <c r="J138" s="504">
        <f t="shared" si="25"/>
        <v>0</v>
      </c>
      <c r="K138" s="504"/>
      <c r="L138" s="512"/>
      <c r="M138" s="504">
        <f t="shared" si="31"/>
        <v>0</v>
      </c>
      <c r="N138" s="512"/>
      <c r="O138" s="504">
        <f t="shared" si="32"/>
        <v>0</v>
      </c>
      <c r="P138" s="504">
        <f t="shared" si="33"/>
        <v>0</v>
      </c>
      <c r="Q138" s="243"/>
      <c r="R138" s="243"/>
      <c r="S138" s="243"/>
      <c r="T138" s="243"/>
      <c r="U138" s="243"/>
    </row>
    <row r="139" spans="2:21">
      <c r="B139" s="145" t="str">
        <f t="shared" si="24"/>
        <v/>
      </c>
      <c r="C139" s="495">
        <f>IF(D94="","-",+C138+1)</f>
        <v>2053</v>
      </c>
      <c r="D139" s="349">
        <f>IF(F138+SUM(E$100:E138)=D$93,F138,D$93-SUM(E$100:E138))</f>
        <v>0</v>
      </c>
      <c r="E139" s="629">
        <f t="shared" si="26"/>
        <v>0</v>
      </c>
      <c r="F139" s="510">
        <f t="shared" si="27"/>
        <v>0</v>
      </c>
      <c r="G139" s="510">
        <f t="shared" si="28"/>
        <v>0</v>
      </c>
      <c r="H139" s="630">
        <f t="shared" si="29"/>
        <v>0</v>
      </c>
      <c r="I139" s="631">
        <f t="shared" si="30"/>
        <v>0</v>
      </c>
      <c r="J139" s="504">
        <f t="shared" si="25"/>
        <v>0</v>
      </c>
      <c r="K139" s="504"/>
      <c r="L139" s="512"/>
      <c r="M139" s="504">
        <f t="shared" si="31"/>
        <v>0</v>
      </c>
      <c r="N139" s="512"/>
      <c r="O139" s="504">
        <f t="shared" si="32"/>
        <v>0</v>
      </c>
      <c r="P139" s="504">
        <f t="shared" si="33"/>
        <v>0</v>
      </c>
      <c r="Q139" s="243"/>
      <c r="R139" s="243"/>
      <c r="S139" s="243"/>
      <c r="T139" s="243"/>
      <c r="U139" s="243"/>
    </row>
    <row r="140" spans="2:21">
      <c r="B140" s="145" t="str">
        <f t="shared" si="24"/>
        <v/>
      </c>
      <c r="C140" s="495">
        <f>IF(D94="","-",+C139+1)</f>
        <v>2054</v>
      </c>
      <c r="D140" s="349">
        <f>IF(F139+SUM(E$100:E139)=D$93,F139,D$93-SUM(E$100:E139))</f>
        <v>0</v>
      </c>
      <c r="E140" s="629">
        <f t="shared" si="26"/>
        <v>0</v>
      </c>
      <c r="F140" s="510">
        <f t="shared" si="27"/>
        <v>0</v>
      </c>
      <c r="G140" s="510">
        <f t="shared" si="28"/>
        <v>0</v>
      </c>
      <c r="H140" s="630">
        <f t="shared" si="29"/>
        <v>0</v>
      </c>
      <c r="I140" s="631">
        <f t="shared" si="30"/>
        <v>0</v>
      </c>
      <c r="J140" s="504">
        <f t="shared" si="25"/>
        <v>0</v>
      </c>
      <c r="K140" s="504"/>
      <c r="L140" s="512"/>
      <c r="M140" s="504">
        <f t="shared" si="31"/>
        <v>0</v>
      </c>
      <c r="N140" s="512"/>
      <c r="O140" s="504">
        <f t="shared" si="32"/>
        <v>0</v>
      </c>
      <c r="P140" s="504">
        <f t="shared" si="33"/>
        <v>0</v>
      </c>
      <c r="Q140" s="243"/>
      <c r="R140" s="243"/>
      <c r="S140" s="243"/>
      <c r="T140" s="243"/>
      <c r="U140" s="243"/>
    </row>
    <row r="141" spans="2:21">
      <c r="B141" s="145" t="str">
        <f t="shared" si="24"/>
        <v/>
      </c>
      <c r="C141" s="495">
        <f>IF(D94="","-",+C140+1)</f>
        <v>2055</v>
      </c>
      <c r="D141" s="349">
        <f>IF(F140+SUM(E$100:E140)=D$93,F140,D$93-SUM(E$100:E140))</f>
        <v>0</v>
      </c>
      <c r="E141" s="629">
        <f t="shared" si="26"/>
        <v>0</v>
      </c>
      <c r="F141" s="510">
        <f t="shared" si="27"/>
        <v>0</v>
      </c>
      <c r="G141" s="510">
        <f t="shared" si="28"/>
        <v>0</v>
      </c>
      <c r="H141" s="630">
        <f t="shared" si="29"/>
        <v>0</v>
      </c>
      <c r="I141" s="631">
        <f t="shared" si="30"/>
        <v>0</v>
      </c>
      <c r="J141" s="504">
        <f t="shared" si="25"/>
        <v>0</v>
      </c>
      <c r="K141" s="504"/>
      <c r="L141" s="512"/>
      <c r="M141" s="504">
        <f t="shared" si="31"/>
        <v>0</v>
      </c>
      <c r="N141" s="512"/>
      <c r="O141" s="504">
        <f t="shared" si="32"/>
        <v>0</v>
      </c>
      <c r="P141" s="504">
        <f t="shared" si="33"/>
        <v>0</v>
      </c>
      <c r="Q141" s="243"/>
      <c r="R141" s="243"/>
      <c r="S141" s="243"/>
      <c r="T141" s="243"/>
      <c r="U141" s="243"/>
    </row>
    <row r="142" spans="2:21">
      <c r="B142" s="145" t="str">
        <f t="shared" si="24"/>
        <v/>
      </c>
      <c r="C142" s="495">
        <f>IF(D94="","-",+C141+1)</f>
        <v>2056</v>
      </c>
      <c r="D142" s="349">
        <f>IF(F141+SUM(E$100:E141)=D$93,F141,D$93-SUM(E$100:E141))</f>
        <v>0</v>
      </c>
      <c r="E142" s="629">
        <f t="shared" si="26"/>
        <v>0</v>
      </c>
      <c r="F142" s="510">
        <f t="shared" si="27"/>
        <v>0</v>
      </c>
      <c r="G142" s="510">
        <f t="shared" si="28"/>
        <v>0</v>
      </c>
      <c r="H142" s="630">
        <f t="shared" si="29"/>
        <v>0</v>
      </c>
      <c r="I142" s="631">
        <f t="shared" si="30"/>
        <v>0</v>
      </c>
      <c r="J142" s="504">
        <f t="shared" si="25"/>
        <v>0</v>
      </c>
      <c r="K142" s="504"/>
      <c r="L142" s="512"/>
      <c r="M142" s="504">
        <f t="shared" si="31"/>
        <v>0</v>
      </c>
      <c r="N142" s="512"/>
      <c r="O142" s="504">
        <f t="shared" si="32"/>
        <v>0</v>
      </c>
      <c r="P142" s="504">
        <f t="shared" si="33"/>
        <v>0</v>
      </c>
      <c r="Q142" s="243"/>
      <c r="R142" s="243"/>
      <c r="S142" s="243"/>
      <c r="T142" s="243"/>
      <c r="U142" s="243"/>
    </row>
    <row r="143" spans="2:21">
      <c r="B143" s="145" t="str">
        <f t="shared" si="24"/>
        <v/>
      </c>
      <c r="C143" s="495">
        <f>IF(D94="","-",+C142+1)</f>
        <v>2057</v>
      </c>
      <c r="D143" s="349">
        <f>IF(F142+SUM(E$100:E142)=D$93,F142,D$93-SUM(E$100:E142))</f>
        <v>0</v>
      </c>
      <c r="E143" s="629">
        <f t="shared" si="26"/>
        <v>0</v>
      </c>
      <c r="F143" s="510">
        <f t="shared" si="27"/>
        <v>0</v>
      </c>
      <c r="G143" s="510">
        <f t="shared" si="28"/>
        <v>0</v>
      </c>
      <c r="H143" s="630">
        <f t="shared" si="29"/>
        <v>0</v>
      </c>
      <c r="I143" s="631">
        <f t="shared" si="30"/>
        <v>0</v>
      </c>
      <c r="J143" s="504">
        <f t="shared" si="25"/>
        <v>0</v>
      </c>
      <c r="K143" s="504"/>
      <c r="L143" s="512"/>
      <c r="M143" s="504">
        <f t="shared" si="31"/>
        <v>0</v>
      </c>
      <c r="N143" s="512"/>
      <c r="O143" s="504">
        <f t="shared" si="32"/>
        <v>0</v>
      </c>
      <c r="P143" s="504">
        <f t="shared" si="33"/>
        <v>0</v>
      </c>
      <c r="Q143" s="243"/>
      <c r="R143" s="243"/>
      <c r="S143" s="243"/>
      <c r="T143" s="243"/>
      <c r="U143" s="243"/>
    </row>
    <row r="144" spans="2:21">
      <c r="B144" s="145" t="str">
        <f t="shared" si="24"/>
        <v/>
      </c>
      <c r="C144" s="495">
        <f>IF(D94="","-",+C143+1)</f>
        <v>2058</v>
      </c>
      <c r="D144" s="349">
        <f>IF(F143+SUM(E$100:E143)=D$93,F143,D$93-SUM(E$100:E143))</f>
        <v>0</v>
      </c>
      <c r="E144" s="629">
        <f t="shared" si="26"/>
        <v>0</v>
      </c>
      <c r="F144" s="510">
        <f t="shared" si="27"/>
        <v>0</v>
      </c>
      <c r="G144" s="510">
        <f t="shared" si="28"/>
        <v>0</v>
      </c>
      <c r="H144" s="630">
        <f t="shared" si="29"/>
        <v>0</v>
      </c>
      <c r="I144" s="631">
        <f t="shared" si="30"/>
        <v>0</v>
      </c>
      <c r="J144" s="504">
        <f t="shared" si="25"/>
        <v>0</v>
      </c>
      <c r="K144" s="504"/>
      <c r="L144" s="512"/>
      <c r="M144" s="504">
        <f t="shared" si="31"/>
        <v>0</v>
      </c>
      <c r="N144" s="512"/>
      <c r="O144" s="504">
        <f t="shared" si="32"/>
        <v>0</v>
      </c>
      <c r="P144" s="504">
        <f t="shared" si="33"/>
        <v>0</v>
      </c>
      <c r="Q144" s="243"/>
      <c r="R144" s="243"/>
      <c r="S144" s="243"/>
      <c r="T144" s="243"/>
      <c r="U144" s="243"/>
    </row>
    <row r="145" spans="2:21">
      <c r="B145" s="145" t="str">
        <f t="shared" si="24"/>
        <v/>
      </c>
      <c r="C145" s="495">
        <f>IF(D94="","-",+C144+1)</f>
        <v>2059</v>
      </c>
      <c r="D145" s="349">
        <f>IF(F144+SUM(E$100:E144)=D$93,F144,D$93-SUM(E$100:E144))</f>
        <v>0</v>
      </c>
      <c r="E145" s="629">
        <f t="shared" si="26"/>
        <v>0</v>
      </c>
      <c r="F145" s="510">
        <f t="shared" si="27"/>
        <v>0</v>
      </c>
      <c r="G145" s="510">
        <f t="shared" si="28"/>
        <v>0</v>
      </c>
      <c r="H145" s="630">
        <f t="shared" si="29"/>
        <v>0</v>
      </c>
      <c r="I145" s="631">
        <f t="shared" si="30"/>
        <v>0</v>
      </c>
      <c r="J145" s="504">
        <f t="shared" si="25"/>
        <v>0</v>
      </c>
      <c r="K145" s="504"/>
      <c r="L145" s="512"/>
      <c r="M145" s="504">
        <f t="shared" si="31"/>
        <v>0</v>
      </c>
      <c r="N145" s="512"/>
      <c r="O145" s="504">
        <f t="shared" si="32"/>
        <v>0</v>
      </c>
      <c r="P145" s="504">
        <f t="shared" si="33"/>
        <v>0</v>
      </c>
      <c r="Q145" s="243"/>
      <c r="R145" s="243"/>
      <c r="S145" s="243"/>
      <c r="T145" s="243"/>
      <c r="U145" s="243"/>
    </row>
    <row r="146" spans="2:21">
      <c r="B146" s="145" t="str">
        <f t="shared" si="24"/>
        <v/>
      </c>
      <c r="C146" s="495">
        <f>IF(D94="","-",+C145+1)</f>
        <v>2060</v>
      </c>
      <c r="D146" s="349">
        <f>IF(F145+SUM(E$100:E145)=D$93,F145,D$93-SUM(E$100:E145))</f>
        <v>0</v>
      </c>
      <c r="E146" s="629">
        <f t="shared" si="26"/>
        <v>0</v>
      </c>
      <c r="F146" s="510">
        <f t="shared" si="27"/>
        <v>0</v>
      </c>
      <c r="G146" s="510">
        <f t="shared" si="28"/>
        <v>0</v>
      </c>
      <c r="H146" s="630">
        <f t="shared" si="29"/>
        <v>0</v>
      </c>
      <c r="I146" s="631">
        <f t="shared" si="30"/>
        <v>0</v>
      </c>
      <c r="J146" s="504">
        <f t="shared" si="25"/>
        <v>0</v>
      </c>
      <c r="K146" s="504"/>
      <c r="L146" s="512"/>
      <c r="M146" s="504">
        <f t="shared" si="31"/>
        <v>0</v>
      </c>
      <c r="N146" s="512"/>
      <c r="O146" s="504">
        <f t="shared" si="32"/>
        <v>0</v>
      </c>
      <c r="P146" s="504">
        <f t="shared" si="33"/>
        <v>0</v>
      </c>
      <c r="Q146" s="243"/>
      <c r="R146" s="243"/>
      <c r="S146" s="243"/>
      <c r="T146" s="243"/>
      <c r="U146" s="243"/>
    </row>
    <row r="147" spans="2:21">
      <c r="B147" s="145" t="str">
        <f t="shared" si="24"/>
        <v/>
      </c>
      <c r="C147" s="495">
        <f>IF(D94="","-",+C146+1)</f>
        <v>2061</v>
      </c>
      <c r="D147" s="349">
        <f>IF(F146+SUM(E$100:E146)=D$93,F146,D$93-SUM(E$100:E146))</f>
        <v>0</v>
      </c>
      <c r="E147" s="629">
        <f t="shared" si="26"/>
        <v>0</v>
      </c>
      <c r="F147" s="510">
        <f t="shared" si="27"/>
        <v>0</v>
      </c>
      <c r="G147" s="510">
        <f t="shared" si="28"/>
        <v>0</v>
      </c>
      <c r="H147" s="630">
        <f t="shared" si="29"/>
        <v>0</v>
      </c>
      <c r="I147" s="631">
        <f t="shared" si="30"/>
        <v>0</v>
      </c>
      <c r="J147" s="504">
        <f t="shared" si="25"/>
        <v>0</v>
      </c>
      <c r="K147" s="504"/>
      <c r="L147" s="512"/>
      <c r="M147" s="504">
        <f t="shared" si="31"/>
        <v>0</v>
      </c>
      <c r="N147" s="512"/>
      <c r="O147" s="504">
        <f t="shared" si="32"/>
        <v>0</v>
      </c>
      <c r="P147" s="504">
        <f t="shared" si="33"/>
        <v>0</v>
      </c>
      <c r="Q147" s="243"/>
      <c r="R147" s="243"/>
      <c r="S147" s="243"/>
      <c r="T147" s="243"/>
      <c r="U147" s="243"/>
    </row>
    <row r="148" spans="2:21">
      <c r="B148" s="145" t="str">
        <f t="shared" si="24"/>
        <v/>
      </c>
      <c r="C148" s="495">
        <f>IF(D94="","-",+C147+1)</f>
        <v>2062</v>
      </c>
      <c r="D148" s="349">
        <f>IF(F147+SUM(E$100:E147)=D$93,F147,D$93-SUM(E$100:E147))</f>
        <v>0</v>
      </c>
      <c r="E148" s="629">
        <f t="shared" si="26"/>
        <v>0</v>
      </c>
      <c r="F148" s="510">
        <f t="shared" si="27"/>
        <v>0</v>
      </c>
      <c r="G148" s="510">
        <f t="shared" si="28"/>
        <v>0</v>
      </c>
      <c r="H148" s="630">
        <f t="shared" si="29"/>
        <v>0</v>
      </c>
      <c r="I148" s="631">
        <f t="shared" si="30"/>
        <v>0</v>
      </c>
      <c r="J148" s="504">
        <f t="shared" si="25"/>
        <v>0</v>
      </c>
      <c r="K148" s="504"/>
      <c r="L148" s="512"/>
      <c r="M148" s="504">
        <f t="shared" si="31"/>
        <v>0</v>
      </c>
      <c r="N148" s="512"/>
      <c r="O148" s="504">
        <f t="shared" si="32"/>
        <v>0</v>
      </c>
      <c r="P148" s="504">
        <f t="shared" si="33"/>
        <v>0</v>
      </c>
      <c r="Q148" s="243"/>
      <c r="R148" s="243"/>
      <c r="S148" s="243"/>
      <c r="T148" s="243"/>
      <c r="U148" s="243"/>
    </row>
    <row r="149" spans="2:21">
      <c r="B149" s="145" t="str">
        <f t="shared" si="24"/>
        <v/>
      </c>
      <c r="C149" s="495">
        <f>IF(D94="","-",+C148+1)</f>
        <v>2063</v>
      </c>
      <c r="D149" s="349">
        <f>IF(F148+SUM(E$100:E148)=D$93,F148,D$93-SUM(E$100:E148))</f>
        <v>0</v>
      </c>
      <c r="E149" s="629">
        <f t="shared" si="26"/>
        <v>0</v>
      </c>
      <c r="F149" s="510">
        <f t="shared" si="27"/>
        <v>0</v>
      </c>
      <c r="G149" s="510">
        <f t="shared" si="28"/>
        <v>0</v>
      </c>
      <c r="H149" s="630">
        <f t="shared" si="29"/>
        <v>0</v>
      </c>
      <c r="I149" s="631">
        <f t="shared" si="30"/>
        <v>0</v>
      </c>
      <c r="J149" s="504">
        <f t="shared" si="25"/>
        <v>0</v>
      </c>
      <c r="K149" s="504"/>
      <c r="L149" s="512"/>
      <c r="M149" s="504">
        <f t="shared" si="31"/>
        <v>0</v>
      </c>
      <c r="N149" s="512"/>
      <c r="O149" s="504">
        <f t="shared" si="32"/>
        <v>0</v>
      </c>
      <c r="P149" s="504">
        <f t="shared" si="33"/>
        <v>0</v>
      </c>
      <c r="Q149" s="243"/>
      <c r="R149" s="243"/>
      <c r="S149" s="243"/>
      <c r="T149" s="243"/>
      <c r="U149" s="243"/>
    </row>
    <row r="150" spans="2:21">
      <c r="B150" s="145" t="str">
        <f t="shared" si="24"/>
        <v/>
      </c>
      <c r="C150" s="495">
        <f>IF(D94="","-",+C149+1)</f>
        <v>2064</v>
      </c>
      <c r="D150" s="349">
        <f>IF(F149+SUM(E$100:E149)=D$93,F149,D$93-SUM(E$100:E149))</f>
        <v>0</v>
      </c>
      <c r="E150" s="629">
        <f t="shared" si="26"/>
        <v>0</v>
      </c>
      <c r="F150" s="510">
        <f t="shared" si="27"/>
        <v>0</v>
      </c>
      <c r="G150" s="510">
        <f t="shared" si="28"/>
        <v>0</v>
      </c>
      <c r="H150" s="630">
        <f t="shared" si="29"/>
        <v>0</v>
      </c>
      <c r="I150" s="631">
        <f t="shared" si="30"/>
        <v>0</v>
      </c>
      <c r="J150" s="504">
        <f t="shared" si="25"/>
        <v>0</v>
      </c>
      <c r="K150" s="504"/>
      <c r="L150" s="512"/>
      <c r="M150" s="504">
        <f t="shared" si="31"/>
        <v>0</v>
      </c>
      <c r="N150" s="512"/>
      <c r="O150" s="504">
        <f t="shared" si="32"/>
        <v>0</v>
      </c>
      <c r="P150" s="504">
        <f t="shared" si="33"/>
        <v>0</v>
      </c>
      <c r="Q150" s="243"/>
      <c r="R150" s="243"/>
      <c r="S150" s="243"/>
      <c r="T150" s="243"/>
      <c r="U150" s="243"/>
    </row>
    <row r="151" spans="2:21">
      <c r="B151" s="145" t="str">
        <f t="shared" si="24"/>
        <v/>
      </c>
      <c r="C151" s="495">
        <f>IF(D94="","-",+C150+1)</f>
        <v>2065</v>
      </c>
      <c r="D151" s="349">
        <f>IF(F150+SUM(E$100:E150)=D$93,F150,D$93-SUM(E$100:E150))</f>
        <v>0</v>
      </c>
      <c r="E151" s="629">
        <f t="shared" si="26"/>
        <v>0</v>
      </c>
      <c r="F151" s="510">
        <f t="shared" si="27"/>
        <v>0</v>
      </c>
      <c r="G151" s="510">
        <f t="shared" si="28"/>
        <v>0</v>
      </c>
      <c r="H151" s="630">
        <f t="shared" si="29"/>
        <v>0</v>
      </c>
      <c r="I151" s="631">
        <f t="shared" si="30"/>
        <v>0</v>
      </c>
      <c r="J151" s="504">
        <f t="shared" si="25"/>
        <v>0</v>
      </c>
      <c r="K151" s="504"/>
      <c r="L151" s="512"/>
      <c r="M151" s="504">
        <f t="shared" si="31"/>
        <v>0</v>
      </c>
      <c r="N151" s="512"/>
      <c r="O151" s="504">
        <f t="shared" si="32"/>
        <v>0</v>
      </c>
      <c r="P151" s="504">
        <f t="shared" si="33"/>
        <v>0</v>
      </c>
      <c r="Q151" s="243"/>
      <c r="R151" s="243"/>
      <c r="S151" s="243"/>
      <c r="T151" s="243"/>
      <c r="U151" s="243"/>
    </row>
    <row r="152" spans="2:21">
      <c r="B152" s="145" t="str">
        <f t="shared" si="24"/>
        <v/>
      </c>
      <c r="C152" s="495">
        <f>IF(D94="","-",+C151+1)</f>
        <v>2066</v>
      </c>
      <c r="D152" s="349">
        <f>IF(F151+SUM(E$100:E151)=D$93,F151,D$93-SUM(E$100:E151))</f>
        <v>0</v>
      </c>
      <c r="E152" s="629">
        <f t="shared" si="26"/>
        <v>0</v>
      </c>
      <c r="F152" s="510">
        <f t="shared" si="27"/>
        <v>0</v>
      </c>
      <c r="G152" s="510">
        <f t="shared" si="28"/>
        <v>0</v>
      </c>
      <c r="H152" s="630">
        <f t="shared" si="29"/>
        <v>0</v>
      </c>
      <c r="I152" s="631">
        <f t="shared" si="30"/>
        <v>0</v>
      </c>
      <c r="J152" s="504">
        <f t="shared" si="25"/>
        <v>0</v>
      </c>
      <c r="K152" s="504"/>
      <c r="L152" s="512"/>
      <c r="M152" s="504">
        <f t="shared" si="31"/>
        <v>0</v>
      </c>
      <c r="N152" s="512"/>
      <c r="O152" s="504">
        <f t="shared" si="32"/>
        <v>0</v>
      </c>
      <c r="P152" s="504">
        <f t="shared" si="33"/>
        <v>0</v>
      </c>
      <c r="Q152" s="243"/>
      <c r="R152" s="243"/>
      <c r="S152" s="243"/>
      <c r="T152" s="243"/>
      <c r="U152" s="243"/>
    </row>
    <row r="153" spans="2:21">
      <c r="B153" s="145" t="str">
        <f t="shared" si="24"/>
        <v/>
      </c>
      <c r="C153" s="495">
        <f>IF(D94="","-",+C152+1)</f>
        <v>2067</v>
      </c>
      <c r="D153" s="349">
        <f>IF(F152+SUM(E$100:E152)=D$93,F152,D$93-SUM(E$100:E152))</f>
        <v>0</v>
      </c>
      <c r="E153" s="629">
        <f t="shared" si="26"/>
        <v>0</v>
      </c>
      <c r="F153" s="510">
        <f t="shared" si="27"/>
        <v>0</v>
      </c>
      <c r="G153" s="510">
        <f t="shared" si="28"/>
        <v>0</v>
      </c>
      <c r="H153" s="630">
        <f t="shared" si="29"/>
        <v>0</v>
      </c>
      <c r="I153" s="631">
        <f t="shared" si="30"/>
        <v>0</v>
      </c>
      <c r="J153" s="504">
        <f t="shared" si="25"/>
        <v>0</v>
      </c>
      <c r="K153" s="504"/>
      <c r="L153" s="512"/>
      <c r="M153" s="504">
        <f t="shared" si="31"/>
        <v>0</v>
      </c>
      <c r="N153" s="512"/>
      <c r="O153" s="504">
        <f t="shared" si="32"/>
        <v>0</v>
      </c>
      <c r="P153" s="504">
        <f t="shared" si="33"/>
        <v>0</v>
      </c>
      <c r="Q153" s="243"/>
      <c r="R153" s="243"/>
      <c r="S153" s="243"/>
      <c r="T153" s="243"/>
      <c r="U153" s="243"/>
    </row>
    <row r="154" spans="2:21">
      <c r="B154" s="145" t="str">
        <f t="shared" si="24"/>
        <v/>
      </c>
      <c r="C154" s="495">
        <f>IF(D94="","-",+C153+1)</f>
        <v>2068</v>
      </c>
      <c r="D154" s="349">
        <f>IF(F153+SUM(E$100:E153)=D$93,F153,D$93-SUM(E$100:E153))</f>
        <v>0</v>
      </c>
      <c r="E154" s="629">
        <f t="shared" si="26"/>
        <v>0</v>
      </c>
      <c r="F154" s="510">
        <f t="shared" si="27"/>
        <v>0</v>
      </c>
      <c r="G154" s="510">
        <f t="shared" si="28"/>
        <v>0</v>
      </c>
      <c r="H154" s="630">
        <f t="shared" si="29"/>
        <v>0</v>
      </c>
      <c r="I154" s="631">
        <f t="shared" si="30"/>
        <v>0</v>
      </c>
      <c r="J154" s="504">
        <f t="shared" si="25"/>
        <v>0</v>
      </c>
      <c r="K154" s="504"/>
      <c r="L154" s="512"/>
      <c r="M154" s="504">
        <f t="shared" si="31"/>
        <v>0</v>
      </c>
      <c r="N154" s="512"/>
      <c r="O154" s="504">
        <f t="shared" si="32"/>
        <v>0</v>
      </c>
      <c r="P154" s="504">
        <f t="shared" si="33"/>
        <v>0</v>
      </c>
      <c r="Q154" s="243"/>
      <c r="R154" s="243"/>
      <c r="S154" s="243"/>
      <c r="T154" s="243"/>
      <c r="U154" s="243"/>
    </row>
    <row r="155" spans="2:21" ht="13.5" thickBot="1">
      <c r="B155" s="145" t="str">
        <f t="shared" si="24"/>
        <v/>
      </c>
      <c r="C155" s="524">
        <f>IF(D94="","-",+C154+1)</f>
        <v>2069</v>
      </c>
      <c r="D155" s="618">
        <f>IF(F154+SUM(E$100:E154)=D$93,F154,D$93-SUM(E$100:E154))</f>
        <v>0</v>
      </c>
      <c r="E155" s="632">
        <f t="shared" si="26"/>
        <v>0</v>
      </c>
      <c r="F155" s="527">
        <f t="shared" si="27"/>
        <v>0</v>
      </c>
      <c r="G155" s="527">
        <f t="shared" si="28"/>
        <v>0</v>
      </c>
      <c r="H155" s="633">
        <f t="shared" si="29"/>
        <v>0</v>
      </c>
      <c r="I155" s="634">
        <f t="shared" si="30"/>
        <v>0</v>
      </c>
      <c r="J155" s="531">
        <f t="shared" si="25"/>
        <v>0</v>
      </c>
      <c r="K155" s="504"/>
      <c r="L155" s="530"/>
      <c r="M155" s="531">
        <f t="shared" si="31"/>
        <v>0</v>
      </c>
      <c r="N155" s="530"/>
      <c r="O155" s="531">
        <f t="shared" si="32"/>
        <v>0</v>
      </c>
      <c r="P155" s="531">
        <f t="shared" si="33"/>
        <v>0</v>
      </c>
      <c r="Q155" s="243"/>
      <c r="R155" s="243"/>
      <c r="S155" s="243"/>
      <c r="T155" s="243"/>
      <c r="U155" s="243"/>
    </row>
    <row r="156" spans="2:21">
      <c r="C156" s="349" t="s">
        <v>75</v>
      </c>
      <c r="D156" s="294"/>
      <c r="E156" s="294">
        <f>SUM(E100:E155)</f>
        <v>13254470.000000004</v>
      </c>
      <c r="F156" s="294"/>
      <c r="G156" s="294"/>
      <c r="H156" s="294">
        <f>SUM(H100:H155)</f>
        <v>35184573.019265018</v>
      </c>
      <c r="I156" s="294">
        <f>SUM(I100:I155)</f>
        <v>35184573.019265018</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0" priority="1" stopIfTrue="1" operator="equal">
      <formula>$I$10</formula>
    </cfRule>
  </conditionalFormatting>
  <conditionalFormatting sqref="C100:C155">
    <cfRule type="cellIs" dxfId="39"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theme="9" tint="0.39997558519241921"/>
  </sheetPr>
  <dimension ref="A1:U163"/>
  <sheetViews>
    <sheetView view="pageBreakPreview" zoomScale="78" zoomScaleNormal="100" zoomScaleSheetLayoutView="78" workbookViewId="0">
      <selection activeCell="D11" sqref="D11"/>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13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0</v>
      </c>
      <c r="P5" s="243"/>
      <c r="R5" s="243"/>
      <c r="S5" s="243"/>
      <c r="T5" s="243"/>
      <c r="U5" s="243"/>
    </row>
    <row r="6" spans="1:21" ht="15.75">
      <c r="C6" s="636" t="s">
        <v>266</v>
      </c>
      <c r="D6" s="292"/>
      <c r="E6" s="243"/>
      <c r="F6" s="243"/>
      <c r="G6" s="243"/>
      <c r="H6" s="449"/>
      <c r="I6" s="449"/>
      <c r="J6" s="450"/>
      <c r="K6" s="451" t="s">
        <v>243</v>
      </c>
      <c r="L6" s="452"/>
      <c r="M6" s="278"/>
      <c r="N6" s="453">
        <f>VLOOKUP(I10,C17:I73,6)</f>
        <v>0</v>
      </c>
      <c r="O6" s="243"/>
      <c r="P6" s="243"/>
      <c r="R6" s="243"/>
      <c r="S6" s="243"/>
      <c r="T6" s="243"/>
      <c r="U6" s="243"/>
    </row>
    <row r="7" spans="1:21" ht="13.5" thickBot="1">
      <c r="C7" s="454" t="s">
        <v>46</v>
      </c>
      <c r="D7" s="455" t="s">
        <v>231</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c r="G8" s="461"/>
      <c r="H8" s="461"/>
      <c r="I8" s="461"/>
      <c r="J8" s="462"/>
      <c r="K8" s="461"/>
      <c r="L8" s="461"/>
      <c r="M8" s="461"/>
      <c r="N8" s="461"/>
      <c r="O8" s="462"/>
      <c r="P8" s="248"/>
      <c r="R8" s="243"/>
      <c r="S8" s="243"/>
      <c r="T8" s="243"/>
      <c r="U8" s="243"/>
    </row>
    <row r="9" spans="1:21" ht="13.5" thickBot="1">
      <c r="C9" s="463" t="s">
        <v>48</v>
      </c>
      <c r="D9" s="464" t="s">
        <v>232</v>
      </c>
      <c r="E9" s="646" t="s">
        <v>301</v>
      </c>
      <c r="F9" s="465"/>
      <c r="G9" s="465"/>
      <c r="H9" s="465"/>
      <c r="I9" s="466"/>
      <c r="J9" s="467"/>
      <c r="O9" s="468"/>
      <c r="P9" s="278"/>
      <c r="R9" s="243"/>
      <c r="S9" s="243"/>
      <c r="T9" s="243"/>
      <c r="U9" s="243"/>
    </row>
    <row r="10" spans="1:21">
      <c r="C10" s="469" t="s">
        <v>49</v>
      </c>
      <c r="D10" s="470">
        <v>0</v>
      </c>
      <c r="E10" s="299" t="s">
        <v>50</v>
      </c>
      <c r="F10" s="468"/>
      <c r="G10" s="408"/>
      <c r="H10" s="408"/>
      <c r="I10" s="471">
        <f>+'OKT.WS.F.BPU.ATRR.Projected'!R101</f>
        <v>2024</v>
      </c>
      <c r="J10" s="467"/>
      <c r="K10" s="294" t="s">
        <v>51</v>
      </c>
      <c r="O10" s="278"/>
      <c r="P10" s="278"/>
      <c r="R10" s="243"/>
      <c r="S10" s="243"/>
      <c r="T10" s="243"/>
      <c r="U10" s="243"/>
    </row>
    <row r="11" spans="1:21">
      <c r="C11" s="472" t="s">
        <v>52</v>
      </c>
      <c r="D11" s="473">
        <v>2013</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10</v>
      </c>
      <c r="E12" s="472" t="s">
        <v>55</v>
      </c>
      <c r="F12" s="408"/>
      <c r="G12" s="220"/>
      <c r="H12" s="220"/>
      <c r="I12" s="476">
        <f>'OKT.WS.F.BPU.ATRR.Projected'!$F$79</f>
        <v>0.11393163315254198</v>
      </c>
      <c r="J12" s="413"/>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0</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2013</v>
      </c>
      <c r="D17" s="612">
        <v>4086696.07</v>
      </c>
      <c r="E17" s="620">
        <v>11782.768994177641</v>
      </c>
      <c r="F17" s="612">
        <v>4074913.3010058221</v>
      </c>
      <c r="G17" s="620">
        <v>123870.72395190655</v>
      </c>
      <c r="H17" s="617">
        <v>123870.72395190655</v>
      </c>
      <c r="I17" s="635">
        <v>0</v>
      </c>
      <c r="J17" s="500"/>
      <c r="K17" s="501">
        <f t="shared" ref="K17:K22" si="1">G17</f>
        <v>123870.72395190655</v>
      </c>
      <c r="L17" s="502">
        <f t="shared" ref="L17:L73" si="2">IF(K17&lt;&gt;0,+G17-K17,0)</f>
        <v>0</v>
      </c>
      <c r="M17" s="501">
        <f t="shared" ref="M17:M22" si="3">H17</f>
        <v>123870.72395190655</v>
      </c>
      <c r="N17" s="503">
        <f t="shared" ref="N17:N73" si="4">IF(M17&lt;&gt;0,+H17-M17,0)</f>
        <v>0</v>
      </c>
      <c r="O17" s="504">
        <f t="shared" ref="O17:O73" si="5">+N17-L17</f>
        <v>0</v>
      </c>
      <c r="P17" s="278"/>
      <c r="R17" s="243"/>
      <c r="S17" s="243"/>
      <c r="T17" s="243"/>
      <c r="U17" s="243"/>
    </row>
    <row r="18" spans="2:21">
      <c r="B18" s="145" t="str">
        <f t="shared" si="0"/>
        <v/>
      </c>
      <c r="C18" s="495">
        <f>IF(D11="","-",+C17+1)</f>
        <v>2014</v>
      </c>
      <c r="D18" s="614">
        <v>4074913.3010058221</v>
      </c>
      <c r="E18" s="613">
        <v>70696.613965065844</v>
      </c>
      <c r="F18" s="614">
        <v>4004216.6870407565</v>
      </c>
      <c r="G18" s="613">
        <v>511269.87430631154</v>
      </c>
      <c r="H18" s="617">
        <v>511269.87430631154</v>
      </c>
      <c r="I18" s="635">
        <v>0</v>
      </c>
      <c r="J18" s="500"/>
      <c r="K18" s="592">
        <f t="shared" si="1"/>
        <v>511269.87430631154</v>
      </c>
      <c r="L18" s="596">
        <f t="shared" si="2"/>
        <v>0</v>
      </c>
      <c r="M18" s="592">
        <f t="shared" si="3"/>
        <v>511269.87430631154</v>
      </c>
      <c r="N18" s="594">
        <f t="shared" si="4"/>
        <v>0</v>
      </c>
      <c r="O18" s="596">
        <f t="shared" si="5"/>
        <v>0</v>
      </c>
      <c r="P18" s="278"/>
      <c r="R18" s="243"/>
      <c r="S18" s="243"/>
      <c r="T18" s="243"/>
      <c r="U18" s="243"/>
    </row>
    <row r="19" spans="2:21">
      <c r="B19" s="145" t="str">
        <f t="shared" si="0"/>
        <v/>
      </c>
      <c r="C19" s="495">
        <f>IF(D11="","-",+C18+1)</f>
        <v>2015</v>
      </c>
      <c r="D19" s="614">
        <v>4004216.6870407565</v>
      </c>
      <c r="E19" s="613">
        <v>70696.613965065844</v>
      </c>
      <c r="F19" s="614">
        <v>3933520.0730756908</v>
      </c>
      <c r="G19" s="613">
        <v>476106.58378878143</v>
      </c>
      <c r="H19" s="617">
        <v>476106.58378878143</v>
      </c>
      <c r="I19" s="584">
        <v>0</v>
      </c>
      <c r="J19" s="500"/>
      <c r="K19" s="592">
        <f t="shared" si="1"/>
        <v>476106.58378878143</v>
      </c>
      <c r="L19" s="596">
        <f>IF(K19&lt;&gt;0,+G19-K19,0)</f>
        <v>0</v>
      </c>
      <c r="M19" s="592">
        <f t="shared" si="3"/>
        <v>476106.58378878143</v>
      </c>
      <c r="N19" s="594">
        <f>IF(M19&lt;&gt;0,+H19-M19,0)</f>
        <v>0</v>
      </c>
      <c r="O19" s="596">
        <f>+N19-L19</f>
        <v>0</v>
      </c>
      <c r="P19" s="278"/>
      <c r="R19" s="243"/>
      <c r="S19" s="243"/>
      <c r="T19" s="243"/>
      <c r="U19" s="243"/>
    </row>
    <row r="20" spans="2:21">
      <c r="B20" s="145" t="str">
        <f t="shared" si="0"/>
        <v/>
      </c>
      <c r="C20" s="495">
        <f>IF(D11="","-",+C19+1)</f>
        <v>2016</v>
      </c>
      <c r="D20" s="614">
        <v>3933520.0730756908</v>
      </c>
      <c r="E20" s="613">
        <v>84919.313620452886</v>
      </c>
      <c r="F20" s="614">
        <v>3848600.759455238</v>
      </c>
      <c r="G20" s="613">
        <v>500107.78781700449</v>
      </c>
      <c r="H20" s="617">
        <v>500107.78781700449</v>
      </c>
      <c r="I20" s="500">
        <f>H20-G20</f>
        <v>0</v>
      </c>
      <c r="J20" s="500"/>
      <c r="K20" s="592">
        <f t="shared" si="1"/>
        <v>500107.78781700449</v>
      </c>
      <c r="L20" s="596">
        <f>IF(K20&lt;&gt;0,+G20-K20,0)</f>
        <v>0</v>
      </c>
      <c r="M20" s="592">
        <f t="shared" si="3"/>
        <v>500107.78781700449</v>
      </c>
      <c r="N20" s="504">
        <f t="shared" si="4"/>
        <v>0</v>
      </c>
      <c r="O20" s="504">
        <f t="shared" si="5"/>
        <v>0</v>
      </c>
      <c r="P20" s="278"/>
      <c r="R20" s="243"/>
      <c r="S20" s="243"/>
      <c r="T20" s="243"/>
      <c r="U20" s="243"/>
    </row>
    <row r="21" spans="2:21">
      <c r="B21" s="145" t="str">
        <f t="shared" si="0"/>
        <v>IU</v>
      </c>
      <c r="C21" s="495">
        <f>IF(D11="","-",+C20+1)</f>
        <v>2017</v>
      </c>
      <c r="D21" s="614">
        <v>4561942.6894552382</v>
      </c>
      <c r="E21" s="613">
        <v>94378.250117010364</v>
      </c>
      <c r="F21" s="614">
        <v>4467564.4393382277</v>
      </c>
      <c r="G21" s="613">
        <v>590730.13217900996</v>
      </c>
      <c r="H21" s="617">
        <v>590730.13217900996</v>
      </c>
      <c r="I21" s="500">
        <f t="shared" ref="I21:I73" si="6">H21-G21</f>
        <v>0</v>
      </c>
      <c r="J21" s="500"/>
      <c r="K21" s="592">
        <f t="shared" si="1"/>
        <v>590730.13217900996</v>
      </c>
      <c r="L21" s="596">
        <f>IF(K21&lt;&gt;0,+G21-K21,0)</f>
        <v>0</v>
      </c>
      <c r="M21" s="592">
        <f t="shared" si="3"/>
        <v>590730.13217900996</v>
      </c>
      <c r="N21" s="504">
        <f>IF(M21&lt;&gt;0,+H21-M21,0)</f>
        <v>0</v>
      </c>
      <c r="O21" s="504">
        <f>+N21-L21</f>
        <v>0</v>
      </c>
      <c r="P21" s="278"/>
      <c r="R21" s="243"/>
      <c r="S21" s="243"/>
      <c r="T21" s="243"/>
      <c r="U21" s="243"/>
    </row>
    <row r="22" spans="2:21">
      <c r="B22" s="145" t="str">
        <f t="shared" si="0"/>
        <v>IU</v>
      </c>
      <c r="C22" s="495">
        <f>IF(D11="","-",+C21+1)</f>
        <v>2018</v>
      </c>
      <c r="D22" s="614"/>
      <c r="E22" s="613"/>
      <c r="F22" s="614"/>
      <c r="G22" s="613"/>
      <c r="H22" s="617"/>
      <c r="I22" s="500">
        <v>0</v>
      </c>
      <c r="J22" s="500"/>
      <c r="K22" s="592">
        <f t="shared" si="1"/>
        <v>0</v>
      </c>
      <c r="L22" s="596">
        <f>IF(K22&lt;&gt;0,+G22-K22,0)</f>
        <v>0</v>
      </c>
      <c r="M22" s="592">
        <f t="shared" si="3"/>
        <v>0</v>
      </c>
      <c r="N22" s="504">
        <f>IF(M22&lt;&gt;0,+H22-M22,0)</f>
        <v>0</v>
      </c>
      <c r="O22" s="504">
        <f>+N22-L22</f>
        <v>0</v>
      </c>
      <c r="P22" s="278"/>
      <c r="R22" s="243"/>
      <c r="S22" s="243"/>
      <c r="T22" s="243"/>
      <c r="U22" s="243"/>
    </row>
    <row r="23" spans="2:21">
      <c r="B23" s="145" t="str">
        <f t="shared" si="0"/>
        <v/>
      </c>
      <c r="C23" s="495">
        <f>IF(D11="","-",+C22+1)</f>
        <v>2019</v>
      </c>
      <c r="D23" s="508">
        <v>0</v>
      </c>
      <c r="E23" s="509">
        <f t="shared" ref="E23:E26" si="7">IF(+$I$14&lt;F22,$I$14,D23)</f>
        <v>0</v>
      </c>
      <c r="F23" s="510">
        <f t="shared" ref="F23:F26" si="8">+D23-E23</f>
        <v>0</v>
      </c>
      <c r="G23" s="511">
        <f t="shared" ref="G23:G26" si="9">(D23+F23)/2*I$12+E23</f>
        <v>0</v>
      </c>
      <c r="H23" s="477">
        <f t="shared" ref="H23:H26" si="10">+(D23+F23)/2*I$13+E23</f>
        <v>0</v>
      </c>
      <c r="I23" s="500">
        <f t="shared" si="6"/>
        <v>0</v>
      </c>
      <c r="J23" s="500"/>
      <c r="K23" s="512"/>
      <c r="L23" s="504">
        <f t="shared" si="2"/>
        <v>0</v>
      </c>
      <c r="M23" s="512"/>
      <c r="N23" s="504">
        <f t="shared" si="4"/>
        <v>0</v>
      </c>
      <c r="O23" s="504">
        <f t="shared" si="5"/>
        <v>0</v>
      </c>
      <c r="P23" s="278"/>
      <c r="R23" s="243"/>
      <c r="S23" s="243"/>
      <c r="T23" s="243"/>
      <c r="U23" s="243"/>
    </row>
    <row r="24" spans="2:21">
      <c r="B24" s="145" t="str">
        <f t="shared" si="0"/>
        <v/>
      </c>
      <c r="C24" s="495">
        <f>IF(D11="","-",+C23+1)</f>
        <v>2020</v>
      </c>
      <c r="D24" s="508">
        <v>0</v>
      </c>
      <c r="E24" s="509">
        <v>0</v>
      </c>
      <c r="F24" s="510">
        <f t="shared" si="8"/>
        <v>0</v>
      </c>
      <c r="G24" s="511">
        <f t="shared" si="9"/>
        <v>0</v>
      </c>
      <c r="H24" s="477">
        <f t="shared" si="10"/>
        <v>0</v>
      </c>
      <c r="I24" s="500">
        <f t="shared" si="6"/>
        <v>0</v>
      </c>
      <c r="J24" s="500"/>
      <c r="K24" s="512"/>
      <c r="L24" s="504">
        <f t="shared" si="2"/>
        <v>0</v>
      </c>
      <c r="M24" s="512"/>
      <c r="N24" s="504">
        <f t="shared" si="4"/>
        <v>0</v>
      </c>
      <c r="O24" s="504">
        <f t="shared" si="5"/>
        <v>0</v>
      </c>
      <c r="P24" s="278"/>
      <c r="R24" s="243"/>
      <c r="S24" s="243"/>
      <c r="T24" s="243"/>
      <c r="U24" s="243"/>
    </row>
    <row r="25" spans="2:21">
      <c r="B25" s="145" t="str">
        <f t="shared" si="0"/>
        <v/>
      </c>
      <c r="C25" s="495">
        <f>IF(D11="","-",+C24+1)</f>
        <v>2021</v>
      </c>
      <c r="D25" s="508">
        <v>0</v>
      </c>
      <c r="E25" s="509">
        <f t="shared" si="7"/>
        <v>0</v>
      </c>
      <c r="F25" s="510">
        <f t="shared" si="8"/>
        <v>0</v>
      </c>
      <c r="G25" s="511">
        <f t="shared" si="9"/>
        <v>0</v>
      </c>
      <c r="H25" s="477">
        <f t="shared" si="10"/>
        <v>0</v>
      </c>
      <c r="I25" s="500">
        <f t="shared" si="6"/>
        <v>0</v>
      </c>
      <c r="J25" s="500"/>
      <c r="K25" s="512"/>
      <c r="L25" s="504">
        <f t="shared" si="2"/>
        <v>0</v>
      </c>
      <c r="M25" s="512"/>
      <c r="N25" s="504">
        <f t="shared" si="4"/>
        <v>0</v>
      </c>
      <c r="O25" s="504">
        <f t="shared" si="5"/>
        <v>0</v>
      </c>
      <c r="P25" s="278"/>
      <c r="R25" s="243"/>
      <c r="S25" s="243"/>
      <c r="T25" s="243"/>
      <c r="U25" s="243"/>
    </row>
    <row r="26" spans="2:21">
      <c r="B26" s="145" t="str">
        <f t="shared" si="0"/>
        <v/>
      </c>
      <c r="C26" s="495">
        <f>IF(D11="","-",+C25+1)</f>
        <v>2022</v>
      </c>
      <c r="D26" s="508">
        <v>0</v>
      </c>
      <c r="E26" s="509">
        <f t="shared" si="7"/>
        <v>0</v>
      </c>
      <c r="F26" s="510">
        <f t="shared" si="8"/>
        <v>0</v>
      </c>
      <c r="G26" s="511">
        <f t="shared" si="9"/>
        <v>0</v>
      </c>
      <c r="H26" s="477">
        <f t="shared" si="10"/>
        <v>0</v>
      </c>
      <c r="I26" s="500">
        <f t="shared" si="6"/>
        <v>0</v>
      </c>
      <c r="J26" s="500"/>
      <c r="K26" s="512"/>
      <c r="L26" s="504">
        <f t="shared" si="2"/>
        <v>0</v>
      </c>
      <c r="M26" s="512"/>
      <c r="N26" s="504">
        <f t="shared" si="4"/>
        <v>0</v>
      </c>
      <c r="O26" s="504">
        <f t="shared" si="5"/>
        <v>0</v>
      </c>
      <c r="P26" s="278"/>
      <c r="R26" s="243"/>
      <c r="S26" s="243"/>
      <c r="T26" s="243"/>
      <c r="U26" s="243"/>
    </row>
    <row r="27" spans="2:21">
      <c r="B27" s="145" t="str">
        <f t="shared" si="0"/>
        <v/>
      </c>
      <c r="C27" s="495">
        <f>IF(D11="","-",+C26+1)</f>
        <v>2023</v>
      </c>
      <c r="D27" s="508">
        <v>0</v>
      </c>
      <c r="E27" s="509">
        <f t="shared" ref="E27" si="11">IF(+$I$14&lt;F26,$I$14,D27)</f>
        <v>0</v>
      </c>
      <c r="F27" s="510">
        <f t="shared" ref="F27" si="12">+D27-E27</f>
        <v>0</v>
      </c>
      <c r="G27" s="511">
        <f t="shared" ref="G27" si="13">(D27+F27)/2*I$12+E27</f>
        <v>0</v>
      </c>
      <c r="H27" s="477">
        <f t="shared" ref="H27" si="14">+(D27+F27)/2*I$13+E27</f>
        <v>0</v>
      </c>
      <c r="I27" s="500">
        <f t="shared" si="6"/>
        <v>0</v>
      </c>
      <c r="J27" s="500"/>
      <c r="K27" s="512"/>
      <c r="L27" s="504">
        <f t="shared" si="2"/>
        <v>0</v>
      </c>
      <c r="M27" s="512"/>
      <c r="N27" s="504">
        <f t="shared" si="4"/>
        <v>0</v>
      </c>
      <c r="O27" s="504">
        <f t="shared" si="5"/>
        <v>0</v>
      </c>
      <c r="P27" s="278"/>
      <c r="R27" s="243"/>
      <c r="S27" s="243"/>
      <c r="T27" s="243"/>
      <c r="U27" s="243"/>
    </row>
    <row r="28" spans="2:21">
      <c r="B28" s="145" t="str">
        <f t="shared" si="0"/>
        <v/>
      </c>
      <c r="C28" s="495">
        <f>IF(D11="","-",+C27+1)</f>
        <v>2024</v>
      </c>
      <c r="D28" s="508"/>
      <c r="E28" s="509"/>
      <c r="F28" s="510"/>
      <c r="G28" s="511"/>
      <c r="H28" s="477"/>
      <c r="I28" s="500">
        <f t="shared" si="6"/>
        <v>0</v>
      </c>
      <c r="J28" s="500"/>
      <c r="K28" s="512"/>
      <c r="L28" s="504">
        <f t="shared" si="2"/>
        <v>0</v>
      </c>
      <c r="M28" s="512"/>
      <c r="N28" s="504">
        <f t="shared" si="4"/>
        <v>0</v>
      </c>
      <c r="O28" s="504">
        <f t="shared" si="5"/>
        <v>0</v>
      </c>
      <c r="P28" s="278"/>
      <c r="R28" s="243"/>
      <c r="S28" s="243"/>
      <c r="T28" s="243"/>
      <c r="U28" s="243"/>
    </row>
    <row r="29" spans="2:21">
      <c r="B29" s="145" t="str">
        <f t="shared" si="0"/>
        <v/>
      </c>
      <c r="C29" s="495">
        <f>IF(D11="","-",+C28+1)</f>
        <v>2025</v>
      </c>
      <c r="D29" s="508"/>
      <c r="E29" s="509"/>
      <c r="F29" s="510"/>
      <c r="G29" s="511"/>
      <c r="H29" s="477"/>
      <c r="I29" s="500">
        <f t="shared" si="6"/>
        <v>0</v>
      </c>
      <c r="J29" s="500"/>
      <c r="K29" s="512"/>
      <c r="L29" s="504">
        <f t="shared" si="2"/>
        <v>0</v>
      </c>
      <c r="M29" s="512"/>
      <c r="N29" s="504">
        <f t="shared" si="4"/>
        <v>0</v>
      </c>
      <c r="O29" s="504">
        <f t="shared" si="5"/>
        <v>0</v>
      </c>
      <c r="P29" s="278"/>
      <c r="R29" s="243"/>
      <c r="S29" s="243"/>
      <c r="T29" s="243"/>
      <c r="U29" s="243"/>
    </row>
    <row r="30" spans="2:21">
      <c r="B30" s="145" t="str">
        <f t="shared" si="0"/>
        <v/>
      </c>
      <c r="C30" s="495">
        <f>IF(D11="","-",+C29+1)</f>
        <v>2026</v>
      </c>
      <c r="D30" s="508"/>
      <c r="E30" s="509"/>
      <c r="F30" s="510"/>
      <c r="G30" s="511"/>
      <c r="H30" s="477"/>
      <c r="I30" s="500">
        <f t="shared" si="6"/>
        <v>0</v>
      </c>
      <c r="J30" s="500"/>
      <c r="K30" s="512"/>
      <c r="L30" s="504">
        <f t="shared" si="2"/>
        <v>0</v>
      </c>
      <c r="M30" s="512"/>
      <c r="N30" s="504">
        <f t="shared" si="4"/>
        <v>0</v>
      </c>
      <c r="O30" s="504">
        <f t="shared" si="5"/>
        <v>0</v>
      </c>
      <c r="P30" s="278"/>
      <c r="R30" s="243"/>
      <c r="S30" s="243"/>
      <c r="T30" s="243"/>
      <c r="U30" s="243"/>
    </row>
    <row r="31" spans="2:21">
      <c r="B31" s="145" t="str">
        <f t="shared" si="0"/>
        <v/>
      </c>
      <c r="C31" s="495">
        <f>IF(D11="","-",+C30+1)</f>
        <v>2027</v>
      </c>
      <c r="D31" s="508"/>
      <c r="E31" s="509"/>
      <c r="F31" s="510"/>
      <c r="G31" s="511"/>
      <c r="H31" s="477"/>
      <c r="I31" s="500">
        <f t="shared" si="6"/>
        <v>0</v>
      </c>
      <c r="J31" s="500"/>
      <c r="K31" s="512"/>
      <c r="L31" s="504">
        <f t="shared" si="2"/>
        <v>0</v>
      </c>
      <c r="M31" s="512"/>
      <c r="N31" s="504">
        <f t="shared" si="4"/>
        <v>0</v>
      </c>
      <c r="O31" s="504">
        <f t="shared" si="5"/>
        <v>0</v>
      </c>
      <c r="P31" s="278"/>
      <c r="Q31" s="220"/>
      <c r="R31" s="278"/>
      <c r="S31" s="278"/>
      <c r="T31" s="278"/>
      <c r="U31" s="243"/>
    </row>
    <row r="32" spans="2:21">
      <c r="B32" s="145" t="str">
        <f t="shared" si="0"/>
        <v/>
      </c>
      <c r="C32" s="495">
        <f>IF(D12="","-",+C31+1)</f>
        <v>2028</v>
      </c>
      <c r="D32" s="508"/>
      <c r="E32" s="509"/>
      <c r="F32" s="510"/>
      <c r="G32" s="511"/>
      <c r="H32" s="477"/>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2029</v>
      </c>
      <c r="D33" s="508"/>
      <c r="E33" s="509"/>
      <c r="F33" s="510"/>
      <c r="G33" s="511"/>
      <c r="H33" s="477"/>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2030</v>
      </c>
      <c r="D34" s="508"/>
      <c r="E34" s="509"/>
      <c r="F34" s="510"/>
      <c r="G34" s="511"/>
      <c r="H34" s="477"/>
      <c r="I34" s="519">
        <f t="shared" si="6"/>
        <v>0</v>
      </c>
      <c r="J34" s="519"/>
      <c r="K34" s="520"/>
      <c r="L34" s="521">
        <f t="shared" si="2"/>
        <v>0</v>
      </c>
      <c r="M34" s="520"/>
      <c r="N34" s="521">
        <f t="shared" si="4"/>
        <v>0</v>
      </c>
      <c r="O34" s="521">
        <f t="shared" si="5"/>
        <v>0</v>
      </c>
      <c r="P34" s="522"/>
      <c r="Q34" s="216"/>
      <c r="R34" s="522"/>
      <c r="S34" s="522"/>
      <c r="T34" s="522"/>
      <c r="U34" s="243"/>
    </row>
    <row r="35" spans="2:21">
      <c r="B35" s="145" t="str">
        <f t="shared" si="0"/>
        <v/>
      </c>
      <c r="C35" s="495">
        <f>IF(D11="","-",+C34+1)</f>
        <v>2031</v>
      </c>
      <c r="D35" s="508"/>
      <c r="E35" s="509"/>
      <c r="F35" s="510"/>
      <c r="G35" s="511"/>
      <c r="H35" s="477"/>
      <c r="I35" s="500">
        <f t="shared" si="6"/>
        <v>0</v>
      </c>
      <c r="J35" s="500"/>
      <c r="K35" s="512"/>
      <c r="L35" s="504">
        <f t="shared" si="2"/>
        <v>0</v>
      </c>
      <c r="M35" s="512"/>
      <c r="N35" s="504">
        <f t="shared" si="4"/>
        <v>0</v>
      </c>
      <c r="O35" s="504">
        <f t="shared" si="5"/>
        <v>0</v>
      </c>
      <c r="P35" s="278"/>
      <c r="R35" s="243"/>
      <c r="S35" s="243"/>
      <c r="T35" s="243"/>
      <c r="U35" s="243"/>
    </row>
    <row r="36" spans="2:21">
      <c r="B36" s="145" t="str">
        <f t="shared" si="0"/>
        <v/>
      </c>
      <c r="C36" s="495">
        <f>IF(D11="","-",+C35+1)</f>
        <v>2032</v>
      </c>
      <c r="D36" s="508"/>
      <c r="E36" s="509"/>
      <c r="F36" s="510"/>
      <c r="G36" s="511"/>
      <c r="H36" s="477"/>
      <c r="I36" s="500">
        <f t="shared" si="6"/>
        <v>0</v>
      </c>
      <c r="J36" s="500"/>
      <c r="K36" s="512"/>
      <c r="L36" s="504">
        <f t="shared" si="2"/>
        <v>0</v>
      </c>
      <c r="M36" s="512"/>
      <c r="N36" s="504">
        <f t="shared" si="4"/>
        <v>0</v>
      </c>
      <c r="O36" s="504">
        <f t="shared" si="5"/>
        <v>0</v>
      </c>
      <c r="P36" s="278"/>
      <c r="R36" s="243"/>
      <c r="S36" s="243"/>
      <c r="T36" s="243"/>
      <c r="U36" s="243"/>
    </row>
    <row r="37" spans="2:21">
      <c r="B37" s="145" t="str">
        <f t="shared" si="0"/>
        <v/>
      </c>
      <c r="C37" s="495">
        <f>IF(D11="","-",+C36+1)</f>
        <v>2033</v>
      </c>
      <c r="D37" s="508"/>
      <c r="E37" s="509"/>
      <c r="F37" s="510"/>
      <c r="G37" s="511"/>
      <c r="H37" s="477"/>
      <c r="I37" s="500">
        <f t="shared" si="6"/>
        <v>0</v>
      </c>
      <c r="J37" s="500"/>
      <c r="K37" s="512"/>
      <c r="L37" s="504">
        <f t="shared" si="2"/>
        <v>0</v>
      </c>
      <c r="M37" s="512"/>
      <c r="N37" s="504">
        <f t="shared" si="4"/>
        <v>0</v>
      </c>
      <c r="O37" s="504">
        <f t="shared" si="5"/>
        <v>0</v>
      </c>
      <c r="P37" s="278"/>
      <c r="R37" s="243"/>
      <c r="S37" s="243"/>
      <c r="T37" s="243"/>
      <c r="U37" s="243"/>
    </row>
    <row r="38" spans="2:21">
      <c r="B38" s="145" t="str">
        <f t="shared" si="0"/>
        <v/>
      </c>
      <c r="C38" s="495">
        <f>IF(D11="","-",+C37+1)</f>
        <v>2034</v>
      </c>
      <c r="D38" s="508"/>
      <c r="E38" s="509"/>
      <c r="F38" s="510"/>
      <c r="G38" s="511"/>
      <c r="H38" s="477"/>
      <c r="I38" s="500">
        <f t="shared" si="6"/>
        <v>0</v>
      </c>
      <c r="J38" s="500"/>
      <c r="K38" s="512"/>
      <c r="L38" s="504">
        <f t="shared" si="2"/>
        <v>0</v>
      </c>
      <c r="M38" s="512"/>
      <c r="N38" s="504">
        <f t="shared" si="4"/>
        <v>0</v>
      </c>
      <c r="O38" s="504">
        <f t="shared" si="5"/>
        <v>0</v>
      </c>
      <c r="P38" s="278"/>
      <c r="R38" s="243"/>
      <c r="S38" s="243"/>
      <c r="T38" s="243"/>
      <c r="U38" s="243"/>
    </row>
    <row r="39" spans="2:21">
      <c r="B39" s="145" t="str">
        <f t="shared" si="0"/>
        <v/>
      </c>
      <c r="C39" s="495">
        <f>IF(D11="","-",+C38+1)</f>
        <v>2035</v>
      </c>
      <c r="D39" s="508"/>
      <c r="E39" s="509"/>
      <c r="F39" s="510"/>
      <c r="G39" s="511"/>
      <c r="H39" s="477"/>
      <c r="I39" s="500">
        <f t="shared" si="6"/>
        <v>0</v>
      </c>
      <c r="J39" s="500"/>
      <c r="K39" s="512"/>
      <c r="L39" s="504">
        <f t="shared" si="2"/>
        <v>0</v>
      </c>
      <c r="M39" s="512"/>
      <c r="N39" s="504">
        <f t="shared" si="4"/>
        <v>0</v>
      </c>
      <c r="O39" s="504">
        <f t="shared" si="5"/>
        <v>0</v>
      </c>
      <c r="P39" s="278"/>
      <c r="R39" s="243"/>
      <c r="S39" s="243"/>
      <c r="T39" s="243"/>
      <c r="U39" s="243"/>
    </row>
    <row r="40" spans="2:21">
      <c r="B40" s="145" t="str">
        <f t="shared" si="0"/>
        <v/>
      </c>
      <c r="C40" s="495">
        <f>IF(D11="","-",+C39+1)</f>
        <v>2036</v>
      </c>
      <c r="D40" s="508"/>
      <c r="E40" s="509"/>
      <c r="F40" s="510"/>
      <c r="G40" s="511"/>
      <c r="H40" s="477"/>
      <c r="I40" s="500">
        <f t="shared" si="6"/>
        <v>0</v>
      </c>
      <c r="J40" s="500"/>
      <c r="K40" s="512"/>
      <c r="L40" s="504">
        <f t="shared" si="2"/>
        <v>0</v>
      </c>
      <c r="M40" s="512"/>
      <c r="N40" s="504">
        <f t="shared" si="4"/>
        <v>0</v>
      </c>
      <c r="O40" s="504">
        <f t="shared" si="5"/>
        <v>0</v>
      </c>
      <c r="P40" s="278"/>
      <c r="R40" s="243"/>
      <c r="S40" s="243"/>
      <c r="T40" s="243"/>
      <c r="U40" s="243"/>
    </row>
    <row r="41" spans="2:21">
      <c r="B41" s="145" t="str">
        <f t="shared" si="0"/>
        <v/>
      </c>
      <c r="C41" s="495">
        <f>IF(D12="","-",+C40+1)</f>
        <v>2037</v>
      </c>
      <c r="D41" s="508"/>
      <c r="E41" s="509"/>
      <c r="F41" s="510"/>
      <c r="G41" s="511"/>
      <c r="H41" s="477"/>
      <c r="I41" s="500">
        <f t="shared" si="6"/>
        <v>0</v>
      </c>
      <c r="J41" s="500"/>
      <c r="K41" s="512"/>
      <c r="L41" s="504">
        <f t="shared" si="2"/>
        <v>0</v>
      </c>
      <c r="M41" s="512"/>
      <c r="N41" s="504">
        <f t="shared" si="4"/>
        <v>0</v>
      </c>
      <c r="O41" s="504">
        <f t="shared" si="5"/>
        <v>0</v>
      </c>
      <c r="P41" s="278"/>
      <c r="R41" s="243"/>
      <c r="S41" s="243"/>
      <c r="T41" s="243"/>
      <c r="U41" s="243"/>
    </row>
    <row r="42" spans="2:21">
      <c r="B42" s="145" t="str">
        <f t="shared" si="0"/>
        <v/>
      </c>
      <c r="C42" s="495">
        <f>IF(D13="","-",+C41+1)</f>
        <v>2038</v>
      </c>
      <c r="D42" s="508"/>
      <c r="E42" s="509"/>
      <c r="F42" s="510"/>
      <c r="G42" s="511"/>
      <c r="H42" s="477"/>
      <c r="I42" s="500">
        <f t="shared" si="6"/>
        <v>0</v>
      </c>
      <c r="J42" s="500"/>
      <c r="K42" s="512"/>
      <c r="L42" s="504">
        <f t="shared" si="2"/>
        <v>0</v>
      </c>
      <c r="M42" s="512"/>
      <c r="N42" s="504">
        <f t="shared" si="4"/>
        <v>0</v>
      </c>
      <c r="O42" s="504">
        <f t="shared" si="5"/>
        <v>0</v>
      </c>
      <c r="P42" s="278"/>
      <c r="R42" s="243"/>
      <c r="S42" s="243"/>
      <c r="T42" s="243"/>
      <c r="U42" s="243"/>
    </row>
    <row r="43" spans="2:21">
      <c r="B43" s="145" t="str">
        <f t="shared" si="0"/>
        <v/>
      </c>
      <c r="C43" s="495">
        <f>IF(D11="","-",+C42+1)</f>
        <v>2039</v>
      </c>
      <c r="D43" s="508"/>
      <c r="E43" s="509"/>
      <c r="F43" s="510"/>
      <c r="G43" s="511"/>
      <c r="H43" s="477"/>
      <c r="I43" s="500">
        <f t="shared" si="6"/>
        <v>0</v>
      </c>
      <c r="J43" s="500"/>
      <c r="K43" s="512"/>
      <c r="L43" s="504">
        <f t="shared" si="2"/>
        <v>0</v>
      </c>
      <c r="M43" s="512"/>
      <c r="N43" s="504">
        <f t="shared" si="4"/>
        <v>0</v>
      </c>
      <c r="O43" s="504">
        <f t="shared" si="5"/>
        <v>0</v>
      </c>
      <c r="P43" s="278"/>
      <c r="R43" s="243"/>
      <c r="S43" s="243"/>
      <c r="T43" s="243"/>
      <c r="U43" s="243"/>
    </row>
    <row r="44" spans="2:21">
      <c r="B44" s="145" t="str">
        <f t="shared" si="0"/>
        <v/>
      </c>
      <c r="C44" s="495">
        <f>IF(D11="","-",+C43+1)</f>
        <v>2040</v>
      </c>
      <c r="D44" s="508"/>
      <c r="E44" s="509"/>
      <c r="F44" s="510"/>
      <c r="G44" s="511"/>
      <c r="H44" s="477"/>
      <c r="I44" s="500">
        <f t="shared" si="6"/>
        <v>0</v>
      </c>
      <c r="J44" s="500"/>
      <c r="K44" s="512"/>
      <c r="L44" s="504">
        <f t="shared" si="2"/>
        <v>0</v>
      </c>
      <c r="M44" s="512"/>
      <c r="N44" s="504">
        <f t="shared" si="4"/>
        <v>0</v>
      </c>
      <c r="O44" s="504">
        <f t="shared" si="5"/>
        <v>0</v>
      </c>
      <c r="P44" s="278"/>
      <c r="R44" s="243"/>
      <c r="S44" s="243"/>
      <c r="T44" s="243"/>
      <c r="U44" s="243"/>
    </row>
    <row r="45" spans="2:21">
      <c r="B45" s="145" t="str">
        <f t="shared" si="0"/>
        <v/>
      </c>
      <c r="C45" s="495">
        <f>IF(D11="","-",+C44+1)</f>
        <v>2041</v>
      </c>
      <c r="D45" s="508"/>
      <c r="E45" s="509"/>
      <c r="F45" s="510"/>
      <c r="G45" s="511"/>
      <c r="H45" s="477"/>
      <c r="I45" s="500">
        <f t="shared" si="6"/>
        <v>0</v>
      </c>
      <c r="J45" s="500"/>
      <c r="K45" s="512"/>
      <c r="L45" s="504">
        <f t="shared" si="2"/>
        <v>0</v>
      </c>
      <c r="M45" s="512"/>
      <c r="N45" s="504">
        <f t="shared" si="4"/>
        <v>0</v>
      </c>
      <c r="O45" s="504">
        <f t="shared" si="5"/>
        <v>0</v>
      </c>
      <c r="P45" s="278"/>
      <c r="R45" s="243"/>
      <c r="S45" s="243"/>
      <c r="T45" s="243"/>
      <c r="U45" s="243"/>
    </row>
    <row r="46" spans="2:21">
      <c r="B46" s="145" t="str">
        <f t="shared" si="0"/>
        <v/>
      </c>
      <c r="C46" s="495">
        <f>IF(D11="","-",+C45+1)</f>
        <v>2042</v>
      </c>
      <c r="D46" s="508"/>
      <c r="E46" s="509"/>
      <c r="F46" s="510"/>
      <c r="G46" s="511"/>
      <c r="H46" s="477"/>
      <c r="I46" s="500">
        <f t="shared" si="6"/>
        <v>0</v>
      </c>
      <c r="J46" s="500"/>
      <c r="K46" s="512"/>
      <c r="L46" s="504">
        <f t="shared" si="2"/>
        <v>0</v>
      </c>
      <c r="M46" s="512"/>
      <c r="N46" s="504">
        <f t="shared" si="4"/>
        <v>0</v>
      </c>
      <c r="O46" s="504">
        <f t="shared" si="5"/>
        <v>0</v>
      </c>
      <c r="P46" s="278"/>
      <c r="R46" s="243"/>
      <c r="S46" s="243"/>
      <c r="T46" s="243"/>
      <c r="U46" s="243"/>
    </row>
    <row r="47" spans="2:21">
      <c r="B47" s="145" t="str">
        <f t="shared" si="0"/>
        <v/>
      </c>
      <c r="C47" s="495">
        <f>IF(D11="","-",+C46+1)</f>
        <v>2043</v>
      </c>
      <c r="D47" s="508"/>
      <c r="E47" s="509"/>
      <c r="F47" s="510"/>
      <c r="G47" s="511"/>
      <c r="H47" s="477"/>
      <c r="I47" s="500">
        <f t="shared" si="6"/>
        <v>0</v>
      </c>
      <c r="J47" s="500"/>
      <c r="K47" s="512"/>
      <c r="L47" s="504">
        <f t="shared" si="2"/>
        <v>0</v>
      </c>
      <c r="M47" s="512"/>
      <c r="N47" s="504">
        <f t="shared" si="4"/>
        <v>0</v>
      </c>
      <c r="O47" s="504">
        <f t="shared" si="5"/>
        <v>0</v>
      </c>
      <c r="P47" s="278"/>
      <c r="R47" s="243"/>
      <c r="S47" s="243"/>
      <c r="T47" s="243"/>
      <c r="U47" s="243"/>
    </row>
    <row r="48" spans="2:21">
      <c r="B48" s="145" t="str">
        <f t="shared" si="0"/>
        <v/>
      </c>
      <c r="C48" s="495">
        <f>IF(D11="","-",+C47+1)</f>
        <v>2044</v>
      </c>
      <c r="D48" s="508"/>
      <c r="E48" s="509"/>
      <c r="F48" s="510"/>
      <c r="G48" s="511"/>
      <c r="H48" s="477"/>
      <c r="I48" s="500">
        <f t="shared" si="6"/>
        <v>0</v>
      </c>
      <c r="J48" s="500"/>
      <c r="K48" s="512"/>
      <c r="L48" s="504">
        <f t="shared" si="2"/>
        <v>0</v>
      </c>
      <c r="M48" s="512"/>
      <c r="N48" s="504">
        <f t="shared" si="4"/>
        <v>0</v>
      </c>
      <c r="O48" s="504">
        <f t="shared" si="5"/>
        <v>0</v>
      </c>
      <c r="P48" s="278"/>
      <c r="R48" s="243"/>
      <c r="S48" s="243"/>
      <c r="T48" s="243"/>
      <c r="U48" s="243"/>
    </row>
    <row r="49" spans="2:21">
      <c r="B49" s="145" t="str">
        <f t="shared" si="0"/>
        <v/>
      </c>
      <c r="C49" s="495">
        <f>IF(D11="","-",+C48+1)</f>
        <v>2045</v>
      </c>
      <c r="D49" s="508"/>
      <c r="E49" s="509"/>
      <c r="F49" s="510"/>
      <c r="G49" s="511"/>
      <c r="H49" s="477"/>
      <c r="I49" s="500">
        <f t="shared" si="6"/>
        <v>0</v>
      </c>
      <c r="J49" s="500"/>
      <c r="K49" s="512"/>
      <c r="L49" s="504">
        <f t="shared" si="2"/>
        <v>0</v>
      </c>
      <c r="M49" s="512"/>
      <c r="N49" s="504">
        <f t="shared" si="4"/>
        <v>0</v>
      </c>
      <c r="O49" s="504">
        <f t="shared" si="5"/>
        <v>0</v>
      </c>
      <c r="P49" s="278"/>
      <c r="R49" s="243"/>
      <c r="S49" s="243"/>
      <c r="T49" s="243"/>
      <c r="U49" s="243"/>
    </row>
    <row r="50" spans="2:21">
      <c r="B50" s="145" t="str">
        <f t="shared" si="0"/>
        <v/>
      </c>
      <c r="C50" s="495">
        <f>IF(D11="","-",+C49+1)</f>
        <v>2046</v>
      </c>
      <c r="D50" s="508"/>
      <c r="E50" s="509"/>
      <c r="F50" s="510"/>
      <c r="G50" s="511"/>
      <c r="H50" s="477"/>
      <c r="I50" s="500">
        <f t="shared" si="6"/>
        <v>0</v>
      </c>
      <c r="J50" s="500"/>
      <c r="K50" s="512"/>
      <c r="L50" s="504">
        <f t="shared" si="2"/>
        <v>0</v>
      </c>
      <c r="M50" s="512"/>
      <c r="N50" s="504">
        <f t="shared" si="4"/>
        <v>0</v>
      </c>
      <c r="O50" s="504">
        <f t="shared" si="5"/>
        <v>0</v>
      </c>
      <c r="P50" s="278"/>
      <c r="R50" s="243"/>
      <c r="S50" s="243"/>
      <c r="T50" s="243"/>
      <c r="U50" s="243"/>
    </row>
    <row r="51" spans="2:21">
      <c r="B51" s="145" t="str">
        <f t="shared" si="0"/>
        <v/>
      </c>
      <c r="C51" s="495">
        <f>IF(D11="","-",+C50+1)</f>
        <v>2047</v>
      </c>
      <c r="D51" s="508"/>
      <c r="E51" s="509"/>
      <c r="F51" s="510"/>
      <c r="G51" s="511"/>
      <c r="H51" s="477"/>
      <c r="I51" s="500">
        <f t="shared" si="6"/>
        <v>0</v>
      </c>
      <c r="J51" s="500"/>
      <c r="K51" s="512"/>
      <c r="L51" s="504">
        <f t="shared" si="2"/>
        <v>0</v>
      </c>
      <c r="M51" s="512"/>
      <c r="N51" s="504">
        <f t="shared" si="4"/>
        <v>0</v>
      </c>
      <c r="O51" s="504">
        <f t="shared" si="5"/>
        <v>0</v>
      </c>
      <c r="P51" s="278"/>
      <c r="R51" s="243"/>
      <c r="S51" s="243"/>
      <c r="T51" s="243"/>
      <c r="U51" s="243"/>
    </row>
    <row r="52" spans="2:21">
      <c r="B52" s="145" t="str">
        <f t="shared" si="0"/>
        <v/>
      </c>
      <c r="C52" s="495">
        <f>IF(D11="","-",+C51+1)</f>
        <v>2048</v>
      </c>
      <c r="D52" s="508"/>
      <c r="E52" s="509"/>
      <c r="F52" s="510"/>
      <c r="G52" s="511"/>
      <c r="H52" s="477"/>
      <c r="I52" s="500">
        <f t="shared" si="6"/>
        <v>0</v>
      </c>
      <c r="J52" s="500"/>
      <c r="K52" s="512"/>
      <c r="L52" s="504">
        <f t="shared" si="2"/>
        <v>0</v>
      </c>
      <c r="M52" s="512"/>
      <c r="N52" s="504">
        <f t="shared" si="4"/>
        <v>0</v>
      </c>
      <c r="O52" s="504">
        <f t="shared" si="5"/>
        <v>0</v>
      </c>
      <c r="P52" s="278"/>
      <c r="R52" s="243"/>
      <c r="S52" s="243"/>
      <c r="T52" s="243"/>
      <c r="U52" s="243"/>
    </row>
    <row r="53" spans="2:21">
      <c r="B53" s="145" t="str">
        <f t="shared" si="0"/>
        <v/>
      </c>
      <c r="C53" s="495">
        <f>IF(D11="","-",+C52+1)</f>
        <v>2049</v>
      </c>
      <c r="D53" s="508"/>
      <c r="E53" s="509"/>
      <c r="F53" s="510"/>
      <c r="G53" s="511"/>
      <c r="H53" s="477"/>
      <c r="I53" s="500">
        <f t="shared" si="6"/>
        <v>0</v>
      </c>
      <c r="J53" s="500"/>
      <c r="K53" s="512"/>
      <c r="L53" s="504">
        <f t="shared" si="2"/>
        <v>0</v>
      </c>
      <c r="M53" s="512"/>
      <c r="N53" s="504">
        <f t="shared" si="4"/>
        <v>0</v>
      </c>
      <c r="O53" s="504">
        <f t="shared" si="5"/>
        <v>0</v>
      </c>
      <c r="P53" s="278"/>
      <c r="R53" s="243"/>
      <c r="S53" s="243"/>
      <c r="T53" s="243"/>
      <c r="U53" s="243"/>
    </row>
    <row r="54" spans="2:21">
      <c r="B54" s="145" t="str">
        <f t="shared" si="0"/>
        <v/>
      </c>
      <c r="C54" s="495">
        <f>IF(D11="","-",+C53+1)</f>
        <v>2050</v>
      </c>
      <c r="D54" s="508"/>
      <c r="E54" s="509"/>
      <c r="F54" s="510"/>
      <c r="G54" s="511"/>
      <c r="H54" s="477"/>
      <c r="I54" s="500">
        <f t="shared" si="6"/>
        <v>0</v>
      </c>
      <c r="J54" s="500"/>
      <c r="K54" s="512"/>
      <c r="L54" s="504">
        <f t="shared" si="2"/>
        <v>0</v>
      </c>
      <c r="M54" s="512"/>
      <c r="N54" s="504">
        <f t="shared" si="4"/>
        <v>0</v>
      </c>
      <c r="O54" s="504">
        <f t="shared" si="5"/>
        <v>0</v>
      </c>
      <c r="P54" s="278"/>
      <c r="R54" s="243"/>
      <c r="S54" s="243"/>
      <c r="T54" s="243"/>
      <c r="U54" s="243"/>
    </row>
    <row r="55" spans="2:21">
      <c r="B55" s="145" t="str">
        <f t="shared" si="0"/>
        <v/>
      </c>
      <c r="C55" s="495">
        <f>IF(D11="","-",+C54+1)</f>
        <v>2051</v>
      </c>
      <c r="D55" s="508"/>
      <c r="E55" s="509"/>
      <c r="F55" s="510"/>
      <c r="G55" s="511"/>
      <c r="H55" s="477"/>
      <c r="I55" s="500">
        <f t="shared" si="6"/>
        <v>0</v>
      </c>
      <c r="J55" s="500"/>
      <c r="K55" s="512"/>
      <c r="L55" s="504">
        <f t="shared" si="2"/>
        <v>0</v>
      </c>
      <c r="M55" s="512"/>
      <c r="N55" s="504">
        <f t="shared" si="4"/>
        <v>0</v>
      </c>
      <c r="O55" s="504">
        <f t="shared" si="5"/>
        <v>0</v>
      </c>
      <c r="P55" s="278"/>
      <c r="R55" s="243"/>
      <c r="S55" s="243"/>
      <c r="T55" s="243"/>
      <c r="U55" s="243"/>
    </row>
    <row r="56" spans="2:21">
      <c r="B56" s="145" t="str">
        <f t="shared" si="0"/>
        <v/>
      </c>
      <c r="C56" s="495">
        <f>IF(D11="","-",+C55+1)</f>
        <v>2052</v>
      </c>
      <c r="D56" s="508"/>
      <c r="E56" s="509"/>
      <c r="F56" s="510"/>
      <c r="G56" s="511"/>
      <c r="H56" s="477"/>
      <c r="I56" s="500">
        <f t="shared" si="6"/>
        <v>0</v>
      </c>
      <c r="J56" s="500"/>
      <c r="K56" s="512"/>
      <c r="L56" s="504">
        <f t="shared" si="2"/>
        <v>0</v>
      </c>
      <c r="M56" s="512"/>
      <c r="N56" s="504">
        <f t="shared" si="4"/>
        <v>0</v>
      </c>
      <c r="O56" s="504">
        <f t="shared" si="5"/>
        <v>0</v>
      </c>
      <c r="P56" s="278"/>
      <c r="R56" s="243"/>
      <c r="S56" s="243"/>
      <c r="T56" s="243"/>
      <c r="U56" s="243"/>
    </row>
    <row r="57" spans="2:21">
      <c r="B57" s="145" t="str">
        <f t="shared" si="0"/>
        <v/>
      </c>
      <c r="C57" s="495">
        <f>IF(D11="","-",+C56+1)</f>
        <v>2053</v>
      </c>
      <c r="D57" s="508"/>
      <c r="E57" s="509"/>
      <c r="F57" s="510"/>
      <c r="G57" s="511"/>
      <c r="H57" s="477"/>
      <c r="I57" s="500">
        <f t="shared" si="6"/>
        <v>0</v>
      </c>
      <c r="J57" s="500"/>
      <c r="K57" s="512"/>
      <c r="L57" s="504">
        <f t="shared" si="2"/>
        <v>0</v>
      </c>
      <c r="M57" s="512"/>
      <c r="N57" s="504">
        <f t="shared" si="4"/>
        <v>0</v>
      </c>
      <c r="O57" s="504">
        <f t="shared" si="5"/>
        <v>0</v>
      </c>
      <c r="P57" s="278"/>
      <c r="R57" s="243"/>
      <c r="S57" s="243"/>
      <c r="T57" s="243"/>
      <c r="U57" s="243"/>
    </row>
    <row r="58" spans="2:21">
      <c r="B58" s="145" t="str">
        <f t="shared" si="0"/>
        <v/>
      </c>
      <c r="C58" s="495">
        <f>IF(D11="","-",+C57+1)</f>
        <v>2054</v>
      </c>
      <c r="D58" s="508"/>
      <c r="E58" s="509"/>
      <c r="F58" s="510"/>
      <c r="G58" s="511"/>
      <c r="H58" s="477"/>
      <c r="I58" s="500">
        <f t="shared" si="6"/>
        <v>0</v>
      </c>
      <c r="J58" s="500"/>
      <c r="K58" s="512"/>
      <c r="L58" s="504">
        <f t="shared" si="2"/>
        <v>0</v>
      </c>
      <c r="M58" s="512"/>
      <c r="N58" s="504">
        <f t="shared" si="4"/>
        <v>0</v>
      </c>
      <c r="O58" s="504">
        <f t="shared" si="5"/>
        <v>0</v>
      </c>
      <c r="P58" s="278"/>
      <c r="R58" s="243"/>
      <c r="S58" s="243"/>
      <c r="T58" s="243"/>
      <c r="U58" s="243"/>
    </row>
    <row r="59" spans="2:21">
      <c r="B59" s="145" t="str">
        <f t="shared" si="0"/>
        <v/>
      </c>
      <c r="C59" s="495">
        <f>IF(D11="","-",+C58+1)</f>
        <v>2055</v>
      </c>
      <c r="D59" s="508"/>
      <c r="E59" s="509"/>
      <c r="F59" s="510"/>
      <c r="G59" s="511"/>
      <c r="H59" s="477"/>
      <c r="I59" s="500">
        <f t="shared" si="6"/>
        <v>0</v>
      </c>
      <c r="J59" s="500"/>
      <c r="K59" s="512"/>
      <c r="L59" s="504">
        <f t="shared" si="2"/>
        <v>0</v>
      </c>
      <c r="M59" s="512"/>
      <c r="N59" s="504">
        <f t="shared" si="4"/>
        <v>0</v>
      </c>
      <c r="O59" s="504">
        <f t="shared" si="5"/>
        <v>0</v>
      </c>
      <c r="P59" s="278"/>
      <c r="R59" s="243"/>
      <c r="S59" s="243"/>
      <c r="T59" s="243"/>
      <c r="U59" s="243"/>
    </row>
    <row r="60" spans="2:21">
      <c r="B60" s="145" t="str">
        <f t="shared" si="0"/>
        <v/>
      </c>
      <c r="C60" s="495">
        <f>IF(D11="","-",+C59+1)</f>
        <v>2056</v>
      </c>
      <c r="D60" s="508"/>
      <c r="E60" s="509"/>
      <c r="F60" s="510"/>
      <c r="G60" s="511"/>
      <c r="H60" s="477"/>
      <c r="I60" s="500">
        <f t="shared" si="6"/>
        <v>0</v>
      </c>
      <c r="J60" s="500"/>
      <c r="K60" s="512"/>
      <c r="L60" s="504">
        <f t="shared" si="2"/>
        <v>0</v>
      </c>
      <c r="M60" s="512"/>
      <c r="N60" s="504">
        <f t="shared" si="4"/>
        <v>0</v>
      </c>
      <c r="O60" s="504">
        <f t="shared" si="5"/>
        <v>0</v>
      </c>
      <c r="P60" s="278"/>
      <c r="R60" s="243"/>
      <c r="S60" s="243"/>
      <c r="T60" s="243"/>
      <c r="U60" s="243"/>
    </row>
    <row r="61" spans="2:21">
      <c r="B61" s="145" t="str">
        <f t="shared" si="0"/>
        <v/>
      </c>
      <c r="C61" s="495">
        <f>IF(D11="","-",+C60+1)</f>
        <v>2057</v>
      </c>
      <c r="D61" s="508"/>
      <c r="E61" s="509"/>
      <c r="F61" s="510"/>
      <c r="G61" s="511"/>
      <c r="H61" s="477"/>
      <c r="I61" s="500">
        <f t="shared" si="6"/>
        <v>0</v>
      </c>
      <c r="J61" s="500"/>
      <c r="K61" s="512"/>
      <c r="L61" s="504">
        <f t="shared" si="2"/>
        <v>0</v>
      </c>
      <c r="M61" s="512"/>
      <c r="N61" s="504">
        <f t="shared" si="4"/>
        <v>0</v>
      </c>
      <c r="O61" s="504">
        <f t="shared" si="5"/>
        <v>0</v>
      </c>
      <c r="P61" s="278"/>
      <c r="R61" s="243"/>
      <c r="S61" s="243"/>
      <c r="T61" s="243"/>
      <c r="U61" s="243"/>
    </row>
    <row r="62" spans="2:21">
      <c r="B62" s="145" t="str">
        <f t="shared" si="0"/>
        <v/>
      </c>
      <c r="C62" s="495">
        <f>IF(D11="","-",+C61+1)</f>
        <v>2058</v>
      </c>
      <c r="D62" s="508"/>
      <c r="E62" s="509"/>
      <c r="F62" s="510"/>
      <c r="G62" s="511"/>
      <c r="H62" s="477"/>
      <c r="I62" s="500">
        <f t="shared" si="6"/>
        <v>0</v>
      </c>
      <c r="J62" s="500"/>
      <c r="K62" s="512"/>
      <c r="L62" s="504">
        <f t="shared" si="2"/>
        <v>0</v>
      </c>
      <c r="M62" s="512"/>
      <c r="N62" s="504">
        <f t="shared" si="4"/>
        <v>0</v>
      </c>
      <c r="O62" s="504">
        <f t="shared" si="5"/>
        <v>0</v>
      </c>
      <c r="P62" s="278"/>
      <c r="R62" s="243"/>
      <c r="S62" s="243"/>
      <c r="T62" s="243"/>
      <c r="U62" s="243"/>
    </row>
    <row r="63" spans="2:21">
      <c r="B63" s="145" t="str">
        <f t="shared" si="0"/>
        <v/>
      </c>
      <c r="C63" s="495">
        <f>IF(D11="","-",+C62+1)</f>
        <v>2059</v>
      </c>
      <c r="D63" s="508"/>
      <c r="E63" s="509"/>
      <c r="F63" s="510"/>
      <c r="G63" s="511"/>
      <c r="H63" s="477"/>
      <c r="I63" s="500">
        <f t="shared" si="6"/>
        <v>0</v>
      </c>
      <c r="J63" s="500"/>
      <c r="K63" s="512"/>
      <c r="L63" s="504">
        <f t="shared" si="2"/>
        <v>0</v>
      </c>
      <c r="M63" s="512"/>
      <c r="N63" s="504">
        <f t="shared" si="4"/>
        <v>0</v>
      </c>
      <c r="O63" s="504">
        <f t="shared" si="5"/>
        <v>0</v>
      </c>
      <c r="P63" s="278"/>
      <c r="R63" s="243"/>
      <c r="S63" s="243"/>
      <c r="T63" s="243"/>
      <c r="U63" s="243"/>
    </row>
    <row r="64" spans="2:21">
      <c r="B64" s="145" t="str">
        <f t="shared" si="0"/>
        <v/>
      </c>
      <c r="C64" s="495">
        <f>IF(D11="","-",+C63+1)</f>
        <v>2060</v>
      </c>
      <c r="D64" s="508"/>
      <c r="E64" s="509"/>
      <c r="F64" s="510"/>
      <c r="G64" s="511"/>
      <c r="H64" s="477"/>
      <c r="I64" s="500">
        <f t="shared" si="6"/>
        <v>0</v>
      </c>
      <c r="J64" s="500"/>
      <c r="K64" s="512"/>
      <c r="L64" s="504">
        <f t="shared" si="2"/>
        <v>0</v>
      </c>
      <c r="M64" s="512"/>
      <c r="N64" s="504">
        <f t="shared" si="4"/>
        <v>0</v>
      </c>
      <c r="O64" s="504">
        <f t="shared" si="5"/>
        <v>0</v>
      </c>
      <c r="P64" s="278"/>
      <c r="R64" s="243"/>
      <c r="S64" s="243"/>
      <c r="T64" s="243"/>
      <c r="U64" s="243"/>
    </row>
    <row r="65" spans="2:21">
      <c r="B65" s="145" t="str">
        <f t="shared" si="0"/>
        <v/>
      </c>
      <c r="C65" s="495">
        <f>IF(D11="","-",+C64+1)</f>
        <v>2061</v>
      </c>
      <c r="D65" s="508"/>
      <c r="E65" s="509"/>
      <c r="F65" s="510"/>
      <c r="G65" s="511"/>
      <c r="H65" s="477"/>
      <c r="I65" s="500">
        <f t="shared" si="6"/>
        <v>0</v>
      </c>
      <c r="J65" s="500"/>
      <c r="K65" s="512"/>
      <c r="L65" s="504">
        <f t="shared" si="2"/>
        <v>0</v>
      </c>
      <c r="M65" s="512"/>
      <c r="N65" s="504">
        <f t="shared" si="4"/>
        <v>0</v>
      </c>
      <c r="O65" s="504">
        <f t="shared" si="5"/>
        <v>0</v>
      </c>
      <c r="P65" s="278"/>
      <c r="R65" s="243"/>
      <c r="S65" s="243"/>
      <c r="T65" s="243"/>
      <c r="U65" s="243"/>
    </row>
    <row r="66" spans="2:21">
      <c r="B66" s="145" t="str">
        <f t="shared" si="0"/>
        <v/>
      </c>
      <c r="C66" s="495">
        <f>IF(D11="","-",+C65+1)</f>
        <v>2062</v>
      </c>
      <c r="D66" s="508"/>
      <c r="E66" s="509"/>
      <c r="F66" s="510"/>
      <c r="G66" s="511"/>
      <c r="H66" s="477"/>
      <c r="I66" s="500">
        <f t="shared" si="6"/>
        <v>0</v>
      </c>
      <c r="J66" s="500"/>
      <c r="K66" s="512"/>
      <c r="L66" s="504">
        <f t="shared" si="2"/>
        <v>0</v>
      </c>
      <c r="M66" s="512"/>
      <c r="N66" s="504">
        <f t="shared" si="4"/>
        <v>0</v>
      </c>
      <c r="O66" s="504">
        <f t="shared" si="5"/>
        <v>0</v>
      </c>
      <c r="P66" s="278"/>
      <c r="R66" s="243"/>
      <c r="S66" s="243"/>
      <c r="T66" s="243"/>
      <c r="U66" s="243"/>
    </row>
    <row r="67" spans="2:21">
      <c r="B67" s="145" t="str">
        <f t="shared" si="0"/>
        <v/>
      </c>
      <c r="C67" s="495">
        <f>IF(D11="","-",+C66+1)</f>
        <v>2063</v>
      </c>
      <c r="D67" s="508"/>
      <c r="E67" s="509"/>
      <c r="F67" s="510"/>
      <c r="G67" s="511"/>
      <c r="H67" s="477"/>
      <c r="I67" s="500">
        <f t="shared" si="6"/>
        <v>0</v>
      </c>
      <c r="J67" s="500"/>
      <c r="K67" s="512"/>
      <c r="L67" s="504">
        <f t="shared" si="2"/>
        <v>0</v>
      </c>
      <c r="M67" s="512"/>
      <c r="N67" s="504">
        <f t="shared" si="4"/>
        <v>0</v>
      </c>
      <c r="O67" s="504">
        <f t="shared" si="5"/>
        <v>0</v>
      </c>
      <c r="P67" s="278"/>
      <c r="R67" s="243"/>
      <c r="S67" s="243"/>
      <c r="T67" s="243"/>
      <c r="U67" s="243"/>
    </row>
    <row r="68" spans="2:21">
      <c r="B68" s="145" t="str">
        <f t="shared" si="0"/>
        <v/>
      </c>
      <c r="C68" s="495">
        <f>IF(D11="","-",+C67+1)</f>
        <v>2064</v>
      </c>
      <c r="D68" s="508"/>
      <c r="E68" s="509"/>
      <c r="F68" s="510"/>
      <c r="G68" s="511"/>
      <c r="H68" s="477"/>
      <c r="I68" s="500">
        <f t="shared" si="6"/>
        <v>0</v>
      </c>
      <c r="J68" s="500"/>
      <c r="K68" s="512"/>
      <c r="L68" s="504">
        <f t="shared" si="2"/>
        <v>0</v>
      </c>
      <c r="M68" s="512"/>
      <c r="N68" s="504">
        <f t="shared" si="4"/>
        <v>0</v>
      </c>
      <c r="O68" s="504">
        <f t="shared" si="5"/>
        <v>0</v>
      </c>
      <c r="P68" s="278"/>
      <c r="R68" s="243"/>
      <c r="S68" s="243"/>
      <c r="T68" s="243"/>
      <c r="U68" s="243"/>
    </row>
    <row r="69" spans="2:21">
      <c r="B69" s="145" t="str">
        <f t="shared" si="0"/>
        <v/>
      </c>
      <c r="C69" s="495">
        <f>IF(D11="","-",+C68+1)</f>
        <v>2065</v>
      </c>
      <c r="D69" s="508"/>
      <c r="E69" s="509"/>
      <c r="F69" s="510"/>
      <c r="G69" s="511"/>
      <c r="H69" s="477"/>
      <c r="I69" s="500">
        <f t="shared" si="6"/>
        <v>0</v>
      </c>
      <c r="J69" s="500"/>
      <c r="K69" s="512"/>
      <c r="L69" s="504">
        <f t="shared" si="2"/>
        <v>0</v>
      </c>
      <c r="M69" s="512"/>
      <c r="N69" s="504">
        <f t="shared" si="4"/>
        <v>0</v>
      </c>
      <c r="O69" s="504">
        <f t="shared" si="5"/>
        <v>0</v>
      </c>
      <c r="P69" s="278"/>
      <c r="R69" s="243"/>
      <c r="S69" s="243"/>
      <c r="T69" s="243"/>
      <c r="U69" s="243"/>
    </row>
    <row r="70" spans="2:21">
      <c r="B70" s="145" t="str">
        <f t="shared" si="0"/>
        <v/>
      </c>
      <c r="C70" s="495">
        <f>IF(D11="","-",+C69+1)</f>
        <v>2066</v>
      </c>
      <c r="D70" s="508"/>
      <c r="E70" s="509"/>
      <c r="F70" s="510"/>
      <c r="G70" s="511"/>
      <c r="H70" s="477"/>
      <c r="I70" s="500">
        <f t="shared" si="6"/>
        <v>0</v>
      </c>
      <c r="J70" s="500"/>
      <c r="K70" s="512"/>
      <c r="L70" s="504">
        <f t="shared" si="2"/>
        <v>0</v>
      </c>
      <c r="M70" s="512"/>
      <c r="N70" s="504">
        <f t="shared" si="4"/>
        <v>0</v>
      </c>
      <c r="O70" s="504">
        <f t="shared" si="5"/>
        <v>0</v>
      </c>
      <c r="P70" s="278"/>
      <c r="R70" s="243"/>
      <c r="S70" s="243"/>
      <c r="T70" s="243"/>
      <c r="U70" s="243"/>
    </row>
    <row r="71" spans="2:21">
      <c r="B71" s="145" t="str">
        <f t="shared" si="0"/>
        <v/>
      </c>
      <c r="C71" s="495">
        <f>IF(D11="","-",+C70+1)</f>
        <v>2067</v>
      </c>
      <c r="D71" s="508"/>
      <c r="E71" s="509"/>
      <c r="F71" s="510"/>
      <c r="G71" s="511"/>
      <c r="H71" s="477"/>
      <c r="I71" s="500">
        <f t="shared" si="6"/>
        <v>0</v>
      </c>
      <c r="J71" s="500"/>
      <c r="K71" s="512"/>
      <c r="L71" s="504">
        <f t="shared" si="2"/>
        <v>0</v>
      </c>
      <c r="M71" s="512"/>
      <c r="N71" s="504">
        <f t="shared" si="4"/>
        <v>0</v>
      </c>
      <c r="O71" s="504">
        <f t="shared" si="5"/>
        <v>0</v>
      </c>
      <c r="P71" s="278"/>
      <c r="R71" s="243"/>
      <c r="S71" s="243"/>
      <c r="T71" s="243"/>
      <c r="U71" s="243"/>
    </row>
    <row r="72" spans="2:21">
      <c r="B72" s="145" t="str">
        <f t="shared" si="0"/>
        <v/>
      </c>
      <c r="C72" s="495">
        <f>IF(D11="","-",+C71+1)</f>
        <v>2068</v>
      </c>
      <c r="D72" s="508"/>
      <c r="E72" s="509"/>
      <c r="F72" s="510"/>
      <c r="G72" s="511"/>
      <c r="H72" s="477"/>
      <c r="I72" s="500">
        <f t="shared" si="6"/>
        <v>0</v>
      </c>
      <c r="J72" s="500"/>
      <c r="K72" s="512"/>
      <c r="L72" s="504">
        <f t="shared" si="2"/>
        <v>0</v>
      </c>
      <c r="M72" s="512"/>
      <c r="N72" s="504">
        <f t="shared" si="4"/>
        <v>0</v>
      </c>
      <c r="O72" s="504">
        <f t="shared" si="5"/>
        <v>0</v>
      </c>
      <c r="P72" s="278"/>
      <c r="R72" s="243"/>
      <c r="S72" s="243"/>
      <c r="T72" s="243"/>
      <c r="U72" s="243"/>
    </row>
    <row r="73" spans="2:21" ht="13.5" thickBot="1">
      <c r="B73" s="145" t="str">
        <f t="shared" si="0"/>
        <v/>
      </c>
      <c r="C73" s="524">
        <f>IF(D11="","-",+C72+1)</f>
        <v>2069</v>
      </c>
      <c r="D73" s="508"/>
      <c r="E73" s="509"/>
      <c r="F73" s="510"/>
      <c r="G73" s="511"/>
      <c r="H73" s="477"/>
      <c r="I73" s="529">
        <f t="shared" si="6"/>
        <v>0</v>
      </c>
      <c r="J73" s="500"/>
      <c r="K73" s="530"/>
      <c r="L73" s="531">
        <f t="shared" si="2"/>
        <v>0</v>
      </c>
      <c r="M73" s="530"/>
      <c r="N73" s="531">
        <f t="shared" si="4"/>
        <v>0</v>
      </c>
      <c r="O73" s="531">
        <f t="shared" si="5"/>
        <v>0</v>
      </c>
      <c r="P73" s="278"/>
      <c r="R73" s="243"/>
      <c r="S73" s="243"/>
      <c r="T73" s="243"/>
      <c r="U73" s="243"/>
    </row>
    <row r="74" spans="2:21">
      <c r="C74" s="349" t="s">
        <v>75</v>
      </c>
      <c r="D74" s="294"/>
      <c r="E74" s="294">
        <f>SUM(E17:E73)</f>
        <v>332473.56066177262</v>
      </c>
      <c r="F74" s="294"/>
      <c r="G74" s="294">
        <f>SUM(G17:G73)</f>
        <v>2202085.102043014</v>
      </c>
      <c r="H74" s="294">
        <f>SUM(H17:H73)</f>
        <v>2202085.102043014</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13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0</v>
      </c>
      <c r="N88" s="544">
        <f>IF(J93&lt;D11,0,VLOOKUP(J93,C17:O73,11))</f>
        <v>0</v>
      </c>
      <c r="O88" s="545">
        <f>+N88-M88</f>
        <v>0</v>
      </c>
      <c r="P88" s="243"/>
      <c r="Q88" s="243"/>
      <c r="R88" s="243"/>
      <c r="S88" s="243"/>
      <c r="T88" s="243"/>
      <c r="U88" s="243"/>
    </row>
    <row r="89" spans="1:21" ht="15.75">
      <c r="C89" s="636" t="s">
        <v>266</v>
      </c>
      <c r="D89" s="292"/>
      <c r="E89" s="243"/>
      <c r="F89" s="243"/>
      <c r="G89" s="243"/>
      <c r="H89" s="243"/>
      <c r="I89" s="449"/>
      <c r="J89" s="449"/>
      <c r="K89" s="546"/>
      <c r="L89" s="547" t="s">
        <v>254</v>
      </c>
      <c r="M89" s="548">
        <f>IF(J93&lt;D11,0,VLOOKUP(J93,C100:P155,6))</f>
        <v>0</v>
      </c>
      <c r="N89" s="548">
        <f>IF(J93&lt;D11,0,VLOOKUP(J93,C100:P155,7))</f>
        <v>0</v>
      </c>
      <c r="O89" s="549">
        <f>+N89-M89</f>
        <v>0</v>
      </c>
      <c r="P89" s="243"/>
      <c r="Q89" s="243"/>
      <c r="R89" s="243"/>
      <c r="S89" s="243"/>
      <c r="T89" s="243"/>
      <c r="U89" s="243"/>
    </row>
    <row r="90" spans="1:21" ht="13.5" thickBot="1">
      <c r="C90" s="454" t="s">
        <v>82</v>
      </c>
      <c r="D90" s="550" t="str">
        <f>+D7</f>
        <v>Ellis 138 kV</v>
      </c>
      <c r="E90" s="243"/>
      <c r="F90" s="243"/>
      <c r="G90" s="243"/>
      <c r="H90" s="243"/>
      <c r="I90" s="325"/>
      <c r="J90" s="325"/>
      <c r="K90" s="551"/>
      <c r="L90" s="552" t="s">
        <v>135</v>
      </c>
      <c r="M90" s="553">
        <f>+M89-M88</f>
        <v>0</v>
      </c>
      <c r="N90" s="553">
        <f>+N89-N88</f>
        <v>0</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TP2012055</v>
      </c>
      <c r="E92" s="558"/>
      <c r="F92" s="558"/>
      <c r="G92" s="558"/>
      <c r="H92" s="558"/>
      <c r="I92" s="558"/>
      <c r="J92" s="558"/>
      <c r="K92" s="560"/>
      <c r="P92" s="468"/>
      <c r="Q92" s="243"/>
      <c r="R92" s="243"/>
      <c r="S92" s="243"/>
      <c r="T92" s="243"/>
      <c r="U92" s="243"/>
    </row>
    <row r="93" spans="1:21">
      <c r="C93" s="472" t="s">
        <v>49</v>
      </c>
      <c r="D93" s="470">
        <v>4817114</v>
      </c>
      <c r="E93" s="248" t="s">
        <v>84</v>
      </c>
      <c r="H93" s="408"/>
      <c r="I93" s="408"/>
      <c r="J93" s="471">
        <f>+'OKT.WS.G.BPU.ATRR.True-up'!M16</f>
        <v>2021</v>
      </c>
      <c r="K93" s="467"/>
      <c r="L93" s="294" t="s">
        <v>85</v>
      </c>
      <c r="P93" s="278"/>
      <c r="Q93" s="243"/>
      <c r="R93" s="243"/>
      <c r="S93" s="243"/>
      <c r="T93" s="243"/>
      <c r="U93" s="243"/>
    </row>
    <row r="94" spans="1:21">
      <c r="C94" s="472" t="s">
        <v>52</v>
      </c>
      <c r="D94" s="561">
        <f>D11</f>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10</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192684.56</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2013</v>
      </c>
      <c r="D100" s="349"/>
      <c r="E100" s="511"/>
      <c r="F100" s="510"/>
      <c r="G100" s="605"/>
      <c r="H100" s="605"/>
      <c r="I100" s="605"/>
      <c r="J100" s="504"/>
      <c r="K100" s="504"/>
      <c r="L100" s="501"/>
      <c r="M100" s="502">
        <f t="shared" ref="M100:M131" si="15">IF(L100&lt;&gt;0,+H100-L100,0)</f>
        <v>0</v>
      </c>
      <c r="N100" s="501"/>
      <c r="O100" s="503">
        <f t="shared" ref="O100:O131" si="16">IF(N100&lt;&gt;0,+I100-N100,0)</f>
        <v>0</v>
      </c>
      <c r="P100" s="503">
        <f t="shared" ref="P100:P131" si="17">+O100-M100</f>
        <v>0</v>
      </c>
      <c r="Q100" s="243"/>
      <c r="R100" s="243"/>
      <c r="S100" s="243"/>
      <c r="T100" s="243"/>
      <c r="U100" s="243"/>
    </row>
    <row r="101" spans="1:21">
      <c r="C101" s="495">
        <f>IF(D94="","-",+C100+1)</f>
        <v>2014</v>
      </c>
      <c r="D101" s="349"/>
      <c r="E101" s="509"/>
      <c r="F101" s="510"/>
      <c r="G101" s="510"/>
      <c r="H101" s="627"/>
      <c r="I101" s="628"/>
      <c r="J101" s="504"/>
      <c r="K101" s="504"/>
      <c r="L101" s="506"/>
      <c r="M101" s="507">
        <f t="shared" si="15"/>
        <v>0</v>
      </c>
      <c r="N101" s="506"/>
      <c r="O101" s="504">
        <f t="shared" si="16"/>
        <v>0</v>
      </c>
      <c r="P101" s="504">
        <f t="shared" si="17"/>
        <v>0</v>
      </c>
      <c r="Q101" s="243"/>
      <c r="R101" s="243"/>
      <c r="S101" s="243"/>
      <c r="T101" s="243"/>
      <c r="U101" s="243"/>
    </row>
    <row r="102" spans="1:21">
      <c r="B102" s="145" t="str">
        <f t="shared" ref="B102:B155" si="18">IF(D102=F101,"","IU")</f>
        <v>IU</v>
      </c>
      <c r="C102" s="495">
        <f>IF(D94="","-",+C101+1)</f>
        <v>2015</v>
      </c>
      <c r="D102" s="496">
        <v>4004216.6870407565</v>
      </c>
      <c r="E102" s="498">
        <v>85139.5</v>
      </c>
      <c r="F102" s="505">
        <v>3919077.1870407565</v>
      </c>
      <c r="G102" s="505">
        <v>3961646.9370407565</v>
      </c>
      <c r="H102" s="498">
        <v>526187.38978732098</v>
      </c>
      <c r="I102" s="499">
        <v>526187.38978732098</v>
      </c>
      <c r="J102" s="504">
        <v>0</v>
      </c>
      <c r="K102" s="504"/>
      <c r="L102" s="506">
        <f>H102</f>
        <v>526187.38978732098</v>
      </c>
      <c r="M102" s="504">
        <f>IF(L102&lt;&gt;0,+H102-L102,0)</f>
        <v>0</v>
      </c>
      <c r="N102" s="506">
        <f>I102</f>
        <v>526187.38978732098</v>
      </c>
      <c r="O102" s="504">
        <f t="shared" si="16"/>
        <v>0</v>
      </c>
      <c r="P102" s="504">
        <f t="shared" si="17"/>
        <v>0</v>
      </c>
      <c r="Q102" s="243"/>
      <c r="R102" s="243"/>
      <c r="S102" s="243"/>
      <c r="T102" s="243"/>
      <c r="U102" s="243"/>
    </row>
    <row r="103" spans="1:21">
      <c r="B103" s="145" t="str">
        <f t="shared" si="18"/>
        <v>IU</v>
      </c>
      <c r="C103" s="495">
        <f>IF(D94="","-",+C102+1)</f>
        <v>2016</v>
      </c>
      <c r="D103" s="496">
        <v>4714898.5</v>
      </c>
      <c r="E103" s="498">
        <v>94118.392156862741</v>
      </c>
      <c r="F103" s="505">
        <v>4620780.1078431373</v>
      </c>
      <c r="G103" s="505">
        <v>4667839.3039215691</v>
      </c>
      <c r="H103" s="498">
        <v>599969.61415819218</v>
      </c>
      <c r="I103" s="499">
        <v>599969.61415819218</v>
      </c>
      <c r="J103" s="504">
        <f>+I103-H103</f>
        <v>0</v>
      </c>
      <c r="K103" s="504"/>
      <c r="L103" s="506">
        <f>H103</f>
        <v>599969.61415819218</v>
      </c>
      <c r="M103" s="504">
        <f>IF(L103&lt;&gt;0,+H103-L103,0)</f>
        <v>0</v>
      </c>
      <c r="N103" s="506">
        <f>I103</f>
        <v>599969.61415819218</v>
      </c>
      <c r="O103" s="504">
        <f>IF(N103&lt;&gt;0,+I103-N103,0)</f>
        <v>0</v>
      </c>
      <c r="P103" s="504">
        <f>+O103-M103</f>
        <v>0</v>
      </c>
      <c r="Q103" s="243"/>
      <c r="R103" s="243"/>
      <c r="S103" s="243"/>
      <c r="T103" s="243"/>
      <c r="U103" s="243"/>
    </row>
    <row r="104" spans="1:21">
      <c r="B104" s="145" t="str">
        <f t="shared" si="18"/>
        <v>IU</v>
      </c>
      <c r="C104" s="495">
        <f>IF(D94="","-",+C103+1)</f>
        <v>2017</v>
      </c>
      <c r="D104" s="496">
        <v>4637856.1078431373</v>
      </c>
      <c r="E104" s="498">
        <v>120427.85</v>
      </c>
      <c r="F104" s="505">
        <v>4517428.2578431377</v>
      </c>
      <c r="G104" s="505">
        <v>4577642.1828431375</v>
      </c>
      <c r="H104" s="498">
        <v>657549.4515750818</v>
      </c>
      <c r="I104" s="499">
        <v>657549.4515750818</v>
      </c>
      <c r="J104" s="504">
        <v>0</v>
      </c>
      <c r="K104" s="504"/>
      <c r="L104" s="506">
        <f>H104</f>
        <v>657549.4515750818</v>
      </c>
      <c r="M104" s="504">
        <f>IF(L104&lt;&gt;0,+H104-L104,0)</f>
        <v>0</v>
      </c>
      <c r="N104" s="506">
        <f>I104</f>
        <v>657549.4515750818</v>
      </c>
      <c r="O104" s="504">
        <f>IF(N104&lt;&gt;0,+I104-N104,0)</f>
        <v>0</v>
      </c>
      <c r="P104" s="504">
        <f>+O104-M104</f>
        <v>0</v>
      </c>
      <c r="Q104" s="243"/>
      <c r="R104" s="243"/>
      <c r="S104" s="243"/>
      <c r="T104" s="243"/>
      <c r="U104" s="243"/>
    </row>
    <row r="105" spans="1:21">
      <c r="B105" s="145" t="str">
        <f t="shared" si="18"/>
        <v/>
      </c>
      <c r="C105" s="495">
        <f>IF(D94="","-",+C104+1)</f>
        <v>2018</v>
      </c>
      <c r="D105" s="496">
        <v>4517428.2578431377</v>
      </c>
      <c r="E105" s="498">
        <v>133808.72222222222</v>
      </c>
      <c r="F105" s="505">
        <v>4383619.5356209157</v>
      </c>
      <c r="G105" s="505">
        <v>4450523.8967320267</v>
      </c>
      <c r="H105" s="498">
        <v>603616.92453524831</v>
      </c>
      <c r="I105" s="499">
        <v>603616.92453524831</v>
      </c>
      <c r="J105" s="504">
        <f t="shared" ref="J105:J155" si="19">+I105-H105</f>
        <v>0</v>
      </c>
      <c r="K105" s="504"/>
      <c r="L105" s="506">
        <f>H105</f>
        <v>603616.92453524831</v>
      </c>
      <c r="M105" s="504">
        <f>IF(L105&lt;&gt;0,+H105-L105,0)</f>
        <v>0</v>
      </c>
      <c r="N105" s="506">
        <f>I105</f>
        <v>603616.92453524831</v>
      </c>
      <c r="O105" s="504">
        <f>IF(N105&lt;&gt;0,+I105-N105,0)</f>
        <v>0</v>
      </c>
      <c r="P105" s="504">
        <f>+O105-M105</f>
        <v>0</v>
      </c>
      <c r="Q105" s="243"/>
      <c r="R105" s="243"/>
      <c r="S105" s="243"/>
      <c r="T105" s="243"/>
      <c r="U105" s="243"/>
    </row>
    <row r="106" spans="1:21">
      <c r="B106" s="145" t="str">
        <f t="shared" si="18"/>
        <v>IU</v>
      </c>
      <c r="C106" s="495">
        <f>IF(D94="","-",+C105+1)</f>
        <v>2019</v>
      </c>
      <c r="D106" s="349"/>
      <c r="E106" s="629"/>
      <c r="F106" s="510"/>
      <c r="G106" s="510"/>
      <c r="H106" s="630"/>
      <c r="I106" s="631"/>
      <c r="J106" s="504">
        <f t="shared" si="19"/>
        <v>0</v>
      </c>
      <c r="K106" s="504"/>
      <c r="L106" s="512"/>
      <c r="M106" s="504">
        <f t="shared" si="15"/>
        <v>0</v>
      </c>
      <c r="N106" s="512"/>
      <c r="O106" s="504">
        <f t="shared" si="16"/>
        <v>0</v>
      </c>
      <c r="P106" s="504">
        <f t="shared" si="17"/>
        <v>0</v>
      </c>
      <c r="Q106" s="243"/>
      <c r="R106" s="243"/>
      <c r="S106" s="243"/>
      <c r="T106" s="243"/>
      <c r="U106" s="243"/>
    </row>
    <row r="107" spans="1:21">
      <c r="B107" s="145" t="str">
        <f t="shared" si="18"/>
        <v/>
      </c>
      <c r="C107" s="495">
        <f>IF(D94="","-",+C106+1)</f>
        <v>2020</v>
      </c>
      <c r="D107" s="349"/>
      <c r="E107" s="629"/>
      <c r="F107" s="510"/>
      <c r="G107" s="510"/>
      <c r="H107" s="630"/>
      <c r="I107" s="631"/>
      <c r="J107" s="504">
        <f t="shared" si="19"/>
        <v>0</v>
      </c>
      <c r="K107" s="504"/>
      <c r="L107" s="512"/>
      <c r="M107" s="504">
        <f t="shared" si="15"/>
        <v>0</v>
      </c>
      <c r="N107" s="512"/>
      <c r="O107" s="504">
        <f t="shared" si="16"/>
        <v>0</v>
      </c>
      <c r="P107" s="504">
        <f t="shared" si="17"/>
        <v>0</v>
      </c>
      <c r="Q107" s="243"/>
      <c r="R107" s="243"/>
      <c r="S107" s="243"/>
      <c r="T107" s="243"/>
      <c r="U107" s="243"/>
    </row>
    <row r="108" spans="1:21">
      <c r="B108" s="145" t="str">
        <f t="shared" si="18"/>
        <v/>
      </c>
      <c r="C108" s="495">
        <f>IF(D94="","-",+C107+1)</f>
        <v>2021</v>
      </c>
      <c r="D108" s="349"/>
      <c r="E108" s="629"/>
      <c r="F108" s="510"/>
      <c r="G108" s="510"/>
      <c r="H108" s="630"/>
      <c r="I108" s="631"/>
      <c r="J108" s="504">
        <f t="shared" si="19"/>
        <v>0</v>
      </c>
      <c r="K108" s="504"/>
      <c r="L108" s="512"/>
      <c r="M108" s="504">
        <f t="shared" si="15"/>
        <v>0</v>
      </c>
      <c r="N108" s="512"/>
      <c r="O108" s="504">
        <f t="shared" si="16"/>
        <v>0</v>
      </c>
      <c r="P108" s="504">
        <f t="shared" si="17"/>
        <v>0</v>
      </c>
      <c r="Q108" s="243"/>
      <c r="R108" s="243"/>
      <c r="S108" s="243"/>
      <c r="T108" s="243"/>
      <c r="U108" s="243"/>
    </row>
    <row r="109" spans="1:21">
      <c r="B109" s="145" t="str">
        <f t="shared" si="18"/>
        <v/>
      </c>
      <c r="C109" s="495">
        <f>IF(D94="","-",+C108+1)</f>
        <v>2022</v>
      </c>
      <c r="D109" s="349"/>
      <c r="E109" s="629"/>
      <c r="F109" s="510"/>
      <c r="G109" s="510"/>
      <c r="H109" s="630"/>
      <c r="I109" s="631"/>
      <c r="J109" s="504">
        <f t="shared" si="19"/>
        <v>0</v>
      </c>
      <c r="K109" s="504"/>
      <c r="L109" s="512"/>
      <c r="M109" s="504">
        <f t="shared" si="15"/>
        <v>0</v>
      </c>
      <c r="N109" s="512"/>
      <c r="O109" s="504">
        <f t="shared" si="16"/>
        <v>0</v>
      </c>
      <c r="P109" s="504">
        <f t="shared" si="17"/>
        <v>0</v>
      </c>
      <c r="Q109" s="243"/>
      <c r="R109" s="243"/>
      <c r="S109" s="243"/>
      <c r="T109" s="243"/>
      <c r="U109" s="243"/>
    </row>
    <row r="110" spans="1:21">
      <c r="B110" s="145" t="str">
        <f t="shared" si="18"/>
        <v/>
      </c>
      <c r="C110" s="495">
        <f>IF(D94="","-",+C109+1)</f>
        <v>2023</v>
      </c>
      <c r="D110" s="349"/>
      <c r="E110" s="629"/>
      <c r="F110" s="510"/>
      <c r="G110" s="510"/>
      <c r="H110" s="630"/>
      <c r="I110" s="631"/>
      <c r="J110" s="504">
        <f t="shared" si="19"/>
        <v>0</v>
      </c>
      <c r="K110" s="504"/>
      <c r="L110" s="512"/>
      <c r="M110" s="504">
        <f t="shared" si="15"/>
        <v>0</v>
      </c>
      <c r="N110" s="512"/>
      <c r="O110" s="504">
        <f t="shared" si="16"/>
        <v>0</v>
      </c>
      <c r="P110" s="504">
        <f t="shared" si="17"/>
        <v>0</v>
      </c>
      <c r="Q110" s="243"/>
      <c r="R110" s="243"/>
      <c r="S110" s="243"/>
      <c r="T110" s="243"/>
      <c r="U110" s="243"/>
    </row>
    <row r="111" spans="1:21">
      <c r="B111" s="145" t="str">
        <f t="shared" si="18"/>
        <v/>
      </c>
      <c r="C111" s="495">
        <f>IF(D94="","-",+C110+1)</f>
        <v>2024</v>
      </c>
      <c r="D111" s="349"/>
      <c r="E111" s="629"/>
      <c r="F111" s="510"/>
      <c r="G111" s="510"/>
      <c r="H111" s="630"/>
      <c r="I111" s="631"/>
      <c r="J111" s="504">
        <f t="shared" si="19"/>
        <v>0</v>
      </c>
      <c r="K111" s="504"/>
      <c r="L111" s="512"/>
      <c r="M111" s="504">
        <f t="shared" si="15"/>
        <v>0</v>
      </c>
      <c r="N111" s="512"/>
      <c r="O111" s="504">
        <f t="shared" si="16"/>
        <v>0</v>
      </c>
      <c r="P111" s="504">
        <f t="shared" si="17"/>
        <v>0</v>
      </c>
      <c r="Q111" s="243"/>
      <c r="R111" s="243"/>
      <c r="S111" s="243"/>
      <c r="T111" s="243"/>
      <c r="U111" s="243"/>
    </row>
    <row r="112" spans="1:21">
      <c r="B112" s="145" t="str">
        <f t="shared" si="18"/>
        <v/>
      </c>
      <c r="C112" s="495">
        <f>IF(D94="","-",+C111+1)</f>
        <v>2025</v>
      </c>
      <c r="D112" s="349"/>
      <c r="E112" s="629"/>
      <c r="F112" s="510"/>
      <c r="G112" s="510"/>
      <c r="H112" s="630"/>
      <c r="I112" s="631"/>
      <c r="J112" s="504">
        <f t="shared" si="19"/>
        <v>0</v>
      </c>
      <c r="K112" s="504"/>
      <c r="L112" s="512"/>
      <c r="M112" s="504">
        <f t="shared" si="15"/>
        <v>0</v>
      </c>
      <c r="N112" s="512"/>
      <c r="O112" s="504">
        <f t="shared" si="16"/>
        <v>0</v>
      </c>
      <c r="P112" s="504">
        <f t="shared" si="17"/>
        <v>0</v>
      </c>
      <c r="Q112" s="243"/>
      <c r="R112" s="243"/>
      <c r="S112" s="243"/>
      <c r="T112" s="243"/>
      <c r="U112" s="243"/>
    </row>
    <row r="113" spans="2:21">
      <c r="B113" s="145" t="str">
        <f t="shared" si="18"/>
        <v/>
      </c>
      <c r="C113" s="495">
        <f>IF(D94="","-",+C112+1)</f>
        <v>2026</v>
      </c>
      <c r="D113" s="349"/>
      <c r="E113" s="629"/>
      <c r="F113" s="510"/>
      <c r="G113" s="510"/>
      <c r="H113" s="630"/>
      <c r="I113" s="631"/>
      <c r="J113" s="504">
        <f t="shared" si="19"/>
        <v>0</v>
      </c>
      <c r="K113" s="504"/>
      <c r="L113" s="512"/>
      <c r="M113" s="504">
        <f t="shared" si="15"/>
        <v>0</v>
      </c>
      <c r="N113" s="512"/>
      <c r="O113" s="504">
        <f t="shared" si="16"/>
        <v>0</v>
      </c>
      <c r="P113" s="504">
        <f t="shared" si="17"/>
        <v>0</v>
      </c>
      <c r="Q113" s="243"/>
      <c r="R113" s="243"/>
      <c r="S113" s="243"/>
      <c r="T113" s="243"/>
      <c r="U113" s="243"/>
    </row>
    <row r="114" spans="2:21">
      <c r="B114" s="145" t="str">
        <f t="shared" si="18"/>
        <v/>
      </c>
      <c r="C114" s="495">
        <f>IF(D94="","-",+C113+1)</f>
        <v>2027</v>
      </c>
      <c r="D114" s="349"/>
      <c r="E114" s="629"/>
      <c r="F114" s="510"/>
      <c r="G114" s="510"/>
      <c r="H114" s="630"/>
      <c r="I114" s="631"/>
      <c r="J114" s="504">
        <f t="shared" si="19"/>
        <v>0</v>
      </c>
      <c r="K114" s="504"/>
      <c r="L114" s="512"/>
      <c r="M114" s="504">
        <f t="shared" si="15"/>
        <v>0</v>
      </c>
      <c r="N114" s="512"/>
      <c r="O114" s="504">
        <f t="shared" si="16"/>
        <v>0</v>
      </c>
      <c r="P114" s="504">
        <f t="shared" si="17"/>
        <v>0</v>
      </c>
      <c r="Q114" s="243"/>
      <c r="R114" s="243"/>
      <c r="S114" s="243"/>
      <c r="T114" s="243"/>
      <c r="U114" s="243"/>
    </row>
    <row r="115" spans="2:21">
      <c r="B115" s="145" t="str">
        <f t="shared" si="18"/>
        <v/>
      </c>
      <c r="C115" s="495">
        <f>IF(D94="","-",+C114+1)</f>
        <v>2028</v>
      </c>
      <c r="D115" s="349"/>
      <c r="E115" s="629"/>
      <c r="F115" s="510"/>
      <c r="G115" s="510"/>
      <c r="H115" s="630"/>
      <c r="I115" s="631"/>
      <c r="J115" s="504">
        <f t="shared" si="19"/>
        <v>0</v>
      </c>
      <c r="K115" s="504"/>
      <c r="L115" s="512"/>
      <c r="M115" s="504">
        <f t="shared" si="15"/>
        <v>0</v>
      </c>
      <c r="N115" s="512"/>
      <c r="O115" s="504">
        <f t="shared" si="16"/>
        <v>0</v>
      </c>
      <c r="P115" s="504">
        <f t="shared" si="17"/>
        <v>0</v>
      </c>
      <c r="Q115" s="243"/>
      <c r="R115" s="243"/>
      <c r="S115" s="243"/>
      <c r="T115" s="243"/>
      <c r="U115" s="243"/>
    </row>
    <row r="116" spans="2:21">
      <c r="B116" s="145" t="str">
        <f t="shared" si="18"/>
        <v/>
      </c>
      <c r="C116" s="495">
        <f>IF(D94="","-",+C115+1)</f>
        <v>2029</v>
      </c>
      <c r="D116" s="349"/>
      <c r="E116" s="629"/>
      <c r="F116" s="510"/>
      <c r="G116" s="510"/>
      <c r="H116" s="630"/>
      <c r="I116" s="631"/>
      <c r="J116" s="504">
        <f t="shared" si="19"/>
        <v>0</v>
      </c>
      <c r="K116" s="504"/>
      <c r="L116" s="512"/>
      <c r="M116" s="504">
        <f t="shared" si="15"/>
        <v>0</v>
      </c>
      <c r="N116" s="512"/>
      <c r="O116" s="504">
        <f t="shared" si="16"/>
        <v>0</v>
      </c>
      <c r="P116" s="504">
        <f t="shared" si="17"/>
        <v>0</v>
      </c>
      <c r="Q116" s="243"/>
      <c r="R116" s="243"/>
      <c r="S116" s="243"/>
      <c r="T116" s="243"/>
      <c r="U116" s="243"/>
    </row>
    <row r="117" spans="2:21">
      <c r="B117" s="145" t="str">
        <f t="shared" si="18"/>
        <v/>
      </c>
      <c r="C117" s="495">
        <f>IF(D94="","-",+C116+1)</f>
        <v>2030</v>
      </c>
      <c r="D117" s="349"/>
      <c r="E117" s="629"/>
      <c r="F117" s="510"/>
      <c r="G117" s="510"/>
      <c r="H117" s="630"/>
      <c r="I117" s="631"/>
      <c r="J117" s="504">
        <f t="shared" si="19"/>
        <v>0</v>
      </c>
      <c r="K117" s="504"/>
      <c r="L117" s="512"/>
      <c r="M117" s="504">
        <f t="shared" si="15"/>
        <v>0</v>
      </c>
      <c r="N117" s="512"/>
      <c r="O117" s="504">
        <f t="shared" si="16"/>
        <v>0</v>
      </c>
      <c r="P117" s="504">
        <f t="shared" si="17"/>
        <v>0</v>
      </c>
      <c r="Q117" s="243"/>
      <c r="R117" s="243"/>
      <c r="S117" s="243"/>
      <c r="T117" s="243"/>
      <c r="U117" s="243"/>
    </row>
    <row r="118" spans="2:21">
      <c r="B118" s="145" t="str">
        <f t="shared" si="18"/>
        <v/>
      </c>
      <c r="C118" s="495">
        <f>IF(D94="","-",+C117+1)</f>
        <v>2031</v>
      </c>
      <c r="D118" s="349"/>
      <c r="E118" s="629"/>
      <c r="F118" s="510"/>
      <c r="G118" s="510"/>
      <c r="H118" s="630"/>
      <c r="I118" s="631"/>
      <c r="J118" s="504">
        <f t="shared" si="19"/>
        <v>0</v>
      </c>
      <c r="K118" s="504"/>
      <c r="L118" s="512"/>
      <c r="M118" s="504">
        <f t="shared" si="15"/>
        <v>0</v>
      </c>
      <c r="N118" s="512"/>
      <c r="O118" s="504">
        <f t="shared" si="16"/>
        <v>0</v>
      </c>
      <c r="P118" s="504">
        <f t="shared" si="17"/>
        <v>0</v>
      </c>
      <c r="Q118" s="243"/>
      <c r="R118" s="243"/>
      <c r="S118" s="243"/>
      <c r="T118" s="243"/>
      <c r="U118" s="243"/>
    </row>
    <row r="119" spans="2:21">
      <c r="B119" s="145" t="str">
        <f t="shared" si="18"/>
        <v/>
      </c>
      <c r="C119" s="495">
        <f>IF(D94="","-",+C118+1)</f>
        <v>2032</v>
      </c>
      <c r="D119" s="349"/>
      <c r="E119" s="629"/>
      <c r="F119" s="510"/>
      <c r="G119" s="510"/>
      <c r="H119" s="630"/>
      <c r="I119" s="631"/>
      <c r="J119" s="504">
        <f t="shared" si="19"/>
        <v>0</v>
      </c>
      <c r="K119" s="504"/>
      <c r="L119" s="512"/>
      <c r="M119" s="504">
        <f t="shared" si="15"/>
        <v>0</v>
      </c>
      <c r="N119" s="512"/>
      <c r="O119" s="504">
        <f t="shared" si="16"/>
        <v>0</v>
      </c>
      <c r="P119" s="504">
        <f t="shared" si="17"/>
        <v>0</v>
      </c>
      <c r="Q119" s="243"/>
      <c r="R119" s="243"/>
      <c r="S119" s="243"/>
      <c r="T119" s="243"/>
      <c r="U119" s="243"/>
    </row>
    <row r="120" spans="2:21">
      <c r="B120" s="145" t="str">
        <f t="shared" si="18"/>
        <v/>
      </c>
      <c r="C120" s="495">
        <f>IF(D94="","-",+C119+1)</f>
        <v>2033</v>
      </c>
      <c r="D120" s="349"/>
      <c r="E120" s="629"/>
      <c r="F120" s="510"/>
      <c r="G120" s="510"/>
      <c r="H120" s="630"/>
      <c r="I120" s="631"/>
      <c r="J120" s="504">
        <f t="shared" si="19"/>
        <v>0</v>
      </c>
      <c r="K120" s="504"/>
      <c r="L120" s="512"/>
      <c r="M120" s="504">
        <f t="shared" si="15"/>
        <v>0</v>
      </c>
      <c r="N120" s="512"/>
      <c r="O120" s="504">
        <f t="shared" si="16"/>
        <v>0</v>
      </c>
      <c r="P120" s="504">
        <f t="shared" si="17"/>
        <v>0</v>
      </c>
      <c r="Q120" s="243"/>
      <c r="R120" s="243"/>
      <c r="S120" s="243"/>
      <c r="T120" s="243"/>
      <c r="U120" s="243"/>
    </row>
    <row r="121" spans="2:21">
      <c r="B121" s="145" t="str">
        <f t="shared" si="18"/>
        <v/>
      </c>
      <c r="C121" s="495">
        <f>IF(D94="","-",+C120+1)</f>
        <v>2034</v>
      </c>
      <c r="D121" s="349"/>
      <c r="E121" s="629"/>
      <c r="F121" s="510"/>
      <c r="G121" s="510"/>
      <c r="H121" s="630"/>
      <c r="I121" s="631"/>
      <c r="J121" s="504">
        <f t="shared" si="19"/>
        <v>0</v>
      </c>
      <c r="K121" s="504"/>
      <c r="L121" s="512"/>
      <c r="M121" s="504">
        <f t="shared" si="15"/>
        <v>0</v>
      </c>
      <c r="N121" s="512"/>
      <c r="O121" s="504">
        <f t="shared" si="16"/>
        <v>0</v>
      </c>
      <c r="P121" s="504">
        <f t="shared" si="17"/>
        <v>0</v>
      </c>
      <c r="Q121" s="243"/>
      <c r="R121" s="243"/>
      <c r="S121" s="243"/>
      <c r="T121" s="243"/>
      <c r="U121" s="243"/>
    </row>
    <row r="122" spans="2:21">
      <c r="B122" s="145" t="str">
        <f t="shared" si="18"/>
        <v/>
      </c>
      <c r="C122" s="495">
        <f>IF(D94="","-",+C121+1)</f>
        <v>2035</v>
      </c>
      <c r="D122" s="349"/>
      <c r="E122" s="629"/>
      <c r="F122" s="510"/>
      <c r="G122" s="510"/>
      <c r="H122" s="630"/>
      <c r="I122" s="631"/>
      <c r="J122" s="504">
        <f t="shared" si="19"/>
        <v>0</v>
      </c>
      <c r="K122" s="504"/>
      <c r="L122" s="512"/>
      <c r="M122" s="504">
        <f t="shared" si="15"/>
        <v>0</v>
      </c>
      <c r="N122" s="512"/>
      <c r="O122" s="504">
        <f t="shared" si="16"/>
        <v>0</v>
      </c>
      <c r="P122" s="504">
        <f t="shared" si="17"/>
        <v>0</v>
      </c>
      <c r="Q122" s="243"/>
      <c r="R122" s="243"/>
      <c r="S122" s="243"/>
      <c r="T122" s="243"/>
      <c r="U122" s="243"/>
    </row>
    <row r="123" spans="2:21">
      <c r="B123" s="145" t="str">
        <f t="shared" si="18"/>
        <v/>
      </c>
      <c r="C123" s="495">
        <f>IF(D94="","-",+C122+1)</f>
        <v>2036</v>
      </c>
      <c r="D123" s="349"/>
      <c r="E123" s="629"/>
      <c r="F123" s="510"/>
      <c r="G123" s="510"/>
      <c r="H123" s="630"/>
      <c r="I123" s="631"/>
      <c r="J123" s="504">
        <f t="shared" si="19"/>
        <v>0</v>
      </c>
      <c r="K123" s="504"/>
      <c r="L123" s="512"/>
      <c r="M123" s="504">
        <f t="shared" si="15"/>
        <v>0</v>
      </c>
      <c r="N123" s="512"/>
      <c r="O123" s="504">
        <f t="shared" si="16"/>
        <v>0</v>
      </c>
      <c r="P123" s="504">
        <f t="shared" si="17"/>
        <v>0</v>
      </c>
      <c r="Q123" s="243"/>
      <c r="R123" s="243"/>
      <c r="S123" s="243"/>
      <c r="T123" s="243"/>
      <c r="U123" s="243"/>
    </row>
    <row r="124" spans="2:21">
      <c r="B124" s="145" t="str">
        <f t="shared" si="18"/>
        <v/>
      </c>
      <c r="C124" s="495">
        <f>IF(D94="","-",+C123+1)</f>
        <v>2037</v>
      </c>
      <c r="D124" s="349"/>
      <c r="E124" s="629"/>
      <c r="F124" s="510"/>
      <c r="G124" s="510"/>
      <c r="H124" s="630"/>
      <c r="I124" s="631"/>
      <c r="J124" s="504">
        <f t="shared" si="19"/>
        <v>0</v>
      </c>
      <c r="K124" s="504"/>
      <c r="L124" s="512"/>
      <c r="M124" s="504">
        <f t="shared" si="15"/>
        <v>0</v>
      </c>
      <c r="N124" s="512"/>
      <c r="O124" s="504">
        <f t="shared" si="16"/>
        <v>0</v>
      </c>
      <c r="P124" s="504">
        <f t="shared" si="17"/>
        <v>0</v>
      </c>
      <c r="Q124" s="243"/>
      <c r="R124" s="243"/>
      <c r="S124" s="243"/>
      <c r="T124" s="243"/>
      <c r="U124" s="243"/>
    </row>
    <row r="125" spans="2:21">
      <c r="B125" s="145" t="str">
        <f t="shared" si="18"/>
        <v/>
      </c>
      <c r="C125" s="495">
        <f>IF(D94="","-",+C124+1)</f>
        <v>2038</v>
      </c>
      <c r="D125" s="349"/>
      <c r="E125" s="629"/>
      <c r="F125" s="510"/>
      <c r="G125" s="510"/>
      <c r="H125" s="630"/>
      <c r="I125" s="631"/>
      <c r="J125" s="504">
        <f t="shared" si="19"/>
        <v>0</v>
      </c>
      <c r="K125" s="504"/>
      <c r="L125" s="512"/>
      <c r="M125" s="504">
        <f t="shared" si="15"/>
        <v>0</v>
      </c>
      <c r="N125" s="512"/>
      <c r="O125" s="504">
        <f t="shared" si="16"/>
        <v>0</v>
      </c>
      <c r="P125" s="504">
        <f t="shared" si="17"/>
        <v>0</v>
      </c>
      <c r="Q125" s="243"/>
      <c r="R125" s="243"/>
      <c r="S125" s="243"/>
      <c r="T125" s="243"/>
      <c r="U125" s="243"/>
    </row>
    <row r="126" spans="2:21">
      <c r="B126" s="145" t="str">
        <f t="shared" si="18"/>
        <v/>
      </c>
      <c r="C126" s="495">
        <f>IF(D94="","-",+C125+1)</f>
        <v>2039</v>
      </c>
      <c r="D126" s="349"/>
      <c r="E126" s="629"/>
      <c r="F126" s="510"/>
      <c r="G126" s="510"/>
      <c r="H126" s="630"/>
      <c r="I126" s="631"/>
      <c r="J126" s="504">
        <f t="shared" si="19"/>
        <v>0</v>
      </c>
      <c r="K126" s="504"/>
      <c r="L126" s="512"/>
      <c r="M126" s="504">
        <f t="shared" si="15"/>
        <v>0</v>
      </c>
      <c r="N126" s="512"/>
      <c r="O126" s="504">
        <f t="shared" si="16"/>
        <v>0</v>
      </c>
      <c r="P126" s="504">
        <f t="shared" si="17"/>
        <v>0</v>
      </c>
      <c r="Q126" s="243"/>
      <c r="R126" s="243"/>
      <c r="S126" s="243"/>
      <c r="T126" s="243"/>
      <c r="U126" s="243"/>
    </row>
    <row r="127" spans="2:21">
      <c r="B127" s="145" t="str">
        <f t="shared" si="18"/>
        <v/>
      </c>
      <c r="C127" s="495">
        <f>IF(D94="","-",+C126+1)</f>
        <v>2040</v>
      </c>
      <c r="D127" s="349"/>
      <c r="E127" s="629"/>
      <c r="F127" s="510"/>
      <c r="G127" s="510"/>
      <c r="H127" s="630"/>
      <c r="I127" s="631"/>
      <c r="J127" s="504">
        <f t="shared" si="19"/>
        <v>0</v>
      </c>
      <c r="K127" s="504"/>
      <c r="L127" s="512"/>
      <c r="M127" s="504">
        <f t="shared" si="15"/>
        <v>0</v>
      </c>
      <c r="N127" s="512"/>
      <c r="O127" s="504">
        <f t="shared" si="16"/>
        <v>0</v>
      </c>
      <c r="P127" s="504">
        <f t="shared" si="17"/>
        <v>0</v>
      </c>
      <c r="Q127" s="243"/>
      <c r="R127" s="243"/>
      <c r="S127" s="243"/>
      <c r="T127" s="243"/>
      <c r="U127" s="243"/>
    </row>
    <row r="128" spans="2:21">
      <c r="B128" s="145" t="str">
        <f t="shared" si="18"/>
        <v/>
      </c>
      <c r="C128" s="495">
        <f>IF(D94="","-",+C127+1)</f>
        <v>2041</v>
      </c>
      <c r="D128" s="349"/>
      <c r="E128" s="629"/>
      <c r="F128" s="510"/>
      <c r="G128" s="510"/>
      <c r="H128" s="630"/>
      <c r="I128" s="631"/>
      <c r="J128" s="504">
        <f t="shared" si="19"/>
        <v>0</v>
      </c>
      <c r="K128" s="504"/>
      <c r="L128" s="512"/>
      <c r="M128" s="504">
        <f t="shared" si="15"/>
        <v>0</v>
      </c>
      <c r="N128" s="512"/>
      <c r="O128" s="504">
        <f t="shared" si="16"/>
        <v>0</v>
      </c>
      <c r="P128" s="504">
        <f t="shared" si="17"/>
        <v>0</v>
      </c>
      <c r="Q128" s="243"/>
      <c r="R128" s="243"/>
      <c r="S128" s="243"/>
      <c r="T128" s="243"/>
      <c r="U128" s="243"/>
    </row>
    <row r="129" spans="2:21">
      <c r="B129" s="145" t="str">
        <f t="shared" si="18"/>
        <v/>
      </c>
      <c r="C129" s="495">
        <f>IF(D94="","-",+C128+1)</f>
        <v>2042</v>
      </c>
      <c r="D129" s="349"/>
      <c r="E129" s="629"/>
      <c r="F129" s="510"/>
      <c r="G129" s="510"/>
      <c r="H129" s="630"/>
      <c r="I129" s="631"/>
      <c r="J129" s="504">
        <f t="shared" si="19"/>
        <v>0</v>
      </c>
      <c r="K129" s="504"/>
      <c r="L129" s="512"/>
      <c r="M129" s="504">
        <f t="shared" si="15"/>
        <v>0</v>
      </c>
      <c r="N129" s="512"/>
      <c r="O129" s="504">
        <f t="shared" si="16"/>
        <v>0</v>
      </c>
      <c r="P129" s="504">
        <f t="shared" si="17"/>
        <v>0</v>
      </c>
      <c r="Q129" s="243"/>
      <c r="R129" s="243"/>
      <c r="S129" s="243"/>
      <c r="T129" s="243"/>
      <c r="U129" s="243"/>
    </row>
    <row r="130" spans="2:21">
      <c r="B130" s="145" t="str">
        <f t="shared" si="18"/>
        <v/>
      </c>
      <c r="C130" s="495">
        <f>IF(D94="","-",+C129+1)</f>
        <v>2043</v>
      </c>
      <c r="D130" s="349"/>
      <c r="E130" s="629"/>
      <c r="F130" s="510"/>
      <c r="G130" s="510"/>
      <c r="H130" s="630"/>
      <c r="I130" s="631"/>
      <c r="J130" s="504">
        <f t="shared" si="19"/>
        <v>0</v>
      </c>
      <c r="K130" s="504"/>
      <c r="L130" s="512"/>
      <c r="M130" s="504">
        <f t="shared" si="15"/>
        <v>0</v>
      </c>
      <c r="N130" s="512"/>
      <c r="O130" s="504">
        <f t="shared" si="16"/>
        <v>0</v>
      </c>
      <c r="P130" s="504">
        <f t="shared" si="17"/>
        <v>0</v>
      </c>
      <c r="Q130" s="243"/>
      <c r="R130" s="243"/>
      <c r="S130" s="243"/>
      <c r="T130" s="243"/>
      <c r="U130" s="243"/>
    </row>
    <row r="131" spans="2:21">
      <c r="B131" s="145" t="str">
        <f t="shared" si="18"/>
        <v/>
      </c>
      <c r="C131" s="495">
        <f>IF(D94="","-",+C130+1)</f>
        <v>2044</v>
      </c>
      <c r="D131" s="349"/>
      <c r="E131" s="629"/>
      <c r="F131" s="510"/>
      <c r="G131" s="510"/>
      <c r="H131" s="630"/>
      <c r="I131" s="631"/>
      <c r="J131" s="504">
        <f t="shared" si="19"/>
        <v>0</v>
      </c>
      <c r="K131" s="504"/>
      <c r="L131" s="512"/>
      <c r="M131" s="504">
        <f t="shared" si="15"/>
        <v>0</v>
      </c>
      <c r="N131" s="512"/>
      <c r="O131" s="504">
        <f t="shared" si="16"/>
        <v>0</v>
      </c>
      <c r="P131" s="504">
        <f t="shared" si="17"/>
        <v>0</v>
      </c>
      <c r="Q131" s="243"/>
      <c r="R131" s="243"/>
      <c r="S131" s="243"/>
      <c r="T131" s="243"/>
      <c r="U131" s="243"/>
    </row>
    <row r="132" spans="2:21">
      <c r="B132" s="145" t="str">
        <f t="shared" si="18"/>
        <v/>
      </c>
      <c r="C132" s="495">
        <f>IF(D94="","-",+C131+1)</f>
        <v>2045</v>
      </c>
      <c r="D132" s="349"/>
      <c r="E132" s="629"/>
      <c r="F132" s="510"/>
      <c r="G132" s="510"/>
      <c r="H132" s="630"/>
      <c r="I132" s="631"/>
      <c r="J132" s="504">
        <f t="shared" si="19"/>
        <v>0</v>
      </c>
      <c r="K132" s="504"/>
      <c r="L132" s="512"/>
      <c r="M132" s="504">
        <f t="shared" ref="M132:M155" si="20">IF(L542&lt;&gt;0,+H542-L542,0)</f>
        <v>0</v>
      </c>
      <c r="N132" s="512"/>
      <c r="O132" s="504">
        <f t="shared" ref="O132:O155" si="21">IF(N542&lt;&gt;0,+I542-N542,0)</f>
        <v>0</v>
      </c>
      <c r="P132" s="504">
        <f t="shared" ref="P132:P155" si="22">+O542-M542</f>
        <v>0</v>
      </c>
      <c r="Q132" s="243"/>
      <c r="R132" s="243"/>
      <c r="S132" s="243"/>
      <c r="T132" s="243"/>
      <c r="U132" s="243"/>
    </row>
    <row r="133" spans="2:21">
      <c r="B133" s="145" t="str">
        <f t="shared" si="18"/>
        <v/>
      </c>
      <c r="C133" s="495">
        <f>IF(D94="","-",+C132+1)</f>
        <v>2046</v>
      </c>
      <c r="D133" s="349"/>
      <c r="E133" s="629"/>
      <c r="F133" s="510"/>
      <c r="G133" s="510"/>
      <c r="H133" s="630"/>
      <c r="I133" s="631"/>
      <c r="J133" s="504">
        <f t="shared" si="19"/>
        <v>0</v>
      </c>
      <c r="K133" s="504"/>
      <c r="L133" s="512"/>
      <c r="M133" s="504">
        <f t="shared" si="20"/>
        <v>0</v>
      </c>
      <c r="N133" s="512"/>
      <c r="O133" s="504">
        <f t="shared" si="21"/>
        <v>0</v>
      </c>
      <c r="P133" s="504">
        <f t="shared" si="22"/>
        <v>0</v>
      </c>
      <c r="Q133" s="243"/>
      <c r="R133" s="243"/>
      <c r="S133" s="243"/>
      <c r="T133" s="243"/>
      <c r="U133" s="243"/>
    </row>
    <row r="134" spans="2:21">
      <c r="B134" s="145" t="str">
        <f t="shared" si="18"/>
        <v/>
      </c>
      <c r="C134" s="495">
        <f>IF(D94="","-",+C133+1)</f>
        <v>2047</v>
      </c>
      <c r="D134" s="349"/>
      <c r="E134" s="629"/>
      <c r="F134" s="510"/>
      <c r="G134" s="510"/>
      <c r="H134" s="630"/>
      <c r="I134" s="631"/>
      <c r="J134" s="504">
        <f t="shared" si="19"/>
        <v>0</v>
      </c>
      <c r="K134" s="504"/>
      <c r="L134" s="512"/>
      <c r="M134" s="504">
        <f t="shared" si="20"/>
        <v>0</v>
      </c>
      <c r="N134" s="512"/>
      <c r="O134" s="504">
        <f t="shared" si="21"/>
        <v>0</v>
      </c>
      <c r="P134" s="504">
        <f t="shared" si="22"/>
        <v>0</v>
      </c>
      <c r="Q134" s="243"/>
      <c r="R134" s="243"/>
      <c r="S134" s="243"/>
      <c r="T134" s="243"/>
      <c r="U134" s="243"/>
    </row>
    <row r="135" spans="2:21">
      <c r="B135" s="145" t="str">
        <f t="shared" si="18"/>
        <v/>
      </c>
      <c r="C135" s="495">
        <f>IF(D94="","-",+C134+1)</f>
        <v>2048</v>
      </c>
      <c r="D135" s="349"/>
      <c r="E135" s="629"/>
      <c r="F135" s="510"/>
      <c r="G135" s="510"/>
      <c r="H135" s="630"/>
      <c r="I135" s="631"/>
      <c r="J135" s="504">
        <f t="shared" si="19"/>
        <v>0</v>
      </c>
      <c r="K135" s="504"/>
      <c r="L135" s="512"/>
      <c r="M135" s="504">
        <f t="shared" si="20"/>
        <v>0</v>
      </c>
      <c r="N135" s="512"/>
      <c r="O135" s="504">
        <f t="shared" si="21"/>
        <v>0</v>
      </c>
      <c r="P135" s="504">
        <f t="shared" si="22"/>
        <v>0</v>
      </c>
      <c r="Q135" s="243"/>
      <c r="R135" s="243"/>
      <c r="S135" s="243"/>
      <c r="T135" s="243"/>
      <c r="U135" s="243"/>
    </row>
    <row r="136" spans="2:21">
      <c r="B136" s="145" t="str">
        <f t="shared" si="18"/>
        <v/>
      </c>
      <c r="C136" s="495">
        <f>IF(D94="","-",+C135+1)</f>
        <v>2049</v>
      </c>
      <c r="D136" s="349"/>
      <c r="E136" s="629"/>
      <c r="F136" s="510"/>
      <c r="G136" s="510"/>
      <c r="H136" s="630"/>
      <c r="I136" s="631"/>
      <c r="J136" s="504">
        <f t="shared" si="19"/>
        <v>0</v>
      </c>
      <c r="K136" s="504"/>
      <c r="L136" s="512"/>
      <c r="M136" s="504">
        <f t="shared" si="20"/>
        <v>0</v>
      </c>
      <c r="N136" s="512"/>
      <c r="O136" s="504">
        <f t="shared" si="21"/>
        <v>0</v>
      </c>
      <c r="P136" s="504">
        <f t="shared" si="22"/>
        <v>0</v>
      </c>
      <c r="Q136" s="243"/>
      <c r="R136" s="243"/>
      <c r="S136" s="243"/>
      <c r="T136" s="243"/>
      <c r="U136" s="243"/>
    </row>
    <row r="137" spans="2:21">
      <c r="B137" s="145" t="str">
        <f t="shared" si="18"/>
        <v/>
      </c>
      <c r="C137" s="495">
        <f>IF(D94="","-",+C136+1)</f>
        <v>2050</v>
      </c>
      <c r="D137" s="349"/>
      <c r="E137" s="629"/>
      <c r="F137" s="510"/>
      <c r="G137" s="510"/>
      <c r="H137" s="630"/>
      <c r="I137" s="631"/>
      <c r="J137" s="504">
        <f t="shared" si="19"/>
        <v>0</v>
      </c>
      <c r="K137" s="504"/>
      <c r="L137" s="512"/>
      <c r="M137" s="504">
        <f t="shared" si="20"/>
        <v>0</v>
      </c>
      <c r="N137" s="512"/>
      <c r="O137" s="504">
        <f t="shared" si="21"/>
        <v>0</v>
      </c>
      <c r="P137" s="504">
        <f t="shared" si="22"/>
        <v>0</v>
      </c>
      <c r="Q137" s="243"/>
      <c r="R137" s="243"/>
      <c r="S137" s="243"/>
      <c r="T137" s="243"/>
      <c r="U137" s="243"/>
    </row>
    <row r="138" spans="2:21">
      <c r="B138" s="145" t="str">
        <f t="shared" si="18"/>
        <v/>
      </c>
      <c r="C138" s="495">
        <f>IF(D94="","-",+C137+1)</f>
        <v>2051</v>
      </c>
      <c r="D138" s="349"/>
      <c r="E138" s="629"/>
      <c r="F138" s="510"/>
      <c r="G138" s="510"/>
      <c r="H138" s="630"/>
      <c r="I138" s="631"/>
      <c r="J138" s="504">
        <f t="shared" si="19"/>
        <v>0</v>
      </c>
      <c r="K138" s="504"/>
      <c r="L138" s="512"/>
      <c r="M138" s="504">
        <f t="shared" si="20"/>
        <v>0</v>
      </c>
      <c r="N138" s="512"/>
      <c r="O138" s="504">
        <f t="shared" si="21"/>
        <v>0</v>
      </c>
      <c r="P138" s="504">
        <f t="shared" si="22"/>
        <v>0</v>
      </c>
      <c r="Q138" s="243"/>
      <c r="R138" s="243"/>
      <c r="S138" s="243"/>
      <c r="T138" s="243"/>
      <c r="U138" s="243"/>
    </row>
    <row r="139" spans="2:21">
      <c r="B139" s="145" t="str">
        <f t="shared" si="18"/>
        <v/>
      </c>
      <c r="C139" s="495">
        <f>IF(D94="","-",+C138+1)</f>
        <v>2052</v>
      </c>
      <c r="D139" s="349"/>
      <c r="E139" s="629"/>
      <c r="F139" s="510"/>
      <c r="G139" s="510"/>
      <c r="H139" s="630"/>
      <c r="I139" s="631"/>
      <c r="J139" s="504">
        <f t="shared" si="19"/>
        <v>0</v>
      </c>
      <c r="K139" s="504"/>
      <c r="L139" s="512"/>
      <c r="M139" s="504">
        <f t="shared" si="20"/>
        <v>0</v>
      </c>
      <c r="N139" s="512"/>
      <c r="O139" s="504">
        <f t="shared" si="21"/>
        <v>0</v>
      </c>
      <c r="P139" s="504">
        <f t="shared" si="22"/>
        <v>0</v>
      </c>
      <c r="Q139" s="243"/>
      <c r="R139" s="243"/>
      <c r="S139" s="243"/>
      <c r="T139" s="243"/>
      <c r="U139" s="243"/>
    </row>
    <row r="140" spans="2:21">
      <c r="B140" s="145" t="str">
        <f t="shared" si="18"/>
        <v/>
      </c>
      <c r="C140" s="495">
        <f>IF(D94="","-",+C139+1)</f>
        <v>2053</v>
      </c>
      <c r="D140" s="349"/>
      <c r="E140" s="629"/>
      <c r="F140" s="510"/>
      <c r="G140" s="510"/>
      <c r="H140" s="630"/>
      <c r="I140" s="631"/>
      <c r="J140" s="504">
        <f t="shared" si="19"/>
        <v>0</v>
      </c>
      <c r="K140" s="504"/>
      <c r="L140" s="512"/>
      <c r="M140" s="504">
        <f t="shared" si="20"/>
        <v>0</v>
      </c>
      <c r="N140" s="512"/>
      <c r="O140" s="504">
        <f t="shared" si="21"/>
        <v>0</v>
      </c>
      <c r="P140" s="504">
        <f t="shared" si="22"/>
        <v>0</v>
      </c>
      <c r="Q140" s="243"/>
      <c r="R140" s="243"/>
      <c r="S140" s="243"/>
      <c r="T140" s="243"/>
      <c r="U140" s="243"/>
    </row>
    <row r="141" spans="2:21">
      <c r="B141" s="145" t="str">
        <f t="shared" si="18"/>
        <v/>
      </c>
      <c r="C141" s="495">
        <f>IF(D94="","-",+C140+1)</f>
        <v>2054</v>
      </c>
      <c r="D141" s="349"/>
      <c r="E141" s="629"/>
      <c r="F141" s="510"/>
      <c r="G141" s="510"/>
      <c r="H141" s="630"/>
      <c r="I141" s="631"/>
      <c r="J141" s="504">
        <f t="shared" si="19"/>
        <v>0</v>
      </c>
      <c r="K141" s="504"/>
      <c r="L141" s="512"/>
      <c r="M141" s="504">
        <f t="shared" si="20"/>
        <v>0</v>
      </c>
      <c r="N141" s="512"/>
      <c r="O141" s="504">
        <f t="shared" si="21"/>
        <v>0</v>
      </c>
      <c r="P141" s="504">
        <f t="shared" si="22"/>
        <v>0</v>
      </c>
      <c r="Q141" s="243"/>
      <c r="R141" s="243"/>
      <c r="S141" s="243"/>
      <c r="T141" s="243"/>
      <c r="U141" s="243"/>
    </row>
    <row r="142" spans="2:21">
      <c r="B142" s="145" t="str">
        <f t="shared" si="18"/>
        <v/>
      </c>
      <c r="C142" s="495">
        <f>IF(D94="","-",+C141+1)</f>
        <v>2055</v>
      </c>
      <c r="D142" s="349"/>
      <c r="E142" s="629"/>
      <c r="F142" s="510"/>
      <c r="G142" s="510"/>
      <c r="H142" s="630"/>
      <c r="I142" s="631"/>
      <c r="J142" s="504">
        <f t="shared" si="19"/>
        <v>0</v>
      </c>
      <c r="K142" s="504"/>
      <c r="L142" s="512"/>
      <c r="M142" s="504">
        <f t="shared" si="20"/>
        <v>0</v>
      </c>
      <c r="N142" s="512"/>
      <c r="O142" s="504">
        <f t="shared" si="21"/>
        <v>0</v>
      </c>
      <c r="P142" s="504">
        <f t="shared" si="22"/>
        <v>0</v>
      </c>
      <c r="Q142" s="243"/>
      <c r="R142" s="243"/>
      <c r="S142" s="243"/>
      <c r="T142" s="243"/>
      <c r="U142" s="243"/>
    </row>
    <row r="143" spans="2:21">
      <c r="B143" s="145" t="str">
        <f t="shared" si="18"/>
        <v/>
      </c>
      <c r="C143" s="495">
        <f>IF(D94="","-",+C142+1)</f>
        <v>2056</v>
      </c>
      <c r="D143" s="349"/>
      <c r="E143" s="629"/>
      <c r="F143" s="510"/>
      <c r="G143" s="510"/>
      <c r="H143" s="630"/>
      <c r="I143" s="631"/>
      <c r="J143" s="504">
        <f t="shared" si="19"/>
        <v>0</v>
      </c>
      <c r="K143" s="504"/>
      <c r="L143" s="512"/>
      <c r="M143" s="504">
        <f t="shared" si="20"/>
        <v>0</v>
      </c>
      <c r="N143" s="512"/>
      <c r="O143" s="504">
        <f t="shared" si="21"/>
        <v>0</v>
      </c>
      <c r="P143" s="504">
        <f t="shared" si="22"/>
        <v>0</v>
      </c>
      <c r="Q143" s="243"/>
      <c r="R143" s="243"/>
      <c r="S143" s="243"/>
      <c r="T143" s="243"/>
      <c r="U143" s="243"/>
    </row>
    <row r="144" spans="2:21">
      <c r="B144" s="145" t="str">
        <f t="shared" si="18"/>
        <v/>
      </c>
      <c r="C144" s="495">
        <f>IF(D94="","-",+C143+1)</f>
        <v>2057</v>
      </c>
      <c r="D144" s="349"/>
      <c r="E144" s="629"/>
      <c r="F144" s="510"/>
      <c r="G144" s="510"/>
      <c r="H144" s="630"/>
      <c r="I144" s="631"/>
      <c r="J144" s="504">
        <f t="shared" si="19"/>
        <v>0</v>
      </c>
      <c r="K144" s="504"/>
      <c r="L144" s="512"/>
      <c r="M144" s="504">
        <f t="shared" si="20"/>
        <v>0</v>
      </c>
      <c r="N144" s="512"/>
      <c r="O144" s="504">
        <f t="shared" si="21"/>
        <v>0</v>
      </c>
      <c r="P144" s="504">
        <f t="shared" si="22"/>
        <v>0</v>
      </c>
      <c r="Q144" s="243"/>
      <c r="R144" s="243"/>
      <c r="S144" s="243"/>
      <c r="T144" s="243"/>
      <c r="U144" s="243"/>
    </row>
    <row r="145" spans="2:21">
      <c r="B145" s="145" t="str">
        <f t="shared" si="18"/>
        <v/>
      </c>
      <c r="C145" s="495">
        <f>IF(D94="","-",+C144+1)</f>
        <v>2058</v>
      </c>
      <c r="D145" s="349"/>
      <c r="E145" s="629"/>
      <c r="F145" s="510"/>
      <c r="G145" s="510"/>
      <c r="H145" s="630"/>
      <c r="I145" s="631"/>
      <c r="J145" s="504">
        <f t="shared" si="19"/>
        <v>0</v>
      </c>
      <c r="K145" s="504"/>
      <c r="L145" s="512"/>
      <c r="M145" s="504">
        <f t="shared" si="20"/>
        <v>0</v>
      </c>
      <c r="N145" s="512"/>
      <c r="O145" s="504">
        <f t="shared" si="21"/>
        <v>0</v>
      </c>
      <c r="P145" s="504">
        <f t="shared" si="22"/>
        <v>0</v>
      </c>
      <c r="Q145" s="243"/>
      <c r="R145" s="243"/>
      <c r="S145" s="243"/>
      <c r="T145" s="243"/>
      <c r="U145" s="243"/>
    </row>
    <row r="146" spans="2:21">
      <c r="B146" s="145" t="str">
        <f t="shared" si="18"/>
        <v/>
      </c>
      <c r="C146" s="495">
        <f>IF(D94="","-",+C145+1)</f>
        <v>2059</v>
      </c>
      <c r="D146" s="349"/>
      <c r="E146" s="629"/>
      <c r="F146" s="510"/>
      <c r="G146" s="510"/>
      <c r="H146" s="630"/>
      <c r="I146" s="631"/>
      <c r="J146" s="504">
        <f t="shared" si="19"/>
        <v>0</v>
      </c>
      <c r="K146" s="504"/>
      <c r="L146" s="512"/>
      <c r="M146" s="504">
        <f t="shared" si="20"/>
        <v>0</v>
      </c>
      <c r="N146" s="512"/>
      <c r="O146" s="504">
        <f t="shared" si="21"/>
        <v>0</v>
      </c>
      <c r="P146" s="504">
        <f t="shared" si="22"/>
        <v>0</v>
      </c>
      <c r="Q146" s="243"/>
      <c r="R146" s="243"/>
      <c r="S146" s="243"/>
      <c r="T146" s="243"/>
      <c r="U146" s="243"/>
    </row>
    <row r="147" spans="2:21">
      <c r="B147" s="145" t="str">
        <f t="shared" si="18"/>
        <v/>
      </c>
      <c r="C147" s="495">
        <f>IF(D94="","-",+C146+1)</f>
        <v>2060</v>
      </c>
      <c r="D147" s="349"/>
      <c r="E147" s="629"/>
      <c r="F147" s="510"/>
      <c r="G147" s="510"/>
      <c r="H147" s="630"/>
      <c r="I147" s="631"/>
      <c r="J147" s="504">
        <f t="shared" si="19"/>
        <v>0</v>
      </c>
      <c r="K147" s="504"/>
      <c r="L147" s="512"/>
      <c r="M147" s="504">
        <f t="shared" si="20"/>
        <v>0</v>
      </c>
      <c r="N147" s="512"/>
      <c r="O147" s="504">
        <f t="shared" si="21"/>
        <v>0</v>
      </c>
      <c r="P147" s="504">
        <f t="shared" si="22"/>
        <v>0</v>
      </c>
      <c r="Q147" s="243"/>
      <c r="R147" s="243"/>
      <c r="S147" s="243"/>
      <c r="T147" s="243"/>
      <c r="U147" s="243"/>
    </row>
    <row r="148" spans="2:21">
      <c r="B148" s="145" t="str">
        <f t="shared" si="18"/>
        <v/>
      </c>
      <c r="C148" s="495">
        <f>IF(D94="","-",+C147+1)</f>
        <v>2061</v>
      </c>
      <c r="D148" s="349"/>
      <c r="E148" s="629"/>
      <c r="F148" s="510"/>
      <c r="G148" s="510"/>
      <c r="H148" s="630"/>
      <c r="I148" s="631"/>
      <c r="J148" s="504">
        <f t="shared" si="19"/>
        <v>0</v>
      </c>
      <c r="K148" s="504"/>
      <c r="L148" s="512"/>
      <c r="M148" s="504">
        <f t="shared" si="20"/>
        <v>0</v>
      </c>
      <c r="N148" s="512"/>
      <c r="O148" s="504">
        <f t="shared" si="21"/>
        <v>0</v>
      </c>
      <c r="P148" s="504">
        <f t="shared" si="22"/>
        <v>0</v>
      </c>
      <c r="Q148" s="243"/>
      <c r="R148" s="243"/>
      <c r="S148" s="243"/>
      <c r="T148" s="243"/>
      <c r="U148" s="243"/>
    </row>
    <row r="149" spans="2:21">
      <c r="B149" s="145" t="str">
        <f t="shared" si="18"/>
        <v/>
      </c>
      <c r="C149" s="495">
        <f>IF(D94="","-",+C148+1)</f>
        <v>2062</v>
      </c>
      <c r="D149" s="349"/>
      <c r="E149" s="629"/>
      <c r="F149" s="510"/>
      <c r="G149" s="510"/>
      <c r="H149" s="630"/>
      <c r="I149" s="631"/>
      <c r="J149" s="504">
        <f t="shared" si="19"/>
        <v>0</v>
      </c>
      <c r="K149" s="504"/>
      <c r="L149" s="512"/>
      <c r="M149" s="504">
        <f t="shared" si="20"/>
        <v>0</v>
      </c>
      <c r="N149" s="512"/>
      <c r="O149" s="504">
        <f t="shared" si="21"/>
        <v>0</v>
      </c>
      <c r="P149" s="504">
        <f t="shared" si="22"/>
        <v>0</v>
      </c>
      <c r="Q149" s="243"/>
      <c r="R149" s="243"/>
      <c r="S149" s="243"/>
      <c r="T149" s="243"/>
      <c r="U149" s="243"/>
    </row>
    <row r="150" spans="2:21">
      <c r="B150" s="145" t="str">
        <f t="shared" si="18"/>
        <v/>
      </c>
      <c r="C150" s="495">
        <f>IF(D94="","-",+C149+1)</f>
        <v>2063</v>
      </c>
      <c r="D150" s="349"/>
      <c r="E150" s="629"/>
      <c r="F150" s="510"/>
      <c r="G150" s="510"/>
      <c r="H150" s="630"/>
      <c r="I150" s="631"/>
      <c r="J150" s="504">
        <f t="shared" si="19"/>
        <v>0</v>
      </c>
      <c r="K150" s="504"/>
      <c r="L150" s="512"/>
      <c r="M150" s="504">
        <f t="shared" si="20"/>
        <v>0</v>
      </c>
      <c r="N150" s="512"/>
      <c r="O150" s="504">
        <f t="shared" si="21"/>
        <v>0</v>
      </c>
      <c r="P150" s="504">
        <f t="shared" si="22"/>
        <v>0</v>
      </c>
      <c r="Q150" s="243"/>
      <c r="R150" s="243"/>
      <c r="S150" s="243"/>
      <c r="T150" s="243"/>
      <c r="U150" s="243"/>
    </row>
    <row r="151" spans="2:21">
      <c r="B151" s="145" t="str">
        <f t="shared" si="18"/>
        <v/>
      </c>
      <c r="C151" s="495">
        <f>IF(D94="","-",+C150+1)</f>
        <v>2064</v>
      </c>
      <c r="D151" s="349"/>
      <c r="E151" s="629"/>
      <c r="F151" s="510"/>
      <c r="G151" s="510"/>
      <c r="H151" s="630"/>
      <c r="I151" s="631"/>
      <c r="J151" s="504">
        <f t="shared" si="19"/>
        <v>0</v>
      </c>
      <c r="K151" s="504"/>
      <c r="L151" s="512"/>
      <c r="M151" s="504">
        <f t="shared" si="20"/>
        <v>0</v>
      </c>
      <c r="N151" s="512"/>
      <c r="O151" s="504">
        <f t="shared" si="21"/>
        <v>0</v>
      </c>
      <c r="P151" s="504">
        <f t="shared" si="22"/>
        <v>0</v>
      </c>
      <c r="Q151" s="243"/>
      <c r="R151" s="243"/>
      <c r="S151" s="243"/>
      <c r="T151" s="243"/>
      <c r="U151" s="243"/>
    </row>
    <row r="152" spans="2:21">
      <c r="B152" s="145" t="str">
        <f t="shared" si="18"/>
        <v/>
      </c>
      <c r="C152" s="495">
        <f>IF(D94="","-",+C151+1)</f>
        <v>2065</v>
      </c>
      <c r="D152" s="349"/>
      <c r="E152" s="629"/>
      <c r="F152" s="510"/>
      <c r="G152" s="510"/>
      <c r="H152" s="630"/>
      <c r="I152" s="631"/>
      <c r="J152" s="504">
        <f t="shared" si="19"/>
        <v>0</v>
      </c>
      <c r="K152" s="504"/>
      <c r="L152" s="512"/>
      <c r="M152" s="504">
        <f t="shared" si="20"/>
        <v>0</v>
      </c>
      <c r="N152" s="512"/>
      <c r="O152" s="504">
        <f t="shared" si="21"/>
        <v>0</v>
      </c>
      <c r="P152" s="504">
        <f t="shared" si="22"/>
        <v>0</v>
      </c>
      <c r="Q152" s="243"/>
      <c r="R152" s="243"/>
      <c r="S152" s="243"/>
      <c r="T152" s="243"/>
      <c r="U152" s="243"/>
    </row>
    <row r="153" spans="2:21">
      <c r="B153" s="145" t="str">
        <f t="shared" si="18"/>
        <v/>
      </c>
      <c r="C153" s="495">
        <f>IF(D94="","-",+C152+1)</f>
        <v>2066</v>
      </c>
      <c r="D153" s="349"/>
      <c r="E153" s="629"/>
      <c r="F153" s="510"/>
      <c r="G153" s="510"/>
      <c r="H153" s="630"/>
      <c r="I153" s="631"/>
      <c r="J153" s="504">
        <f t="shared" si="19"/>
        <v>0</v>
      </c>
      <c r="K153" s="504"/>
      <c r="L153" s="512"/>
      <c r="M153" s="504">
        <f t="shared" si="20"/>
        <v>0</v>
      </c>
      <c r="N153" s="512"/>
      <c r="O153" s="504">
        <f t="shared" si="21"/>
        <v>0</v>
      </c>
      <c r="P153" s="504">
        <f t="shared" si="22"/>
        <v>0</v>
      </c>
      <c r="Q153" s="243"/>
      <c r="R153" s="243"/>
      <c r="S153" s="243"/>
      <c r="T153" s="243"/>
      <c r="U153" s="243"/>
    </row>
    <row r="154" spans="2:21">
      <c r="B154" s="145" t="str">
        <f t="shared" si="18"/>
        <v/>
      </c>
      <c r="C154" s="495">
        <f>IF(D94="","-",+C153+1)</f>
        <v>2067</v>
      </c>
      <c r="D154" s="349"/>
      <c r="E154" s="629"/>
      <c r="F154" s="510"/>
      <c r="G154" s="510"/>
      <c r="H154" s="630"/>
      <c r="I154" s="631"/>
      <c r="J154" s="504">
        <f t="shared" si="19"/>
        <v>0</v>
      </c>
      <c r="K154" s="504"/>
      <c r="L154" s="512"/>
      <c r="M154" s="504">
        <f t="shared" si="20"/>
        <v>0</v>
      </c>
      <c r="N154" s="512"/>
      <c r="O154" s="504">
        <f t="shared" si="21"/>
        <v>0</v>
      </c>
      <c r="P154" s="504">
        <f t="shared" si="22"/>
        <v>0</v>
      </c>
      <c r="Q154" s="243"/>
      <c r="R154" s="243"/>
      <c r="S154" s="243"/>
      <c r="T154" s="243"/>
      <c r="U154" s="243"/>
    </row>
    <row r="155" spans="2:21" ht="13.5" thickBot="1">
      <c r="B155" s="145" t="str">
        <f t="shared" si="18"/>
        <v/>
      </c>
      <c r="C155" s="524">
        <f>IF(D94="","-",+C154+1)</f>
        <v>2068</v>
      </c>
      <c r="D155" s="618"/>
      <c r="E155" s="632"/>
      <c r="F155" s="527"/>
      <c r="G155" s="527"/>
      <c r="H155" s="633"/>
      <c r="I155" s="634"/>
      <c r="J155" s="531">
        <f t="shared" si="19"/>
        <v>0</v>
      </c>
      <c r="K155" s="504"/>
      <c r="L155" s="530"/>
      <c r="M155" s="531">
        <f t="shared" si="20"/>
        <v>0</v>
      </c>
      <c r="N155" s="530"/>
      <c r="O155" s="531">
        <f t="shared" si="21"/>
        <v>0</v>
      </c>
      <c r="P155" s="531">
        <f t="shared" si="22"/>
        <v>0</v>
      </c>
      <c r="Q155" s="243"/>
      <c r="R155" s="243"/>
      <c r="S155" s="243"/>
      <c r="T155" s="243"/>
      <c r="U155" s="243"/>
    </row>
    <row r="156" spans="2:21">
      <c r="C156" s="349" t="s">
        <v>75</v>
      </c>
      <c r="D156" s="294"/>
      <c r="E156" s="294">
        <f>SUM(E100:E155)</f>
        <v>433494.464379085</v>
      </c>
      <c r="F156" s="294"/>
      <c r="G156" s="294"/>
      <c r="H156" s="294">
        <f>SUM(H100:H155)</f>
        <v>2387323.3800558434</v>
      </c>
      <c r="I156" s="294">
        <f>SUM(I100:I155)</f>
        <v>2387323.3800558434</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8" priority="1" stopIfTrue="1" operator="equal">
      <formula>$I$10</formula>
    </cfRule>
  </conditionalFormatting>
  <conditionalFormatting sqref="C100:C155">
    <cfRule type="cellIs" dxfId="37"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dimension ref="A1:U163"/>
  <sheetViews>
    <sheetView view="pageBreakPreview" zoomScale="78" zoomScaleNormal="100" zoomScaleSheetLayoutView="78"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14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8300462.8301983364</v>
      </c>
      <c r="P5" s="243"/>
      <c r="R5" s="243"/>
      <c r="S5" s="243"/>
      <c r="T5" s="243"/>
      <c r="U5" s="243"/>
    </row>
    <row r="6" spans="1:21" ht="15.75">
      <c r="C6" s="235"/>
      <c r="D6" s="292"/>
      <c r="E6" s="243"/>
      <c r="F6" s="243"/>
      <c r="G6" s="243"/>
      <c r="H6" s="449"/>
      <c r="I6" s="449"/>
      <c r="J6" s="450"/>
      <c r="K6" s="451" t="s">
        <v>243</v>
      </c>
      <c r="L6" s="452"/>
      <c r="M6" s="278"/>
      <c r="N6" s="453">
        <f>VLOOKUP(I10,C17:I73,6)</f>
        <v>8300462.8301983364</v>
      </c>
      <c r="O6" s="243"/>
      <c r="P6" s="243"/>
      <c r="R6" s="243"/>
      <c r="S6" s="243"/>
      <c r="T6" s="243"/>
      <c r="U6" s="243"/>
    </row>
    <row r="7" spans="1:21" ht="13.5" thickBot="1">
      <c r="C7" s="454" t="s">
        <v>46</v>
      </c>
      <c r="D7" s="637" t="s">
        <v>234</v>
      </c>
      <c r="E7" s="637"/>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235</v>
      </c>
      <c r="E9" s="646" t="s">
        <v>299</v>
      </c>
      <c r="F9" s="465"/>
      <c r="G9" s="465"/>
      <c r="H9" s="465"/>
      <c r="I9" s="466"/>
      <c r="J9" s="467"/>
      <c r="O9" s="468"/>
      <c r="P9" s="278"/>
      <c r="R9" s="243"/>
      <c r="S9" s="243"/>
      <c r="T9" s="243"/>
      <c r="U9" s="243"/>
    </row>
    <row r="10" spans="1:21">
      <c r="C10" s="469" t="s">
        <v>49</v>
      </c>
      <c r="D10" s="470">
        <v>68247468.75</v>
      </c>
      <c r="E10" s="299" t="s">
        <v>50</v>
      </c>
      <c r="F10" s="468"/>
      <c r="G10" s="408"/>
      <c r="H10" s="408"/>
      <c r="I10" s="471">
        <f>+'OKT.WS.F.BPU.ATRR.Projected'!R101</f>
        <v>2024</v>
      </c>
      <c r="J10" s="467"/>
      <c r="K10" s="294" t="s">
        <v>51</v>
      </c>
      <c r="O10" s="278"/>
      <c r="P10" s="278"/>
      <c r="R10" s="243"/>
      <c r="S10" s="243"/>
      <c r="T10" s="243"/>
      <c r="U10" s="243"/>
    </row>
    <row r="11" spans="1:21">
      <c r="C11" s="472" t="s">
        <v>52</v>
      </c>
      <c r="D11" s="473">
        <v>2016</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12</v>
      </c>
      <c r="E12" s="472" t="s">
        <v>55</v>
      </c>
      <c r="F12" s="408"/>
      <c r="G12" s="220"/>
      <c r="H12" s="220"/>
      <c r="I12" s="476">
        <f>'OKT.WS.F.BPU.ATRR.Projected'!$F$79</f>
        <v>0.11393163315254198</v>
      </c>
      <c r="J12" s="413"/>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2201531.25</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3:21">
      <c r="C17" s="495">
        <f>IF(D11= "","-",D11)</f>
        <v>2016</v>
      </c>
      <c r="D17" s="612">
        <v>3408237</v>
      </c>
      <c r="E17" s="620">
        <v>41312.427614067317</v>
      </c>
      <c r="F17" s="612">
        <v>3366924.5723859328</v>
      </c>
      <c r="G17" s="620">
        <v>283462.47353390156</v>
      </c>
      <c r="H17" s="617">
        <v>283462.47353390156</v>
      </c>
      <c r="I17" s="500">
        <f t="shared" ref="I17:I73" si="0">H17-G17</f>
        <v>0</v>
      </c>
      <c r="J17" s="500"/>
      <c r="K17" s="501">
        <f t="shared" ref="K17:K22" si="1">G17</f>
        <v>283462.47353390156</v>
      </c>
      <c r="L17" s="502">
        <f t="shared" ref="L17:L22" si="2">IF(K17&lt;&gt;0,+G17-K17,0)</f>
        <v>0</v>
      </c>
      <c r="M17" s="501">
        <f t="shared" ref="M17:M22" si="3">H17</f>
        <v>283462.47353390156</v>
      </c>
      <c r="N17" s="503">
        <f t="shared" ref="N17:N73" si="4">IF(M17&lt;&gt;0,+H17-M17,0)</f>
        <v>0</v>
      </c>
      <c r="O17" s="504">
        <f t="shared" ref="O17:O73" si="5">+N17-L17</f>
        <v>0</v>
      </c>
      <c r="P17" s="278"/>
      <c r="R17" s="243"/>
      <c r="S17" s="243"/>
      <c r="T17" s="243"/>
      <c r="U17" s="243"/>
    </row>
    <row r="18" spans="3:21">
      <c r="C18" s="495">
        <f>IF(D11="","-",+C17+1)</f>
        <v>2017</v>
      </c>
      <c r="D18" s="614">
        <v>69080283.572385937</v>
      </c>
      <c r="E18" s="613">
        <v>1359067.4231693465</v>
      </c>
      <c r="F18" s="614">
        <v>67721216.149216592</v>
      </c>
      <c r="G18" s="613">
        <v>8879043.9719662741</v>
      </c>
      <c r="H18" s="617">
        <v>8879043.9719662741</v>
      </c>
      <c r="I18" s="500">
        <f t="shared" si="0"/>
        <v>0</v>
      </c>
      <c r="J18" s="500"/>
      <c r="K18" s="592">
        <f t="shared" si="1"/>
        <v>8879043.9719662741</v>
      </c>
      <c r="L18" s="596">
        <f t="shared" si="2"/>
        <v>0</v>
      </c>
      <c r="M18" s="592">
        <f t="shared" si="3"/>
        <v>8879043.9719662741</v>
      </c>
      <c r="N18" s="504">
        <f>IF(M18&lt;&gt;0,+H18-M18,0)</f>
        <v>0</v>
      </c>
      <c r="O18" s="504">
        <f>+N18-L18</f>
        <v>0</v>
      </c>
      <c r="P18" s="278"/>
      <c r="R18" s="243"/>
      <c r="S18" s="243"/>
      <c r="T18" s="243"/>
      <c r="U18" s="243"/>
    </row>
    <row r="19" spans="3:21">
      <c r="C19" s="495">
        <f>IF(D11="","-",+C18+1)</f>
        <v>2018</v>
      </c>
      <c r="D19" s="614">
        <v>67721216.149216592</v>
      </c>
      <c r="E19" s="613">
        <v>1695178.2446698518</v>
      </c>
      <c r="F19" s="614">
        <v>66026037.904546738</v>
      </c>
      <c r="G19" s="613">
        <v>8491120.286725603</v>
      </c>
      <c r="H19" s="617">
        <v>8491120.286725603</v>
      </c>
      <c r="I19" s="500">
        <f t="shared" si="0"/>
        <v>0</v>
      </c>
      <c r="J19" s="500"/>
      <c r="K19" s="592">
        <f t="shared" si="1"/>
        <v>8491120.286725603</v>
      </c>
      <c r="L19" s="596">
        <f t="shared" si="2"/>
        <v>0</v>
      </c>
      <c r="M19" s="592">
        <f t="shared" si="3"/>
        <v>8491120.286725603</v>
      </c>
      <c r="N19" s="504">
        <f>IF(M19&lt;&gt;0,+H19-M19,0)</f>
        <v>0</v>
      </c>
      <c r="O19" s="504">
        <f>+N19-L19</f>
        <v>0</v>
      </c>
      <c r="P19" s="278"/>
      <c r="R19" s="243"/>
      <c r="S19" s="243"/>
      <c r="T19" s="243"/>
      <c r="U19" s="243"/>
    </row>
    <row r="20" spans="3:21">
      <c r="C20" s="495">
        <f>IF(D11="","-",+C19+1)</f>
        <v>2019</v>
      </c>
      <c r="D20" s="614">
        <v>66026037.904546738</v>
      </c>
      <c r="E20" s="613">
        <v>2050066.834779863</v>
      </c>
      <c r="F20" s="614">
        <v>63975971.069766872</v>
      </c>
      <c r="G20" s="613">
        <v>8806008.9305919912</v>
      </c>
      <c r="H20" s="617">
        <v>8806008.9305919912</v>
      </c>
      <c r="I20" s="500">
        <f t="shared" si="0"/>
        <v>0</v>
      </c>
      <c r="J20" s="500"/>
      <c r="K20" s="592">
        <f t="shared" si="1"/>
        <v>8806008.9305919912</v>
      </c>
      <c r="L20" s="596">
        <f t="shared" si="2"/>
        <v>0</v>
      </c>
      <c r="M20" s="592">
        <f t="shared" si="3"/>
        <v>8806008.9305919912</v>
      </c>
      <c r="N20" s="504">
        <f>IF(M20&lt;&gt;0,+H20-M20,0)</f>
        <v>0</v>
      </c>
      <c r="O20" s="504">
        <f>+N20-L20</f>
        <v>0</v>
      </c>
      <c r="P20" s="278"/>
      <c r="R20" s="243"/>
      <c r="S20" s="243"/>
      <c r="T20" s="243"/>
      <c r="U20" s="243"/>
    </row>
    <row r="21" spans="3:21">
      <c r="C21" s="495">
        <f>IF(D11="","-",+C20+1)</f>
        <v>2020</v>
      </c>
      <c r="D21" s="614">
        <v>63456732.659876883</v>
      </c>
      <c r="E21" s="613">
        <v>1998407.404883953</v>
      </c>
      <c r="F21" s="614">
        <v>61458325.254992932</v>
      </c>
      <c r="G21" s="613">
        <v>8552229.9584809169</v>
      </c>
      <c r="H21" s="617">
        <v>8552229.9584809169</v>
      </c>
      <c r="I21" s="500">
        <f t="shared" si="0"/>
        <v>0</v>
      </c>
      <c r="J21" s="500"/>
      <c r="K21" s="592">
        <f t="shared" si="1"/>
        <v>8552229.9584809169</v>
      </c>
      <c r="L21" s="596">
        <f t="shared" si="2"/>
        <v>0</v>
      </c>
      <c r="M21" s="592">
        <f t="shared" si="3"/>
        <v>8552229.9584809169</v>
      </c>
      <c r="N21" s="504">
        <f t="shared" si="4"/>
        <v>0</v>
      </c>
      <c r="O21" s="504">
        <f t="shared" si="5"/>
        <v>0</v>
      </c>
      <c r="P21" s="278"/>
      <c r="R21" s="243"/>
      <c r="S21" s="243"/>
      <c r="T21" s="243"/>
      <c r="U21" s="243"/>
    </row>
    <row r="22" spans="3:21">
      <c r="C22" s="495">
        <f>IF(D11="","-",+C21+1)</f>
        <v>2021</v>
      </c>
      <c r="D22" s="614">
        <v>61103436.664882921</v>
      </c>
      <c r="E22" s="613">
        <v>2201531.2580645164</v>
      </c>
      <c r="F22" s="614">
        <v>58901905.406818405</v>
      </c>
      <c r="G22" s="613">
        <v>8692924.255398104</v>
      </c>
      <c r="H22" s="617">
        <v>8692924.255398104</v>
      </c>
      <c r="I22" s="500">
        <f t="shared" si="0"/>
        <v>0</v>
      </c>
      <c r="J22" s="500"/>
      <c r="K22" s="592">
        <f t="shared" si="1"/>
        <v>8692924.255398104</v>
      </c>
      <c r="L22" s="596">
        <f t="shared" si="2"/>
        <v>0</v>
      </c>
      <c r="M22" s="592">
        <f t="shared" si="3"/>
        <v>8692924.255398104</v>
      </c>
      <c r="N22" s="504">
        <f t="shared" si="4"/>
        <v>0</v>
      </c>
      <c r="O22" s="504">
        <f t="shared" si="5"/>
        <v>0</v>
      </c>
      <c r="P22" s="278"/>
      <c r="R22" s="243"/>
      <c r="S22" s="243"/>
      <c r="T22" s="243"/>
      <c r="U22" s="243"/>
    </row>
    <row r="23" spans="3:21">
      <c r="C23" s="580">
        <f>IF(D11="","-",+C22+1)</f>
        <v>2022</v>
      </c>
      <c r="D23" s="614">
        <v>58901905.406818405</v>
      </c>
      <c r="E23" s="613">
        <v>2068105.1212121211</v>
      </c>
      <c r="F23" s="614">
        <v>56833800.28560628</v>
      </c>
      <c r="G23" s="613">
        <v>8708948.961934343</v>
      </c>
      <c r="H23" s="617">
        <v>8708948.961934343</v>
      </c>
      <c r="I23" s="500">
        <f t="shared" si="0"/>
        <v>0</v>
      </c>
      <c r="J23" s="500"/>
      <c r="K23" s="592">
        <f t="shared" ref="K23" si="6">G23</f>
        <v>8708948.961934343</v>
      </c>
      <c r="L23" s="596">
        <f t="shared" ref="L23" si="7">IF(K23&lt;&gt;0,+G23-K23,0)</f>
        <v>0</v>
      </c>
      <c r="M23" s="592">
        <f t="shared" ref="M23" si="8">H23</f>
        <v>8708948.961934343</v>
      </c>
      <c r="N23" s="504">
        <f t="shared" si="4"/>
        <v>0</v>
      </c>
      <c r="O23" s="504">
        <f t="shared" si="5"/>
        <v>0</v>
      </c>
      <c r="P23" s="278"/>
      <c r="R23" s="243"/>
      <c r="S23" s="243"/>
      <c r="T23" s="243"/>
      <c r="U23" s="243"/>
    </row>
    <row r="24" spans="3:21">
      <c r="C24" s="495">
        <f>IF(D11="","-",+C23+1)</f>
        <v>2023</v>
      </c>
      <c r="D24" s="614">
        <v>56833800.03560628</v>
      </c>
      <c r="E24" s="613">
        <v>2201531.25</v>
      </c>
      <c r="F24" s="614">
        <v>54632268.78560628</v>
      </c>
      <c r="G24" s="613">
        <v>8501195.2492568977</v>
      </c>
      <c r="H24" s="617">
        <v>8501195.2492568977</v>
      </c>
      <c r="I24" s="500">
        <f t="shared" si="0"/>
        <v>0</v>
      </c>
      <c r="J24" s="500"/>
      <c r="K24" s="512"/>
      <c r="L24" s="504">
        <f t="shared" ref="L24:L73" si="9">IF(K24&lt;&gt;0,+G24-K24,0)</f>
        <v>0</v>
      </c>
      <c r="M24" s="512"/>
      <c r="N24" s="504">
        <f t="shared" si="4"/>
        <v>0</v>
      </c>
      <c r="O24" s="504">
        <f t="shared" si="5"/>
        <v>0</v>
      </c>
      <c r="P24" s="278"/>
      <c r="R24" s="243"/>
      <c r="S24" s="243"/>
      <c r="T24" s="243"/>
      <c r="U24" s="243"/>
    </row>
    <row r="25" spans="3:21">
      <c r="C25" s="495">
        <f>IF(D11="","-",+C24+1)</f>
        <v>2024</v>
      </c>
      <c r="D25" s="510">
        <f>IF(F24+SUM(E$17:E24)=D$10,F24,D$10-SUM(E$17:E24))</f>
        <v>54632268.78560628</v>
      </c>
      <c r="E25" s="509">
        <f>IF(+I14&lt;F24,I14,D25)</f>
        <v>2201531.25</v>
      </c>
      <c r="F25" s="510">
        <f t="shared" ref="F25:F73" si="10">+D25-E25</f>
        <v>52430737.53560628</v>
      </c>
      <c r="G25" s="511">
        <f t="shared" ref="G25:G73" si="11">(D25+F25)/2*I$12+E25</f>
        <v>8300462.8301983364</v>
      </c>
      <c r="H25" s="477">
        <f t="shared" ref="H25:H73" si="12">+(D25+F25)/2*I$13+E25</f>
        <v>8300462.8301983364</v>
      </c>
      <c r="I25" s="500">
        <f t="shared" si="0"/>
        <v>0</v>
      </c>
      <c r="J25" s="500"/>
      <c r="K25" s="512"/>
      <c r="L25" s="504">
        <f t="shared" si="9"/>
        <v>0</v>
      </c>
      <c r="M25" s="512"/>
      <c r="N25" s="504">
        <f t="shared" si="4"/>
        <v>0</v>
      </c>
      <c r="O25" s="504">
        <f t="shared" si="5"/>
        <v>0</v>
      </c>
      <c r="P25" s="278"/>
      <c r="R25" s="243"/>
      <c r="S25" s="243"/>
      <c r="T25" s="243"/>
      <c r="U25" s="243"/>
    </row>
    <row r="26" spans="3:21">
      <c r="C26" s="495">
        <f>IF(D11="","-",+C25+1)</f>
        <v>2025</v>
      </c>
      <c r="D26" s="510">
        <f>IF(F25+SUM(E$17:E25)=D$10,F25,D$10-SUM(E$17:E25))</f>
        <v>52430737.53560628</v>
      </c>
      <c r="E26" s="509">
        <f>IF(+I14&lt;F25,I14,D26)</f>
        <v>2201531.25</v>
      </c>
      <c r="F26" s="510">
        <f t="shared" si="10"/>
        <v>50229206.28560628</v>
      </c>
      <c r="G26" s="511">
        <f t="shared" si="11"/>
        <v>8049638.7794494797</v>
      </c>
      <c r="H26" s="477">
        <f t="shared" si="12"/>
        <v>8049638.7794494797</v>
      </c>
      <c r="I26" s="500">
        <f t="shared" si="0"/>
        <v>0</v>
      </c>
      <c r="J26" s="500"/>
      <c r="K26" s="512"/>
      <c r="L26" s="504">
        <f t="shared" si="9"/>
        <v>0</v>
      </c>
      <c r="M26" s="512"/>
      <c r="N26" s="504">
        <f t="shared" si="4"/>
        <v>0</v>
      </c>
      <c r="O26" s="504">
        <f t="shared" si="5"/>
        <v>0</v>
      </c>
      <c r="P26" s="278"/>
      <c r="R26" s="243"/>
      <c r="S26" s="243"/>
      <c r="T26" s="243"/>
      <c r="U26" s="243"/>
    </row>
    <row r="27" spans="3:21">
      <c r="C27" s="495">
        <f>IF(D11="","-",+C26+1)</f>
        <v>2026</v>
      </c>
      <c r="D27" s="508">
        <f>IF(F26+SUM(E$17:E26)=D$10,F26,D$10-SUM(E$17:E26))</f>
        <v>50229206.28560628</v>
      </c>
      <c r="E27" s="509">
        <f>IF(+I14&lt;F26,I14,D27)</f>
        <v>2201531.25</v>
      </c>
      <c r="F27" s="510">
        <f t="shared" si="10"/>
        <v>48027675.03560628</v>
      </c>
      <c r="G27" s="511">
        <f t="shared" si="11"/>
        <v>7798814.728700622</v>
      </c>
      <c r="H27" s="477">
        <f t="shared" si="12"/>
        <v>7798814.728700622</v>
      </c>
      <c r="I27" s="500">
        <f t="shared" si="0"/>
        <v>0</v>
      </c>
      <c r="J27" s="500"/>
      <c r="K27" s="512"/>
      <c r="L27" s="504">
        <f t="shared" si="9"/>
        <v>0</v>
      </c>
      <c r="M27" s="512"/>
      <c r="N27" s="504">
        <f t="shared" si="4"/>
        <v>0</v>
      </c>
      <c r="O27" s="504">
        <f t="shared" si="5"/>
        <v>0</v>
      </c>
      <c r="P27" s="278"/>
      <c r="R27" s="243"/>
      <c r="S27" s="243"/>
      <c r="T27" s="243"/>
      <c r="U27" s="243"/>
    </row>
    <row r="28" spans="3:21">
      <c r="C28" s="495">
        <f>IF(D11="","-",+C27+1)</f>
        <v>2027</v>
      </c>
      <c r="D28" s="510">
        <f>IF(F27+SUM(E$17:E27)=D$10,F27,D$10-SUM(E$17:E27))</f>
        <v>48027675.03560628</v>
      </c>
      <c r="E28" s="509">
        <f>IF(+I14&lt;F27,I14,D28)</f>
        <v>2201531.25</v>
      </c>
      <c r="F28" s="510">
        <f t="shared" si="10"/>
        <v>45826143.78560628</v>
      </c>
      <c r="G28" s="511">
        <f t="shared" si="11"/>
        <v>7547990.6779517652</v>
      </c>
      <c r="H28" s="477">
        <f t="shared" si="12"/>
        <v>7547990.6779517652</v>
      </c>
      <c r="I28" s="500">
        <f t="shared" si="0"/>
        <v>0</v>
      </c>
      <c r="J28" s="500"/>
      <c r="K28" s="512"/>
      <c r="L28" s="504">
        <f t="shared" si="9"/>
        <v>0</v>
      </c>
      <c r="M28" s="512"/>
      <c r="N28" s="504">
        <f t="shared" si="4"/>
        <v>0</v>
      </c>
      <c r="O28" s="504">
        <f t="shared" si="5"/>
        <v>0</v>
      </c>
      <c r="P28" s="278"/>
      <c r="R28" s="243"/>
      <c r="S28" s="243"/>
      <c r="T28" s="243"/>
      <c r="U28" s="243"/>
    </row>
    <row r="29" spans="3:21">
      <c r="C29" s="495">
        <f>IF(D11="","-",+C28+1)</f>
        <v>2028</v>
      </c>
      <c r="D29" s="510">
        <f>IF(F28+SUM(E$17:E28)=D$10,F28,D$10-SUM(E$17:E28))</f>
        <v>45826143.78560628</v>
      </c>
      <c r="E29" s="509">
        <f>IF(+I14&lt;F28,I14,D29)</f>
        <v>2201531.25</v>
      </c>
      <c r="F29" s="510">
        <f t="shared" si="10"/>
        <v>43624612.53560628</v>
      </c>
      <c r="G29" s="511">
        <f t="shared" si="11"/>
        <v>7297166.6272029076</v>
      </c>
      <c r="H29" s="477">
        <f t="shared" si="12"/>
        <v>7297166.6272029076</v>
      </c>
      <c r="I29" s="500">
        <f t="shared" si="0"/>
        <v>0</v>
      </c>
      <c r="J29" s="500"/>
      <c r="K29" s="512"/>
      <c r="L29" s="504">
        <f t="shared" si="9"/>
        <v>0</v>
      </c>
      <c r="M29" s="512"/>
      <c r="N29" s="504">
        <f t="shared" si="4"/>
        <v>0</v>
      </c>
      <c r="O29" s="504">
        <f t="shared" si="5"/>
        <v>0</v>
      </c>
      <c r="P29" s="278"/>
      <c r="R29" s="243"/>
      <c r="S29" s="243"/>
      <c r="T29" s="243"/>
      <c r="U29" s="243"/>
    </row>
    <row r="30" spans="3:21">
      <c r="C30" s="495">
        <f>IF(D11="","-",+C29+1)</f>
        <v>2029</v>
      </c>
      <c r="D30" s="510">
        <f>IF(F29+SUM(E$17:E29)=D$10,F29,D$10-SUM(E$17:E29))</f>
        <v>43624612.53560628</v>
      </c>
      <c r="E30" s="509">
        <f>IF(+I14&lt;F29,I14,D30)</f>
        <v>2201531.25</v>
      </c>
      <c r="F30" s="510">
        <f t="shared" si="10"/>
        <v>41423081.28560628</v>
      </c>
      <c r="G30" s="511">
        <f t="shared" si="11"/>
        <v>7046342.5764540508</v>
      </c>
      <c r="H30" s="477">
        <f t="shared" si="12"/>
        <v>7046342.5764540508</v>
      </c>
      <c r="I30" s="500">
        <f t="shared" si="0"/>
        <v>0</v>
      </c>
      <c r="J30" s="500"/>
      <c r="K30" s="512"/>
      <c r="L30" s="504">
        <f t="shared" si="9"/>
        <v>0</v>
      </c>
      <c r="M30" s="512"/>
      <c r="N30" s="504">
        <f t="shared" si="4"/>
        <v>0</v>
      </c>
      <c r="O30" s="504">
        <f t="shared" si="5"/>
        <v>0</v>
      </c>
      <c r="P30" s="278"/>
      <c r="R30" s="243"/>
      <c r="S30" s="243"/>
      <c r="T30" s="243"/>
      <c r="U30" s="243"/>
    </row>
    <row r="31" spans="3:21">
      <c r="C31" s="495">
        <f>IF(D11="","-",+C30+1)</f>
        <v>2030</v>
      </c>
      <c r="D31" s="510">
        <f>IF(F30+SUM(E$17:E30)=D$10,F30,D$10-SUM(E$17:E30))</f>
        <v>41423081.28560628</v>
      </c>
      <c r="E31" s="509">
        <f>IF(+I14&lt;F30,I14,D31)</f>
        <v>2201531.25</v>
      </c>
      <c r="F31" s="510">
        <f t="shared" si="10"/>
        <v>39221550.03560628</v>
      </c>
      <c r="G31" s="511">
        <f t="shared" si="11"/>
        <v>6795518.5257051932</v>
      </c>
      <c r="H31" s="477">
        <f t="shared" si="12"/>
        <v>6795518.5257051932</v>
      </c>
      <c r="I31" s="500">
        <f t="shared" si="0"/>
        <v>0</v>
      </c>
      <c r="J31" s="500"/>
      <c r="K31" s="512"/>
      <c r="L31" s="504">
        <f t="shared" si="9"/>
        <v>0</v>
      </c>
      <c r="M31" s="512"/>
      <c r="N31" s="504">
        <f t="shared" si="4"/>
        <v>0</v>
      </c>
      <c r="O31" s="504">
        <f t="shared" si="5"/>
        <v>0</v>
      </c>
      <c r="P31" s="278"/>
      <c r="Q31" s="220"/>
      <c r="R31" s="278"/>
      <c r="S31" s="278"/>
      <c r="T31" s="278"/>
      <c r="U31" s="243"/>
    </row>
    <row r="32" spans="3:21">
      <c r="C32" s="495">
        <f>IF(D12="","-",+C31+1)</f>
        <v>2031</v>
      </c>
      <c r="D32" s="510">
        <f>IF(F31+SUM(E$17:E31)=D$10,F31,D$10-SUM(E$17:E31))</f>
        <v>39221550.03560628</v>
      </c>
      <c r="E32" s="509">
        <f>IF(+I14&lt;F31,I14,D32)</f>
        <v>2201531.25</v>
      </c>
      <c r="F32" s="510">
        <f>+D32-E32</f>
        <v>37020018.78560628</v>
      </c>
      <c r="G32" s="511">
        <f t="shared" si="11"/>
        <v>6544694.4749563364</v>
      </c>
      <c r="H32" s="477">
        <f t="shared" si="12"/>
        <v>6544694.4749563364</v>
      </c>
      <c r="I32" s="500">
        <f>H32-G32</f>
        <v>0</v>
      </c>
      <c r="J32" s="500"/>
      <c r="K32" s="512"/>
      <c r="L32" s="504">
        <f>IF(K32&lt;&gt;0,+G32-K32,0)</f>
        <v>0</v>
      </c>
      <c r="M32" s="512"/>
      <c r="N32" s="504">
        <f>IF(M32&lt;&gt;0,+H32-M32,0)</f>
        <v>0</v>
      </c>
      <c r="O32" s="504">
        <f>+N32-L32</f>
        <v>0</v>
      </c>
      <c r="P32" s="278"/>
      <c r="Q32" s="220"/>
      <c r="R32" s="278"/>
      <c r="S32" s="278"/>
      <c r="T32" s="278"/>
      <c r="U32" s="243"/>
    </row>
    <row r="33" spans="3:21">
      <c r="C33" s="495">
        <f>IF(D13="","-",+C32+1)</f>
        <v>2032</v>
      </c>
      <c r="D33" s="510">
        <f>IF(F32+SUM(E$17:E32)=D$10,F32,D$10-SUM(E$17:E32))</f>
        <v>37020018.78560628</v>
      </c>
      <c r="E33" s="509">
        <f>IF(+I14&lt;F32,I14,D33)</f>
        <v>2201531.25</v>
      </c>
      <c r="F33" s="510">
        <f>+D33-E33</f>
        <v>34818487.53560628</v>
      </c>
      <c r="G33" s="511">
        <f t="shared" si="11"/>
        <v>6293870.4242074788</v>
      </c>
      <c r="H33" s="477">
        <f t="shared" si="12"/>
        <v>6293870.4242074788</v>
      </c>
      <c r="I33" s="500">
        <f>H33-G33</f>
        <v>0</v>
      </c>
      <c r="J33" s="500"/>
      <c r="K33" s="512"/>
      <c r="L33" s="504">
        <f>IF(K33&lt;&gt;0,+G33-K33,0)</f>
        <v>0</v>
      </c>
      <c r="M33" s="512"/>
      <c r="N33" s="504">
        <f>IF(M33&lt;&gt;0,+H33-M33,0)</f>
        <v>0</v>
      </c>
      <c r="O33" s="504">
        <f>+N33-L33</f>
        <v>0</v>
      </c>
      <c r="P33" s="278"/>
      <c r="R33" s="243"/>
      <c r="S33" s="243"/>
      <c r="T33" s="243"/>
      <c r="U33" s="243"/>
    </row>
    <row r="34" spans="3:21">
      <c r="C34" s="513">
        <f>IF(D11="","-",+C33+1)</f>
        <v>2033</v>
      </c>
      <c r="D34" s="516">
        <f>IF(F33+SUM(E$17:E33)=D$10,F33,D$10-SUM(E$17:E33))</f>
        <v>34818487.53560628</v>
      </c>
      <c r="E34" s="515">
        <f>IF(+I14&lt;F33,I14,D34)</f>
        <v>2201531.25</v>
      </c>
      <c r="F34" s="516">
        <f t="shared" si="10"/>
        <v>32616956.28560628</v>
      </c>
      <c r="G34" s="511">
        <f t="shared" si="11"/>
        <v>6043046.373458622</v>
      </c>
      <c r="H34" s="477">
        <f t="shared" si="12"/>
        <v>6043046.373458622</v>
      </c>
      <c r="I34" s="519">
        <f t="shared" si="0"/>
        <v>0</v>
      </c>
      <c r="J34" s="519"/>
      <c r="K34" s="520"/>
      <c r="L34" s="521">
        <f t="shared" si="9"/>
        <v>0</v>
      </c>
      <c r="M34" s="520"/>
      <c r="N34" s="521">
        <f t="shared" si="4"/>
        <v>0</v>
      </c>
      <c r="O34" s="521">
        <f t="shared" si="5"/>
        <v>0</v>
      </c>
      <c r="P34" s="522"/>
      <c r="Q34" s="216"/>
      <c r="R34" s="522"/>
      <c r="S34" s="522"/>
      <c r="T34" s="522"/>
      <c r="U34" s="243"/>
    </row>
    <row r="35" spans="3:21">
      <c r="C35" s="495">
        <f>IF(D11="","-",+C34+1)</f>
        <v>2034</v>
      </c>
      <c r="D35" s="510">
        <f>IF(F34+SUM(E$17:E34)=D$10,F34,D$10-SUM(E$17:E34))</f>
        <v>32616956.28560628</v>
      </c>
      <c r="E35" s="509">
        <f>IF(+I14&lt;F34,I14,D35)</f>
        <v>2201531.25</v>
      </c>
      <c r="F35" s="510">
        <f t="shared" si="10"/>
        <v>30415425.03560628</v>
      </c>
      <c r="G35" s="511">
        <f t="shared" si="11"/>
        <v>5792222.3227097644</v>
      </c>
      <c r="H35" s="477">
        <f t="shared" si="12"/>
        <v>5792222.3227097644</v>
      </c>
      <c r="I35" s="500">
        <f t="shared" si="0"/>
        <v>0</v>
      </c>
      <c r="J35" s="500"/>
      <c r="K35" s="512"/>
      <c r="L35" s="504">
        <f t="shared" si="9"/>
        <v>0</v>
      </c>
      <c r="M35" s="512"/>
      <c r="N35" s="504">
        <f t="shared" si="4"/>
        <v>0</v>
      </c>
      <c r="O35" s="504">
        <f t="shared" si="5"/>
        <v>0</v>
      </c>
      <c r="P35" s="278"/>
      <c r="R35" s="243"/>
      <c r="S35" s="243"/>
      <c r="T35" s="243"/>
      <c r="U35" s="243"/>
    </row>
    <row r="36" spans="3:21">
      <c r="C36" s="495">
        <f>IF(D11="","-",+C35+1)</f>
        <v>2035</v>
      </c>
      <c r="D36" s="510">
        <f>IF(F35+SUM(E$17:E35)=D$10,F35,D$10-SUM(E$17:E35))</f>
        <v>30415425.03560628</v>
      </c>
      <c r="E36" s="509">
        <f>IF(+I14&lt;F35,I14,D36)</f>
        <v>2201531.25</v>
      </c>
      <c r="F36" s="510">
        <f t="shared" si="10"/>
        <v>28213893.78560628</v>
      </c>
      <c r="G36" s="511">
        <f t="shared" si="11"/>
        <v>5541398.2719609067</v>
      </c>
      <c r="H36" s="477">
        <f t="shared" si="12"/>
        <v>5541398.2719609067</v>
      </c>
      <c r="I36" s="500">
        <f t="shared" si="0"/>
        <v>0</v>
      </c>
      <c r="J36" s="500"/>
      <c r="K36" s="512"/>
      <c r="L36" s="504">
        <f t="shared" si="9"/>
        <v>0</v>
      </c>
      <c r="M36" s="512"/>
      <c r="N36" s="504">
        <f t="shared" si="4"/>
        <v>0</v>
      </c>
      <c r="O36" s="504">
        <f t="shared" si="5"/>
        <v>0</v>
      </c>
      <c r="P36" s="278"/>
      <c r="R36" s="243"/>
      <c r="S36" s="243"/>
      <c r="T36" s="243"/>
      <c r="U36" s="243"/>
    </row>
    <row r="37" spans="3:21">
      <c r="C37" s="495">
        <f>IF(D11="","-",+C36+1)</f>
        <v>2036</v>
      </c>
      <c r="D37" s="510">
        <f>IF(F36+SUM(E$17:E36)=D$10,F36,D$10-SUM(E$17:E36))</f>
        <v>28213893.78560628</v>
      </c>
      <c r="E37" s="509">
        <f>IF(+I14&lt;F36,I14,D37)</f>
        <v>2201531.25</v>
      </c>
      <c r="F37" s="510">
        <f t="shared" si="10"/>
        <v>26012362.53560628</v>
      </c>
      <c r="G37" s="511">
        <f t="shared" si="11"/>
        <v>5290574.2212120499</v>
      </c>
      <c r="H37" s="477">
        <f t="shared" si="12"/>
        <v>5290574.2212120499</v>
      </c>
      <c r="I37" s="500">
        <f t="shared" si="0"/>
        <v>0</v>
      </c>
      <c r="J37" s="500"/>
      <c r="K37" s="512"/>
      <c r="L37" s="504">
        <f t="shared" si="9"/>
        <v>0</v>
      </c>
      <c r="M37" s="512"/>
      <c r="N37" s="504">
        <f t="shared" si="4"/>
        <v>0</v>
      </c>
      <c r="O37" s="504">
        <f t="shared" si="5"/>
        <v>0</v>
      </c>
      <c r="P37" s="278"/>
      <c r="R37" s="243"/>
      <c r="S37" s="243"/>
      <c r="T37" s="243"/>
      <c r="U37" s="243"/>
    </row>
    <row r="38" spans="3:21">
      <c r="C38" s="495">
        <f>IF(D11="","-",+C37+1)</f>
        <v>2037</v>
      </c>
      <c r="D38" s="510">
        <f>IF(F37+SUM(E$17:E37)=D$10,F37,D$10-SUM(E$17:E37))</f>
        <v>26012362.53560628</v>
      </c>
      <c r="E38" s="509">
        <f>IF(+I14&lt;F37,I14,D38)</f>
        <v>2201531.25</v>
      </c>
      <c r="F38" s="510">
        <f t="shared" si="10"/>
        <v>23810831.28560628</v>
      </c>
      <c r="G38" s="511">
        <f t="shared" si="11"/>
        <v>5039750.1704631932</v>
      </c>
      <c r="H38" s="477">
        <f t="shared" si="12"/>
        <v>5039750.1704631932</v>
      </c>
      <c r="I38" s="500">
        <f t="shared" si="0"/>
        <v>0</v>
      </c>
      <c r="J38" s="500"/>
      <c r="K38" s="512"/>
      <c r="L38" s="504">
        <f t="shared" si="9"/>
        <v>0</v>
      </c>
      <c r="M38" s="512"/>
      <c r="N38" s="504">
        <f t="shared" si="4"/>
        <v>0</v>
      </c>
      <c r="O38" s="504">
        <f t="shared" si="5"/>
        <v>0</v>
      </c>
      <c r="P38" s="278"/>
      <c r="R38" s="243"/>
      <c r="S38" s="243"/>
      <c r="T38" s="243"/>
      <c r="U38" s="243"/>
    </row>
    <row r="39" spans="3:21">
      <c r="C39" s="495">
        <f>IF(D11="","-",+C38+1)</f>
        <v>2038</v>
      </c>
      <c r="D39" s="510">
        <f>IF(F38+SUM(E$17:E38)=D$10,F38,D$10-SUM(E$17:E38))</f>
        <v>23810831.28560628</v>
      </c>
      <c r="E39" s="509">
        <f>IF(+I14&lt;F38,I14,D39)</f>
        <v>2201531.25</v>
      </c>
      <c r="F39" s="510">
        <f t="shared" si="10"/>
        <v>21609300.03560628</v>
      </c>
      <c r="G39" s="511">
        <f t="shared" si="11"/>
        <v>4788926.1197143355</v>
      </c>
      <c r="H39" s="477">
        <f t="shared" si="12"/>
        <v>4788926.1197143355</v>
      </c>
      <c r="I39" s="500">
        <f t="shared" si="0"/>
        <v>0</v>
      </c>
      <c r="J39" s="500"/>
      <c r="K39" s="512"/>
      <c r="L39" s="504">
        <f t="shared" si="9"/>
        <v>0</v>
      </c>
      <c r="M39" s="512"/>
      <c r="N39" s="504">
        <f t="shared" si="4"/>
        <v>0</v>
      </c>
      <c r="O39" s="504">
        <f t="shared" si="5"/>
        <v>0</v>
      </c>
      <c r="P39" s="278"/>
      <c r="R39" s="243"/>
      <c r="S39" s="243"/>
      <c r="T39" s="243"/>
      <c r="U39" s="243"/>
    </row>
    <row r="40" spans="3:21">
      <c r="C40" s="495">
        <f>IF(D11="","-",+C39+1)</f>
        <v>2039</v>
      </c>
      <c r="D40" s="510">
        <f>IF(F39+SUM(E$17:E39)=D$10,F39,D$10-SUM(E$17:E39))</f>
        <v>21609300.03560628</v>
      </c>
      <c r="E40" s="509">
        <f>IF(+I14&lt;F39,I14,D40)</f>
        <v>2201531.25</v>
      </c>
      <c r="F40" s="510">
        <f t="shared" si="10"/>
        <v>19407768.78560628</v>
      </c>
      <c r="G40" s="511">
        <f t="shared" si="11"/>
        <v>4538102.0689654779</v>
      </c>
      <c r="H40" s="477">
        <f t="shared" si="12"/>
        <v>4538102.0689654779</v>
      </c>
      <c r="I40" s="500">
        <f t="shared" si="0"/>
        <v>0</v>
      </c>
      <c r="J40" s="500"/>
      <c r="K40" s="512"/>
      <c r="L40" s="504">
        <f t="shared" si="9"/>
        <v>0</v>
      </c>
      <c r="M40" s="512"/>
      <c r="N40" s="504">
        <f t="shared" si="4"/>
        <v>0</v>
      </c>
      <c r="O40" s="504">
        <f t="shared" si="5"/>
        <v>0</v>
      </c>
      <c r="P40" s="278"/>
      <c r="R40" s="243"/>
      <c r="S40" s="243"/>
      <c r="T40" s="243"/>
      <c r="U40" s="243"/>
    </row>
    <row r="41" spans="3:21">
      <c r="C41" s="495">
        <f>IF(D12="","-",+C40+1)</f>
        <v>2040</v>
      </c>
      <c r="D41" s="510">
        <f>IF(F40+SUM(E$17:E40)=D$10,F40,D$10-SUM(E$17:E40))</f>
        <v>19407768.78560628</v>
      </c>
      <c r="E41" s="509">
        <f>IF(+I14&lt;F40,I14,D41)</f>
        <v>2201531.25</v>
      </c>
      <c r="F41" s="510">
        <f t="shared" si="10"/>
        <v>17206237.53560628</v>
      </c>
      <c r="G41" s="511">
        <f t="shared" si="11"/>
        <v>4287278.0182166211</v>
      </c>
      <c r="H41" s="477">
        <f t="shared" si="12"/>
        <v>4287278.0182166211</v>
      </c>
      <c r="I41" s="500">
        <f t="shared" si="0"/>
        <v>0</v>
      </c>
      <c r="J41" s="500"/>
      <c r="K41" s="512"/>
      <c r="L41" s="504">
        <f t="shared" si="9"/>
        <v>0</v>
      </c>
      <c r="M41" s="512"/>
      <c r="N41" s="504">
        <f t="shared" si="4"/>
        <v>0</v>
      </c>
      <c r="O41" s="504">
        <f t="shared" si="5"/>
        <v>0</v>
      </c>
      <c r="P41" s="278"/>
      <c r="R41" s="243"/>
      <c r="S41" s="243"/>
      <c r="T41" s="243"/>
      <c r="U41" s="243"/>
    </row>
    <row r="42" spans="3:21">
      <c r="C42" s="495">
        <f>IF(D13="","-",+C41+1)</f>
        <v>2041</v>
      </c>
      <c r="D42" s="510">
        <f>IF(F41+SUM(E$17:E41)=D$10,F41,D$10-SUM(E$17:E41))</f>
        <v>17206237.53560628</v>
      </c>
      <c r="E42" s="509">
        <f>IF(+I14&lt;F41,I14,D42)</f>
        <v>2201531.25</v>
      </c>
      <c r="F42" s="510">
        <f t="shared" si="10"/>
        <v>15004706.28560628</v>
      </c>
      <c r="G42" s="511">
        <f t="shared" si="11"/>
        <v>4036453.9674677644</v>
      </c>
      <c r="H42" s="477">
        <f t="shared" si="12"/>
        <v>4036453.9674677644</v>
      </c>
      <c r="I42" s="500">
        <f t="shared" si="0"/>
        <v>0</v>
      </c>
      <c r="J42" s="500"/>
      <c r="K42" s="512"/>
      <c r="L42" s="504">
        <f t="shared" si="9"/>
        <v>0</v>
      </c>
      <c r="M42" s="512"/>
      <c r="N42" s="504">
        <f t="shared" si="4"/>
        <v>0</v>
      </c>
      <c r="O42" s="504">
        <f t="shared" si="5"/>
        <v>0</v>
      </c>
      <c r="P42" s="278"/>
      <c r="R42" s="243"/>
      <c r="S42" s="243"/>
      <c r="T42" s="243"/>
      <c r="U42" s="243"/>
    </row>
    <row r="43" spans="3:21">
      <c r="C43" s="495">
        <f>IF(D14="","-",+C42+1)</f>
        <v>2042</v>
      </c>
      <c r="D43" s="510">
        <f>IF(F42+SUM(E$17:E42)=D$10,F42,D$10-SUM(E$17:E42))</f>
        <v>15004706.28560628</v>
      </c>
      <c r="E43" s="509">
        <f>IF(+I14&lt;F42,I14,D43)</f>
        <v>2201531.25</v>
      </c>
      <c r="F43" s="510">
        <f t="shared" si="10"/>
        <v>12803175.03560628</v>
      </c>
      <c r="G43" s="511">
        <f t="shared" si="11"/>
        <v>3785629.9167189067</v>
      </c>
      <c r="H43" s="477">
        <f t="shared" si="12"/>
        <v>3785629.9167189067</v>
      </c>
      <c r="I43" s="500">
        <f t="shared" si="0"/>
        <v>0</v>
      </c>
      <c r="J43" s="500"/>
      <c r="K43" s="512"/>
      <c r="L43" s="504">
        <f t="shared" si="9"/>
        <v>0</v>
      </c>
      <c r="M43" s="512"/>
      <c r="N43" s="504">
        <f t="shared" si="4"/>
        <v>0</v>
      </c>
      <c r="O43" s="504">
        <f t="shared" si="5"/>
        <v>0</v>
      </c>
      <c r="P43" s="278"/>
      <c r="R43" s="243"/>
      <c r="S43" s="243"/>
      <c r="T43" s="243"/>
      <c r="U43" s="243"/>
    </row>
    <row r="44" spans="3:21">
      <c r="C44" s="495">
        <f>IF(D11="","-",+C43+1)</f>
        <v>2043</v>
      </c>
      <c r="D44" s="510">
        <f>IF(F43+SUM(E$17:E43)=D$10,F43,D$10-SUM(E$17:E43))</f>
        <v>12803175.03560628</v>
      </c>
      <c r="E44" s="509">
        <f>IF(+I14&lt;F43,I14,D44)</f>
        <v>2201531.25</v>
      </c>
      <c r="F44" s="510">
        <f t="shared" si="10"/>
        <v>10601643.78560628</v>
      </c>
      <c r="G44" s="511">
        <f t="shared" si="11"/>
        <v>3534805.86597005</v>
      </c>
      <c r="H44" s="477">
        <f t="shared" si="12"/>
        <v>3534805.86597005</v>
      </c>
      <c r="I44" s="500">
        <f t="shared" si="0"/>
        <v>0</v>
      </c>
      <c r="J44" s="500"/>
      <c r="K44" s="512"/>
      <c r="L44" s="504">
        <f t="shared" si="9"/>
        <v>0</v>
      </c>
      <c r="M44" s="512"/>
      <c r="N44" s="504">
        <f t="shared" si="4"/>
        <v>0</v>
      </c>
      <c r="O44" s="504">
        <f t="shared" si="5"/>
        <v>0</v>
      </c>
      <c r="P44" s="278"/>
      <c r="R44" s="243"/>
      <c r="S44" s="243"/>
      <c r="T44" s="243"/>
      <c r="U44" s="243"/>
    </row>
    <row r="45" spans="3:21">
      <c r="C45" s="495">
        <f>IF(D11="","-",+C44+1)</f>
        <v>2044</v>
      </c>
      <c r="D45" s="510">
        <f>IF(F44+SUM(E$17:E44)=D$10,F44,D$10-SUM(E$17:E44))</f>
        <v>10601643.78560628</v>
      </c>
      <c r="E45" s="509">
        <f>IF(+I14&lt;F44,I14,D45)</f>
        <v>2201531.25</v>
      </c>
      <c r="F45" s="510">
        <f t="shared" si="10"/>
        <v>8400112.53560628</v>
      </c>
      <c r="G45" s="511">
        <f t="shared" si="11"/>
        <v>3283981.8152211923</v>
      </c>
      <c r="H45" s="477">
        <f t="shared" si="12"/>
        <v>3283981.8152211923</v>
      </c>
      <c r="I45" s="500">
        <f t="shared" si="0"/>
        <v>0</v>
      </c>
      <c r="J45" s="500"/>
      <c r="K45" s="512"/>
      <c r="L45" s="504">
        <f t="shared" si="9"/>
        <v>0</v>
      </c>
      <c r="M45" s="512"/>
      <c r="N45" s="504">
        <f t="shared" si="4"/>
        <v>0</v>
      </c>
      <c r="O45" s="504">
        <f t="shared" si="5"/>
        <v>0</v>
      </c>
      <c r="P45" s="278"/>
      <c r="R45" s="243"/>
      <c r="S45" s="243"/>
      <c r="T45" s="243"/>
      <c r="U45" s="243"/>
    </row>
    <row r="46" spans="3:21">
      <c r="C46" s="495">
        <f>IF(D11="","-",+C45+1)</f>
        <v>2045</v>
      </c>
      <c r="D46" s="510">
        <f>IF(F45+SUM(E$17:E45)=D$10,F45,D$10-SUM(E$17:E45))</f>
        <v>8400112.53560628</v>
      </c>
      <c r="E46" s="509">
        <f>IF(+I14&lt;F45,I14,D46)</f>
        <v>2201531.25</v>
      </c>
      <c r="F46" s="510">
        <f t="shared" si="10"/>
        <v>6198581.28560628</v>
      </c>
      <c r="G46" s="511">
        <f t="shared" si="11"/>
        <v>3033157.7644723356</v>
      </c>
      <c r="H46" s="477">
        <f t="shared" si="12"/>
        <v>3033157.7644723356</v>
      </c>
      <c r="I46" s="500">
        <f t="shared" si="0"/>
        <v>0</v>
      </c>
      <c r="J46" s="500"/>
      <c r="K46" s="512"/>
      <c r="L46" s="504">
        <f t="shared" si="9"/>
        <v>0</v>
      </c>
      <c r="M46" s="512"/>
      <c r="N46" s="504">
        <f t="shared" si="4"/>
        <v>0</v>
      </c>
      <c r="O46" s="504">
        <f t="shared" si="5"/>
        <v>0</v>
      </c>
      <c r="P46" s="278"/>
      <c r="R46" s="243"/>
      <c r="S46" s="243"/>
      <c r="T46" s="243"/>
      <c r="U46" s="243"/>
    </row>
    <row r="47" spans="3:21">
      <c r="C47" s="495">
        <f>IF(D11="","-",+C46+1)</f>
        <v>2046</v>
      </c>
      <c r="D47" s="510">
        <f>IF(F46+SUM(E$17:E46)=D$10,F46,D$10-SUM(E$17:E46))</f>
        <v>6198581.28560628</v>
      </c>
      <c r="E47" s="509">
        <f>IF(+I14&lt;F46,I14,D47)</f>
        <v>2201531.25</v>
      </c>
      <c r="F47" s="510">
        <f t="shared" si="10"/>
        <v>3997050.03560628</v>
      </c>
      <c r="G47" s="511">
        <f t="shared" si="11"/>
        <v>2782333.7137234779</v>
      </c>
      <c r="H47" s="477">
        <f t="shared" si="12"/>
        <v>2782333.7137234779</v>
      </c>
      <c r="I47" s="500">
        <f t="shared" si="0"/>
        <v>0</v>
      </c>
      <c r="J47" s="500"/>
      <c r="K47" s="512"/>
      <c r="L47" s="504">
        <f t="shared" si="9"/>
        <v>0</v>
      </c>
      <c r="M47" s="512"/>
      <c r="N47" s="504">
        <f t="shared" si="4"/>
        <v>0</v>
      </c>
      <c r="O47" s="504">
        <f t="shared" si="5"/>
        <v>0</v>
      </c>
      <c r="P47" s="278"/>
      <c r="R47" s="243"/>
      <c r="S47" s="243"/>
      <c r="T47" s="243"/>
      <c r="U47" s="243"/>
    </row>
    <row r="48" spans="3:21">
      <c r="C48" s="495">
        <f>IF(D11="","-",+C47+1)</f>
        <v>2047</v>
      </c>
      <c r="D48" s="510">
        <f>IF(F47+SUM(E$17:E47)=D$10,F47,D$10-SUM(E$17:E47))</f>
        <v>3997050.03560628</v>
      </c>
      <c r="E48" s="509">
        <f>IF(+I14&lt;F47,I14,D48)</f>
        <v>2201531.25</v>
      </c>
      <c r="F48" s="510">
        <f t="shared" si="10"/>
        <v>1795518.78560628</v>
      </c>
      <c r="G48" s="511">
        <f t="shared" si="11"/>
        <v>2531509.6629746212</v>
      </c>
      <c r="H48" s="477">
        <f t="shared" si="12"/>
        <v>2531509.6629746212</v>
      </c>
      <c r="I48" s="500">
        <f t="shared" si="0"/>
        <v>0</v>
      </c>
      <c r="J48" s="500"/>
      <c r="K48" s="512"/>
      <c r="L48" s="504">
        <f t="shared" si="9"/>
        <v>0</v>
      </c>
      <c r="M48" s="512"/>
      <c r="N48" s="504">
        <f t="shared" si="4"/>
        <v>0</v>
      </c>
      <c r="O48" s="504">
        <f t="shared" si="5"/>
        <v>0</v>
      </c>
      <c r="P48" s="278"/>
      <c r="R48" s="243"/>
      <c r="S48" s="243"/>
      <c r="T48" s="243"/>
      <c r="U48" s="243"/>
    </row>
    <row r="49" spans="3:21">
      <c r="C49" s="495">
        <f>IF(D11="","-",+C48+1)</f>
        <v>2048</v>
      </c>
      <c r="D49" s="510">
        <f>IF(F48+SUM(E$17:E48)=D$10,F48,D$10-SUM(E$17:E48))</f>
        <v>1795518.78560628</v>
      </c>
      <c r="E49" s="509">
        <f>IF(+I14&lt;F48,I14,D49)</f>
        <v>1795518.78560628</v>
      </c>
      <c r="F49" s="510">
        <f t="shared" si="10"/>
        <v>0</v>
      </c>
      <c r="G49" s="511">
        <f t="shared" si="11"/>
        <v>1897801.9794063761</v>
      </c>
      <c r="H49" s="477">
        <f t="shared" si="12"/>
        <v>1897801.9794063761</v>
      </c>
      <c r="I49" s="500">
        <f t="shared" si="0"/>
        <v>0</v>
      </c>
      <c r="J49" s="500"/>
      <c r="K49" s="512"/>
      <c r="L49" s="504">
        <f t="shared" si="9"/>
        <v>0</v>
      </c>
      <c r="M49" s="512"/>
      <c r="N49" s="504">
        <f t="shared" si="4"/>
        <v>0</v>
      </c>
      <c r="O49" s="504">
        <f t="shared" si="5"/>
        <v>0</v>
      </c>
      <c r="P49" s="278"/>
      <c r="R49" s="243"/>
      <c r="S49" s="243"/>
      <c r="T49" s="243"/>
      <c r="U49" s="243"/>
    </row>
    <row r="50" spans="3:21">
      <c r="C50" s="495">
        <f>IF(D11="","-",+C49+1)</f>
        <v>2049</v>
      </c>
      <c r="D50" s="510">
        <f>IF(F49+SUM(E$17:E49)=D$10,F49,D$10-SUM(E$17:E49))</f>
        <v>0</v>
      </c>
      <c r="E50" s="509">
        <f>IF(+I14&lt;F49,I14,D50)</f>
        <v>0</v>
      </c>
      <c r="F50" s="510">
        <f t="shared" si="10"/>
        <v>0</v>
      </c>
      <c r="G50" s="511">
        <f t="shared" si="11"/>
        <v>0</v>
      </c>
      <c r="H50" s="477">
        <f t="shared" si="12"/>
        <v>0</v>
      </c>
      <c r="I50" s="500">
        <f t="shared" si="0"/>
        <v>0</v>
      </c>
      <c r="J50" s="500"/>
      <c r="K50" s="512"/>
      <c r="L50" s="504">
        <f t="shared" si="9"/>
        <v>0</v>
      </c>
      <c r="M50" s="512"/>
      <c r="N50" s="504">
        <f t="shared" si="4"/>
        <v>0</v>
      </c>
      <c r="O50" s="504">
        <f t="shared" si="5"/>
        <v>0</v>
      </c>
      <c r="P50" s="278"/>
      <c r="R50" s="243"/>
      <c r="S50" s="243"/>
      <c r="T50" s="243"/>
      <c r="U50" s="243"/>
    </row>
    <row r="51" spans="3:21">
      <c r="C51" s="495">
        <f>IF(D11="","-",+C50+1)</f>
        <v>2050</v>
      </c>
      <c r="D51" s="510">
        <f>IF(F50+SUM(E$17:E50)=D$10,F50,D$10-SUM(E$17:E50))</f>
        <v>0</v>
      </c>
      <c r="E51" s="509">
        <f>IF(+I14&lt;F50,I14,D51)</f>
        <v>0</v>
      </c>
      <c r="F51" s="510">
        <f t="shared" si="10"/>
        <v>0</v>
      </c>
      <c r="G51" s="511">
        <f t="shared" si="11"/>
        <v>0</v>
      </c>
      <c r="H51" s="477">
        <f t="shared" si="12"/>
        <v>0</v>
      </c>
      <c r="I51" s="500">
        <f t="shared" si="0"/>
        <v>0</v>
      </c>
      <c r="J51" s="500"/>
      <c r="K51" s="512"/>
      <c r="L51" s="504">
        <f t="shared" si="9"/>
        <v>0</v>
      </c>
      <c r="M51" s="512"/>
      <c r="N51" s="504">
        <f t="shared" si="4"/>
        <v>0</v>
      </c>
      <c r="O51" s="504">
        <f t="shared" si="5"/>
        <v>0</v>
      </c>
      <c r="P51" s="278"/>
      <c r="R51" s="243"/>
      <c r="S51" s="243"/>
      <c r="T51" s="243"/>
      <c r="U51" s="243"/>
    </row>
    <row r="52" spans="3:21">
      <c r="C52" s="495">
        <f>IF(D11="","-",+C51+1)</f>
        <v>2051</v>
      </c>
      <c r="D52" s="510">
        <f>IF(F51+SUM(E$17:E51)=D$10,F51,D$10-SUM(E$17:E51))</f>
        <v>0</v>
      </c>
      <c r="E52" s="509">
        <f>IF(+I14&lt;F51,I14,D52)</f>
        <v>0</v>
      </c>
      <c r="F52" s="510">
        <f t="shared" si="10"/>
        <v>0</v>
      </c>
      <c r="G52" s="511">
        <f t="shared" si="11"/>
        <v>0</v>
      </c>
      <c r="H52" s="477">
        <f t="shared" si="12"/>
        <v>0</v>
      </c>
      <c r="I52" s="500">
        <f t="shared" si="0"/>
        <v>0</v>
      </c>
      <c r="J52" s="500"/>
      <c r="K52" s="512"/>
      <c r="L52" s="504">
        <f t="shared" si="9"/>
        <v>0</v>
      </c>
      <c r="M52" s="512"/>
      <c r="N52" s="504">
        <f t="shared" si="4"/>
        <v>0</v>
      </c>
      <c r="O52" s="504">
        <f t="shared" si="5"/>
        <v>0</v>
      </c>
      <c r="P52" s="278"/>
      <c r="R52" s="243"/>
      <c r="S52" s="243"/>
      <c r="T52" s="243"/>
      <c r="U52" s="243"/>
    </row>
    <row r="53" spans="3:21">
      <c r="C53" s="495">
        <f>IF(D11="","-",+C52+1)</f>
        <v>2052</v>
      </c>
      <c r="D53" s="510">
        <f>IF(F52+SUM(E$17:E52)=D$10,F52,D$10-SUM(E$17:E52))</f>
        <v>0</v>
      </c>
      <c r="E53" s="509">
        <f>IF(+I14&lt;F52,I14,D53)</f>
        <v>0</v>
      </c>
      <c r="F53" s="510">
        <f t="shared" si="10"/>
        <v>0</v>
      </c>
      <c r="G53" s="511">
        <f t="shared" si="11"/>
        <v>0</v>
      </c>
      <c r="H53" s="477">
        <f t="shared" si="12"/>
        <v>0</v>
      </c>
      <c r="I53" s="500">
        <f t="shared" si="0"/>
        <v>0</v>
      </c>
      <c r="J53" s="500"/>
      <c r="K53" s="512"/>
      <c r="L53" s="504">
        <f t="shared" si="9"/>
        <v>0</v>
      </c>
      <c r="M53" s="512"/>
      <c r="N53" s="504">
        <f t="shared" si="4"/>
        <v>0</v>
      </c>
      <c r="O53" s="504">
        <f t="shared" si="5"/>
        <v>0</v>
      </c>
      <c r="P53" s="278"/>
      <c r="R53" s="243"/>
      <c r="S53" s="243"/>
      <c r="T53" s="243"/>
      <c r="U53" s="243"/>
    </row>
    <row r="54" spans="3:21">
      <c r="C54" s="495">
        <f>IF(D11="","-",+C53+1)</f>
        <v>2053</v>
      </c>
      <c r="D54" s="510">
        <f>IF(F53+SUM(E$17:E53)=D$10,F53,D$10-SUM(E$17:E53))</f>
        <v>0</v>
      </c>
      <c r="E54" s="509">
        <f>IF(+I14&lt;F53,I14,D54)</f>
        <v>0</v>
      </c>
      <c r="F54" s="510">
        <f t="shared" si="10"/>
        <v>0</v>
      </c>
      <c r="G54" s="511">
        <f t="shared" si="11"/>
        <v>0</v>
      </c>
      <c r="H54" s="477">
        <f t="shared" si="12"/>
        <v>0</v>
      </c>
      <c r="I54" s="500">
        <f t="shared" si="0"/>
        <v>0</v>
      </c>
      <c r="J54" s="500"/>
      <c r="K54" s="512"/>
      <c r="L54" s="504">
        <f t="shared" si="9"/>
        <v>0</v>
      </c>
      <c r="M54" s="512"/>
      <c r="N54" s="504">
        <f t="shared" si="4"/>
        <v>0</v>
      </c>
      <c r="O54" s="504">
        <f t="shared" si="5"/>
        <v>0</v>
      </c>
      <c r="P54" s="278"/>
      <c r="R54" s="243"/>
      <c r="S54" s="243"/>
      <c r="T54" s="243"/>
      <c r="U54" s="243"/>
    </row>
    <row r="55" spans="3:21">
      <c r="C55" s="495">
        <f>IF(D11="","-",+C54+1)</f>
        <v>2054</v>
      </c>
      <c r="D55" s="510">
        <f>IF(F54+SUM(E$17:E54)=D$10,F54,D$10-SUM(E$17:E54))</f>
        <v>0</v>
      </c>
      <c r="E55" s="509">
        <f>IF(+I14&lt;F54,I14,D55)</f>
        <v>0</v>
      </c>
      <c r="F55" s="510">
        <f t="shared" si="10"/>
        <v>0</v>
      </c>
      <c r="G55" s="511">
        <f t="shared" si="11"/>
        <v>0</v>
      </c>
      <c r="H55" s="477">
        <f t="shared" si="12"/>
        <v>0</v>
      </c>
      <c r="I55" s="500">
        <f t="shared" si="0"/>
        <v>0</v>
      </c>
      <c r="J55" s="500"/>
      <c r="K55" s="512"/>
      <c r="L55" s="504">
        <f t="shared" si="9"/>
        <v>0</v>
      </c>
      <c r="M55" s="512"/>
      <c r="N55" s="504">
        <f t="shared" si="4"/>
        <v>0</v>
      </c>
      <c r="O55" s="504">
        <f t="shared" si="5"/>
        <v>0</v>
      </c>
      <c r="P55" s="278"/>
      <c r="R55" s="243"/>
      <c r="S55" s="243"/>
      <c r="T55" s="243"/>
      <c r="U55" s="243"/>
    </row>
    <row r="56" spans="3:21">
      <c r="C56" s="495">
        <f>IF(D11="","-",+C55+1)</f>
        <v>2055</v>
      </c>
      <c r="D56" s="510">
        <f>IF(F55+SUM(E$17:E55)=D$10,F55,D$10-SUM(E$17:E55))</f>
        <v>0</v>
      </c>
      <c r="E56" s="509">
        <f>IF(+I14&lt;F55,I14,D56)</f>
        <v>0</v>
      </c>
      <c r="F56" s="510">
        <f t="shared" si="10"/>
        <v>0</v>
      </c>
      <c r="G56" s="511">
        <f t="shared" si="11"/>
        <v>0</v>
      </c>
      <c r="H56" s="477">
        <f t="shared" si="12"/>
        <v>0</v>
      </c>
      <c r="I56" s="500">
        <f t="shared" si="0"/>
        <v>0</v>
      </c>
      <c r="J56" s="500"/>
      <c r="K56" s="512"/>
      <c r="L56" s="504">
        <f t="shared" si="9"/>
        <v>0</v>
      </c>
      <c r="M56" s="512"/>
      <c r="N56" s="504">
        <f t="shared" si="4"/>
        <v>0</v>
      </c>
      <c r="O56" s="504">
        <f t="shared" si="5"/>
        <v>0</v>
      </c>
      <c r="P56" s="278"/>
      <c r="R56" s="243"/>
      <c r="S56" s="243"/>
      <c r="T56" s="243"/>
      <c r="U56" s="243"/>
    </row>
    <row r="57" spans="3:21">
      <c r="C57" s="495">
        <f>IF(D11="","-",+C56+1)</f>
        <v>2056</v>
      </c>
      <c r="D57" s="510">
        <f>IF(F56+SUM(E$17:E56)=D$10,F56,D$10-SUM(E$17:E56))</f>
        <v>0</v>
      </c>
      <c r="E57" s="509">
        <f>IF(+I14&lt;F56,I14,D57)</f>
        <v>0</v>
      </c>
      <c r="F57" s="510">
        <f t="shared" si="10"/>
        <v>0</v>
      </c>
      <c r="G57" s="511">
        <f t="shared" si="11"/>
        <v>0</v>
      </c>
      <c r="H57" s="477">
        <f t="shared" si="12"/>
        <v>0</v>
      </c>
      <c r="I57" s="500">
        <f t="shared" si="0"/>
        <v>0</v>
      </c>
      <c r="J57" s="500"/>
      <c r="K57" s="512"/>
      <c r="L57" s="504">
        <f t="shared" si="9"/>
        <v>0</v>
      </c>
      <c r="M57" s="512"/>
      <c r="N57" s="504">
        <f t="shared" si="4"/>
        <v>0</v>
      </c>
      <c r="O57" s="504">
        <f t="shared" si="5"/>
        <v>0</v>
      </c>
      <c r="P57" s="278"/>
      <c r="R57" s="243"/>
      <c r="S57" s="243"/>
      <c r="T57" s="243"/>
      <c r="U57" s="243"/>
    </row>
    <row r="58" spans="3:21">
      <c r="C58" s="495">
        <f>IF(D11="","-",+C57+1)</f>
        <v>2057</v>
      </c>
      <c r="D58" s="510">
        <f>IF(F57+SUM(E$17:E57)=D$10,F57,D$10-SUM(E$17:E57))</f>
        <v>0</v>
      </c>
      <c r="E58" s="509">
        <f>IF(+I14&lt;F57,I14,D58)</f>
        <v>0</v>
      </c>
      <c r="F58" s="510">
        <f t="shared" si="10"/>
        <v>0</v>
      </c>
      <c r="G58" s="511">
        <f t="shared" si="11"/>
        <v>0</v>
      </c>
      <c r="H58" s="477">
        <f t="shared" si="12"/>
        <v>0</v>
      </c>
      <c r="I58" s="500">
        <f t="shared" si="0"/>
        <v>0</v>
      </c>
      <c r="J58" s="500"/>
      <c r="K58" s="512"/>
      <c r="L58" s="504">
        <f t="shared" si="9"/>
        <v>0</v>
      </c>
      <c r="M58" s="512"/>
      <c r="N58" s="504">
        <f t="shared" si="4"/>
        <v>0</v>
      </c>
      <c r="O58" s="504">
        <f t="shared" si="5"/>
        <v>0</v>
      </c>
      <c r="P58" s="278"/>
      <c r="R58" s="243"/>
      <c r="S58" s="243"/>
      <c r="T58" s="243"/>
      <c r="U58" s="243"/>
    </row>
    <row r="59" spans="3:21">
      <c r="C59" s="495">
        <f>IF(D11="","-",+C58+1)</f>
        <v>2058</v>
      </c>
      <c r="D59" s="510">
        <f>IF(F58+SUM(E$17:E58)=D$10,F58,D$10-SUM(E$17:E58))</f>
        <v>0</v>
      </c>
      <c r="E59" s="509">
        <f>IF(+I14&lt;F58,I14,D59)</f>
        <v>0</v>
      </c>
      <c r="F59" s="510">
        <f t="shared" si="10"/>
        <v>0</v>
      </c>
      <c r="G59" s="511">
        <f t="shared" si="11"/>
        <v>0</v>
      </c>
      <c r="H59" s="477">
        <f t="shared" si="12"/>
        <v>0</v>
      </c>
      <c r="I59" s="500">
        <f t="shared" si="0"/>
        <v>0</v>
      </c>
      <c r="J59" s="500"/>
      <c r="K59" s="512"/>
      <c r="L59" s="504">
        <f t="shared" si="9"/>
        <v>0</v>
      </c>
      <c r="M59" s="512"/>
      <c r="N59" s="504">
        <f t="shared" si="4"/>
        <v>0</v>
      </c>
      <c r="O59" s="504">
        <f t="shared" si="5"/>
        <v>0</v>
      </c>
      <c r="P59" s="278"/>
      <c r="R59" s="243"/>
      <c r="S59" s="243"/>
      <c r="T59" s="243"/>
      <c r="U59" s="243"/>
    </row>
    <row r="60" spans="3:21">
      <c r="C60" s="495">
        <f>IF(D11="","-",+C59+1)</f>
        <v>2059</v>
      </c>
      <c r="D60" s="510">
        <f>IF(F59+SUM(E$17:E59)=D$10,F59,D$10-SUM(E$17:E59))</f>
        <v>0</v>
      </c>
      <c r="E60" s="509">
        <f>IF(+I14&lt;F59,I14,D60)</f>
        <v>0</v>
      </c>
      <c r="F60" s="510">
        <f t="shared" si="10"/>
        <v>0</v>
      </c>
      <c r="G60" s="511">
        <f t="shared" si="11"/>
        <v>0</v>
      </c>
      <c r="H60" s="477">
        <f t="shared" si="12"/>
        <v>0</v>
      </c>
      <c r="I60" s="500">
        <f t="shared" si="0"/>
        <v>0</v>
      </c>
      <c r="J60" s="500"/>
      <c r="K60" s="512"/>
      <c r="L60" s="504">
        <f t="shared" si="9"/>
        <v>0</v>
      </c>
      <c r="M60" s="512"/>
      <c r="N60" s="504">
        <f t="shared" si="4"/>
        <v>0</v>
      </c>
      <c r="O60" s="504">
        <f t="shared" si="5"/>
        <v>0</v>
      </c>
      <c r="P60" s="278"/>
      <c r="R60" s="243"/>
      <c r="S60" s="243"/>
      <c r="T60" s="243"/>
      <c r="U60" s="243"/>
    </row>
    <row r="61" spans="3:21">
      <c r="C61" s="495">
        <f>IF(D11="","-",+C60+1)</f>
        <v>2060</v>
      </c>
      <c r="D61" s="510">
        <f>IF(F60+SUM(E$17:E60)=D$10,F60,D$10-SUM(E$17:E60))</f>
        <v>0</v>
      </c>
      <c r="E61" s="509">
        <f>IF(+I14&lt;F60,I14,D61)</f>
        <v>0</v>
      </c>
      <c r="F61" s="510">
        <f t="shared" si="10"/>
        <v>0</v>
      </c>
      <c r="G61" s="511">
        <f t="shared" si="11"/>
        <v>0</v>
      </c>
      <c r="H61" s="477">
        <f t="shared" si="12"/>
        <v>0</v>
      </c>
      <c r="I61" s="500">
        <f t="shared" si="0"/>
        <v>0</v>
      </c>
      <c r="J61" s="500"/>
      <c r="K61" s="512"/>
      <c r="L61" s="504">
        <f t="shared" si="9"/>
        <v>0</v>
      </c>
      <c r="M61" s="512"/>
      <c r="N61" s="504">
        <f t="shared" si="4"/>
        <v>0</v>
      </c>
      <c r="O61" s="504">
        <f t="shared" si="5"/>
        <v>0</v>
      </c>
      <c r="P61" s="278"/>
      <c r="R61" s="243"/>
      <c r="S61" s="243"/>
      <c r="T61" s="243"/>
      <c r="U61" s="243"/>
    </row>
    <row r="62" spans="3:21">
      <c r="C62" s="495">
        <f>IF(D11="","-",+C61+1)</f>
        <v>2061</v>
      </c>
      <c r="D62" s="510">
        <f>IF(F61+SUM(E$17:E61)=D$10,F61,D$10-SUM(E$17:E61))</f>
        <v>0</v>
      </c>
      <c r="E62" s="509">
        <f>IF(+I14&lt;F61,I14,D62)</f>
        <v>0</v>
      </c>
      <c r="F62" s="510">
        <f t="shared" si="10"/>
        <v>0</v>
      </c>
      <c r="G62" s="511">
        <f t="shared" si="11"/>
        <v>0</v>
      </c>
      <c r="H62" s="477">
        <f t="shared" si="12"/>
        <v>0</v>
      </c>
      <c r="I62" s="500">
        <f t="shared" si="0"/>
        <v>0</v>
      </c>
      <c r="J62" s="500"/>
      <c r="K62" s="512"/>
      <c r="L62" s="504">
        <f t="shared" si="9"/>
        <v>0</v>
      </c>
      <c r="M62" s="512"/>
      <c r="N62" s="504">
        <f t="shared" si="4"/>
        <v>0</v>
      </c>
      <c r="O62" s="504">
        <f t="shared" si="5"/>
        <v>0</v>
      </c>
      <c r="P62" s="278"/>
      <c r="R62" s="243"/>
      <c r="S62" s="243"/>
      <c r="T62" s="243"/>
      <c r="U62" s="243"/>
    </row>
    <row r="63" spans="3:21">
      <c r="C63" s="495">
        <f>IF(D11="","-",+C62+1)</f>
        <v>2062</v>
      </c>
      <c r="D63" s="510">
        <f>IF(F62+SUM(E$17:E62)=D$10,F62,D$10-SUM(E$17:E62))</f>
        <v>0</v>
      </c>
      <c r="E63" s="509">
        <f>IF(+I14&lt;F62,I14,D63)</f>
        <v>0</v>
      </c>
      <c r="F63" s="510">
        <f t="shared" si="10"/>
        <v>0</v>
      </c>
      <c r="G63" s="511">
        <f t="shared" si="11"/>
        <v>0</v>
      </c>
      <c r="H63" s="477">
        <f t="shared" si="12"/>
        <v>0</v>
      </c>
      <c r="I63" s="500">
        <f t="shared" si="0"/>
        <v>0</v>
      </c>
      <c r="J63" s="500"/>
      <c r="K63" s="512"/>
      <c r="L63" s="504">
        <f t="shared" si="9"/>
        <v>0</v>
      </c>
      <c r="M63" s="512"/>
      <c r="N63" s="504">
        <f t="shared" si="4"/>
        <v>0</v>
      </c>
      <c r="O63" s="504">
        <f t="shared" si="5"/>
        <v>0</v>
      </c>
      <c r="P63" s="278"/>
      <c r="R63" s="243"/>
      <c r="S63" s="243"/>
      <c r="T63" s="243"/>
      <c r="U63" s="243"/>
    </row>
    <row r="64" spans="3:21">
      <c r="C64" s="495">
        <f>IF(D11="","-",+C63+1)</f>
        <v>2063</v>
      </c>
      <c r="D64" s="510">
        <f>IF(F63+SUM(E$17:E63)=D$10,F63,D$10-SUM(E$17:E63))</f>
        <v>0</v>
      </c>
      <c r="E64" s="509">
        <f>IF(+I14&lt;F63,I14,D64)</f>
        <v>0</v>
      </c>
      <c r="F64" s="510">
        <f t="shared" si="10"/>
        <v>0</v>
      </c>
      <c r="G64" s="511">
        <f t="shared" si="11"/>
        <v>0</v>
      </c>
      <c r="H64" s="477">
        <f t="shared" si="12"/>
        <v>0</v>
      </c>
      <c r="I64" s="500">
        <f t="shared" si="0"/>
        <v>0</v>
      </c>
      <c r="J64" s="500"/>
      <c r="K64" s="512"/>
      <c r="L64" s="504">
        <f t="shared" si="9"/>
        <v>0</v>
      </c>
      <c r="M64" s="512"/>
      <c r="N64" s="504">
        <f t="shared" si="4"/>
        <v>0</v>
      </c>
      <c r="O64" s="504">
        <f t="shared" si="5"/>
        <v>0</v>
      </c>
      <c r="P64" s="278"/>
      <c r="R64" s="243"/>
      <c r="S64" s="243"/>
      <c r="T64" s="243"/>
      <c r="U64" s="243"/>
    </row>
    <row r="65" spans="2:21">
      <c r="C65" s="495">
        <f>IF(D11="","-",+C64+1)</f>
        <v>2064</v>
      </c>
      <c r="D65" s="510">
        <f>IF(F64+SUM(E$17:E64)=D$10,F64,D$10-SUM(E$17:E64))</f>
        <v>0</v>
      </c>
      <c r="E65" s="509">
        <f>IF(+I14&lt;F64,I14,D65)</f>
        <v>0</v>
      </c>
      <c r="F65" s="510">
        <f t="shared" si="10"/>
        <v>0</v>
      </c>
      <c r="G65" s="511">
        <f t="shared" si="11"/>
        <v>0</v>
      </c>
      <c r="H65" s="477">
        <f t="shared" si="12"/>
        <v>0</v>
      </c>
      <c r="I65" s="500">
        <f t="shared" si="0"/>
        <v>0</v>
      </c>
      <c r="J65" s="500"/>
      <c r="K65" s="512"/>
      <c r="L65" s="504">
        <f t="shared" si="9"/>
        <v>0</v>
      </c>
      <c r="M65" s="512"/>
      <c r="N65" s="504">
        <f t="shared" si="4"/>
        <v>0</v>
      </c>
      <c r="O65" s="504">
        <f t="shared" si="5"/>
        <v>0</v>
      </c>
      <c r="P65" s="278"/>
      <c r="R65" s="243"/>
      <c r="S65" s="243"/>
      <c r="T65" s="243"/>
      <c r="U65" s="243"/>
    </row>
    <row r="66" spans="2:21">
      <c r="C66" s="495">
        <f>IF(D11="","-",+C65+1)</f>
        <v>2065</v>
      </c>
      <c r="D66" s="510">
        <f>IF(F65+SUM(E$17:E65)=D$10,F65,D$10-SUM(E$17:E65))</f>
        <v>0</v>
      </c>
      <c r="E66" s="509">
        <f>IF(+I14&lt;F65,I14,D66)</f>
        <v>0</v>
      </c>
      <c r="F66" s="510">
        <f t="shared" si="10"/>
        <v>0</v>
      </c>
      <c r="G66" s="511">
        <f t="shared" si="11"/>
        <v>0</v>
      </c>
      <c r="H66" s="477">
        <f t="shared" si="12"/>
        <v>0</v>
      </c>
      <c r="I66" s="500">
        <f t="shared" si="0"/>
        <v>0</v>
      </c>
      <c r="J66" s="500"/>
      <c r="K66" s="512"/>
      <c r="L66" s="504">
        <f t="shared" si="9"/>
        <v>0</v>
      </c>
      <c r="M66" s="512"/>
      <c r="N66" s="504">
        <f t="shared" si="4"/>
        <v>0</v>
      </c>
      <c r="O66" s="504">
        <f t="shared" si="5"/>
        <v>0</v>
      </c>
      <c r="P66" s="278"/>
      <c r="R66" s="243"/>
      <c r="S66" s="243"/>
      <c r="T66" s="243"/>
      <c r="U66" s="243"/>
    </row>
    <row r="67" spans="2:21">
      <c r="C67" s="495">
        <f>IF(D11="","-",+C66+1)</f>
        <v>2066</v>
      </c>
      <c r="D67" s="510">
        <f>IF(F66+SUM(E$17:E66)=D$10,F66,D$10-SUM(E$17:E66))</f>
        <v>0</v>
      </c>
      <c r="E67" s="509">
        <f>IF(+I14&lt;F66,I14,D67)</f>
        <v>0</v>
      </c>
      <c r="F67" s="510">
        <f t="shared" si="10"/>
        <v>0</v>
      </c>
      <c r="G67" s="511">
        <f t="shared" si="11"/>
        <v>0</v>
      </c>
      <c r="H67" s="477">
        <f t="shared" si="12"/>
        <v>0</v>
      </c>
      <c r="I67" s="500">
        <f t="shared" si="0"/>
        <v>0</v>
      </c>
      <c r="J67" s="500"/>
      <c r="K67" s="512"/>
      <c r="L67" s="504">
        <f t="shared" si="9"/>
        <v>0</v>
      </c>
      <c r="M67" s="512"/>
      <c r="N67" s="504">
        <f t="shared" si="4"/>
        <v>0</v>
      </c>
      <c r="O67" s="504">
        <f t="shared" si="5"/>
        <v>0</v>
      </c>
      <c r="P67" s="278"/>
      <c r="R67" s="243"/>
      <c r="S67" s="243"/>
      <c r="T67" s="243"/>
      <c r="U67" s="243"/>
    </row>
    <row r="68" spans="2:21">
      <c r="C68" s="495">
        <f>IF(D11="","-",+C67+1)</f>
        <v>2067</v>
      </c>
      <c r="D68" s="510">
        <f>IF(F67+SUM(E$17:E67)=D$10,F67,D$10-SUM(E$17:E67))</f>
        <v>0</v>
      </c>
      <c r="E68" s="509">
        <f>IF(+I14&lt;F67,I14,D68)</f>
        <v>0</v>
      </c>
      <c r="F68" s="510">
        <f t="shared" si="10"/>
        <v>0</v>
      </c>
      <c r="G68" s="511">
        <f t="shared" si="11"/>
        <v>0</v>
      </c>
      <c r="H68" s="477">
        <f t="shared" si="12"/>
        <v>0</v>
      </c>
      <c r="I68" s="500">
        <f t="shared" si="0"/>
        <v>0</v>
      </c>
      <c r="J68" s="500"/>
      <c r="K68" s="512"/>
      <c r="L68" s="504">
        <f t="shared" si="9"/>
        <v>0</v>
      </c>
      <c r="M68" s="512"/>
      <c r="N68" s="504">
        <f t="shared" si="4"/>
        <v>0</v>
      </c>
      <c r="O68" s="504">
        <f t="shared" si="5"/>
        <v>0</v>
      </c>
      <c r="P68" s="278"/>
      <c r="R68" s="243"/>
      <c r="S68" s="243"/>
      <c r="T68" s="243"/>
      <c r="U68" s="243"/>
    </row>
    <row r="69" spans="2:21">
      <c r="C69" s="495">
        <f>IF(D11="","-",+C68+1)</f>
        <v>2068</v>
      </c>
      <c r="D69" s="510">
        <f>IF(F68+SUM(E$17:E68)=D$10,F68,D$10-SUM(E$17:E68))</f>
        <v>0</v>
      </c>
      <c r="E69" s="509">
        <f>IF(+I14&lt;F68,I14,D69)</f>
        <v>0</v>
      </c>
      <c r="F69" s="510">
        <f t="shared" si="10"/>
        <v>0</v>
      </c>
      <c r="G69" s="511">
        <f t="shared" si="11"/>
        <v>0</v>
      </c>
      <c r="H69" s="477">
        <f t="shared" si="12"/>
        <v>0</v>
      </c>
      <c r="I69" s="500">
        <f t="shared" si="0"/>
        <v>0</v>
      </c>
      <c r="J69" s="500"/>
      <c r="K69" s="512"/>
      <c r="L69" s="504">
        <f t="shared" si="9"/>
        <v>0</v>
      </c>
      <c r="M69" s="512"/>
      <c r="N69" s="504">
        <f t="shared" si="4"/>
        <v>0</v>
      </c>
      <c r="O69" s="504">
        <f t="shared" si="5"/>
        <v>0</v>
      </c>
      <c r="P69" s="278"/>
      <c r="R69" s="243"/>
      <c r="S69" s="243"/>
      <c r="T69" s="243"/>
      <c r="U69" s="243"/>
    </row>
    <row r="70" spans="2:21">
      <c r="C70" s="495">
        <f>IF(D11="","-",+C69+1)</f>
        <v>2069</v>
      </c>
      <c r="D70" s="510">
        <f>IF(F69+SUM(E$17:E69)=D$10,F69,D$10-SUM(E$17:E69))</f>
        <v>0</v>
      </c>
      <c r="E70" s="509">
        <f>IF(+I14&lt;F69,I14,D70)</f>
        <v>0</v>
      </c>
      <c r="F70" s="510">
        <f t="shared" si="10"/>
        <v>0</v>
      </c>
      <c r="G70" s="511">
        <f t="shared" si="11"/>
        <v>0</v>
      </c>
      <c r="H70" s="477">
        <f t="shared" si="12"/>
        <v>0</v>
      </c>
      <c r="I70" s="500">
        <f t="shared" si="0"/>
        <v>0</v>
      </c>
      <c r="J70" s="500"/>
      <c r="K70" s="512"/>
      <c r="L70" s="504">
        <f t="shared" si="9"/>
        <v>0</v>
      </c>
      <c r="M70" s="512"/>
      <c r="N70" s="504">
        <f t="shared" si="4"/>
        <v>0</v>
      </c>
      <c r="O70" s="504">
        <f t="shared" si="5"/>
        <v>0</v>
      </c>
      <c r="P70" s="278"/>
      <c r="R70" s="243"/>
      <c r="S70" s="243"/>
      <c r="T70" s="243"/>
      <c r="U70" s="243"/>
    </row>
    <row r="71" spans="2:21">
      <c r="C71" s="495">
        <f>IF(D11="","-",+C70+1)</f>
        <v>2070</v>
      </c>
      <c r="D71" s="510">
        <f>IF(F70+SUM(E$17:E70)=D$10,F70,D$10-SUM(E$17:E70))</f>
        <v>0</v>
      </c>
      <c r="E71" s="509">
        <f>IF(+I14&lt;F70,I14,D71)</f>
        <v>0</v>
      </c>
      <c r="F71" s="510">
        <f t="shared" si="10"/>
        <v>0</v>
      </c>
      <c r="G71" s="511">
        <f t="shared" si="11"/>
        <v>0</v>
      </c>
      <c r="H71" s="477">
        <f t="shared" si="12"/>
        <v>0</v>
      </c>
      <c r="I71" s="500">
        <f t="shared" si="0"/>
        <v>0</v>
      </c>
      <c r="J71" s="500"/>
      <c r="K71" s="512"/>
      <c r="L71" s="504">
        <f t="shared" si="9"/>
        <v>0</v>
      </c>
      <c r="M71" s="512"/>
      <c r="N71" s="504">
        <f t="shared" si="4"/>
        <v>0</v>
      </c>
      <c r="O71" s="504">
        <f t="shared" si="5"/>
        <v>0</v>
      </c>
      <c r="P71" s="278"/>
      <c r="R71" s="243"/>
      <c r="S71" s="243"/>
      <c r="T71" s="243"/>
      <c r="U71" s="243"/>
    </row>
    <row r="72" spans="2:21">
      <c r="C72" s="495">
        <f>IF(D11="","-",+C71+1)</f>
        <v>2071</v>
      </c>
      <c r="D72" s="510">
        <f>IF(F71+SUM(E$17:E71)=D$10,F71,D$10-SUM(E$17:E71))</f>
        <v>0</v>
      </c>
      <c r="E72" s="509">
        <f>IF(+I14&lt;F71,I14,D72)</f>
        <v>0</v>
      </c>
      <c r="F72" s="510">
        <f t="shared" si="10"/>
        <v>0</v>
      </c>
      <c r="G72" s="511">
        <f t="shared" si="11"/>
        <v>0</v>
      </c>
      <c r="H72" s="477">
        <f t="shared" si="12"/>
        <v>0</v>
      </c>
      <c r="I72" s="500">
        <f t="shared" si="0"/>
        <v>0</v>
      </c>
      <c r="J72" s="500"/>
      <c r="K72" s="512"/>
      <c r="L72" s="504">
        <f t="shared" si="9"/>
        <v>0</v>
      </c>
      <c r="M72" s="512"/>
      <c r="N72" s="504">
        <f t="shared" si="4"/>
        <v>0</v>
      </c>
      <c r="O72" s="504">
        <f t="shared" si="5"/>
        <v>0</v>
      </c>
      <c r="P72" s="278"/>
      <c r="R72" s="243"/>
      <c r="S72" s="243"/>
      <c r="T72" s="243"/>
      <c r="U72" s="243"/>
    </row>
    <row r="73" spans="2:21" ht="13.5" thickBot="1">
      <c r="C73" s="524">
        <f>IF(D11="","-",+C72+1)</f>
        <v>2072</v>
      </c>
      <c r="D73" s="527">
        <f>IF(F72+SUM(E$17:E72)=D$10,F72,D$10-SUM(E$17:E72))</f>
        <v>0</v>
      </c>
      <c r="E73" s="526">
        <f>IF(+I14&lt;F72,I14,D73)</f>
        <v>0</v>
      </c>
      <c r="F73" s="527">
        <f t="shared" si="10"/>
        <v>0</v>
      </c>
      <c r="G73" s="527">
        <f t="shared" si="11"/>
        <v>0</v>
      </c>
      <c r="H73" s="527">
        <f t="shared" si="12"/>
        <v>0</v>
      </c>
      <c r="I73" s="529">
        <f t="shared" si="0"/>
        <v>0</v>
      </c>
      <c r="J73" s="500"/>
      <c r="K73" s="530"/>
      <c r="L73" s="531">
        <f t="shared" si="9"/>
        <v>0</v>
      </c>
      <c r="M73" s="530"/>
      <c r="N73" s="531">
        <f t="shared" si="4"/>
        <v>0</v>
      </c>
      <c r="O73" s="531">
        <f t="shared" si="5"/>
        <v>0</v>
      </c>
      <c r="P73" s="278"/>
      <c r="R73" s="243"/>
      <c r="S73" s="243"/>
      <c r="T73" s="243"/>
      <c r="U73" s="243"/>
    </row>
    <row r="74" spans="2:21">
      <c r="C74" s="349" t="s">
        <v>75</v>
      </c>
      <c r="D74" s="294"/>
      <c r="E74" s="294">
        <f>SUM(E17:E73)</f>
        <v>68247468.75</v>
      </c>
      <c r="F74" s="294"/>
      <c r="G74" s="294">
        <f>SUM(G17:G73)</f>
        <v>192796405.98536992</v>
      </c>
      <c r="H74" s="294">
        <f>SUM(H17:H73)</f>
        <v>192796405.98536992</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14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8692924.255398104</v>
      </c>
      <c r="N88" s="544">
        <f>IF(J93&lt;D11,0,VLOOKUP(J93,C17:O73,11))</f>
        <v>8692924.255398104</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9483884.5595619641</v>
      </c>
      <c r="N89" s="548">
        <f>IF(J93&lt;D11,0,VLOOKUP(J93,C100:P155,7))</f>
        <v>9483884.5595619641</v>
      </c>
      <c r="O89" s="549">
        <f>+N89-M89</f>
        <v>0</v>
      </c>
      <c r="P89" s="243"/>
      <c r="Q89" s="243"/>
      <c r="R89" s="243"/>
      <c r="S89" s="243"/>
      <c r="T89" s="243"/>
      <c r="U89" s="243"/>
    </row>
    <row r="90" spans="1:21" ht="13.5" thickBot="1">
      <c r="C90" s="454" t="s">
        <v>82</v>
      </c>
      <c r="D90" s="550" t="str">
        <f>+D7</f>
        <v>Valliant-NW Texarkana 345 kV</v>
      </c>
      <c r="E90" s="243"/>
      <c r="F90" s="243"/>
      <c r="G90" s="243"/>
      <c r="H90" s="243"/>
      <c r="I90" s="325"/>
      <c r="J90" s="325"/>
      <c r="K90" s="551"/>
      <c r="L90" s="552" t="s">
        <v>135</v>
      </c>
      <c r="M90" s="553">
        <f>+M89-M88</f>
        <v>790960.30416386016</v>
      </c>
      <c r="N90" s="553">
        <f>+N89-N88</f>
        <v>790960.30416386016</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 2009089</v>
      </c>
      <c r="E92" s="558"/>
      <c r="F92" s="558"/>
      <c r="G92" s="558"/>
      <c r="H92" s="558"/>
      <c r="I92" s="558"/>
      <c r="J92" s="558"/>
      <c r="K92" s="560"/>
      <c r="P92" s="468"/>
      <c r="Q92" s="243"/>
      <c r="R92" s="243"/>
      <c r="S92" s="243"/>
      <c r="T92" s="243"/>
      <c r="U92" s="243"/>
    </row>
    <row r="93" spans="1:21">
      <c r="C93" s="472" t="s">
        <v>49</v>
      </c>
      <c r="D93" s="470">
        <v>68247469</v>
      </c>
      <c r="E93" s="248" t="s">
        <v>84</v>
      </c>
      <c r="H93" s="408"/>
      <c r="I93" s="408"/>
      <c r="J93" s="471">
        <f>+'OKT.WS.G.BPU.ATRR.True-up'!M16</f>
        <v>2021</v>
      </c>
      <c r="K93" s="467"/>
      <c r="L93" s="294" t="s">
        <v>85</v>
      </c>
      <c r="P93" s="278"/>
      <c r="Q93" s="243"/>
      <c r="R93" s="243"/>
      <c r="S93" s="243"/>
      <c r="T93" s="243"/>
      <c r="U93" s="243"/>
    </row>
    <row r="94" spans="1:21">
      <c r="C94" s="472" t="s">
        <v>52</v>
      </c>
      <c r="D94" s="561">
        <f>IF(D11=I10,"",D11)</f>
        <v>2016</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12</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2729898.76</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2016</v>
      </c>
      <c r="D100" s="496">
        <v>0</v>
      </c>
      <c r="E100" s="498">
        <v>1692714.9</v>
      </c>
      <c r="F100" s="505">
        <v>67708596</v>
      </c>
      <c r="G100" s="505">
        <v>33854298</v>
      </c>
      <c r="H100" s="498">
        <v>3668771.9731289423</v>
      </c>
      <c r="I100" s="499">
        <v>3668771.9731289423</v>
      </c>
      <c r="J100" s="504">
        <f t="shared" ref="J100:J131" si="13">+I100-H100</f>
        <v>0</v>
      </c>
      <c r="K100" s="504"/>
      <c r="L100" s="606">
        <f>+H100</f>
        <v>3668771.9731289423</v>
      </c>
      <c r="M100" s="503">
        <f t="shared" ref="M100:M131" si="14">IF(L100&lt;&gt;0,+H100-L100,0)</f>
        <v>0</v>
      </c>
      <c r="N100" s="606">
        <f>+I100</f>
        <v>3668771.9731289423</v>
      </c>
      <c r="O100" s="503">
        <f t="shared" ref="O100:O131" si="15">IF(N100&lt;&gt;0,+I100-N100,0)</f>
        <v>0</v>
      </c>
      <c r="P100" s="503">
        <f t="shared" ref="P100:P131" si="16">+O100-M100</f>
        <v>0</v>
      </c>
      <c r="Q100" s="243"/>
      <c r="R100" s="243"/>
      <c r="S100" s="243"/>
      <c r="T100" s="243"/>
      <c r="U100" s="243"/>
    </row>
    <row r="101" spans="1:21">
      <c r="C101" s="495">
        <f>IF(D94="","-",+C100+1)</f>
        <v>2017</v>
      </c>
      <c r="D101" s="496">
        <v>66537373.100000001</v>
      </c>
      <c r="E101" s="498">
        <v>1705752.2</v>
      </c>
      <c r="F101" s="505">
        <v>64831620.899999999</v>
      </c>
      <c r="G101" s="505">
        <v>65684497</v>
      </c>
      <c r="H101" s="498">
        <v>9412899.4207950477</v>
      </c>
      <c r="I101" s="499">
        <v>9412899.4207950477</v>
      </c>
      <c r="J101" s="504">
        <f t="shared" si="13"/>
        <v>0</v>
      </c>
      <c r="K101" s="504"/>
      <c r="L101" s="506">
        <f>H101</f>
        <v>9412899.4207950477</v>
      </c>
      <c r="M101" s="504">
        <f>IF(L101&lt;&gt;0,+H101-L101,0)</f>
        <v>0</v>
      </c>
      <c r="N101" s="506">
        <f>I101</f>
        <v>9412899.4207950477</v>
      </c>
      <c r="O101" s="504">
        <f>IF(N101&lt;&gt;0,+I101-N101,0)</f>
        <v>0</v>
      </c>
      <c r="P101" s="504">
        <f>+O101-M101</f>
        <v>0</v>
      </c>
      <c r="Q101" s="243"/>
      <c r="R101" s="243"/>
      <c r="S101" s="243"/>
      <c r="T101" s="243"/>
      <c r="U101" s="243"/>
    </row>
    <row r="102" spans="1:21">
      <c r="C102" s="495">
        <f>IF(D94="","-",+C101+1)</f>
        <v>2018</v>
      </c>
      <c r="D102" s="496">
        <v>64831620.899999999</v>
      </c>
      <c r="E102" s="498">
        <v>1895280.2222222222</v>
      </c>
      <c r="F102" s="505">
        <v>62936340.677777775</v>
      </c>
      <c r="G102" s="505">
        <v>63883980.788888887</v>
      </c>
      <c r="H102" s="498">
        <v>8639029.6924960874</v>
      </c>
      <c r="I102" s="499">
        <v>8639029.6924960874</v>
      </c>
      <c r="J102" s="504">
        <f t="shared" si="13"/>
        <v>0</v>
      </c>
      <c r="K102" s="504"/>
      <c r="L102" s="506">
        <f>H102</f>
        <v>8639029.6924960874</v>
      </c>
      <c r="M102" s="504">
        <f>IF(L102&lt;&gt;0,+H102-L102,0)</f>
        <v>0</v>
      </c>
      <c r="N102" s="506">
        <f>I102</f>
        <v>8639029.6924960874</v>
      </c>
      <c r="O102" s="504">
        <f t="shared" si="15"/>
        <v>0</v>
      </c>
      <c r="P102" s="504">
        <f t="shared" si="16"/>
        <v>0</v>
      </c>
      <c r="Q102" s="243"/>
      <c r="R102" s="243"/>
      <c r="S102" s="243"/>
      <c r="T102" s="243"/>
      <c r="U102" s="243"/>
    </row>
    <row r="103" spans="1:21">
      <c r="C103" s="495">
        <f>IF(D94="","-",+C102+1)</f>
        <v>2019</v>
      </c>
      <c r="D103" s="496">
        <v>64646436.577777781</v>
      </c>
      <c r="E103" s="498">
        <v>1895763.0277777778</v>
      </c>
      <c r="F103" s="505">
        <v>62750673.550000004</v>
      </c>
      <c r="G103" s="505">
        <v>63698555.063888893</v>
      </c>
      <c r="H103" s="498">
        <v>8619938.5043946709</v>
      </c>
      <c r="I103" s="499">
        <v>8619938.5043946709</v>
      </c>
      <c r="J103" s="504">
        <f t="shared" si="13"/>
        <v>0</v>
      </c>
      <c r="K103" s="504"/>
      <c r="L103" s="506">
        <f>H103</f>
        <v>8619938.5043946709</v>
      </c>
      <c r="M103" s="504">
        <f>IF(L103&lt;&gt;0,+H103-L103,0)</f>
        <v>0</v>
      </c>
      <c r="N103" s="506">
        <f>I103</f>
        <v>8619938.5043946709</v>
      </c>
      <c r="O103" s="504">
        <f t="shared" si="15"/>
        <v>0</v>
      </c>
      <c r="P103" s="504">
        <f t="shared" si="16"/>
        <v>0</v>
      </c>
      <c r="Q103" s="243"/>
      <c r="R103" s="243"/>
      <c r="S103" s="243"/>
      <c r="T103" s="243"/>
      <c r="U103" s="243"/>
    </row>
    <row r="104" spans="1:21">
      <c r="C104" s="495">
        <f>IF(D94="","-",+C103+1)</f>
        <v>2020</v>
      </c>
      <c r="D104" s="496">
        <v>61057958.649999999</v>
      </c>
      <c r="E104" s="498">
        <v>2437409.6071428573</v>
      </c>
      <c r="F104" s="505">
        <v>58620549.04285714</v>
      </c>
      <c r="G104" s="505">
        <v>59839253.846428573</v>
      </c>
      <c r="H104" s="498">
        <v>8805113.9847133383</v>
      </c>
      <c r="I104" s="499">
        <v>8805113.9847133383</v>
      </c>
      <c r="J104" s="504">
        <f t="shared" si="13"/>
        <v>0</v>
      </c>
      <c r="K104" s="504"/>
      <c r="L104" s="512"/>
      <c r="M104" s="504">
        <f t="shared" si="14"/>
        <v>0</v>
      </c>
      <c r="N104" s="512"/>
      <c r="O104" s="504">
        <f t="shared" si="15"/>
        <v>0</v>
      </c>
      <c r="P104" s="504">
        <f t="shared" si="16"/>
        <v>0</v>
      </c>
      <c r="Q104" s="243"/>
      <c r="R104" s="243"/>
      <c r="S104" s="243"/>
      <c r="T104" s="243"/>
      <c r="U104" s="243"/>
    </row>
    <row r="105" spans="1:21">
      <c r="C105" s="495">
        <f>IF(D94="","-",+C104+1)</f>
        <v>2021</v>
      </c>
      <c r="D105" s="349">
        <f>IF(F104+SUM(E$100:E104)=D$93,F104,D$93-SUM(E$100:E104))</f>
        <v>58620549.04285714</v>
      </c>
      <c r="E105" s="509">
        <f>IF(+J97&lt;F104,J97,D105)</f>
        <v>2729898.76</v>
      </c>
      <c r="F105" s="510">
        <f t="shared" ref="F105:F131" si="17">+D105-E105</f>
        <v>55890650.282857142</v>
      </c>
      <c r="G105" s="510">
        <f t="shared" ref="G105:G131" si="18">+(F105+D105)/2</f>
        <v>57255599.662857145</v>
      </c>
      <c r="H105" s="627">
        <f t="shared" ref="H105:H155" si="19">+J$95*G105+E105</f>
        <v>9483884.5595619641</v>
      </c>
      <c r="I105" s="628">
        <f t="shared" ref="I105:I155" si="20">+J$96*G105+E105</f>
        <v>9483884.5595619641</v>
      </c>
      <c r="J105" s="504">
        <f t="shared" si="13"/>
        <v>0</v>
      </c>
      <c r="K105" s="504"/>
      <c r="L105" s="512"/>
      <c r="M105" s="504">
        <f t="shared" si="14"/>
        <v>0</v>
      </c>
      <c r="N105" s="512"/>
      <c r="O105" s="504">
        <f t="shared" si="15"/>
        <v>0</v>
      </c>
      <c r="P105" s="504">
        <f t="shared" si="16"/>
        <v>0</v>
      </c>
      <c r="Q105" s="243"/>
      <c r="R105" s="243"/>
      <c r="S105" s="243"/>
      <c r="T105" s="243"/>
      <c r="U105" s="243"/>
    </row>
    <row r="106" spans="1:21">
      <c r="C106" s="495">
        <f>IF(D94="","-",+C105+1)</f>
        <v>2022</v>
      </c>
      <c r="D106" s="349">
        <f>IF(F105+SUM(E$100:E105)=D$93,F105,D$93-SUM(E$100:E105))</f>
        <v>55890650.282857142</v>
      </c>
      <c r="E106" s="509">
        <f>IF(+J97&lt;F105,J97,D106)</f>
        <v>2729898.76</v>
      </c>
      <c r="F106" s="510">
        <f t="shared" si="17"/>
        <v>53160751.522857144</v>
      </c>
      <c r="G106" s="510">
        <f t="shared" si="18"/>
        <v>54525700.90285714</v>
      </c>
      <c r="H106" s="627">
        <f t="shared" si="19"/>
        <v>9161860.2061738223</v>
      </c>
      <c r="I106" s="628">
        <f t="shared" si="20"/>
        <v>9161860.2061738223</v>
      </c>
      <c r="J106" s="504">
        <f t="shared" si="13"/>
        <v>0</v>
      </c>
      <c r="K106" s="504"/>
      <c r="L106" s="512"/>
      <c r="M106" s="504">
        <f t="shared" si="14"/>
        <v>0</v>
      </c>
      <c r="N106" s="512"/>
      <c r="O106" s="504">
        <f t="shared" si="15"/>
        <v>0</v>
      </c>
      <c r="P106" s="504">
        <f t="shared" si="16"/>
        <v>0</v>
      </c>
      <c r="Q106" s="243"/>
      <c r="R106" s="243"/>
      <c r="S106" s="243"/>
      <c r="T106" s="243"/>
      <c r="U106" s="243"/>
    </row>
    <row r="107" spans="1:21">
      <c r="C107" s="495">
        <f>IF(D94="","-",+C106+1)</f>
        <v>2023</v>
      </c>
      <c r="D107" s="349">
        <f>IF(F106+SUM(E$100:E106)=D$93,F106,D$93-SUM(E$100:E106))</f>
        <v>53160751.522857144</v>
      </c>
      <c r="E107" s="509">
        <f>IF(+J97&lt;F106,J97,D107)</f>
        <v>2729898.76</v>
      </c>
      <c r="F107" s="510">
        <f t="shared" si="17"/>
        <v>50430852.762857147</v>
      </c>
      <c r="G107" s="510">
        <f t="shared" si="18"/>
        <v>51795802.142857149</v>
      </c>
      <c r="H107" s="627">
        <f t="shared" si="19"/>
        <v>8839835.8527856842</v>
      </c>
      <c r="I107" s="628">
        <f t="shared" si="20"/>
        <v>8839835.8527856842</v>
      </c>
      <c r="J107" s="504">
        <f t="shared" si="13"/>
        <v>0</v>
      </c>
      <c r="K107" s="504"/>
      <c r="L107" s="512"/>
      <c r="M107" s="504">
        <f t="shared" si="14"/>
        <v>0</v>
      </c>
      <c r="N107" s="512"/>
      <c r="O107" s="504">
        <f t="shared" si="15"/>
        <v>0</v>
      </c>
      <c r="P107" s="504">
        <f t="shared" si="16"/>
        <v>0</v>
      </c>
      <c r="Q107" s="243"/>
      <c r="R107" s="243"/>
      <c r="S107" s="243"/>
      <c r="T107" s="243"/>
      <c r="U107" s="243"/>
    </row>
    <row r="108" spans="1:21">
      <c r="C108" s="495">
        <f>IF(D94="","-",+C107+1)</f>
        <v>2024</v>
      </c>
      <c r="D108" s="349">
        <f>IF(F107+SUM(E$100:E107)=D$93,F107,D$93-SUM(E$100:E107))</f>
        <v>50430852.762857147</v>
      </c>
      <c r="E108" s="509">
        <f>IF(+J97&lt;F107,J97,D108)</f>
        <v>2729898.76</v>
      </c>
      <c r="F108" s="510">
        <f t="shared" si="17"/>
        <v>47700954.002857149</v>
      </c>
      <c r="G108" s="510">
        <f t="shared" si="18"/>
        <v>49065903.382857144</v>
      </c>
      <c r="H108" s="627">
        <f t="shared" si="19"/>
        <v>8517811.4993975423</v>
      </c>
      <c r="I108" s="628">
        <f t="shared" si="20"/>
        <v>8517811.4993975423</v>
      </c>
      <c r="J108" s="504">
        <f t="shared" si="13"/>
        <v>0</v>
      </c>
      <c r="K108" s="504"/>
      <c r="L108" s="512"/>
      <c r="M108" s="504">
        <f t="shared" si="14"/>
        <v>0</v>
      </c>
      <c r="N108" s="512"/>
      <c r="O108" s="504">
        <f t="shared" si="15"/>
        <v>0</v>
      </c>
      <c r="P108" s="504">
        <f t="shared" si="16"/>
        <v>0</v>
      </c>
      <c r="Q108" s="243"/>
      <c r="R108" s="243"/>
      <c r="S108" s="243"/>
      <c r="T108" s="243"/>
      <c r="U108" s="243"/>
    </row>
    <row r="109" spans="1:21">
      <c r="C109" s="495">
        <f>IF(D94="","-",+C108+1)</f>
        <v>2025</v>
      </c>
      <c r="D109" s="349">
        <f>IF(F108+SUM(E$100:E108)=D$93,F108,D$93-SUM(E$100:E108))</f>
        <v>47700954.002857149</v>
      </c>
      <c r="E109" s="509">
        <f>IF(+J97&lt;F108,J97,D109)</f>
        <v>2729898.76</v>
      </c>
      <c r="F109" s="510">
        <f t="shared" si="17"/>
        <v>44971055.242857151</v>
      </c>
      <c r="G109" s="510">
        <f t="shared" si="18"/>
        <v>46336004.622857153</v>
      </c>
      <c r="H109" s="627">
        <f t="shared" si="19"/>
        <v>8195787.1460094023</v>
      </c>
      <c r="I109" s="628">
        <f t="shared" si="20"/>
        <v>8195787.1460094023</v>
      </c>
      <c r="J109" s="504">
        <f t="shared" si="13"/>
        <v>0</v>
      </c>
      <c r="K109" s="504"/>
      <c r="L109" s="512"/>
      <c r="M109" s="504">
        <f t="shared" si="14"/>
        <v>0</v>
      </c>
      <c r="N109" s="512"/>
      <c r="O109" s="504">
        <f t="shared" si="15"/>
        <v>0</v>
      </c>
      <c r="P109" s="504">
        <f t="shared" si="16"/>
        <v>0</v>
      </c>
      <c r="Q109" s="243"/>
      <c r="R109" s="243"/>
      <c r="S109" s="243"/>
      <c r="T109" s="243"/>
      <c r="U109" s="243"/>
    </row>
    <row r="110" spans="1:21">
      <c r="C110" s="495">
        <f>IF(D94="","-",+C109+1)</f>
        <v>2026</v>
      </c>
      <c r="D110" s="349">
        <f>IF(F109+SUM(E$100:E109)=D$93,F109,D$93-SUM(E$100:E109))</f>
        <v>44971055.242857151</v>
      </c>
      <c r="E110" s="509">
        <f>IF(+J97&lt;F109,J97,D110)</f>
        <v>2729898.76</v>
      </c>
      <c r="F110" s="510">
        <f t="shared" si="17"/>
        <v>42241156.482857153</v>
      </c>
      <c r="G110" s="510">
        <f t="shared" si="18"/>
        <v>43606105.862857148</v>
      </c>
      <c r="H110" s="627">
        <f t="shared" si="19"/>
        <v>7873762.7926212605</v>
      </c>
      <c r="I110" s="628">
        <f t="shared" si="20"/>
        <v>7873762.7926212605</v>
      </c>
      <c r="J110" s="504">
        <f t="shared" si="13"/>
        <v>0</v>
      </c>
      <c r="K110" s="504"/>
      <c r="L110" s="512"/>
      <c r="M110" s="504">
        <f t="shared" si="14"/>
        <v>0</v>
      </c>
      <c r="N110" s="512"/>
      <c r="O110" s="504">
        <f t="shared" si="15"/>
        <v>0</v>
      </c>
      <c r="P110" s="504">
        <f t="shared" si="16"/>
        <v>0</v>
      </c>
      <c r="Q110" s="243"/>
      <c r="R110" s="243"/>
      <c r="S110" s="243"/>
      <c r="T110" s="243"/>
      <c r="U110" s="243"/>
    </row>
    <row r="111" spans="1:21">
      <c r="C111" s="495">
        <f>IF(D94="","-",+C110+1)</f>
        <v>2027</v>
      </c>
      <c r="D111" s="349">
        <f>IF(F110+SUM(E$100:E110)=D$93,F110,D$93-SUM(E$100:E110))</f>
        <v>42241156.482857153</v>
      </c>
      <c r="E111" s="509">
        <f>IF(+J97&lt;F110,J97,D111)</f>
        <v>2729898.76</v>
      </c>
      <c r="F111" s="510">
        <f t="shared" si="17"/>
        <v>39511257.722857155</v>
      </c>
      <c r="G111" s="510">
        <f t="shared" si="18"/>
        <v>40876207.102857158</v>
      </c>
      <c r="H111" s="627">
        <f t="shared" si="19"/>
        <v>7551738.4392331215</v>
      </c>
      <c r="I111" s="628">
        <f t="shared" si="20"/>
        <v>7551738.4392331215</v>
      </c>
      <c r="J111" s="504">
        <f t="shared" si="13"/>
        <v>0</v>
      </c>
      <c r="K111" s="504"/>
      <c r="L111" s="512"/>
      <c r="M111" s="504">
        <f t="shared" si="14"/>
        <v>0</v>
      </c>
      <c r="N111" s="512"/>
      <c r="O111" s="504">
        <f t="shared" si="15"/>
        <v>0</v>
      </c>
      <c r="P111" s="504">
        <f t="shared" si="16"/>
        <v>0</v>
      </c>
      <c r="Q111" s="243"/>
      <c r="R111" s="243"/>
      <c r="S111" s="243"/>
      <c r="T111" s="243"/>
      <c r="U111" s="243"/>
    </row>
    <row r="112" spans="1:21">
      <c r="C112" s="495">
        <f>IF(D94="","-",+C111+1)</f>
        <v>2028</v>
      </c>
      <c r="D112" s="349">
        <f>IF(F111+SUM(E$100:E111)=D$93,F111,D$93-SUM(E$100:E111))</f>
        <v>39511257.722857155</v>
      </c>
      <c r="E112" s="509">
        <f>IF(+J97&lt;F111,J97,D112)</f>
        <v>2729898.76</v>
      </c>
      <c r="F112" s="510">
        <f t="shared" si="17"/>
        <v>36781358.962857157</v>
      </c>
      <c r="G112" s="510">
        <f t="shared" si="18"/>
        <v>38146308.342857152</v>
      </c>
      <c r="H112" s="627">
        <f t="shared" si="19"/>
        <v>7229714.0858449806</v>
      </c>
      <c r="I112" s="628">
        <f t="shared" si="20"/>
        <v>7229714.0858449806</v>
      </c>
      <c r="J112" s="504">
        <f t="shared" si="13"/>
        <v>0</v>
      </c>
      <c r="K112" s="504"/>
      <c r="L112" s="512"/>
      <c r="M112" s="504">
        <f t="shared" si="14"/>
        <v>0</v>
      </c>
      <c r="N112" s="512"/>
      <c r="O112" s="504">
        <f t="shared" si="15"/>
        <v>0</v>
      </c>
      <c r="P112" s="504">
        <f t="shared" si="16"/>
        <v>0</v>
      </c>
      <c r="Q112" s="243"/>
      <c r="R112" s="243"/>
      <c r="S112" s="243"/>
      <c r="T112" s="243"/>
      <c r="U112" s="243"/>
    </row>
    <row r="113" spans="3:21">
      <c r="C113" s="495">
        <f>IF(D94="","-",+C112+1)</f>
        <v>2029</v>
      </c>
      <c r="D113" s="349">
        <f>IF(F112+SUM(E$100:E112)=D$93,F112,D$93-SUM(E$100:E112))</f>
        <v>36781358.962857157</v>
      </c>
      <c r="E113" s="509">
        <f>IF(+J97&lt;F112,J97,D113)</f>
        <v>2729898.76</v>
      </c>
      <c r="F113" s="510">
        <f t="shared" si="17"/>
        <v>34051460.202857159</v>
      </c>
      <c r="G113" s="510">
        <f t="shared" si="18"/>
        <v>35416409.582857162</v>
      </c>
      <c r="H113" s="627">
        <f t="shared" si="19"/>
        <v>6907689.7324568406</v>
      </c>
      <c r="I113" s="628">
        <f t="shared" si="20"/>
        <v>6907689.7324568406</v>
      </c>
      <c r="J113" s="504">
        <f t="shared" si="13"/>
        <v>0</v>
      </c>
      <c r="K113" s="504"/>
      <c r="L113" s="512"/>
      <c r="M113" s="504">
        <f t="shared" si="14"/>
        <v>0</v>
      </c>
      <c r="N113" s="512"/>
      <c r="O113" s="504">
        <f t="shared" si="15"/>
        <v>0</v>
      </c>
      <c r="P113" s="504">
        <f t="shared" si="16"/>
        <v>0</v>
      </c>
      <c r="Q113" s="243"/>
      <c r="R113" s="243"/>
      <c r="S113" s="243"/>
      <c r="T113" s="243"/>
      <c r="U113" s="243"/>
    </row>
    <row r="114" spans="3:21">
      <c r="C114" s="495">
        <f>IF(D94="","-",+C113+1)</f>
        <v>2030</v>
      </c>
      <c r="D114" s="349">
        <f>IF(F113+SUM(E$100:E113)=D$93,F113,D$93-SUM(E$100:E113))</f>
        <v>34051460.202857159</v>
      </c>
      <c r="E114" s="509">
        <f>IF(+J97&lt;F113,J97,D114)</f>
        <v>2729898.76</v>
      </c>
      <c r="F114" s="510">
        <f t="shared" si="17"/>
        <v>31321561.442857161</v>
      </c>
      <c r="G114" s="510">
        <f t="shared" si="18"/>
        <v>32686510.82285716</v>
      </c>
      <c r="H114" s="627">
        <f t="shared" si="19"/>
        <v>6585665.3790686997</v>
      </c>
      <c r="I114" s="628">
        <f t="shared" si="20"/>
        <v>6585665.3790686997</v>
      </c>
      <c r="J114" s="504">
        <f t="shared" si="13"/>
        <v>0</v>
      </c>
      <c r="K114" s="504"/>
      <c r="L114" s="512"/>
      <c r="M114" s="504">
        <f t="shared" si="14"/>
        <v>0</v>
      </c>
      <c r="N114" s="512"/>
      <c r="O114" s="504">
        <f t="shared" si="15"/>
        <v>0</v>
      </c>
      <c r="P114" s="504">
        <f t="shared" si="16"/>
        <v>0</v>
      </c>
      <c r="Q114" s="243"/>
      <c r="R114" s="243"/>
      <c r="S114" s="243"/>
      <c r="T114" s="243"/>
      <c r="U114" s="243"/>
    </row>
    <row r="115" spans="3:21">
      <c r="C115" s="495">
        <f>IF(D94="","-",+C114+1)</f>
        <v>2031</v>
      </c>
      <c r="D115" s="349">
        <f>IF(F114+SUM(E$100:E114)=D$93,F114,D$93-SUM(E$100:E114))</f>
        <v>31321561.442857161</v>
      </c>
      <c r="E115" s="509">
        <f>IF(+J97&lt;F114,J97,D115)</f>
        <v>2729898.76</v>
      </c>
      <c r="F115" s="510">
        <f t="shared" si="17"/>
        <v>28591662.682857163</v>
      </c>
      <c r="G115" s="510">
        <f t="shared" si="18"/>
        <v>29956612.062857162</v>
      </c>
      <c r="H115" s="627">
        <f t="shared" si="19"/>
        <v>6263641.0256805597</v>
      </c>
      <c r="I115" s="628">
        <f t="shared" si="20"/>
        <v>6263641.0256805597</v>
      </c>
      <c r="J115" s="504">
        <f t="shared" si="13"/>
        <v>0</v>
      </c>
      <c r="K115" s="504"/>
      <c r="L115" s="512"/>
      <c r="M115" s="504">
        <f t="shared" si="14"/>
        <v>0</v>
      </c>
      <c r="N115" s="512"/>
      <c r="O115" s="504">
        <f t="shared" si="15"/>
        <v>0</v>
      </c>
      <c r="P115" s="504">
        <f t="shared" si="16"/>
        <v>0</v>
      </c>
      <c r="Q115" s="243"/>
      <c r="R115" s="243"/>
      <c r="S115" s="243"/>
      <c r="T115" s="243"/>
      <c r="U115" s="243"/>
    </row>
    <row r="116" spans="3:21">
      <c r="C116" s="495">
        <f>IF(D94="","-",+C115+1)</f>
        <v>2032</v>
      </c>
      <c r="D116" s="349">
        <f>IF(F115+SUM(E$100:E115)=D$93,F115,D$93-SUM(E$100:E115))</f>
        <v>28591662.682857163</v>
      </c>
      <c r="E116" s="509">
        <f>IF(+J97&lt;F115,J97,D116)</f>
        <v>2729898.76</v>
      </c>
      <c r="F116" s="510">
        <f t="shared" si="17"/>
        <v>25861763.922857165</v>
      </c>
      <c r="G116" s="510">
        <f t="shared" si="18"/>
        <v>27226713.302857164</v>
      </c>
      <c r="H116" s="627">
        <f t="shared" si="19"/>
        <v>5941616.6722924188</v>
      </c>
      <c r="I116" s="628">
        <f t="shared" si="20"/>
        <v>5941616.6722924188</v>
      </c>
      <c r="J116" s="504">
        <f t="shared" si="13"/>
        <v>0</v>
      </c>
      <c r="K116" s="504"/>
      <c r="L116" s="512"/>
      <c r="M116" s="504">
        <f t="shared" si="14"/>
        <v>0</v>
      </c>
      <c r="N116" s="512"/>
      <c r="O116" s="504">
        <f t="shared" si="15"/>
        <v>0</v>
      </c>
      <c r="P116" s="504">
        <f t="shared" si="16"/>
        <v>0</v>
      </c>
      <c r="Q116" s="243"/>
      <c r="R116" s="243"/>
      <c r="S116" s="243"/>
      <c r="T116" s="243"/>
      <c r="U116" s="243"/>
    </row>
    <row r="117" spans="3:21">
      <c r="C117" s="495">
        <f>IF(D94="","-",+C116+1)</f>
        <v>2033</v>
      </c>
      <c r="D117" s="349">
        <f>IF(F116+SUM(E$100:E116)=D$93,F116,D$93-SUM(E$100:E116))</f>
        <v>25861763.922857165</v>
      </c>
      <c r="E117" s="509">
        <f>IF(+J97&lt;F116,J97,D117)</f>
        <v>2729898.76</v>
      </c>
      <c r="F117" s="510">
        <f t="shared" si="17"/>
        <v>23131865.162857167</v>
      </c>
      <c r="G117" s="510">
        <f t="shared" si="18"/>
        <v>24496814.542857166</v>
      </c>
      <c r="H117" s="627">
        <f t="shared" si="19"/>
        <v>5619592.3189042788</v>
      </c>
      <c r="I117" s="628">
        <f t="shared" si="20"/>
        <v>5619592.3189042788</v>
      </c>
      <c r="J117" s="504">
        <f t="shared" si="13"/>
        <v>0</v>
      </c>
      <c r="K117" s="504"/>
      <c r="L117" s="512"/>
      <c r="M117" s="504">
        <f t="shared" si="14"/>
        <v>0</v>
      </c>
      <c r="N117" s="512"/>
      <c r="O117" s="504">
        <f t="shared" si="15"/>
        <v>0</v>
      </c>
      <c r="P117" s="504">
        <f t="shared" si="16"/>
        <v>0</v>
      </c>
      <c r="Q117" s="243"/>
      <c r="R117" s="243"/>
      <c r="S117" s="243"/>
      <c r="T117" s="243"/>
      <c r="U117" s="243"/>
    </row>
    <row r="118" spans="3:21">
      <c r="C118" s="495">
        <f>IF(D94="","-",+C117+1)</f>
        <v>2034</v>
      </c>
      <c r="D118" s="349">
        <f>IF(F117+SUM(E$100:E117)=D$93,F117,D$93-SUM(E$100:E117))</f>
        <v>23131865.162857167</v>
      </c>
      <c r="E118" s="509">
        <f>IF(+J97&lt;F117,J97,D118)</f>
        <v>2729898.76</v>
      </c>
      <c r="F118" s="510">
        <f t="shared" si="17"/>
        <v>20401966.40285717</v>
      </c>
      <c r="G118" s="510">
        <f t="shared" si="18"/>
        <v>21766915.782857168</v>
      </c>
      <c r="H118" s="627">
        <f t="shared" si="19"/>
        <v>5297567.9655161388</v>
      </c>
      <c r="I118" s="628">
        <f t="shared" si="20"/>
        <v>5297567.9655161388</v>
      </c>
      <c r="J118" s="504">
        <f t="shared" si="13"/>
        <v>0</v>
      </c>
      <c r="K118" s="504"/>
      <c r="L118" s="512"/>
      <c r="M118" s="504">
        <f t="shared" si="14"/>
        <v>0</v>
      </c>
      <c r="N118" s="512"/>
      <c r="O118" s="504">
        <f t="shared" si="15"/>
        <v>0</v>
      </c>
      <c r="P118" s="504">
        <f t="shared" si="16"/>
        <v>0</v>
      </c>
      <c r="Q118" s="243"/>
      <c r="R118" s="243"/>
      <c r="S118" s="243"/>
      <c r="T118" s="243"/>
      <c r="U118" s="243"/>
    </row>
    <row r="119" spans="3:21">
      <c r="C119" s="495">
        <f>IF(D94="","-",+C118+1)</f>
        <v>2035</v>
      </c>
      <c r="D119" s="349">
        <f>IF(F118+SUM(E$100:E118)=D$93,F118,D$93-SUM(E$100:E118))</f>
        <v>20401966.40285717</v>
      </c>
      <c r="E119" s="509">
        <f>IF(+J97&lt;F118,J97,D119)</f>
        <v>2729898.76</v>
      </c>
      <c r="F119" s="510">
        <f t="shared" si="17"/>
        <v>17672067.642857172</v>
      </c>
      <c r="G119" s="510">
        <f t="shared" si="18"/>
        <v>19037017.022857171</v>
      </c>
      <c r="H119" s="627">
        <f t="shared" si="19"/>
        <v>4975543.6121279979</v>
      </c>
      <c r="I119" s="628">
        <f t="shared" si="20"/>
        <v>4975543.6121279979</v>
      </c>
      <c r="J119" s="504">
        <f t="shared" si="13"/>
        <v>0</v>
      </c>
      <c r="K119" s="504"/>
      <c r="L119" s="512"/>
      <c r="M119" s="504">
        <f t="shared" si="14"/>
        <v>0</v>
      </c>
      <c r="N119" s="512"/>
      <c r="O119" s="504">
        <f t="shared" si="15"/>
        <v>0</v>
      </c>
      <c r="P119" s="504">
        <f t="shared" si="16"/>
        <v>0</v>
      </c>
      <c r="Q119" s="243"/>
      <c r="R119" s="243"/>
      <c r="S119" s="243"/>
      <c r="T119" s="243"/>
      <c r="U119" s="243"/>
    </row>
    <row r="120" spans="3:21">
      <c r="C120" s="495">
        <f>IF(D94="","-",+C119+1)</f>
        <v>2036</v>
      </c>
      <c r="D120" s="349">
        <f>IF(F119+SUM(E$100:E119)=D$93,F119,D$93-SUM(E$100:E119))</f>
        <v>17672067.642857172</v>
      </c>
      <c r="E120" s="509">
        <f>IF(+J97&lt;F119,J97,D120)</f>
        <v>2729898.76</v>
      </c>
      <c r="F120" s="510">
        <f t="shared" si="17"/>
        <v>14942168.882857172</v>
      </c>
      <c r="G120" s="510">
        <f t="shared" si="18"/>
        <v>16307118.262857173</v>
      </c>
      <c r="H120" s="627">
        <f t="shared" si="19"/>
        <v>4653519.2587398579</v>
      </c>
      <c r="I120" s="628">
        <f t="shared" si="20"/>
        <v>4653519.2587398579</v>
      </c>
      <c r="J120" s="504">
        <f t="shared" si="13"/>
        <v>0</v>
      </c>
      <c r="K120" s="504"/>
      <c r="L120" s="512"/>
      <c r="M120" s="504">
        <f t="shared" si="14"/>
        <v>0</v>
      </c>
      <c r="N120" s="512"/>
      <c r="O120" s="504">
        <f t="shared" si="15"/>
        <v>0</v>
      </c>
      <c r="P120" s="504">
        <f t="shared" si="16"/>
        <v>0</v>
      </c>
      <c r="Q120" s="243"/>
      <c r="R120" s="243"/>
      <c r="S120" s="243"/>
      <c r="T120" s="243"/>
      <c r="U120" s="243"/>
    </row>
    <row r="121" spans="3:21">
      <c r="C121" s="495">
        <f>IF(D94="","-",+C120+1)</f>
        <v>2037</v>
      </c>
      <c r="D121" s="349">
        <f>IF(F120+SUM(E$100:E120)=D$93,F120,D$93-SUM(E$100:E120))</f>
        <v>14942168.882857172</v>
      </c>
      <c r="E121" s="509">
        <f>IF(+J97&lt;F120,J97,D121)</f>
        <v>2729898.76</v>
      </c>
      <c r="F121" s="510">
        <f t="shared" si="17"/>
        <v>12212270.122857172</v>
      </c>
      <c r="G121" s="510">
        <f t="shared" si="18"/>
        <v>13577219.502857171</v>
      </c>
      <c r="H121" s="627">
        <f t="shared" si="19"/>
        <v>4331494.905351717</v>
      </c>
      <c r="I121" s="628">
        <f t="shared" si="20"/>
        <v>4331494.905351717</v>
      </c>
      <c r="J121" s="504">
        <f t="shared" si="13"/>
        <v>0</v>
      </c>
      <c r="K121" s="504"/>
      <c r="L121" s="512"/>
      <c r="M121" s="504">
        <f t="shared" si="14"/>
        <v>0</v>
      </c>
      <c r="N121" s="512"/>
      <c r="O121" s="504">
        <f t="shared" si="15"/>
        <v>0</v>
      </c>
      <c r="P121" s="504">
        <f t="shared" si="16"/>
        <v>0</v>
      </c>
      <c r="Q121" s="243"/>
      <c r="R121" s="243"/>
      <c r="S121" s="243"/>
      <c r="T121" s="243"/>
      <c r="U121" s="243"/>
    </row>
    <row r="122" spans="3:21">
      <c r="C122" s="495">
        <f>IF(D94="","-",+C121+1)</f>
        <v>2038</v>
      </c>
      <c r="D122" s="349">
        <f>IF(F121+SUM(E$100:E121)=D$93,F121,D$93-SUM(E$100:E121))</f>
        <v>12212270.122857172</v>
      </c>
      <c r="E122" s="509">
        <f>IF(+J97&lt;F121,J97,D122)</f>
        <v>2729898.76</v>
      </c>
      <c r="F122" s="510">
        <f t="shared" si="17"/>
        <v>9482371.3628571723</v>
      </c>
      <c r="G122" s="510">
        <f t="shared" si="18"/>
        <v>10847320.742857173</v>
      </c>
      <c r="H122" s="627">
        <f t="shared" si="19"/>
        <v>4009470.5519635766</v>
      </c>
      <c r="I122" s="628">
        <f t="shared" si="20"/>
        <v>4009470.5519635766</v>
      </c>
      <c r="J122" s="504">
        <f t="shared" si="13"/>
        <v>0</v>
      </c>
      <c r="K122" s="504"/>
      <c r="L122" s="512"/>
      <c r="M122" s="504">
        <f t="shared" si="14"/>
        <v>0</v>
      </c>
      <c r="N122" s="512"/>
      <c r="O122" s="504">
        <f t="shared" si="15"/>
        <v>0</v>
      </c>
      <c r="P122" s="504">
        <f t="shared" si="16"/>
        <v>0</v>
      </c>
      <c r="Q122" s="243"/>
      <c r="R122" s="243"/>
      <c r="S122" s="243"/>
      <c r="T122" s="243"/>
      <c r="U122" s="243"/>
    </row>
    <row r="123" spans="3:21">
      <c r="C123" s="495">
        <f>IF(D94="","-",+C122+1)</f>
        <v>2039</v>
      </c>
      <c r="D123" s="349">
        <f>IF(F122+SUM(E$100:E122)=D$93,F122,D$93-SUM(E$100:E122))</f>
        <v>9482371.3628571723</v>
      </c>
      <c r="E123" s="509">
        <f>IF(+J97&lt;F122,J97,D123)</f>
        <v>2729898.76</v>
      </c>
      <c r="F123" s="510">
        <f t="shared" si="17"/>
        <v>6752472.6028571725</v>
      </c>
      <c r="G123" s="510">
        <f t="shared" si="18"/>
        <v>8117421.9828571724</v>
      </c>
      <c r="H123" s="627">
        <f t="shared" si="19"/>
        <v>3687446.1985754361</v>
      </c>
      <c r="I123" s="628">
        <f t="shared" si="20"/>
        <v>3687446.1985754361</v>
      </c>
      <c r="J123" s="504">
        <f t="shared" si="13"/>
        <v>0</v>
      </c>
      <c r="K123" s="504"/>
      <c r="L123" s="512"/>
      <c r="M123" s="504">
        <f t="shared" si="14"/>
        <v>0</v>
      </c>
      <c r="N123" s="512"/>
      <c r="O123" s="504">
        <f t="shared" si="15"/>
        <v>0</v>
      </c>
      <c r="P123" s="504">
        <f t="shared" si="16"/>
        <v>0</v>
      </c>
      <c r="Q123" s="243"/>
      <c r="R123" s="243"/>
      <c r="S123" s="243"/>
      <c r="T123" s="243"/>
      <c r="U123" s="243"/>
    </row>
    <row r="124" spans="3:21">
      <c r="C124" s="495">
        <f>IF(D94="","-",+C123+1)</f>
        <v>2040</v>
      </c>
      <c r="D124" s="349">
        <f>IF(F123+SUM(E$100:E123)=D$93,F123,D$93-SUM(E$100:E123))</f>
        <v>6752472.6028571725</v>
      </c>
      <c r="E124" s="509">
        <f>IF(+J97&lt;F123,J97,D124)</f>
        <v>2729898.76</v>
      </c>
      <c r="F124" s="510">
        <f t="shared" si="17"/>
        <v>4022573.8428571727</v>
      </c>
      <c r="G124" s="510">
        <f t="shared" si="18"/>
        <v>5387523.2228571726</v>
      </c>
      <c r="H124" s="627">
        <f t="shared" si="19"/>
        <v>3365421.8451872952</v>
      </c>
      <c r="I124" s="628">
        <f t="shared" si="20"/>
        <v>3365421.8451872952</v>
      </c>
      <c r="J124" s="504">
        <f t="shared" si="13"/>
        <v>0</v>
      </c>
      <c r="K124" s="504"/>
      <c r="L124" s="512"/>
      <c r="M124" s="504">
        <f t="shared" si="14"/>
        <v>0</v>
      </c>
      <c r="N124" s="512"/>
      <c r="O124" s="504">
        <f t="shared" si="15"/>
        <v>0</v>
      </c>
      <c r="P124" s="504">
        <f t="shared" si="16"/>
        <v>0</v>
      </c>
      <c r="Q124" s="243"/>
      <c r="R124" s="243"/>
      <c r="S124" s="243"/>
      <c r="T124" s="243"/>
      <c r="U124" s="243"/>
    </row>
    <row r="125" spans="3:21">
      <c r="C125" s="495">
        <f>IF(D94="","-",+C124+1)</f>
        <v>2041</v>
      </c>
      <c r="D125" s="349">
        <f>IF(F124+SUM(E$100:E124)=D$93,F124,D$93-SUM(E$100:E124))</f>
        <v>4022573.8428571727</v>
      </c>
      <c r="E125" s="509">
        <f>IF(+J97&lt;F124,J97,D125)</f>
        <v>2729898.76</v>
      </c>
      <c r="F125" s="510">
        <f t="shared" si="17"/>
        <v>1292675.0828571729</v>
      </c>
      <c r="G125" s="510">
        <f t="shared" si="18"/>
        <v>2657624.4628571728</v>
      </c>
      <c r="H125" s="627">
        <f t="shared" si="19"/>
        <v>3043397.4917991548</v>
      </c>
      <c r="I125" s="628">
        <f t="shared" si="20"/>
        <v>3043397.4917991548</v>
      </c>
      <c r="J125" s="504">
        <f t="shared" si="13"/>
        <v>0</v>
      </c>
      <c r="K125" s="504"/>
      <c r="L125" s="512"/>
      <c r="M125" s="504">
        <f t="shared" si="14"/>
        <v>0</v>
      </c>
      <c r="N125" s="512"/>
      <c r="O125" s="504">
        <f t="shared" si="15"/>
        <v>0</v>
      </c>
      <c r="P125" s="504">
        <f t="shared" si="16"/>
        <v>0</v>
      </c>
      <c r="Q125" s="243"/>
      <c r="R125" s="243"/>
      <c r="S125" s="243"/>
      <c r="T125" s="243"/>
      <c r="U125" s="243"/>
    </row>
    <row r="126" spans="3:21">
      <c r="C126" s="495">
        <f>IF(D94="","-",+C125+1)</f>
        <v>2042</v>
      </c>
      <c r="D126" s="349">
        <f>IF(F125+SUM(E$100:E125)=D$93,F125,D$93-SUM(E$100:E125))</f>
        <v>1292675.0828571729</v>
      </c>
      <c r="E126" s="509">
        <f>IF(+J97&lt;F125,J97,D126)</f>
        <v>1292675.0828571729</v>
      </c>
      <c r="F126" s="510">
        <f t="shared" si="17"/>
        <v>0</v>
      </c>
      <c r="G126" s="510">
        <f t="shared" si="18"/>
        <v>646337.54142858647</v>
      </c>
      <c r="H126" s="627">
        <f t="shared" si="19"/>
        <v>1368918.3604097152</v>
      </c>
      <c r="I126" s="628">
        <f t="shared" si="20"/>
        <v>1368918.3604097152</v>
      </c>
      <c r="J126" s="504">
        <f t="shared" si="13"/>
        <v>0</v>
      </c>
      <c r="K126" s="504"/>
      <c r="L126" s="512"/>
      <c r="M126" s="504">
        <f t="shared" si="14"/>
        <v>0</v>
      </c>
      <c r="N126" s="512"/>
      <c r="O126" s="504">
        <f t="shared" si="15"/>
        <v>0</v>
      </c>
      <c r="P126" s="504">
        <f t="shared" si="16"/>
        <v>0</v>
      </c>
      <c r="Q126" s="243"/>
      <c r="R126" s="243"/>
      <c r="S126" s="243"/>
      <c r="T126" s="243"/>
      <c r="U126" s="243"/>
    </row>
    <row r="127" spans="3:21">
      <c r="C127" s="495">
        <f>IF(D94="","-",+C126+1)</f>
        <v>2043</v>
      </c>
      <c r="D127" s="349">
        <f>IF(F126+SUM(E$100:E126)=D$93,F126,D$93-SUM(E$100:E126))</f>
        <v>0</v>
      </c>
      <c r="E127" s="509">
        <f>IF(+J97&lt;F126,J97,D127)</f>
        <v>0</v>
      </c>
      <c r="F127" s="510">
        <f t="shared" si="17"/>
        <v>0</v>
      </c>
      <c r="G127" s="510">
        <f t="shared" si="18"/>
        <v>0</v>
      </c>
      <c r="H127" s="627">
        <f t="shared" si="19"/>
        <v>0</v>
      </c>
      <c r="I127" s="628">
        <f t="shared" si="20"/>
        <v>0</v>
      </c>
      <c r="J127" s="504">
        <f t="shared" si="13"/>
        <v>0</v>
      </c>
      <c r="K127" s="504"/>
      <c r="L127" s="512"/>
      <c r="M127" s="504">
        <f t="shared" si="14"/>
        <v>0</v>
      </c>
      <c r="N127" s="512"/>
      <c r="O127" s="504">
        <f t="shared" si="15"/>
        <v>0</v>
      </c>
      <c r="P127" s="504">
        <f t="shared" si="16"/>
        <v>0</v>
      </c>
      <c r="Q127" s="243"/>
      <c r="R127" s="243"/>
      <c r="S127" s="243"/>
      <c r="T127" s="243"/>
      <c r="U127" s="243"/>
    </row>
    <row r="128" spans="3:21">
      <c r="C128" s="495">
        <f>IF(D94="","-",+C127+1)</f>
        <v>2044</v>
      </c>
      <c r="D128" s="349">
        <f>IF(F127+SUM(E$100:E127)=D$93,F127,D$93-SUM(E$100:E127))</f>
        <v>0</v>
      </c>
      <c r="E128" s="509">
        <f>IF(+J97&lt;F127,J97,D128)</f>
        <v>0</v>
      </c>
      <c r="F128" s="510">
        <f t="shared" si="17"/>
        <v>0</v>
      </c>
      <c r="G128" s="510">
        <f t="shared" si="18"/>
        <v>0</v>
      </c>
      <c r="H128" s="627">
        <f t="shared" si="19"/>
        <v>0</v>
      </c>
      <c r="I128" s="628">
        <f t="shared" si="20"/>
        <v>0</v>
      </c>
      <c r="J128" s="504">
        <f t="shared" si="13"/>
        <v>0</v>
      </c>
      <c r="K128" s="504"/>
      <c r="L128" s="512"/>
      <c r="M128" s="504">
        <f t="shared" si="14"/>
        <v>0</v>
      </c>
      <c r="N128" s="512"/>
      <c r="O128" s="504">
        <f t="shared" si="15"/>
        <v>0</v>
      </c>
      <c r="P128" s="504">
        <f t="shared" si="16"/>
        <v>0</v>
      </c>
      <c r="Q128" s="243"/>
      <c r="R128" s="243"/>
      <c r="S128" s="243"/>
      <c r="T128" s="243"/>
      <c r="U128" s="243"/>
    </row>
    <row r="129" spans="3:21">
      <c r="C129" s="495">
        <f>IF(D94="","-",+C128+1)</f>
        <v>2045</v>
      </c>
      <c r="D129" s="349">
        <f>IF(F128+SUM(E$100:E128)=D$93,F128,D$93-SUM(E$100:E128))</f>
        <v>0</v>
      </c>
      <c r="E129" s="509">
        <f>IF(+J97&lt;F128,J97,D129)</f>
        <v>0</v>
      </c>
      <c r="F129" s="510">
        <f t="shared" si="17"/>
        <v>0</v>
      </c>
      <c r="G129" s="510">
        <f t="shared" si="18"/>
        <v>0</v>
      </c>
      <c r="H129" s="627">
        <f t="shared" si="19"/>
        <v>0</v>
      </c>
      <c r="I129" s="628">
        <f t="shared" si="20"/>
        <v>0</v>
      </c>
      <c r="J129" s="504">
        <f t="shared" si="13"/>
        <v>0</v>
      </c>
      <c r="K129" s="504"/>
      <c r="L129" s="512"/>
      <c r="M129" s="504">
        <f t="shared" si="14"/>
        <v>0</v>
      </c>
      <c r="N129" s="512"/>
      <c r="O129" s="504">
        <f t="shared" si="15"/>
        <v>0</v>
      </c>
      <c r="P129" s="504">
        <f t="shared" si="16"/>
        <v>0</v>
      </c>
      <c r="Q129" s="243"/>
      <c r="R129" s="243"/>
      <c r="S129" s="243"/>
      <c r="T129" s="243"/>
      <c r="U129" s="243"/>
    </row>
    <row r="130" spans="3:21">
      <c r="C130" s="495">
        <f>IF(D94="","-",+C129+1)</f>
        <v>2046</v>
      </c>
      <c r="D130" s="349">
        <f>IF(F129+SUM(E$100:E129)=D$93,F129,D$93-SUM(E$100:E129))</f>
        <v>0</v>
      </c>
      <c r="E130" s="509">
        <f>IF(+J97&lt;F129,J97,D130)</f>
        <v>0</v>
      </c>
      <c r="F130" s="510">
        <f t="shared" si="17"/>
        <v>0</v>
      </c>
      <c r="G130" s="510">
        <f t="shared" si="18"/>
        <v>0</v>
      </c>
      <c r="H130" s="627">
        <f t="shared" si="19"/>
        <v>0</v>
      </c>
      <c r="I130" s="628">
        <f t="shared" si="20"/>
        <v>0</v>
      </c>
      <c r="J130" s="504">
        <f t="shared" si="13"/>
        <v>0</v>
      </c>
      <c r="K130" s="504"/>
      <c r="L130" s="512"/>
      <c r="M130" s="504">
        <f t="shared" si="14"/>
        <v>0</v>
      </c>
      <c r="N130" s="512"/>
      <c r="O130" s="504">
        <f t="shared" si="15"/>
        <v>0</v>
      </c>
      <c r="P130" s="504">
        <f t="shared" si="16"/>
        <v>0</v>
      </c>
      <c r="Q130" s="243"/>
      <c r="R130" s="243"/>
      <c r="S130" s="243"/>
      <c r="T130" s="243"/>
      <c r="U130" s="243"/>
    </row>
    <row r="131" spans="3:21">
      <c r="C131" s="495">
        <f>IF(D94="","-",+C130+1)</f>
        <v>2047</v>
      </c>
      <c r="D131" s="349">
        <f>IF(F130+SUM(E$100:E130)=D$93,F130,D$93-SUM(E$100:E130))</f>
        <v>0</v>
      </c>
      <c r="E131" s="509">
        <f>IF(+J97&lt;F130,J97,D131)</f>
        <v>0</v>
      </c>
      <c r="F131" s="510">
        <f t="shared" si="17"/>
        <v>0</v>
      </c>
      <c r="G131" s="510">
        <f t="shared" si="18"/>
        <v>0</v>
      </c>
      <c r="H131" s="627">
        <f t="shared" si="19"/>
        <v>0</v>
      </c>
      <c r="I131" s="628">
        <f t="shared" si="20"/>
        <v>0</v>
      </c>
      <c r="J131" s="504">
        <f t="shared" si="13"/>
        <v>0</v>
      </c>
      <c r="K131" s="504"/>
      <c r="L131" s="512"/>
      <c r="M131" s="504">
        <f t="shared" si="14"/>
        <v>0</v>
      </c>
      <c r="N131" s="512"/>
      <c r="O131" s="504">
        <f t="shared" si="15"/>
        <v>0</v>
      </c>
      <c r="P131" s="504">
        <f t="shared" si="16"/>
        <v>0</v>
      </c>
      <c r="Q131" s="243"/>
      <c r="R131" s="243"/>
      <c r="S131" s="243"/>
      <c r="T131" s="243"/>
      <c r="U131" s="243"/>
    </row>
    <row r="132" spans="3:21">
      <c r="C132" s="495">
        <f>IF(D94="","-",+C131+1)</f>
        <v>2048</v>
      </c>
      <c r="D132" s="349">
        <f>IF(F131+SUM(E$100:E131)=D$93,F131,D$93-SUM(E$100:E131))</f>
        <v>0</v>
      </c>
      <c r="E132" s="509">
        <f>IF(+J97&lt;F131,J97,D132)</f>
        <v>0</v>
      </c>
      <c r="F132" s="510">
        <f t="shared" ref="F132:F155" si="21">+D132-E132</f>
        <v>0</v>
      </c>
      <c r="G132" s="510">
        <f t="shared" ref="G132:G155" si="22">+(F132+D132)/2</f>
        <v>0</v>
      </c>
      <c r="H132" s="627">
        <f t="shared" si="19"/>
        <v>0</v>
      </c>
      <c r="I132" s="628">
        <f t="shared" si="20"/>
        <v>0</v>
      </c>
      <c r="J132" s="504">
        <f t="shared" ref="J132:J155" si="23">+I542-H542</f>
        <v>0</v>
      </c>
      <c r="K132" s="504"/>
      <c r="L132" s="512"/>
      <c r="M132" s="504">
        <f t="shared" ref="M132:M155" si="24">IF(L542&lt;&gt;0,+H542-L542,0)</f>
        <v>0</v>
      </c>
      <c r="N132" s="512"/>
      <c r="O132" s="504">
        <f t="shared" ref="O132:O155" si="25">IF(N542&lt;&gt;0,+I542-N542,0)</f>
        <v>0</v>
      </c>
      <c r="P132" s="504">
        <f t="shared" ref="P132:P155" si="26">+O542-M542</f>
        <v>0</v>
      </c>
      <c r="Q132" s="243"/>
      <c r="R132" s="243"/>
      <c r="S132" s="243"/>
      <c r="T132" s="243"/>
      <c r="U132" s="243"/>
    </row>
    <row r="133" spans="3:21">
      <c r="C133" s="495">
        <f>IF(D94="","-",+C132+1)</f>
        <v>2049</v>
      </c>
      <c r="D133" s="349">
        <f>IF(F132+SUM(E$100:E132)=D$93,F132,D$93-SUM(E$100:E132))</f>
        <v>0</v>
      </c>
      <c r="E133" s="509">
        <f>IF(+J97&lt;F132,J97,D133)</f>
        <v>0</v>
      </c>
      <c r="F133" s="510">
        <f t="shared" si="21"/>
        <v>0</v>
      </c>
      <c r="G133" s="510">
        <f t="shared" si="22"/>
        <v>0</v>
      </c>
      <c r="H133" s="627">
        <f t="shared" si="19"/>
        <v>0</v>
      </c>
      <c r="I133" s="628">
        <f t="shared" si="20"/>
        <v>0</v>
      </c>
      <c r="J133" s="504">
        <f t="shared" si="23"/>
        <v>0</v>
      </c>
      <c r="K133" s="504"/>
      <c r="L133" s="512"/>
      <c r="M133" s="504">
        <f t="shared" si="24"/>
        <v>0</v>
      </c>
      <c r="N133" s="512"/>
      <c r="O133" s="504">
        <f t="shared" si="25"/>
        <v>0</v>
      </c>
      <c r="P133" s="504">
        <f t="shared" si="26"/>
        <v>0</v>
      </c>
      <c r="Q133" s="243"/>
      <c r="R133" s="243"/>
      <c r="S133" s="243"/>
      <c r="T133" s="243"/>
      <c r="U133" s="243"/>
    </row>
    <row r="134" spans="3:21">
      <c r="C134" s="495">
        <f>IF(D94="","-",+C133+1)</f>
        <v>2050</v>
      </c>
      <c r="D134" s="349">
        <f>IF(F133+SUM(E$100:E133)=D$93,F133,D$93-SUM(E$100:E133))</f>
        <v>0</v>
      </c>
      <c r="E134" s="509">
        <f>IF(+J97&lt;F133,J97,D134)</f>
        <v>0</v>
      </c>
      <c r="F134" s="510">
        <f t="shared" si="21"/>
        <v>0</v>
      </c>
      <c r="G134" s="510">
        <f t="shared" si="22"/>
        <v>0</v>
      </c>
      <c r="H134" s="627">
        <f t="shared" si="19"/>
        <v>0</v>
      </c>
      <c r="I134" s="628">
        <f t="shared" si="20"/>
        <v>0</v>
      </c>
      <c r="J134" s="504">
        <f t="shared" si="23"/>
        <v>0</v>
      </c>
      <c r="K134" s="504"/>
      <c r="L134" s="512"/>
      <c r="M134" s="504">
        <f t="shared" si="24"/>
        <v>0</v>
      </c>
      <c r="N134" s="512"/>
      <c r="O134" s="504">
        <f t="shared" si="25"/>
        <v>0</v>
      </c>
      <c r="P134" s="504">
        <f t="shared" si="26"/>
        <v>0</v>
      </c>
      <c r="Q134" s="243"/>
      <c r="R134" s="243"/>
      <c r="S134" s="243"/>
      <c r="T134" s="243"/>
      <c r="U134" s="243"/>
    </row>
    <row r="135" spans="3:21">
      <c r="C135" s="495">
        <f>IF(D94="","-",+C134+1)</f>
        <v>2051</v>
      </c>
      <c r="D135" s="349">
        <f>IF(F134+SUM(E$100:E134)=D$93,F134,D$93-SUM(E$100:E134))</f>
        <v>0</v>
      </c>
      <c r="E135" s="509">
        <f>IF(+J97&lt;F134,J97,D135)</f>
        <v>0</v>
      </c>
      <c r="F135" s="510">
        <f t="shared" si="21"/>
        <v>0</v>
      </c>
      <c r="G135" s="510">
        <f t="shared" si="22"/>
        <v>0</v>
      </c>
      <c r="H135" s="627">
        <f t="shared" si="19"/>
        <v>0</v>
      </c>
      <c r="I135" s="628">
        <f t="shared" si="20"/>
        <v>0</v>
      </c>
      <c r="J135" s="504">
        <f t="shared" si="23"/>
        <v>0</v>
      </c>
      <c r="K135" s="504"/>
      <c r="L135" s="512"/>
      <c r="M135" s="504">
        <f t="shared" si="24"/>
        <v>0</v>
      </c>
      <c r="N135" s="512"/>
      <c r="O135" s="504">
        <f t="shared" si="25"/>
        <v>0</v>
      </c>
      <c r="P135" s="504">
        <f t="shared" si="26"/>
        <v>0</v>
      </c>
      <c r="Q135" s="243"/>
      <c r="R135" s="243"/>
      <c r="S135" s="243"/>
      <c r="T135" s="243"/>
      <c r="U135" s="243"/>
    </row>
    <row r="136" spans="3:21">
      <c r="C136" s="495">
        <f>IF(D94="","-",+C135+1)</f>
        <v>2052</v>
      </c>
      <c r="D136" s="349">
        <f>IF(F135+SUM(E$100:E135)=D$93,F135,D$93-SUM(E$100:E135))</f>
        <v>0</v>
      </c>
      <c r="E136" s="509">
        <f>IF(+J97&lt;F135,J97,D136)</f>
        <v>0</v>
      </c>
      <c r="F136" s="510">
        <f t="shared" si="21"/>
        <v>0</v>
      </c>
      <c r="G136" s="510">
        <f t="shared" si="22"/>
        <v>0</v>
      </c>
      <c r="H136" s="627">
        <f t="shared" si="19"/>
        <v>0</v>
      </c>
      <c r="I136" s="628">
        <f t="shared" si="20"/>
        <v>0</v>
      </c>
      <c r="J136" s="504">
        <f t="shared" si="23"/>
        <v>0</v>
      </c>
      <c r="K136" s="504"/>
      <c r="L136" s="512"/>
      <c r="M136" s="504">
        <f t="shared" si="24"/>
        <v>0</v>
      </c>
      <c r="N136" s="512"/>
      <c r="O136" s="504">
        <f t="shared" si="25"/>
        <v>0</v>
      </c>
      <c r="P136" s="504">
        <f t="shared" si="26"/>
        <v>0</v>
      </c>
      <c r="Q136" s="243"/>
      <c r="R136" s="243"/>
      <c r="S136" s="243"/>
      <c r="T136" s="243"/>
      <c r="U136" s="243"/>
    </row>
    <row r="137" spans="3:21">
      <c r="C137" s="495">
        <f>IF(D94="","-",+C136+1)</f>
        <v>2053</v>
      </c>
      <c r="D137" s="349">
        <f>IF(F136+SUM(E$100:E136)=D$93,F136,D$93-SUM(E$100:E136))</f>
        <v>0</v>
      </c>
      <c r="E137" s="509">
        <f>IF(+J97&lt;F136,J97,D137)</f>
        <v>0</v>
      </c>
      <c r="F137" s="510">
        <f t="shared" si="21"/>
        <v>0</v>
      </c>
      <c r="G137" s="510">
        <f t="shared" si="22"/>
        <v>0</v>
      </c>
      <c r="H137" s="627">
        <f t="shared" si="19"/>
        <v>0</v>
      </c>
      <c r="I137" s="628">
        <f t="shared" si="20"/>
        <v>0</v>
      </c>
      <c r="J137" s="504">
        <f t="shared" si="23"/>
        <v>0</v>
      </c>
      <c r="K137" s="504"/>
      <c r="L137" s="512"/>
      <c r="M137" s="504">
        <f t="shared" si="24"/>
        <v>0</v>
      </c>
      <c r="N137" s="512"/>
      <c r="O137" s="504">
        <f t="shared" si="25"/>
        <v>0</v>
      </c>
      <c r="P137" s="504">
        <f t="shared" si="26"/>
        <v>0</v>
      </c>
      <c r="Q137" s="243"/>
      <c r="R137" s="243"/>
      <c r="S137" s="243"/>
      <c r="T137" s="243"/>
      <c r="U137" s="243"/>
    </row>
    <row r="138" spans="3:21">
      <c r="C138" s="495">
        <f>IF(D94="","-",+C137+1)</f>
        <v>2054</v>
      </c>
      <c r="D138" s="349">
        <f>IF(F137+SUM(E$100:E137)=D$93,F137,D$93-SUM(E$100:E137))</f>
        <v>0</v>
      </c>
      <c r="E138" s="509">
        <f>IF(+J97&lt;F137,J97,D138)</f>
        <v>0</v>
      </c>
      <c r="F138" s="510">
        <f t="shared" si="21"/>
        <v>0</v>
      </c>
      <c r="G138" s="510">
        <f t="shared" si="22"/>
        <v>0</v>
      </c>
      <c r="H138" s="627">
        <f t="shared" si="19"/>
        <v>0</v>
      </c>
      <c r="I138" s="628">
        <f t="shared" si="20"/>
        <v>0</v>
      </c>
      <c r="J138" s="504">
        <f t="shared" si="23"/>
        <v>0</v>
      </c>
      <c r="K138" s="504"/>
      <c r="L138" s="512"/>
      <c r="M138" s="504">
        <f t="shared" si="24"/>
        <v>0</v>
      </c>
      <c r="N138" s="512"/>
      <c r="O138" s="504">
        <f t="shared" si="25"/>
        <v>0</v>
      </c>
      <c r="P138" s="504">
        <f t="shared" si="26"/>
        <v>0</v>
      </c>
      <c r="Q138" s="243"/>
      <c r="R138" s="243"/>
      <c r="S138" s="243"/>
      <c r="T138" s="243"/>
      <c r="U138" s="243"/>
    </row>
    <row r="139" spans="3:21">
      <c r="C139" s="495">
        <f>IF(D94="","-",+C138+1)</f>
        <v>2055</v>
      </c>
      <c r="D139" s="349">
        <f>IF(F138+SUM(E$100:E138)=D$93,F138,D$93-SUM(E$100:E138))</f>
        <v>0</v>
      </c>
      <c r="E139" s="509">
        <f>IF(+J97&lt;F138,J97,D139)</f>
        <v>0</v>
      </c>
      <c r="F139" s="510">
        <f t="shared" si="21"/>
        <v>0</v>
      </c>
      <c r="G139" s="510">
        <f t="shared" si="22"/>
        <v>0</v>
      </c>
      <c r="H139" s="627">
        <f t="shared" si="19"/>
        <v>0</v>
      </c>
      <c r="I139" s="628">
        <f t="shared" si="20"/>
        <v>0</v>
      </c>
      <c r="J139" s="504">
        <f t="shared" si="23"/>
        <v>0</v>
      </c>
      <c r="K139" s="504"/>
      <c r="L139" s="512"/>
      <c r="M139" s="504">
        <f t="shared" si="24"/>
        <v>0</v>
      </c>
      <c r="N139" s="512"/>
      <c r="O139" s="504">
        <f t="shared" si="25"/>
        <v>0</v>
      </c>
      <c r="P139" s="504">
        <f t="shared" si="26"/>
        <v>0</v>
      </c>
      <c r="Q139" s="243"/>
      <c r="R139" s="243"/>
      <c r="S139" s="243"/>
      <c r="T139" s="243"/>
      <c r="U139" s="243"/>
    </row>
    <row r="140" spans="3:21">
      <c r="C140" s="495">
        <f>IF(D94="","-",+C139+1)</f>
        <v>2056</v>
      </c>
      <c r="D140" s="349">
        <f>IF(F139+SUM(E$100:E139)=D$93,F139,D$93-SUM(E$100:E139))</f>
        <v>0</v>
      </c>
      <c r="E140" s="509">
        <f>IF(+J97&lt;F139,J97,D140)</f>
        <v>0</v>
      </c>
      <c r="F140" s="510">
        <f t="shared" si="21"/>
        <v>0</v>
      </c>
      <c r="G140" s="510">
        <f t="shared" si="22"/>
        <v>0</v>
      </c>
      <c r="H140" s="627">
        <f t="shared" si="19"/>
        <v>0</v>
      </c>
      <c r="I140" s="628">
        <f t="shared" si="20"/>
        <v>0</v>
      </c>
      <c r="J140" s="504">
        <f t="shared" si="23"/>
        <v>0</v>
      </c>
      <c r="K140" s="504"/>
      <c r="L140" s="512"/>
      <c r="M140" s="504">
        <f t="shared" si="24"/>
        <v>0</v>
      </c>
      <c r="N140" s="512"/>
      <c r="O140" s="504">
        <f t="shared" si="25"/>
        <v>0</v>
      </c>
      <c r="P140" s="504">
        <f t="shared" si="26"/>
        <v>0</v>
      </c>
      <c r="Q140" s="243"/>
      <c r="R140" s="243"/>
      <c r="S140" s="243"/>
      <c r="T140" s="243"/>
      <c r="U140" s="243"/>
    </row>
    <row r="141" spans="3:21">
      <c r="C141" s="495">
        <f>IF(D94="","-",+C140+1)</f>
        <v>2057</v>
      </c>
      <c r="D141" s="349">
        <f>IF(F140+SUM(E$100:E140)=D$93,F140,D$93-SUM(E$100:E140))</f>
        <v>0</v>
      </c>
      <c r="E141" s="509">
        <f>IF(+J97&lt;F140,J97,D141)</f>
        <v>0</v>
      </c>
      <c r="F141" s="510">
        <f t="shared" si="21"/>
        <v>0</v>
      </c>
      <c r="G141" s="510">
        <f t="shared" si="22"/>
        <v>0</v>
      </c>
      <c r="H141" s="627">
        <f t="shared" si="19"/>
        <v>0</v>
      </c>
      <c r="I141" s="628">
        <f t="shared" si="20"/>
        <v>0</v>
      </c>
      <c r="J141" s="504">
        <f t="shared" si="23"/>
        <v>0</v>
      </c>
      <c r="K141" s="504"/>
      <c r="L141" s="512"/>
      <c r="M141" s="504">
        <f t="shared" si="24"/>
        <v>0</v>
      </c>
      <c r="N141" s="512"/>
      <c r="O141" s="504">
        <f t="shared" si="25"/>
        <v>0</v>
      </c>
      <c r="P141" s="504">
        <f t="shared" si="26"/>
        <v>0</v>
      </c>
      <c r="Q141" s="243"/>
      <c r="R141" s="243"/>
      <c r="S141" s="243"/>
      <c r="T141" s="243"/>
      <c r="U141" s="243"/>
    </row>
    <row r="142" spans="3:21">
      <c r="C142" s="495">
        <f>IF(D94="","-",+C141+1)</f>
        <v>2058</v>
      </c>
      <c r="D142" s="349">
        <f>IF(F141+SUM(E$100:E141)=D$93,F141,D$93-SUM(E$100:E141))</f>
        <v>0</v>
      </c>
      <c r="E142" s="509">
        <f>IF(+J97&lt;F141,J97,D142)</f>
        <v>0</v>
      </c>
      <c r="F142" s="510">
        <f t="shared" si="21"/>
        <v>0</v>
      </c>
      <c r="G142" s="510">
        <f t="shared" si="22"/>
        <v>0</v>
      </c>
      <c r="H142" s="627">
        <f t="shared" si="19"/>
        <v>0</v>
      </c>
      <c r="I142" s="628">
        <f t="shared" si="20"/>
        <v>0</v>
      </c>
      <c r="J142" s="504">
        <f t="shared" si="23"/>
        <v>0</v>
      </c>
      <c r="K142" s="504"/>
      <c r="L142" s="512"/>
      <c r="M142" s="504">
        <f t="shared" si="24"/>
        <v>0</v>
      </c>
      <c r="N142" s="512"/>
      <c r="O142" s="504">
        <f t="shared" si="25"/>
        <v>0</v>
      </c>
      <c r="P142" s="504">
        <f t="shared" si="26"/>
        <v>0</v>
      </c>
      <c r="Q142" s="243"/>
      <c r="R142" s="243"/>
      <c r="S142" s="243"/>
      <c r="T142" s="243"/>
      <c r="U142" s="243"/>
    </row>
    <row r="143" spans="3:21">
      <c r="C143" s="495">
        <f>IF(D94="","-",+C142+1)</f>
        <v>2059</v>
      </c>
      <c r="D143" s="349">
        <f>IF(F142+SUM(E$100:E142)=D$93,F142,D$93-SUM(E$100:E142))</f>
        <v>0</v>
      </c>
      <c r="E143" s="509">
        <f>IF(+J97&lt;F142,J97,D143)</f>
        <v>0</v>
      </c>
      <c r="F143" s="510">
        <f t="shared" si="21"/>
        <v>0</v>
      </c>
      <c r="G143" s="510">
        <f t="shared" si="22"/>
        <v>0</v>
      </c>
      <c r="H143" s="627">
        <f t="shared" si="19"/>
        <v>0</v>
      </c>
      <c r="I143" s="628">
        <f t="shared" si="20"/>
        <v>0</v>
      </c>
      <c r="J143" s="504">
        <f t="shared" si="23"/>
        <v>0</v>
      </c>
      <c r="K143" s="504"/>
      <c r="L143" s="512"/>
      <c r="M143" s="504">
        <f t="shared" si="24"/>
        <v>0</v>
      </c>
      <c r="N143" s="512"/>
      <c r="O143" s="504">
        <f t="shared" si="25"/>
        <v>0</v>
      </c>
      <c r="P143" s="504">
        <f t="shared" si="26"/>
        <v>0</v>
      </c>
      <c r="Q143" s="243"/>
      <c r="R143" s="243"/>
      <c r="S143" s="243"/>
      <c r="T143" s="243"/>
      <c r="U143" s="243"/>
    </row>
    <row r="144" spans="3:21">
      <c r="C144" s="495">
        <f>IF(D94="","-",+C143+1)</f>
        <v>2060</v>
      </c>
      <c r="D144" s="349">
        <f>IF(F143+SUM(E$100:E143)=D$93,F143,D$93-SUM(E$100:E143))</f>
        <v>0</v>
      </c>
      <c r="E144" s="509">
        <f>IF(+J97&lt;F143,J97,D144)</f>
        <v>0</v>
      </c>
      <c r="F144" s="510">
        <f t="shared" si="21"/>
        <v>0</v>
      </c>
      <c r="G144" s="510">
        <f t="shared" si="22"/>
        <v>0</v>
      </c>
      <c r="H144" s="627">
        <f t="shared" si="19"/>
        <v>0</v>
      </c>
      <c r="I144" s="628">
        <f t="shared" si="20"/>
        <v>0</v>
      </c>
      <c r="J144" s="504">
        <f t="shared" si="23"/>
        <v>0</v>
      </c>
      <c r="K144" s="504"/>
      <c r="L144" s="512"/>
      <c r="M144" s="504">
        <f t="shared" si="24"/>
        <v>0</v>
      </c>
      <c r="N144" s="512"/>
      <c r="O144" s="504">
        <f t="shared" si="25"/>
        <v>0</v>
      </c>
      <c r="P144" s="504">
        <f t="shared" si="26"/>
        <v>0</v>
      </c>
      <c r="Q144" s="243"/>
      <c r="R144" s="243"/>
      <c r="S144" s="243"/>
      <c r="T144" s="243"/>
      <c r="U144" s="243"/>
    </row>
    <row r="145" spans="3:21">
      <c r="C145" s="495">
        <f>IF(D94="","-",+C144+1)</f>
        <v>2061</v>
      </c>
      <c r="D145" s="349">
        <f>IF(F144+SUM(E$100:E144)=D$93,F144,D$93-SUM(E$100:E144))</f>
        <v>0</v>
      </c>
      <c r="E145" s="509">
        <f>IF(+J97&lt;F144,J97,D145)</f>
        <v>0</v>
      </c>
      <c r="F145" s="510">
        <f t="shared" si="21"/>
        <v>0</v>
      </c>
      <c r="G145" s="510">
        <f t="shared" si="22"/>
        <v>0</v>
      </c>
      <c r="H145" s="627">
        <f t="shared" si="19"/>
        <v>0</v>
      </c>
      <c r="I145" s="628">
        <f t="shared" si="20"/>
        <v>0</v>
      </c>
      <c r="J145" s="504">
        <f t="shared" si="23"/>
        <v>0</v>
      </c>
      <c r="K145" s="504"/>
      <c r="L145" s="512"/>
      <c r="M145" s="504">
        <f t="shared" si="24"/>
        <v>0</v>
      </c>
      <c r="N145" s="512"/>
      <c r="O145" s="504">
        <f t="shared" si="25"/>
        <v>0</v>
      </c>
      <c r="P145" s="504">
        <f t="shared" si="26"/>
        <v>0</v>
      </c>
      <c r="Q145" s="243"/>
      <c r="R145" s="243"/>
      <c r="S145" s="243"/>
      <c r="T145" s="243"/>
      <c r="U145" s="243"/>
    </row>
    <row r="146" spans="3:21">
      <c r="C146" s="495">
        <f>IF(D94="","-",+C145+1)</f>
        <v>2062</v>
      </c>
      <c r="D146" s="349">
        <f>IF(F145+SUM(E$100:E145)=D$93,F145,D$93-SUM(E$100:E145))</f>
        <v>0</v>
      </c>
      <c r="E146" s="509">
        <f>IF(+J97&lt;F145,J97,D146)</f>
        <v>0</v>
      </c>
      <c r="F146" s="510">
        <f t="shared" si="21"/>
        <v>0</v>
      </c>
      <c r="G146" s="510">
        <f t="shared" si="22"/>
        <v>0</v>
      </c>
      <c r="H146" s="627">
        <f t="shared" si="19"/>
        <v>0</v>
      </c>
      <c r="I146" s="628">
        <f t="shared" si="20"/>
        <v>0</v>
      </c>
      <c r="J146" s="504">
        <f t="shared" si="23"/>
        <v>0</v>
      </c>
      <c r="K146" s="504"/>
      <c r="L146" s="512"/>
      <c r="M146" s="504">
        <f t="shared" si="24"/>
        <v>0</v>
      </c>
      <c r="N146" s="512"/>
      <c r="O146" s="504">
        <f t="shared" si="25"/>
        <v>0</v>
      </c>
      <c r="P146" s="504">
        <f t="shared" si="26"/>
        <v>0</v>
      </c>
      <c r="Q146" s="243"/>
      <c r="R146" s="243"/>
      <c r="S146" s="243"/>
      <c r="T146" s="243"/>
      <c r="U146" s="243"/>
    </row>
    <row r="147" spans="3:21">
      <c r="C147" s="495">
        <f>IF(D94="","-",+C146+1)</f>
        <v>2063</v>
      </c>
      <c r="D147" s="349">
        <f>IF(F146+SUM(E$100:E146)=D$93,F146,D$93-SUM(E$100:E146))</f>
        <v>0</v>
      </c>
      <c r="E147" s="509">
        <f>IF(+J97&lt;F146,J97,D147)</f>
        <v>0</v>
      </c>
      <c r="F147" s="510">
        <f t="shared" si="21"/>
        <v>0</v>
      </c>
      <c r="G147" s="510">
        <f t="shared" si="22"/>
        <v>0</v>
      </c>
      <c r="H147" s="627">
        <f t="shared" si="19"/>
        <v>0</v>
      </c>
      <c r="I147" s="628">
        <f t="shared" si="20"/>
        <v>0</v>
      </c>
      <c r="J147" s="504">
        <f t="shared" si="23"/>
        <v>0</v>
      </c>
      <c r="K147" s="504"/>
      <c r="L147" s="512"/>
      <c r="M147" s="504">
        <f t="shared" si="24"/>
        <v>0</v>
      </c>
      <c r="N147" s="512"/>
      <c r="O147" s="504">
        <f t="shared" si="25"/>
        <v>0</v>
      </c>
      <c r="P147" s="504">
        <f t="shared" si="26"/>
        <v>0</v>
      </c>
      <c r="Q147" s="243"/>
      <c r="R147" s="243"/>
      <c r="S147" s="243"/>
      <c r="T147" s="243"/>
      <c r="U147" s="243"/>
    </row>
    <row r="148" spans="3:21">
      <c r="C148" s="495">
        <f>IF(D94="","-",+C147+1)</f>
        <v>2064</v>
      </c>
      <c r="D148" s="349">
        <f>IF(F147+SUM(E$100:E147)=D$93,F147,D$93-SUM(E$100:E147))</f>
        <v>0</v>
      </c>
      <c r="E148" s="509">
        <f>IF(+J97&lt;F147,J97,D148)</f>
        <v>0</v>
      </c>
      <c r="F148" s="510">
        <f t="shared" si="21"/>
        <v>0</v>
      </c>
      <c r="G148" s="510">
        <f t="shared" si="22"/>
        <v>0</v>
      </c>
      <c r="H148" s="627">
        <f t="shared" si="19"/>
        <v>0</v>
      </c>
      <c r="I148" s="628">
        <f t="shared" si="20"/>
        <v>0</v>
      </c>
      <c r="J148" s="504">
        <f t="shared" si="23"/>
        <v>0</v>
      </c>
      <c r="K148" s="504"/>
      <c r="L148" s="512"/>
      <c r="M148" s="504">
        <f t="shared" si="24"/>
        <v>0</v>
      </c>
      <c r="N148" s="512"/>
      <c r="O148" s="504">
        <f t="shared" si="25"/>
        <v>0</v>
      </c>
      <c r="P148" s="504">
        <f t="shared" si="26"/>
        <v>0</v>
      </c>
      <c r="Q148" s="243"/>
      <c r="R148" s="243"/>
      <c r="S148" s="243"/>
      <c r="T148" s="243"/>
      <c r="U148" s="243"/>
    </row>
    <row r="149" spans="3:21">
      <c r="C149" s="495">
        <f>IF(D94="","-",+C148+1)</f>
        <v>2065</v>
      </c>
      <c r="D149" s="349">
        <f>IF(F148+SUM(E$100:E148)=D$93,F148,D$93-SUM(E$100:E148))</f>
        <v>0</v>
      </c>
      <c r="E149" s="509">
        <f>IF(+J97&lt;F148,J97,D149)</f>
        <v>0</v>
      </c>
      <c r="F149" s="510">
        <f t="shared" si="21"/>
        <v>0</v>
      </c>
      <c r="G149" s="510">
        <f t="shared" si="22"/>
        <v>0</v>
      </c>
      <c r="H149" s="627">
        <f t="shared" si="19"/>
        <v>0</v>
      </c>
      <c r="I149" s="628">
        <f t="shared" si="20"/>
        <v>0</v>
      </c>
      <c r="J149" s="504">
        <f t="shared" si="23"/>
        <v>0</v>
      </c>
      <c r="K149" s="504"/>
      <c r="L149" s="512"/>
      <c r="M149" s="504">
        <f t="shared" si="24"/>
        <v>0</v>
      </c>
      <c r="N149" s="512"/>
      <c r="O149" s="504">
        <f t="shared" si="25"/>
        <v>0</v>
      </c>
      <c r="P149" s="504">
        <f t="shared" si="26"/>
        <v>0</v>
      </c>
      <c r="Q149" s="243"/>
      <c r="R149" s="243"/>
      <c r="S149" s="243"/>
      <c r="T149" s="243"/>
      <c r="U149" s="243"/>
    </row>
    <row r="150" spans="3:21">
      <c r="C150" s="495">
        <f>IF(D94="","-",+C149+1)</f>
        <v>2066</v>
      </c>
      <c r="D150" s="349">
        <f>IF(F149+SUM(E$100:E149)=D$93,F149,D$93-SUM(E$100:E149))</f>
        <v>0</v>
      </c>
      <c r="E150" s="509">
        <f>IF(+J97&lt;F149,J97,D150)</f>
        <v>0</v>
      </c>
      <c r="F150" s="510">
        <f t="shared" si="21"/>
        <v>0</v>
      </c>
      <c r="G150" s="510">
        <f t="shared" si="22"/>
        <v>0</v>
      </c>
      <c r="H150" s="627">
        <f t="shared" si="19"/>
        <v>0</v>
      </c>
      <c r="I150" s="628">
        <f t="shared" si="20"/>
        <v>0</v>
      </c>
      <c r="J150" s="504">
        <f t="shared" si="23"/>
        <v>0</v>
      </c>
      <c r="K150" s="504"/>
      <c r="L150" s="512"/>
      <c r="M150" s="504">
        <f t="shared" si="24"/>
        <v>0</v>
      </c>
      <c r="N150" s="512"/>
      <c r="O150" s="504">
        <f t="shared" si="25"/>
        <v>0</v>
      </c>
      <c r="P150" s="504">
        <f t="shared" si="26"/>
        <v>0</v>
      </c>
      <c r="Q150" s="243"/>
      <c r="R150" s="243"/>
      <c r="S150" s="243"/>
      <c r="T150" s="243"/>
      <c r="U150" s="243"/>
    </row>
    <row r="151" spans="3:21">
      <c r="C151" s="495">
        <f>IF(D94="","-",+C150+1)</f>
        <v>2067</v>
      </c>
      <c r="D151" s="349">
        <f>IF(F150+SUM(E$100:E150)=D$93,F150,D$93-SUM(E$100:E150))</f>
        <v>0</v>
      </c>
      <c r="E151" s="509">
        <f>IF(+J97&lt;F150,J97,D151)</f>
        <v>0</v>
      </c>
      <c r="F151" s="510">
        <f t="shared" si="21"/>
        <v>0</v>
      </c>
      <c r="G151" s="510">
        <f t="shared" si="22"/>
        <v>0</v>
      </c>
      <c r="H151" s="627">
        <f t="shared" si="19"/>
        <v>0</v>
      </c>
      <c r="I151" s="628">
        <f t="shared" si="20"/>
        <v>0</v>
      </c>
      <c r="J151" s="504">
        <f t="shared" si="23"/>
        <v>0</v>
      </c>
      <c r="K151" s="504"/>
      <c r="L151" s="512"/>
      <c r="M151" s="504">
        <f t="shared" si="24"/>
        <v>0</v>
      </c>
      <c r="N151" s="512"/>
      <c r="O151" s="504">
        <f t="shared" si="25"/>
        <v>0</v>
      </c>
      <c r="P151" s="504">
        <f t="shared" si="26"/>
        <v>0</v>
      </c>
      <c r="Q151" s="243"/>
      <c r="R151" s="243"/>
      <c r="S151" s="243"/>
      <c r="T151" s="243"/>
      <c r="U151" s="243"/>
    </row>
    <row r="152" spans="3:21">
      <c r="C152" s="495">
        <f>IF(D94="","-",+C151+1)</f>
        <v>2068</v>
      </c>
      <c r="D152" s="349">
        <f>IF(F151+SUM(E$100:E151)=D$93,F151,D$93-SUM(E$100:E151))</f>
        <v>0</v>
      </c>
      <c r="E152" s="509">
        <f>IF(+J97&lt;F151,J97,D152)</f>
        <v>0</v>
      </c>
      <c r="F152" s="510">
        <f t="shared" si="21"/>
        <v>0</v>
      </c>
      <c r="G152" s="510">
        <f t="shared" si="22"/>
        <v>0</v>
      </c>
      <c r="H152" s="627">
        <f t="shared" si="19"/>
        <v>0</v>
      </c>
      <c r="I152" s="628">
        <f t="shared" si="20"/>
        <v>0</v>
      </c>
      <c r="J152" s="504">
        <f t="shared" si="23"/>
        <v>0</v>
      </c>
      <c r="K152" s="504"/>
      <c r="L152" s="512"/>
      <c r="M152" s="504">
        <f t="shared" si="24"/>
        <v>0</v>
      </c>
      <c r="N152" s="512"/>
      <c r="O152" s="504">
        <f t="shared" si="25"/>
        <v>0</v>
      </c>
      <c r="P152" s="504">
        <f t="shared" si="26"/>
        <v>0</v>
      </c>
      <c r="Q152" s="243"/>
      <c r="R152" s="243"/>
      <c r="S152" s="243"/>
      <c r="T152" s="243"/>
      <c r="U152" s="243"/>
    </row>
    <row r="153" spans="3:21">
      <c r="C153" s="495">
        <f>IF(D94="","-",+C152+1)</f>
        <v>2069</v>
      </c>
      <c r="D153" s="349">
        <f>IF(F152+SUM(E$100:E152)=D$93,F152,D$93-SUM(E$100:E152))</f>
        <v>0</v>
      </c>
      <c r="E153" s="509">
        <f>IF(+J97&lt;F152,J97,D153)</f>
        <v>0</v>
      </c>
      <c r="F153" s="510">
        <f t="shared" si="21"/>
        <v>0</v>
      </c>
      <c r="G153" s="510">
        <f t="shared" si="22"/>
        <v>0</v>
      </c>
      <c r="H153" s="627">
        <f t="shared" si="19"/>
        <v>0</v>
      </c>
      <c r="I153" s="628">
        <f t="shared" si="20"/>
        <v>0</v>
      </c>
      <c r="J153" s="504">
        <f t="shared" si="23"/>
        <v>0</v>
      </c>
      <c r="K153" s="504"/>
      <c r="L153" s="512"/>
      <c r="M153" s="504">
        <f t="shared" si="24"/>
        <v>0</v>
      </c>
      <c r="N153" s="512"/>
      <c r="O153" s="504">
        <f t="shared" si="25"/>
        <v>0</v>
      </c>
      <c r="P153" s="504">
        <f t="shared" si="26"/>
        <v>0</v>
      </c>
      <c r="Q153" s="243"/>
      <c r="R153" s="243"/>
      <c r="S153" s="243"/>
      <c r="T153" s="243"/>
      <c r="U153" s="243"/>
    </row>
    <row r="154" spans="3:21">
      <c r="C154" s="495">
        <f>IF(D94="","-",+C153+1)</f>
        <v>2070</v>
      </c>
      <c r="D154" s="349">
        <f>IF(F153+SUM(E$100:E153)=D$93,F153,D$93-SUM(E$100:E153))</f>
        <v>0</v>
      </c>
      <c r="E154" s="509">
        <f>IF(+J97&lt;F153,J97,D154)</f>
        <v>0</v>
      </c>
      <c r="F154" s="510">
        <f t="shared" si="21"/>
        <v>0</v>
      </c>
      <c r="G154" s="510">
        <f t="shared" si="22"/>
        <v>0</v>
      </c>
      <c r="H154" s="627">
        <f t="shared" si="19"/>
        <v>0</v>
      </c>
      <c r="I154" s="628">
        <f t="shared" si="20"/>
        <v>0</v>
      </c>
      <c r="J154" s="504">
        <f t="shared" si="23"/>
        <v>0</v>
      </c>
      <c r="K154" s="504"/>
      <c r="L154" s="512"/>
      <c r="M154" s="504">
        <f t="shared" si="24"/>
        <v>0</v>
      </c>
      <c r="N154" s="512"/>
      <c r="O154" s="504">
        <f t="shared" si="25"/>
        <v>0</v>
      </c>
      <c r="P154" s="504">
        <f t="shared" si="26"/>
        <v>0</v>
      </c>
      <c r="Q154" s="243"/>
      <c r="R154" s="243"/>
      <c r="S154" s="243"/>
      <c r="T154" s="243"/>
      <c r="U154" s="243"/>
    </row>
    <row r="155" spans="3:21" ht="13.5" thickBot="1">
      <c r="C155" s="524">
        <f>IF(D94="","-",+C154+1)</f>
        <v>2071</v>
      </c>
      <c r="D155" s="638">
        <f>IF(F154+SUM(E$100:E154)=D$93,F154,D$93-SUM(E$100:E154))</f>
        <v>0</v>
      </c>
      <c r="E155" s="526">
        <f>IF(+J97&lt;F154,J97,D155)</f>
        <v>0</v>
      </c>
      <c r="F155" s="527">
        <f t="shared" si="21"/>
        <v>0</v>
      </c>
      <c r="G155" s="527">
        <f t="shared" si="22"/>
        <v>0</v>
      </c>
      <c r="H155" s="623">
        <f t="shared" si="19"/>
        <v>0</v>
      </c>
      <c r="I155" s="624">
        <f t="shared" si="20"/>
        <v>0</v>
      </c>
      <c r="J155" s="531">
        <f t="shared" si="23"/>
        <v>0</v>
      </c>
      <c r="K155" s="504"/>
      <c r="L155" s="530"/>
      <c r="M155" s="531">
        <f t="shared" si="24"/>
        <v>0</v>
      </c>
      <c r="N155" s="530"/>
      <c r="O155" s="531">
        <f t="shared" si="25"/>
        <v>0</v>
      </c>
      <c r="P155" s="531">
        <f t="shared" si="26"/>
        <v>0</v>
      </c>
      <c r="Q155" s="243"/>
      <c r="R155" s="243"/>
      <c r="S155" s="243"/>
      <c r="T155" s="243"/>
      <c r="U155" s="243"/>
    </row>
    <row r="156" spans="3:21">
      <c r="C156" s="349" t="s">
        <v>75</v>
      </c>
      <c r="D156" s="294"/>
      <c r="E156" s="294">
        <f>SUM(E100:E155)</f>
        <v>68247468.999999985</v>
      </c>
      <c r="F156" s="294"/>
      <c r="G156" s="294"/>
      <c r="H156" s="294">
        <f>SUM(H100:H155)</f>
        <v>172051133.47522956</v>
      </c>
      <c r="I156" s="294">
        <f>SUM(I100:I155)</f>
        <v>172051133.47522956</v>
      </c>
      <c r="J156" s="294">
        <f>SUM(J100:J155)</f>
        <v>0</v>
      </c>
      <c r="K156" s="294"/>
      <c r="L156" s="294"/>
      <c r="M156" s="294"/>
      <c r="N156" s="294"/>
      <c r="O156" s="294"/>
      <c r="P156" s="243"/>
      <c r="Q156" s="243"/>
      <c r="R156" s="243"/>
      <c r="S156" s="243"/>
      <c r="T156" s="243"/>
      <c r="U156" s="243"/>
    </row>
    <row r="157" spans="3:21">
      <c r="C157" s="145" t="s">
        <v>90</v>
      </c>
      <c r="D157" s="292"/>
      <c r="E157" s="243"/>
      <c r="F157" s="243"/>
      <c r="G157" s="243"/>
      <c r="H157" s="243"/>
      <c r="I157" s="325"/>
      <c r="J157" s="325"/>
      <c r="K157" s="294"/>
      <c r="L157" s="325"/>
      <c r="M157" s="325"/>
      <c r="N157" s="325"/>
      <c r="O157" s="325"/>
      <c r="P157" s="243"/>
      <c r="Q157" s="243"/>
      <c r="R157" s="243"/>
      <c r="S157" s="243"/>
      <c r="T157" s="243"/>
      <c r="U157" s="243"/>
    </row>
    <row r="158" spans="3:21">
      <c r="C158" s="574"/>
      <c r="D158" s="292"/>
      <c r="E158" s="243"/>
      <c r="F158" s="243"/>
      <c r="G158" s="243"/>
      <c r="H158" s="243"/>
      <c r="I158" s="325"/>
      <c r="J158" s="325"/>
      <c r="K158" s="294"/>
      <c r="L158" s="325"/>
      <c r="M158" s="325"/>
      <c r="N158" s="325"/>
      <c r="O158" s="325"/>
      <c r="P158" s="243"/>
      <c r="Q158" s="243"/>
      <c r="R158" s="243"/>
      <c r="S158" s="243"/>
      <c r="T158" s="243"/>
      <c r="U158" s="243"/>
    </row>
    <row r="159" spans="3:21">
      <c r="C159" s="619" t="s">
        <v>130</v>
      </c>
      <c r="D159" s="292"/>
      <c r="E159" s="243"/>
      <c r="F159" s="243"/>
      <c r="G159" s="243"/>
      <c r="H159" s="243"/>
      <c r="I159" s="325"/>
      <c r="J159" s="325"/>
      <c r="K159" s="294"/>
      <c r="L159" s="325"/>
      <c r="M159" s="325"/>
      <c r="N159" s="325"/>
      <c r="O159" s="325"/>
      <c r="P159" s="243"/>
      <c r="Q159" s="243"/>
      <c r="R159" s="243"/>
      <c r="S159" s="243"/>
      <c r="T159" s="243"/>
      <c r="U159" s="243"/>
    </row>
    <row r="160" spans="3: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6" priority="1" stopIfTrue="1" operator="equal">
      <formula>$I$10</formula>
    </cfRule>
  </conditionalFormatting>
  <conditionalFormatting sqref="C100:C155">
    <cfRule type="cellIs" dxfId="35"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5"/>
  <dimension ref="A1:U163"/>
  <sheetViews>
    <sheetView view="pageBreakPreview" zoomScale="85" zoomScaleNormal="100"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15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1362291.2680030938</v>
      </c>
      <c r="P5" s="243"/>
      <c r="R5" s="243"/>
      <c r="S5" s="243"/>
      <c r="T5" s="243"/>
      <c r="U5" s="243"/>
    </row>
    <row r="6" spans="1:21" ht="15.75">
      <c r="C6" s="235"/>
      <c r="D6" s="292"/>
      <c r="E6" s="243"/>
      <c r="F6" s="243"/>
      <c r="G6" s="243"/>
      <c r="H6" s="449"/>
      <c r="I6" s="449"/>
      <c r="J6" s="450"/>
      <c r="K6" s="451" t="s">
        <v>243</v>
      </c>
      <c r="L6" s="452"/>
      <c r="M6" s="278"/>
      <c r="N6" s="453">
        <f>VLOOKUP(I10,C17:I73,6)</f>
        <v>1362291.2680030938</v>
      </c>
      <c r="O6" s="243"/>
      <c r="P6" s="243"/>
      <c r="R6" s="243"/>
      <c r="S6" s="243"/>
      <c r="T6" s="243"/>
      <c r="U6" s="243"/>
    </row>
    <row r="7" spans="1:21" ht="13.5" thickBot="1">
      <c r="C7" s="454" t="s">
        <v>46</v>
      </c>
      <c r="D7" s="455" t="s">
        <v>244</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291</v>
      </c>
      <c r="E9" s="646" t="s">
        <v>298</v>
      </c>
      <c r="F9" s="465"/>
      <c r="G9" s="465"/>
      <c r="H9" s="465"/>
      <c r="I9" s="466"/>
      <c r="J9" s="467"/>
      <c r="O9" s="468"/>
      <c r="P9" s="278"/>
      <c r="R9" s="243"/>
      <c r="S9" s="243"/>
      <c r="T9" s="243"/>
      <c r="U9" s="243"/>
    </row>
    <row r="10" spans="1:21">
      <c r="C10" s="469" t="s">
        <v>49</v>
      </c>
      <c r="D10" s="470">
        <v>11056565.360000001</v>
      </c>
      <c r="E10" s="299" t="s">
        <v>50</v>
      </c>
      <c r="F10" s="468"/>
      <c r="G10" s="408"/>
      <c r="H10" s="408"/>
      <c r="I10" s="471">
        <f>+'OKT.WS.F.BPU.ATRR.Projected'!R101</f>
        <v>2024</v>
      </c>
      <c r="J10" s="467"/>
      <c r="K10" s="294" t="s">
        <v>51</v>
      </c>
      <c r="O10" s="278"/>
      <c r="P10" s="278"/>
      <c r="R10" s="243"/>
      <c r="S10" s="243"/>
      <c r="T10" s="243"/>
      <c r="U10" s="243"/>
    </row>
    <row r="11" spans="1:21">
      <c r="C11" s="472" t="s">
        <v>52</v>
      </c>
      <c r="D11" s="473">
        <v>2017</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0.11393163315254198</v>
      </c>
      <c r="J12" s="578"/>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356663.39870967745</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580">
        <f>IF(D11= "","-",D11)</f>
        <v>2017</v>
      </c>
      <c r="D17" s="612">
        <v>0</v>
      </c>
      <c r="E17" s="620">
        <v>104355.95770200831</v>
      </c>
      <c r="F17" s="612">
        <v>10510644.042297991</v>
      </c>
      <c r="G17" s="620">
        <v>682125.91542676068</v>
      </c>
      <c r="H17" s="617">
        <v>682125.91542676068</v>
      </c>
      <c r="I17" s="500">
        <f>H17-G17</f>
        <v>0</v>
      </c>
      <c r="J17" s="500"/>
      <c r="K17" s="506">
        <f t="shared" ref="K17:K22" si="1">+G17</f>
        <v>682125.91542676068</v>
      </c>
      <c r="L17" s="504">
        <f t="shared" ref="L17:L22" si="2">IF(K17&lt;&gt;0,+G17-K17,0)</f>
        <v>0</v>
      </c>
      <c r="M17" s="506">
        <f t="shared" ref="M17:M22" si="3">+H17</f>
        <v>682125.91542676068</v>
      </c>
      <c r="N17" s="586">
        <f t="shared" ref="N17:N73" si="4">IF(M17&lt;&gt;0,+H17-M17,0)</f>
        <v>0</v>
      </c>
      <c r="O17" s="504">
        <f t="shared" ref="O17:O73" si="5">+N17-L17</f>
        <v>0</v>
      </c>
      <c r="P17" s="278"/>
      <c r="R17" s="243"/>
      <c r="S17" s="243"/>
      <c r="T17" s="243"/>
      <c r="U17" s="243"/>
    </row>
    <row r="18" spans="2:21">
      <c r="B18" s="145" t="str">
        <f t="shared" si="0"/>
        <v/>
      </c>
      <c r="C18" s="495">
        <f>IF(D11="","-",+C17+1)</f>
        <v>2018</v>
      </c>
      <c r="D18" s="614">
        <v>10510644.042297991</v>
      </c>
      <c r="E18" s="613">
        <v>260328.43725382842</v>
      </c>
      <c r="F18" s="614">
        <v>10250315.605044162</v>
      </c>
      <c r="G18" s="613">
        <v>1315230.681782007</v>
      </c>
      <c r="H18" s="617">
        <v>1315230.681782007</v>
      </c>
      <c r="I18" s="500">
        <f>H18-G18</f>
        <v>0</v>
      </c>
      <c r="J18" s="500"/>
      <c r="K18" s="592">
        <f t="shared" si="1"/>
        <v>1315230.681782007</v>
      </c>
      <c r="L18" s="596">
        <f t="shared" si="2"/>
        <v>0</v>
      </c>
      <c r="M18" s="592">
        <f t="shared" si="3"/>
        <v>1315230.681782007</v>
      </c>
      <c r="N18" s="504">
        <f>IF(M18&lt;&gt;0,+H18-M18,0)</f>
        <v>0</v>
      </c>
      <c r="O18" s="504">
        <f>+N18-L18</f>
        <v>0</v>
      </c>
      <c r="P18" s="278"/>
      <c r="R18" s="243"/>
      <c r="S18" s="243"/>
      <c r="T18" s="243"/>
      <c r="U18" s="243"/>
    </row>
    <row r="19" spans="2:21">
      <c r="B19" s="145" t="str">
        <f t="shared" si="0"/>
        <v/>
      </c>
      <c r="C19" s="495">
        <f>IF(D11="","-",+C18+1)</f>
        <v>2019</v>
      </c>
      <c r="D19" s="614">
        <v>10250315.605044162</v>
      </c>
      <c r="E19" s="613">
        <v>314828.66007880151</v>
      </c>
      <c r="F19" s="614">
        <v>9935486.9449653607</v>
      </c>
      <c r="G19" s="613">
        <v>1363844.0888504181</v>
      </c>
      <c r="H19" s="617">
        <v>1363844.0888504181</v>
      </c>
      <c r="I19" s="500">
        <f>H19-G19</f>
        <v>0</v>
      </c>
      <c r="J19" s="500"/>
      <c r="K19" s="592">
        <f t="shared" si="1"/>
        <v>1363844.0888504181</v>
      </c>
      <c r="L19" s="596">
        <f t="shared" si="2"/>
        <v>0</v>
      </c>
      <c r="M19" s="592">
        <f t="shared" si="3"/>
        <v>1363844.0888504181</v>
      </c>
      <c r="N19" s="504">
        <f>IF(M19&lt;&gt;0,+H19-M19,0)</f>
        <v>0</v>
      </c>
      <c r="O19" s="504">
        <f>+N19-L19</f>
        <v>0</v>
      </c>
      <c r="P19" s="278"/>
      <c r="R19" s="243"/>
      <c r="S19" s="243"/>
      <c r="T19" s="243"/>
      <c r="U19" s="243"/>
    </row>
    <row r="20" spans="2:21">
      <c r="B20" s="145" t="str">
        <f t="shared" si="0"/>
        <v>IU</v>
      </c>
      <c r="C20" s="495">
        <f>IF(D11="","-",+C19+1)</f>
        <v>2020</v>
      </c>
      <c r="D20" s="614">
        <v>10431552.167790335</v>
      </c>
      <c r="E20" s="613">
        <v>323755.90908112278</v>
      </c>
      <c r="F20" s="614">
        <v>10107796.258709213</v>
      </c>
      <c r="G20" s="613">
        <v>1401378.1525541013</v>
      </c>
      <c r="H20" s="617">
        <v>1401378.1525541013</v>
      </c>
      <c r="I20" s="500">
        <f>H20-G20</f>
        <v>0</v>
      </c>
      <c r="J20" s="500"/>
      <c r="K20" s="592">
        <f t="shared" si="1"/>
        <v>1401378.1525541013</v>
      </c>
      <c r="L20" s="596">
        <f t="shared" si="2"/>
        <v>0</v>
      </c>
      <c r="M20" s="592">
        <f t="shared" si="3"/>
        <v>1401378.1525541013</v>
      </c>
      <c r="N20" s="504">
        <f t="shared" si="4"/>
        <v>0</v>
      </c>
      <c r="O20" s="504">
        <f t="shared" si="5"/>
        <v>0</v>
      </c>
      <c r="P20" s="278"/>
      <c r="R20" s="243"/>
      <c r="S20" s="243"/>
      <c r="T20" s="243"/>
      <c r="U20" s="243"/>
    </row>
    <row r="21" spans="2:21">
      <c r="B21" s="145" t="str">
        <f t="shared" si="0"/>
        <v>IU</v>
      </c>
      <c r="C21" s="495">
        <f>IF(D12="","-",+C20+1)</f>
        <v>2021</v>
      </c>
      <c r="D21" s="614">
        <v>10053296.035884239</v>
      </c>
      <c r="E21" s="613">
        <v>356663.38709677418</v>
      </c>
      <c r="F21" s="614">
        <v>9696632.6487874649</v>
      </c>
      <c r="G21" s="613">
        <v>1424987.0679285447</v>
      </c>
      <c r="H21" s="617">
        <v>1424987.0679285447</v>
      </c>
      <c r="I21" s="500">
        <f t="shared" ref="I21:I73" si="6">H21-G21</f>
        <v>0</v>
      </c>
      <c r="J21" s="500"/>
      <c r="K21" s="592">
        <f t="shared" si="1"/>
        <v>1424987.0679285447</v>
      </c>
      <c r="L21" s="596">
        <f t="shared" si="2"/>
        <v>0</v>
      </c>
      <c r="M21" s="592">
        <f t="shared" si="3"/>
        <v>1424987.0679285447</v>
      </c>
      <c r="N21" s="504">
        <f t="shared" si="4"/>
        <v>0</v>
      </c>
      <c r="O21" s="504">
        <f t="shared" si="5"/>
        <v>0</v>
      </c>
      <c r="P21" s="278"/>
      <c r="R21" s="243"/>
      <c r="S21" s="243"/>
      <c r="T21" s="243"/>
      <c r="U21" s="243"/>
    </row>
    <row r="22" spans="2:21">
      <c r="B22" s="145" t="str">
        <f t="shared" si="0"/>
        <v/>
      </c>
      <c r="C22" s="580">
        <f>IF(D11="","-",+C21+1)</f>
        <v>2022</v>
      </c>
      <c r="D22" s="614">
        <v>9696632.6487874649</v>
      </c>
      <c r="E22" s="613">
        <v>335047.42424242425</v>
      </c>
      <c r="F22" s="614">
        <v>9361585.2245450411</v>
      </c>
      <c r="G22" s="613">
        <v>1428596.2821515901</v>
      </c>
      <c r="H22" s="617">
        <v>1428596.2821515901</v>
      </c>
      <c r="I22" s="500">
        <f t="shared" si="6"/>
        <v>0</v>
      </c>
      <c r="J22" s="500"/>
      <c r="K22" s="592">
        <f t="shared" si="1"/>
        <v>1428596.2821515901</v>
      </c>
      <c r="L22" s="596">
        <f t="shared" si="2"/>
        <v>0</v>
      </c>
      <c r="M22" s="592">
        <f t="shared" si="3"/>
        <v>1428596.2821515901</v>
      </c>
      <c r="N22" s="504">
        <f t="shared" si="4"/>
        <v>0</v>
      </c>
      <c r="O22" s="504">
        <f t="shared" si="5"/>
        <v>0</v>
      </c>
      <c r="P22" s="278"/>
      <c r="R22" s="243"/>
      <c r="S22" s="243"/>
      <c r="T22" s="243"/>
      <c r="U22" s="243"/>
    </row>
    <row r="23" spans="2:21">
      <c r="B23" s="145" t="str">
        <f t="shared" si="0"/>
        <v>IU</v>
      </c>
      <c r="C23" s="495">
        <f>IF(D11="","-",+C22+1)</f>
        <v>2023</v>
      </c>
      <c r="D23" s="614">
        <v>9361585.5845450424</v>
      </c>
      <c r="E23" s="613">
        <v>356663.39870967745</v>
      </c>
      <c r="F23" s="614">
        <v>9004922.1858353652</v>
      </c>
      <c r="G23" s="613">
        <v>1394672.8038742263</v>
      </c>
      <c r="H23" s="617">
        <v>1394672.8038742263</v>
      </c>
      <c r="I23" s="500">
        <f t="shared" si="6"/>
        <v>0</v>
      </c>
      <c r="J23" s="500"/>
      <c r="K23" s="512"/>
      <c r="L23" s="504">
        <f t="shared" ref="L23:L73" si="7">IF(K23&lt;&gt;0,+G23-K23,0)</f>
        <v>0</v>
      </c>
      <c r="M23" s="512"/>
      <c r="N23" s="504">
        <f t="shared" si="4"/>
        <v>0</v>
      </c>
      <c r="O23" s="504">
        <f t="shared" si="5"/>
        <v>0</v>
      </c>
      <c r="P23" s="278"/>
      <c r="R23" s="243"/>
      <c r="S23" s="243"/>
      <c r="T23" s="243"/>
      <c r="U23" s="243"/>
    </row>
    <row r="24" spans="2:21">
      <c r="B24" s="145" t="str">
        <f t="shared" si="0"/>
        <v/>
      </c>
      <c r="C24" s="495">
        <f>IF(D11="","-",+C23+1)</f>
        <v>2024</v>
      </c>
      <c r="D24" s="508">
        <f>IF(F23+SUM(E$17:E23)=D$10,F23,D$10-SUM(E$17:E23))</f>
        <v>9004922.1858353652</v>
      </c>
      <c r="E24" s="509">
        <f t="shared" ref="E24:E40" si="8">IF(+I$14&lt;F23,I$14,D24)</f>
        <v>356663.39870967745</v>
      </c>
      <c r="F24" s="510">
        <f t="shared" ref="F24:F73" si="9">+D24-E24</f>
        <v>8648258.787125688</v>
      </c>
      <c r="G24" s="511">
        <f t="shared" ref="G24:G73" si="10">(D24+F24)/2*I$12+E24</f>
        <v>1362291.2680030938</v>
      </c>
      <c r="H24" s="477">
        <f t="shared" ref="H24:H73" si="11">+(D24+F24)/2*I$13+E24</f>
        <v>1362291.2680030938</v>
      </c>
      <c r="I24" s="500">
        <f t="shared" si="6"/>
        <v>0</v>
      </c>
      <c r="J24" s="500"/>
      <c r="K24" s="512"/>
      <c r="L24" s="504">
        <f t="shared" si="7"/>
        <v>0</v>
      </c>
      <c r="M24" s="512"/>
      <c r="N24" s="504">
        <f t="shared" si="4"/>
        <v>0</v>
      </c>
      <c r="O24" s="504">
        <f t="shared" si="5"/>
        <v>0</v>
      </c>
      <c r="P24" s="278"/>
      <c r="R24" s="243"/>
      <c r="S24" s="243"/>
      <c r="T24" s="243"/>
      <c r="U24" s="243"/>
    </row>
    <row r="25" spans="2:21">
      <c r="B25" s="145" t="str">
        <f t="shared" si="0"/>
        <v/>
      </c>
      <c r="C25" s="495">
        <f>IF(D11="","-",+C24+1)</f>
        <v>2025</v>
      </c>
      <c r="D25" s="508">
        <f>IF(F24+SUM(E$17:E24)=D$10,F24,D$10-SUM(E$17:E24))</f>
        <v>8648258.787125688</v>
      </c>
      <c r="E25" s="509">
        <f t="shared" si="8"/>
        <v>356663.39870967745</v>
      </c>
      <c r="F25" s="510">
        <f t="shared" si="9"/>
        <v>8291595.3884160109</v>
      </c>
      <c r="G25" s="511">
        <f t="shared" si="10"/>
        <v>1321656.0245023642</v>
      </c>
      <c r="H25" s="477">
        <f t="shared" si="11"/>
        <v>1321656.0245023642</v>
      </c>
      <c r="I25" s="500">
        <f t="shared" si="6"/>
        <v>0</v>
      </c>
      <c r="J25" s="500"/>
      <c r="K25" s="512"/>
      <c r="L25" s="504">
        <f t="shared" si="7"/>
        <v>0</v>
      </c>
      <c r="M25" s="512"/>
      <c r="N25" s="504">
        <f t="shared" si="4"/>
        <v>0</v>
      </c>
      <c r="O25" s="504">
        <f t="shared" si="5"/>
        <v>0</v>
      </c>
      <c r="P25" s="278"/>
      <c r="R25" s="243"/>
      <c r="S25" s="243"/>
      <c r="T25" s="243"/>
      <c r="U25" s="243"/>
    </row>
    <row r="26" spans="2:21">
      <c r="B26" s="145" t="str">
        <f t="shared" si="0"/>
        <v/>
      </c>
      <c r="C26" s="495">
        <f>IF(D11="","-",+C25+1)</f>
        <v>2026</v>
      </c>
      <c r="D26" s="508">
        <f>IF(F25+SUM(E$17:E25)=D$10,F25,D$10-SUM(E$17:E25))</f>
        <v>8291595.3884160109</v>
      </c>
      <c r="E26" s="509">
        <f t="shared" si="8"/>
        <v>356663.39870967745</v>
      </c>
      <c r="F26" s="510">
        <f t="shared" si="9"/>
        <v>7934931.9897063337</v>
      </c>
      <c r="G26" s="511">
        <f t="shared" si="10"/>
        <v>1281020.7810016344</v>
      </c>
      <c r="H26" s="477">
        <f t="shared" si="11"/>
        <v>1281020.7810016344</v>
      </c>
      <c r="I26" s="500">
        <f t="shared" si="6"/>
        <v>0</v>
      </c>
      <c r="J26" s="500"/>
      <c r="K26" s="512"/>
      <c r="L26" s="504">
        <f t="shared" si="7"/>
        <v>0</v>
      </c>
      <c r="M26" s="512"/>
      <c r="N26" s="504">
        <f t="shared" si="4"/>
        <v>0</v>
      </c>
      <c r="O26" s="504">
        <f t="shared" si="5"/>
        <v>0</v>
      </c>
      <c r="P26" s="278"/>
      <c r="R26" s="243"/>
      <c r="S26" s="243"/>
      <c r="T26" s="243"/>
      <c r="U26" s="243"/>
    </row>
    <row r="27" spans="2:21">
      <c r="B27" s="145" t="str">
        <f t="shared" si="0"/>
        <v/>
      </c>
      <c r="C27" s="495">
        <f>IF(D11="","-",+C26+1)</f>
        <v>2027</v>
      </c>
      <c r="D27" s="508">
        <f>IF(F26+SUM(E$17:E26)=D$10,F26,D$10-SUM(E$17:E26))</f>
        <v>7934931.9897063337</v>
      </c>
      <c r="E27" s="509">
        <f t="shared" si="8"/>
        <v>356663.39870967745</v>
      </c>
      <c r="F27" s="510">
        <f t="shared" si="9"/>
        <v>7578268.5909966566</v>
      </c>
      <c r="G27" s="511">
        <f t="shared" si="10"/>
        <v>1240385.5375009046</v>
      </c>
      <c r="H27" s="477">
        <f t="shared" si="11"/>
        <v>1240385.5375009046</v>
      </c>
      <c r="I27" s="500">
        <f t="shared" si="6"/>
        <v>0</v>
      </c>
      <c r="J27" s="500"/>
      <c r="K27" s="512"/>
      <c r="L27" s="504">
        <f t="shared" si="7"/>
        <v>0</v>
      </c>
      <c r="M27" s="512"/>
      <c r="N27" s="504">
        <f t="shared" si="4"/>
        <v>0</v>
      </c>
      <c r="O27" s="504">
        <f t="shared" si="5"/>
        <v>0</v>
      </c>
      <c r="P27" s="278"/>
      <c r="R27" s="243"/>
      <c r="S27" s="243"/>
      <c r="T27" s="243"/>
      <c r="U27" s="243"/>
    </row>
    <row r="28" spans="2:21">
      <c r="B28" s="145" t="str">
        <f t="shared" si="0"/>
        <v/>
      </c>
      <c r="C28" s="495">
        <f>IF(D11="","-",+C27+1)</f>
        <v>2028</v>
      </c>
      <c r="D28" s="508">
        <f>IF(F27+SUM(E$17:E27)=D$10,F27,D$10-SUM(E$17:E27))</f>
        <v>7578268.5909966566</v>
      </c>
      <c r="E28" s="509">
        <f t="shared" si="8"/>
        <v>356663.39870967745</v>
      </c>
      <c r="F28" s="510">
        <f t="shared" si="9"/>
        <v>7221605.1922869794</v>
      </c>
      <c r="G28" s="511">
        <f t="shared" si="10"/>
        <v>1199750.2940001749</v>
      </c>
      <c r="H28" s="477">
        <f t="shared" si="11"/>
        <v>1199750.2940001749</v>
      </c>
      <c r="I28" s="500">
        <f t="shared" si="6"/>
        <v>0</v>
      </c>
      <c r="J28" s="500"/>
      <c r="K28" s="512"/>
      <c r="L28" s="504">
        <f t="shared" si="7"/>
        <v>0</v>
      </c>
      <c r="M28" s="512"/>
      <c r="N28" s="504">
        <f t="shared" si="4"/>
        <v>0</v>
      </c>
      <c r="O28" s="504">
        <f t="shared" si="5"/>
        <v>0</v>
      </c>
      <c r="P28" s="278"/>
      <c r="R28" s="243"/>
      <c r="S28" s="243"/>
      <c r="T28" s="243"/>
      <c r="U28" s="243"/>
    </row>
    <row r="29" spans="2:21">
      <c r="B29" s="145" t="str">
        <f t="shared" si="0"/>
        <v/>
      </c>
      <c r="C29" s="495">
        <f>IF(D11="","-",+C28+1)</f>
        <v>2029</v>
      </c>
      <c r="D29" s="508">
        <f>IF(F28+SUM(E$17:E28)=D$10,F28,D$10-SUM(E$17:E28))</f>
        <v>7221605.1922869794</v>
      </c>
      <c r="E29" s="509">
        <f t="shared" si="8"/>
        <v>356663.39870967745</v>
      </c>
      <c r="F29" s="510">
        <f t="shared" si="9"/>
        <v>6864941.7935773022</v>
      </c>
      <c r="G29" s="511">
        <f t="shared" si="10"/>
        <v>1159115.0504994451</v>
      </c>
      <c r="H29" s="477">
        <f t="shared" si="11"/>
        <v>1159115.0504994451</v>
      </c>
      <c r="I29" s="500">
        <f t="shared" si="6"/>
        <v>0</v>
      </c>
      <c r="J29" s="500"/>
      <c r="K29" s="512"/>
      <c r="L29" s="504">
        <f t="shared" si="7"/>
        <v>0</v>
      </c>
      <c r="M29" s="512"/>
      <c r="N29" s="504">
        <f t="shared" si="4"/>
        <v>0</v>
      </c>
      <c r="O29" s="504">
        <f t="shared" si="5"/>
        <v>0</v>
      </c>
      <c r="P29" s="278"/>
      <c r="R29" s="243"/>
      <c r="S29" s="243"/>
      <c r="T29" s="243"/>
      <c r="U29" s="243"/>
    </row>
    <row r="30" spans="2:21">
      <c r="B30" s="145" t="str">
        <f t="shared" si="0"/>
        <v/>
      </c>
      <c r="C30" s="495">
        <f>IF(D11="","-",+C29+1)</f>
        <v>2030</v>
      </c>
      <c r="D30" s="508">
        <f>IF(F29+SUM(E$17:E29)=D$10,F29,D$10-SUM(E$17:E29))</f>
        <v>6864941.7935773022</v>
      </c>
      <c r="E30" s="509">
        <f t="shared" si="8"/>
        <v>356663.39870967745</v>
      </c>
      <c r="F30" s="510">
        <f t="shared" si="9"/>
        <v>6508278.3948676251</v>
      </c>
      <c r="G30" s="511">
        <f t="shared" si="10"/>
        <v>1118479.8069987153</v>
      </c>
      <c r="H30" s="477">
        <f t="shared" si="11"/>
        <v>1118479.8069987153</v>
      </c>
      <c r="I30" s="500">
        <f t="shared" si="6"/>
        <v>0</v>
      </c>
      <c r="J30" s="500"/>
      <c r="K30" s="512"/>
      <c r="L30" s="504">
        <f t="shared" si="7"/>
        <v>0</v>
      </c>
      <c r="M30" s="512"/>
      <c r="N30" s="504">
        <f t="shared" si="4"/>
        <v>0</v>
      </c>
      <c r="O30" s="504">
        <f t="shared" si="5"/>
        <v>0</v>
      </c>
      <c r="P30" s="278"/>
      <c r="R30" s="243"/>
      <c r="S30" s="243"/>
      <c r="T30" s="243"/>
      <c r="U30" s="243"/>
    </row>
    <row r="31" spans="2:21">
      <c r="B31" s="145" t="str">
        <f t="shared" si="0"/>
        <v/>
      </c>
      <c r="C31" s="495">
        <f>IF(D11="","-",+C30+1)</f>
        <v>2031</v>
      </c>
      <c r="D31" s="508">
        <f>IF(F30+SUM(E$17:E30)=D$10,F30,D$10-SUM(E$17:E30))</f>
        <v>6508278.3948676251</v>
      </c>
      <c r="E31" s="509">
        <f t="shared" si="8"/>
        <v>356663.39870967745</v>
      </c>
      <c r="F31" s="510">
        <f t="shared" si="9"/>
        <v>6151614.9961579479</v>
      </c>
      <c r="G31" s="511">
        <f t="shared" si="10"/>
        <v>1077844.5634979857</v>
      </c>
      <c r="H31" s="477">
        <f t="shared" si="11"/>
        <v>1077844.5634979857</v>
      </c>
      <c r="I31" s="500">
        <f t="shared" si="6"/>
        <v>0</v>
      </c>
      <c r="J31" s="500"/>
      <c r="K31" s="512"/>
      <c r="L31" s="504">
        <f t="shared" si="7"/>
        <v>0</v>
      </c>
      <c r="M31" s="512"/>
      <c r="N31" s="504">
        <f t="shared" si="4"/>
        <v>0</v>
      </c>
      <c r="O31" s="504">
        <f t="shared" si="5"/>
        <v>0</v>
      </c>
      <c r="P31" s="278"/>
      <c r="Q31" s="220"/>
      <c r="R31" s="278"/>
      <c r="S31" s="278"/>
      <c r="T31" s="278"/>
      <c r="U31" s="243"/>
    </row>
    <row r="32" spans="2:21">
      <c r="B32" s="145" t="str">
        <f t="shared" si="0"/>
        <v/>
      </c>
      <c r="C32" s="495">
        <f>IF(D12="","-",+C31+1)</f>
        <v>2032</v>
      </c>
      <c r="D32" s="508">
        <f>IF(F31+SUM(E$17:E31)=D$10,F31,D$10-SUM(E$17:E31))</f>
        <v>6151614.9961579479</v>
      </c>
      <c r="E32" s="509">
        <f t="shared" si="8"/>
        <v>356663.39870967745</v>
      </c>
      <c r="F32" s="510">
        <f>+D32-E32</f>
        <v>5794951.5974482708</v>
      </c>
      <c r="G32" s="511">
        <f t="shared" si="10"/>
        <v>1037209.3199972559</v>
      </c>
      <c r="H32" s="477">
        <f t="shared" si="11"/>
        <v>1037209.3199972559</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2033</v>
      </c>
      <c r="D33" s="508">
        <f>IF(F32+SUM(E$17:E32)=D$10,F32,D$10-SUM(E$17:E32))</f>
        <v>5794951.5974482708</v>
      </c>
      <c r="E33" s="509">
        <f t="shared" si="8"/>
        <v>356663.39870967745</v>
      </c>
      <c r="F33" s="510">
        <f>+D33-E33</f>
        <v>5438288.1987385936</v>
      </c>
      <c r="G33" s="511">
        <f t="shared" si="10"/>
        <v>996574.07649652613</v>
      </c>
      <c r="H33" s="477">
        <f t="shared" si="11"/>
        <v>996574.07649652613</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2034</v>
      </c>
      <c r="D34" s="514">
        <f>IF(F33+SUM(E$17:E33)=D$10,F33,D$10-SUM(E$17:E33))</f>
        <v>5438288.1987385936</v>
      </c>
      <c r="E34" s="515">
        <f t="shared" si="8"/>
        <v>356663.39870967745</v>
      </c>
      <c r="F34" s="516">
        <f t="shared" si="9"/>
        <v>5081624.8000289164</v>
      </c>
      <c r="G34" s="511">
        <f t="shared" si="10"/>
        <v>955938.83299579634</v>
      </c>
      <c r="H34" s="477">
        <f t="shared" si="11"/>
        <v>955938.83299579634</v>
      </c>
      <c r="I34" s="519">
        <f t="shared" si="6"/>
        <v>0</v>
      </c>
      <c r="J34" s="519"/>
      <c r="K34" s="520"/>
      <c r="L34" s="521">
        <f t="shared" si="7"/>
        <v>0</v>
      </c>
      <c r="M34" s="520"/>
      <c r="N34" s="521">
        <f t="shared" si="4"/>
        <v>0</v>
      </c>
      <c r="O34" s="521">
        <f t="shared" si="5"/>
        <v>0</v>
      </c>
      <c r="P34" s="522"/>
      <c r="Q34" s="216"/>
      <c r="R34" s="522"/>
      <c r="S34" s="522"/>
      <c r="T34" s="522"/>
      <c r="U34" s="243"/>
    </row>
    <row r="35" spans="2:21">
      <c r="B35" s="145" t="str">
        <f t="shared" si="0"/>
        <v/>
      </c>
      <c r="C35" s="495">
        <f>IF(D11="","-",+C34+1)</f>
        <v>2035</v>
      </c>
      <c r="D35" s="508">
        <f>IF(F34+SUM(E$17:E34)=D$10,F34,D$10-SUM(E$17:E34))</f>
        <v>5081624.8000289164</v>
      </c>
      <c r="E35" s="509">
        <f t="shared" si="8"/>
        <v>356663.39870967745</v>
      </c>
      <c r="F35" s="510">
        <f t="shared" si="9"/>
        <v>4724961.4013192393</v>
      </c>
      <c r="G35" s="511">
        <f t="shared" si="10"/>
        <v>915303.58949506655</v>
      </c>
      <c r="H35" s="477">
        <f t="shared" si="11"/>
        <v>915303.58949506655</v>
      </c>
      <c r="I35" s="500">
        <f t="shared" si="6"/>
        <v>0</v>
      </c>
      <c r="J35" s="500"/>
      <c r="K35" s="512"/>
      <c r="L35" s="504">
        <f t="shared" si="7"/>
        <v>0</v>
      </c>
      <c r="M35" s="512"/>
      <c r="N35" s="504">
        <f t="shared" si="4"/>
        <v>0</v>
      </c>
      <c r="O35" s="504">
        <f t="shared" si="5"/>
        <v>0</v>
      </c>
      <c r="P35" s="278"/>
      <c r="R35" s="243"/>
      <c r="S35" s="243"/>
      <c r="T35" s="243"/>
      <c r="U35" s="243"/>
    </row>
    <row r="36" spans="2:21">
      <c r="B36" s="145" t="str">
        <f t="shared" si="0"/>
        <v/>
      </c>
      <c r="C36" s="495">
        <f>IF(D11="","-",+C35+1)</f>
        <v>2036</v>
      </c>
      <c r="D36" s="508">
        <f>IF(F35+SUM(E$17:E35)=D$10,F35,D$10-SUM(E$17:E35))</f>
        <v>4724961.4013192393</v>
      </c>
      <c r="E36" s="509">
        <f t="shared" si="8"/>
        <v>356663.39870967745</v>
      </c>
      <c r="F36" s="510">
        <f t="shared" si="9"/>
        <v>4368298.0026095621</v>
      </c>
      <c r="G36" s="511">
        <f t="shared" si="10"/>
        <v>874668.34599433676</v>
      </c>
      <c r="H36" s="477">
        <f t="shared" si="11"/>
        <v>874668.34599433676</v>
      </c>
      <c r="I36" s="500">
        <f t="shared" si="6"/>
        <v>0</v>
      </c>
      <c r="J36" s="500"/>
      <c r="K36" s="512"/>
      <c r="L36" s="504">
        <f t="shared" si="7"/>
        <v>0</v>
      </c>
      <c r="M36" s="512"/>
      <c r="N36" s="504">
        <f t="shared" si="4"/>
        <v>0</v>
      </c>
      <c r="O36" s="504">
        <f t="shared" si="5"/>
        <v>0</v>
      </c>
      <c r="P36" s="278"/>
      <c r="R36" s="243"/>
      <c r="S36" s="243"/>
      <c r="T36" s="243"/>
      <c r="U36" s="243"/>
    </row>
    <row r="37" spans="2:21">
      <c r="B37" s="145" t="str">
        <f t="shared" si="0"/>
        <v/>
      </c>
      <c r="C37" s="495">
        <f>IF(D11="","-",+C36+1)</f>
        <v>2037</v>
      </c>
      <c r="D37" s="508">
        <f>IF(F36+SUM(E$17:E36)=D$10,F36,D$10-SUM(E$17:E36))</f>
        <v>4368298.0026095621</v>
      </c>
      <c r="E37" s="509">
        <f t="shared" si="8"/>
        <v>356663.39870967745</v>
      </c>
      <c r="F37" s="510">
        <f t="shared" si="9"/>
        <v>4011634.6038998845</v>
      </c>
      <c r="G37" s="511">
        <f t="shared" si="10"/>
        <v>834033.10249360709</v>
      </c>
      <c r="H37" s="477">
        <f t="shared" si="11"/>
        <v>834033.10249360709</v>
      </c>
      <c r="I37" s="500">
        <f t="shared" si="6"/>
        <v>0</v>
      </c>
      <c r="J37" s="500"/>
      <c r="K37" s="512"/>
      <c r="L37" s="504">
        <f t="shared" si="7"/>
        <v>0</v>
      </c>
      <c r="M37" s="512"/>
      <c r="N37" s="504">
        <f t="shared" si="4"/>
        <v>0</v>
      </c>
      <c r="O37" s="504">
        <f t="shared" si="5"/>
        <v>0</v>
      </c>
      <c r="P37" s="278"/>
      <c r="R37" s="243"/>
      <c r="S37" s="243"/>
      <c r="T37" s="243"/>
      <c r="U37" s="243"/>
    </row>
    <row r="38" spans="2:21">
      <c r="B38" s="145" t="str">
        <f t="shared" si="0"/>
        <v/>
      </c>
      <c r="C38" s="495">
        <f>IF(D11="","-",+C37+1)</f>
        <v>2038</v>
      </c>
      <c r="D38" s="508">
        <f>IF(F37+SUM(E$17:E37)=D$10,F37,D$10-SUM(E$17:E37))</f>
        <v>4011634.6038998845</v>
      </c>
      <c r="E38" s="509">
        <f t="shared" si="8"/>
        <v>356663.39870967745</v>
      </c>
      <c r="F38" s="510">
        <f t="shared" si="9"/>
        <v>3654971.2051902069</v>
      </c>
      <c r="G38" s="511">
        <f t="shared" si="10"/>
        <v>793397.85899287718</v>
      </c>
      <c r="H38" s="477">
        <f t="shared" si="11"/>
        <v>793397.85899287718</v>
      </c>
      <c r="I38" s="500">
        <f t="shared" si="6"/>
        <v>0</v>
      </c>
      <c r="J38" s="500"/>
      <c r="K38" s="512"/>
      <c r="L38" s="504">
        <f t="shared" si="7"/>
        <v>0</v>
      </c>
      <c r="M38" s="512"/>
      <c r="N38" s="504">
        <f t="shared" si="4"/>
        <v>0</v>
      </c>
      <c r="O38" s="504">
        <f t="shared" si="5"/>
        <v>0</v>
      </c>
      <c r="P38" s="278"/>
      <c r="R38" s="243"/>
      <c r="S38" s="243"/>
      <c r="T38" s="243"/>
      <c r="U38" s="243"/>
    </row>
    <row r="39" spans="2:21">
      <c r="B39" s="145" t="str">
        <f t="shared" si="0"/>
        <v/>
      </c>
      <c r="C39" s="495">
        <f>IF(D11="","-",+C38+1)</f>
        <v>2039</v>
      </c>
      <c r="D39" s="508">
        <f>IF(F38+SUM(E$17:E38)=D$10,F38,D$10-SUM(E$17:E38))</f>
        <v>3654971.2051902069</v>
      </c>
      <c r="E39" s="509">
        <f t="shared" si="8"/>
        <v>356663.39870967745</v>
      </c>
      <c r="F39" s="510">
        <f t="shared" si="9"/>
        <v>3298307.8064805293</v>
      </c>
      <c r="G39" s="511">
        <f t="shared" si="10"/>
        <v>752762.61549214739</v>
      </c>
      <c r="H39" s="477">
        <f t="shared" si="11"/>
        <v>752762.61549214739</v>
      </c>
      <c r="I39" s="500">
        <f t="shared" si="6"/>
        <v>0</v>
      </c>
      <c r="J39" s="500"/>
      <c r="K39" s="512"/>
      <c r="L39" s="504">
        <f t="shared" si="7"/>
        <v>0</v>
      </c>
      <c r="M39" s="512"/>
      <c r="N39" s="504">
        <f t="shared" si="4"/>
        <v>0</v>
      </c>
      <c r="O39" s="504">
        <f t="shared" si="5"/>
        <v>0</v>
      </c>
      <c r="P39" s="278"/>
      <c r="R39" s="243"/>
      <c r="S39" s="243"/>
      <c r="T39" s="243"/>
      <c r="U39" s="243"/>
    </row>
    <row r="40" spans="2:21">
      <c r="B40" s="145" t="str">
        <f t="shared" si="0"/>
        <v/>
      </c>
      <c r="C40" s="495">
        <f>IF(D11="","-",+C39+1)</f>
        <v>2040</v>
      </c>
      <c r="D40" s="508">
        <f>IF(F39+SUM(E$17:E39)=D$10,F39,D$10-SUM(E$17:E39))</f>
        <v>3298307.8064805293</v>
      </c>
      <c r="E40" s="509">
        <f t="shared" si="8"/>
        <v>356663.39870967745</v>
      </c>
      <c r="F40" s="510">
        <f t="shared" si="9"/>
        <v>2941644.4077708516</v>
      </c>
      <c r="G40" s="511">
        <f t="shared" si="10"/>
        <v>712127.3719914176</v>
      </c>
      <c r="H40" s="477">
        <f t="shared" si="11"/>
        <v>712127.3719914176</v>
      </c>
      <c r="I40" s="500">
        <f t="shared" si="6"/>
        <v>0</v>
      </c>
      <c r="J40" s="500"/>
      <c r="K40" s="512"/>
      <c r="L40" s="504">
        <f t="shared" si="7"/>
        <v>0</v>
      </c>
      <c r="M40" s="512"/>
      <c r="N40" s="504">
        <f t="shared" si="4"/>
        <v>0</v>
      </c>
      <c r="O40" s="504">
        <f t="shared" si="5"/>
        <v>0</v>
      </c>
      <c r="P40" s="278"/>
      <c r="R40" s="243"/>
      <c r="S40" s="243"/>
      <c r="T40" s="243"/>
      <c r="U40" s="243"/>
    </row>
    <row r="41" spans="2:21">
      <c r="B41" s="145" t="str">
        <f t="shared" si="0"/>
        <v/>
      </c>
      <c r="C41" s="495">
        <f>IF(D12="","-",+C40+1)</f>
        <v>2041</v>
      </c>
      <c r="D41" s="508">
        <f>IF(F40+SUM(E$17:E40)=D$10,F40,D$10-SUM(E$17:E40))</f>
        <v>2941644.4077708516</v>
      </c>
      <c r="E41" s="509">
        <f t="shared" ref="E41:E73" si="12">IF(+I$14&lt;F40,I$14,D41)</f>
        <v>356663.39870967745</v>
      </c>
      <c r="F41" s="510">
        <f>+D41-E41</f>
        <v>2584981.009061174</v>
      </c>
      <c r="G41" s="511">
        <f t="shared" si="10"/>
        <v>671492.12849068781</v>
      </c>
      <c r="H41" s="477">
        <f t="shared" si="11"/>
        <v>671492.12849068781</v>
      </c>
      <c r="I41" s="500">
        <f>H41-G41</f>
        <v>0</v>
      </c>
      <c r="J41" s="500"/>
      <c r="K41" s="512"/>
      <c r="L41" s="504">
        <f>IF(K41&lt;&gt;0,+G41-K41,0)</f>
        <v>0</v>
      </c>
      <c r="M41" s="512"/>
      <c r="N41" s="504">
        <f>IF(M41&lt;&gt;0,+H41-M41,0)</f>
        <v>0</v>
      </c>
      <c r="O41" s="504">
        <f>+N41-L41</f>
        <v>0</v>
      </c>
      <c r="P41" s="278"/>
      <c r="R41" s="243"/>
      <c r="S41" s="243"/>
      <c r="T41" s="243"/>
      <c r="U41" s="243"/>
    </row>
    <row r="42" spans="2:21">
      <c r="B42" s="145" t="str">
        <f t="shared" si="0"/>
        <v/>
      </c>
      <c r="C42" s="495">
        <f>IF(D13="","-",+C41+1)</f>
        <v>2042</v>
      </c>
      <c r="D42" s="508">
        <f>IF(F41+SUM(E$17:E41)=D$10,F41,D$10-SUM(E$17:E41))</f>
        <v>2584981.009061174</v>
      </c>
      <c r="E42" s="509">
        <f t="shared" si="12"/>
        <v>356663.39870967745</v>
      </c>
      <c r="F42" s="510">
        <f>+D42-E42</f>
        <v>2228317.6103514964</v>
      </c>
      <c r="G42" s="511">
        <f t="shared" si="10"/>
        <v>630856.88498995802</v>
      </c>
      <c r="H42" s="477">
        <f t="shared" si="11"/>
        <v>630856.88498995802</v>
      </c>
      <c r="I42" s="500">
        <f>H42-G42</f>
        <v>0</v>
      </c>
      <c r="J42" s="500"/>
      <c r="K42" s="512"/>
      <c r="L42" s="504">
        <f>IF(K42&lt;&gt;0,+G42-K42,0)</f>
        <v>0</v>
      </c>
      <c r="M42" s="512"/>
      <c r="N42" s="504">
        <f>IF(M42&lt;&gt;0,+H42-M42,0)</f>
        <v>0</v>
      </c>
      <c r="O42" s="504">
        <f>+N42-L42</f>
        <v>0</v>
      </c>
      <c r="P42" s="278"/>
      <c r="R42" s="243"/>
      <c r="S42" s="243"/>
      <c r="T42" s="243"/>
      <c r="U42" s="243"/>
    </row>
    <row r="43" spans="2:21">
      <c r="B43" s="145" t="str">
        <f t="shared" si="0"/>
        <v/>
      </c>
      <c r="C43" s="495">
        <f>IF(D14="","-",+C42+1)</f>
        <v>2043</v>
      </c>
      <c r="D43" s="508">
        <f>IF(F42+SUM(E$17:E42)=D$10,F42,D$10-SUM(E$17:E42))</f>
        <v>2228317.6103514964</v>
      </c>
      <c r="E43" s="509">
        <f t="shared" si="12"/>
        <v>356663.39870967745</v>
      </c>
      <c r="F43" s="510">
        <f>+D43-E43</f>
        <v>1871654.211641819</v>
      </c>
      <c r="G43" s="511">
        <f t="shared" si="10"/>
        <v>590221.64148922823</v>
      </c>
      <c r="H43" s="477">
        <f t="shared" si="11"/>
        <v>590221.64148922823</v>
      </c>
      <c r="I43" s="500">
        <f>H43-G43</f>
        <v>0</v>
      </c>
      <c r="J43" s="500"/>
      <c r="K43" s="512"/>
      <c r="L43" s="504">
        <f>IF(K43&lt;&gt;0,+G43-K43,0)</f>
        <v>0</v>
      </c>
      <c r="M43" s="512"/>
      <c r="N43" s="504">
        <f>IF(M43&lt;&gt;0,+H43-M43,0)</f>
        <v>0</v>
      </c>
      <c r="O43" s="504">
        <f>+N43-L43</f>
        <v>0</v>
      </c>
      <c r="P43" s="278"/>
      <c r="R43" s="243"/>
      <c r="S43" s="243"/>
      <c r="T43" s="243"/>
      <c r="U43" s="243"/>
    </row>
    <row r="44" spans="2:21">
      <c r="B44" s="145" t="str">
        <f t="shared" si="0"/>
        <v/>
      </c>
      <c r="C44" s="495">
        <f>IF(D11="","-",+C43+1)</f>
        <v>2044</v>
      </c>
      <c r="D44" s="508">
        <f>IF(F43+SUM(E$17:E43)=D$10,F43,D$10-SUM(E$17:E43))</f>
        <v>1871654.211641819</v>
      </c>
      <c r="E44" s="509">
        <f t="shared" si="12"/>
        <v>356663.39870967745</v>
      </c>
      <c r="F44" s="510">
        <f t="shared" si="9"/>
        <v>1514990.8129321416</v>
      </c>
      <c r="G44" s="511">
        <f t="shared" si="10"/>
        <v>549586.39798849844</v>
      </c>
      <c r="H44" s="477">
        <f t="shared" si="11"/>
        <v>549586.39798849844</v>
      </c>
      <c r="I44" s="500">
        <f t="shared" si="6"/>
        <v>0</v>
      </c>
      <c r="J44" s="500"/>
      <c r="K44" s="512"/>
      <c r="L44" s="504">
        <f t="shared" si="7"/>
        <v>0</v>
      </c>
      <c r="M44" s="512"/>
      <c r="N44" s="504">
        <f t="shared" si="4"/>
        <v>0</v>
      </c>
      <c r="O44" s="504">
        <f t="shared" si="5"/>
        <v>0</v>
      </c>
      <c r="P44" s="278"/>
      <c r="R44" s="243"/>
      <c r="S44" s="243"/>
      <c r="T44" s="243"/>
      <c r="U44" s="243"/>
    </row>
    <row r="45" spans="2:21">
      <c r="B45" s="145" t="str">
        <f t="shared" si="0"/>
        <v/>
      </c>
      <c r="C45" s="495">
        <f>IF(D11="","-",+C44+1)</f>
        <v>2045</v>
      </c>
      <c r="D45" s="508">
        <f>IF(F44+SUM(E$17:E44)=D$10,F44,D$10-SUM(E$17:E44))</f>
        <v>1514990.8129321416</v>
      </c>
      <c r="E45" s="509">
        <f t="shared" si="12"/>
        <v>356663.39870967745</v>
      </c>
      <c r="F45" s="510">
        <f t="shared" si="9"/>
        <v>1158327.4142224642</v>
      </c>
      <c r="G45" s="511">
        <f t="shared" si="10"/>
        <v>508951.15448776865</v>
      </c>
      <c r="H45" s="477">
        <f t="shared" si="11"/>
        <v>508951.15448776865</v>
      </c>
      <c r="I45" s="500">
        <f t="shared" si="6"/>
        <v>0</v>
      </c>
      <c r="J45" s="500"/>
      <c r="K45" s="512"/>
      <c r="L45" s="504">
        <f t="shared" si="7"/>
        <v>0</v>
      </c>
      <c r="M45" s="512"/>
      <c r="N45" s="504">
        <f t="shared" si="4"/>
        <v>0</v>
      </c>
      <c r="O45" s="504">
        <f t="shared" si="5"/>
        <v>0</v>
      </c>
      <c r="P45" s="278"/>
      <c r="R45" s="243"/>
      <c r="S45" s="243"/>
      <c r="T45" s="243"/>
      <c r="U45" s="243"/>
    </row>
    <row r="46" spans="2:21">
      <c r="B46" s="145" t="str">
        <f t="shared" si="0"/>
        <v/>
      </c>
      <c r="C46" s="495">
        <f>IF(D11="","-",+C45+1)</f>
        <v>2046</v>
      </c>
      <c r="D46" s="508">
        <f>IF(F45+SUM(E$17:E45)=D$10,F45,D$10-SUM(E$17:E45))</f>
        <v>1158327.4142224642</v>
      </c>
      <c r="E46" s="509">
        <f t="shared" si="12"/>
        <v>356663.39870967745</v>
      </c>
      <c r="F46" s="510">
        <f t="shared" si="9"/>
        <v>801664.01551278681</v>
      </c>
      <c r="G46" s="511">
        <f t="shared" si="10"/>
        <v>468315.91098703886</v>
      </c>
      <c r="H46" s="477">
        <f t="shared" si="11"/>
        <v>468315.91098703886</v>
      </c>
      <c r="I46" s="500">
        <f t="shared" si="6"/>
        <v>0</v>
      </c>
      <c r="J46" s="500"/>
      <c r="K46" s="512"/>
      <c r="L46" s="504">
        <f t="shared" si="7"/>
        <v>0</v>
      </c>
      <c r="M46" s="512"/>
      <c r="N46" s="504">
        <f t="shared" si="4"/>
        <v>0</v>
      </c>
      <c r="O46" s="504">
        <f t="shared" si="5"/>
        <v>0</v>
      </c>
      <c r="P46" s="278"/>
      <c r="R46" s="243"/>
      <c r="S46" s="243"/>
      <c r="T46" s="243"/>
      <c r="U46" s="243"/>
    </row>
    <row r="47" spans="2:21">
      <c r="B47" s="145" t="str">
        <f t="shared" si="0"/>
        <v/>
      </c>
      <c r="C47" s="495">
        <f>IF(D11="","-",+C46+1)</f>
        <v>2047</v>
      </c>
      <c r="D47" s="508">
        <f>IF(F46+SUM(E$17:E46)=D$10,F46,D$10-SUM(E$17:E46))</f>
        <v>801664.01551278681</v>
      </c>
      <c r="E47" s="509">
        <f t="shared" si="12"/>
        <v>356663.39870967745</v>
      </c>
      <c r="F47" s="510">
        <f t="shared" si="9"/>
        <v>445000.61680310935</v>
      </c>
      <c r="G47" s="511">
        <f t="shared" si="10"/>
        <v>427680.66748630913</v>
      </c>
      <c r="H47" s="477">
        <f t="shared" si="11"/>
        <v>427680.66748630913</v>
      </c>
      <c r="I47" s="500">
        <f t="shared" si="6"/>
        <v>0</v>
      </c>
      <c r="J47" s="500"/>
      <c r="K47" s="512"/>
      <c r="L47" s="504">
        <f t="shared" si="7"/>
        <v>0</v>
      </c>
      <c r="M47" s="512"/>
      <c r="N47" s="504">
        <f t="shared" si="4"/>
        <v>0</v>
      </c>
      <c r="O47" s="504">
        <f t="shared" si="5"/>
        <v>0</v>
      </c>
      <c r="P47" s="278"/>
      <c r="R47" s="243"/>
      <c r="S47" s="243"/>
      <c r="T47" s="243"/>
      <c r="U47" s="243"/>
    </row>
    <row r="48" spans="2:21">
      <c r="B48" s="145" t="str">
        <f t="shared" si="0"/>
        <v/>
      </c>
      <c r="C48" s="495">
        <f>IF(D11="","-",+C47+1)</f>
        <v>2048</v>
      </c>
      <c r="D48" s="508">
        <f>IF(F47+SUM(E$17:E47)=D$10,F47,D$10-SUM(E$17:E47))</f>
        <v>445000.61680310935</v>
      </c>
      <c r="E48" s="509">
        <f t="shared" si="12"/>
        <v>356663.39870967745</v>
      </c>
      <c r="F48" s="510">
        <f t="shared" si="9"/>
        <v>88337.218093431904</v>
      </c>
      <c r="G48" s="511">
        <f t="shared" si="10"/>
        <v>387045.42398557934</v>
      </c>
      <c r="H48" s="477">
        <f t="shared" si="11"/>
        <v>387045.42398557934</v>
      </c>
      <c r="I48" s="500">
        <f t="shared" si="6"/>
        <v>0</v>
      </c>
      <c r="J48" s="500"/>
      <c r="K48" s="512"/>
      <c r="L48" s="504">
        <f t="shared" si="7"/>
        <v>0</v>
      </c>
      <c r="M48" s="512"/>
      <c r="N48" s="504">
        <f t="shared" si="4"/>
        <v>0</v>
      </c>
      <c r="O48" s="504">
        <f t="shared" si="5"/>
        <v>0</v>
      </c>
      <c r="P48" s="278"/>
      <c r="R48" s="243"/>
      <c r="S48" s="243"/>
      <c r="T48" s="243"/>
      <c r="U48" s="243"/>
    </row>
    <row r="49" spans="2:21">
      <c r="B49" s="145" t="str">
        <f t="shared" si="0"/>
        <v/>
      </c>
      <c r="C49" s="495">
        <f>IF(D11="","-",+C48+1)</f>
        <v>2049</v>
      </c>
      <c r="D49" s="508">
        <f>IF(F48+SUM(E$17:E48)=D$10,F48,D$10-SUM(E$17:E48))</f>
        <v>88337.218093431904</v>
      </c>
      <c r="E49" s="509">
        <f t="shared" si="12"/>
        <v>88337.218093431904</v>
      </c>
      <c r="F49" s="510">
        <f t="shared" si="9"/>
        <v>0</v>
      </c>
      <c r="G49" s="511">
        <f t="shared" si="10"/>
        <v>93369.419856200388</v>
      </c>
      <c r="H49" s="477">
        <f t="shared" si="11"/>
        <v>93369.419856200388</v>
      </c>
      <c r="I49" s="500">
        <f t="shared" si="6"/>
        <v>0</v>
      </c>
      <c r="J49" s="500"/>
      <c r="K49" s="512"/>
      <c r="L49" s="504">
        <f t="shared" si="7"/>
        <v>0</v>
      </c>
      <c r="M49" s="512"/>
      <c r="N49" s="504">
        <f t="shared" si="4"/>
        <v>0</v>
      </c>
      <c r="O49" s="504">
        <f t="shared" si="5"/>
        <v>0</v>
      </c>
      <c r="P49" s="278"/>
      <c r="R49" s="243"/>
      <c r="S49" s="243"/>
      <c r="T49" s="243"/>
      <c r="U49" s="243"/>
    </row>
    <row r="50" spans="2:21">
      <c r="B50" s="145" t="str">
        <f t="shared" si="0"/>
        <v/>
      </c>
      <c r="C50" s="495">
        <f>IF(D11="","-",+C49+1)</f>
        <v>2050</v>
      </c>
      <c r="D50" s="508">
        <f>IF(F49+SUM(E$17:E49)=D$10,F49,D$10-SUM(E$17:E49))</f>
        <v>0</v>
      </c>
      <c r="E50" s="509">
        <f t="shared" si="12"/>
        <v>0</v>
      </c>
      <c r="F50" s="510">
        <f t="shared" si="9"/>
        <v>0</v>
      </c>
      <c r="G50" s="511">
        <f t="shared" si="10"/>
        <v>0</v>
      </c>
      <c r="H50" s="477">
        <f t="shared" si="11"/>
        <v>0</v>
      </c>
      <c r="I50" s="500">
        <f t="shared" si="6"/>
        <v>0</v>
      </c>
      <c r="J50" s="500"/>
      <c r="K50" s="512"/>
      <c r="L50" s="504">
        <f t="shared" si="7"/>
        <v>0</v>
      </c>
      <c r="M50" s="512"/>
      <c r="N50" s="504">
        <f t="shared" si="4"/>
        <v>0</v>
      </c>
      <c r="O50" s="504">
        <f t="shared" si="5"/>
        <v>0</v>
      </c>
      <c r="P50" s="278"/>
      <c r="R50" s="243"/>
      <c r="S50" s="243"/>
      <c r="T50" s="243"/>
      <c r="U50" s="243"/>
    </row>
    <row r="51" spans="2:21">
      <c r="B51" s="145" t="str">
        <f t="shared" si="0"/>
        <v/>
      </c>
      <c r="C51" s="495">
        <f>IF(D11="","-",+C50+1)</f>
        <v>2051</v>
      </c>
      <c r="D51" s="508">
        <f>IF(F50+SUM(E$17:E50)=D$10,F50,D$10-SUM(E$17:E50))</f>
        <v>0</v>
      </c>
      <c r="E51" s="509">
        <f t="shared" si="12"/>
        <v>0</v>
      </c>
      <c r="F51" s="510">
        <f t="shared" si="9"/>
        <v>0</v>
      </c>
      <c r="G51" s="511">
        <f t="shared" si="10"/>
        <v>0</v>
      </c>
      <c r="H51" s="477">
        <f t="shared" si="11"/>
        <v>0</v>
      </c>
      <c r="I51" s="500">
        <f t="shared" si="6"/>
        <v>0</v>
      </c>
      <c r="J51" s="500"/>
      <c r="K51" s="512"/>
      <c r="L51" s="504">
        <f t="shared" si="7"/>
        <v>0</v>
      </c>
      <c r="M51" s="512"/>
      <c r="N51" s="504">
        <f t="shared" si="4"/>
        <v>0</v>
      </c>
      <c r="O51" s="504">
        <f t="shared" si="5"/>
        <v>0</v>
      </c>
      <c r="P51" s="278"/>
      <c r="R51" s="243"/>
      <c r="S51" s="243"/>
      <c r="T51" s="243"/>
      <c r="U51" s="243"/>
    </row>
    <row r="52" spans="2:21">
      <c r="B52" s="145" t="str">
        <f t="shared" si="0"/>
        <v/>
      </c>
      <c r="C52" s="495">
        <f>IF(D11="","-",+C51+1)</f>
        <v>2052</v>
      </c>
      <c r="D52" s="508">
        <f>IF(F51+SUM(E$17:E51)=D$10,F51,D$10-SUM(E$17:E51))</f>
        <v>0</v>
      </c>
      <c r="E52" s="509">
        <f t="shared" si="12"/>
        <v>0</v>
      </c>
      <c r="F52" s="510">
        <f t="shared" si="9"/>
        <v>0</v>
      </c>
      <c r="G52" s="511">
        <f t="shared" si="10"/>
        <v>0</v>
      </c>
      <c r="H52" s="477">
        <f t="shared" si="11"/>
        <v>0</v>
      </c>
      <c r="I52" s="500">
        <f t="shared" si="6"/>
        <v>0</v>
      </c>
      <c r="J52" s="500"/>
      <c r="K52" s="512"/>
      <c r="L52" s="504">
        <f t="shared" si="7"/>
        <v>0</v>
      </c>
      <c r="M52" s="512"/>
      <c r="N52" s="504">
        <f t="shared" si="4"/>
        <v>0</v>
      </c>
      <c r="O52" s="504">
        <f t="shared" si="5"/>
        <v>0</v>
      </c>
      <c r="P52" s="278"/>
      <c r="R52" s="243"/>
      <c r="S52" s="243"/>
      <c r="T52" s="243"/>
      <c r="U52" s="243"/>
    </row>
    <row r="53" spans="2:21">
      <c r="B53" s="145" t="str">
        <f t="shared" si="0"/>
        <v/>
      </c>
      <c r="C53" s="495">
        <f>IF(D11="","-",+C52+1)</f>
        <v>2053</v>
      </c>
      <c r="D53" s="508">
        <f>IF(F52+SUM(E$17:E52)=D$10,F52,D$10-SUM(E$17:E52))</f>
        <v>0</v>
      </c>
      <c r="E53" s="509">
        <f t="shared" si="12"/>
        <v>0</v>
      </c>
      <c r="F53" s="510">
        <f t="shared" si="9"/>
        <v>0</v>
      </c>
      <c r="G53" s="511">
        <f t="shared" si="10"/>
        <v>0</v>
      </c>
      <c r="H53" s="477">
        <f t="shared" si="11"/>
        <v>0</v>
      </c>
      <c r="I53" s="500">
        <f t="shared" si="6"/>
        <v>0</v>
      </c>
      <c r="J53" s="500"/>
      <c r="K53" s="512"/>
      <c r="L53" s="504">
        <f t="shared" si="7"/>
        <v>0</v>
      </c>
      <c r="M53" s="512"/>
      <c r="N53" s="504">
        <f t="shared" si="4"/>
        <v>0</v>
      </c>
      <c r="O53" s="504">
        <f t="shared" si="5"/>
        <v>0</v>
      </c>
      <c r="P53" s="278"/>
      <c r="R53" s="243"/>
      <c r="S53" s="243"/>
      <c r="T53" s="243"/>
      <c r="U53" s="243"/>
    </row>
    <row r="54" spans="2:21">
      <c r="B54" s="145" t="str">
        <f t="shared" si="0"/>
        <v/>
      </c>
      <c r="C54" s="495">
        <f>IF(D11="","-",+C53+1)</f>
        <v>2054</v>
      </c>
      <c r="D54" s="508">
        <f>IF(F53+SUM(E$17:E53)=D$10,F53,D$10-SUM(E$17:E53))</f>
        <v>0</v>
      </c>
      <c r="E54" s="509">
        <f t="shared" si="12"/>
        <v>0</v>
      </c>
      <c r="F54" s="510">
        <f t="shared" si="9"/>
        <v>0</v>
      </c>
      <c r="G54" s="511">
        <f t="shared" si="10"/>
        <v>0</v>
      </c>
      <c r="H54" s="477">
        <f t="shared" si="11"/>
        <v>0</v>
      </c>
      <c r="I54" s="500">
        <f t="shared" si="6"/>
        <v>0</v>
      </c>
      <c r="J54" s="500"/>
      <c r="K54" s="512"/>
      <c r="L54" s="504">
        <f t="shared" si="7"/>
        <v>0</v>
      </c>
      <c r="M54" s="512"/>
      <c r="N54" s="504">
        <f t="shared" si="4"/>
        <v>0</v>
      </c>
      <c r="O54" s="504">
        <f t="shared" si="5"/>
        <v>0</v>
      </c>
      <c r="P54" s="278"/>
      <c r="R54" s="243"/>
      <c r="S54" s="243"/>
      <c r="T54" s="243"/>
      <c r="U54" s="243"/>
    </row>
    <row r="55" spans="2:21">
      <c r="B55" s="145" t="str">
        <f t="shared" si="0"/>
        <v/>
      </c>
      <c r="C55" s="495">
        <f>IF(D11="","-",+C54+1)</f>
        <v>2055</v>
      </c>
      <c r="D55" s="508">
        <f>IF(F54+SUM(E$17:E54)=D$10,F54,D$10-SUM(E$17:E54))</f>
        <v>0</v>
      </c>
      <c r="E55" s="509">
        <f t="shared" si="12"/>
        <v>0</v>
      </c>
      <c r="F55" s="510">
        <f t="shared" si="9"/>
        <v>0</v>
      </c>
      <c r="G55" s="511">
        <f t="shared" si="10"/>
        <v>0</v>
      </c>
      <c r="H55" s="477">
        <f t="shared" si="11"/>
        <v>0</v>
      </c>
      <c r="I55" s="500">
        <f t="shared" si="6"/>
        <v>0</v>
      </c>
      <c r="J55" s="500"/>
      <c r="K55" s="512"/>
      <c r="L55" s="504">
        <f t="shared" si="7"/>
        <v>0</v>
      </c>
      <c r="M55" s="512"/>
      <c r="N55" s="504">
        <f t="shared" si="4"/>
        <v>0</v>
      </c>
      <c r="O55" s="504">
        <f t="shared" si="5"/>
        <v>0</v>
      </c>
      <c r="P55" s="278"/>
      <c r="R55" s="243"/>
      <c r="S55" s="243"/>
      <c r="T55" s="243"/>
      <c r="U55" s="243"/>
    </row>
    <row r="56" spans="2:21">
      <c r="B56" s="145" t="str">
        <f t="shared" si="0"/>
        <v/>
      </c>
      <c r="C56" s="495">
        <f>IF(D11="","-",+C55+1)</f>
        <v>2056</v>
      </c>
      <c r="D56" s="508">
        <f>IF(F55+SUM(E$17:E55)=D$10,F55,D$10-SUM(E$17:E55))</f>
        <v>0</v>
      </c>
      <c r="E56" s="509">
        <f t="shared" si="12"/>
        <v>0</v>
      </c>
      <c r="F56" s="510">
        <f t="shared" si="9"/>
        <v>0</v>
      </c>
      <c r="G56" s="511">
        <f t="shared" si="10"/>
        <v>0</v>
      </c>
      <c r="H56" s="477">
        <f t="shared" si="11"/>
        <v>0</v>
      </c>
      <c r="I56" s="500">
        <f t="shared" si="6"/>
        <v>0</v>
      </c>
      <c r="J56" s="500"/>
      <c r="K56" s="512"/>
      <c r="L56" s="504">
        <f t="shared" si="7"/>
        <v>0</v>
      </c>
      <c r="M56" s="512"/>
      <c r="N56" s="504">
        <f t="shared" si="4"/>
        <v>0</v>
      </c>
      <c r="O56" s="504">
        <f t="shared" si="5"/>
        <v>0</v>
      </c>
      <c r="P56" s="278"/>
      <c r="R56" s="243"/>
      <c r="S56" s="243"/>
      <c r="T56" s="243"/>
      <c r="U56" s="243"/>
    </row>
    <row r="57" spans="2:21">
      <c r="B57" s="145" t="str">
        <f t="shared" si="0"/>
        <v/>
      </c>
      <c r="C57" s="495">
        <f>IF(D11="","-",+C56+1)</f>
        <v>2057</v>
      </c>
      <c r="D57" s="508">
        <f>IF(F56+SUM(E$17:E56)=D$10,F56,D$10-SUM(E$17:E56))</f>
        <v>0</v>
      </c>
      <c r="E57" s="509">
        <f t="shared" si="12"/>
        <v>0</v>
      </c>
      <c r="F57" s="510">
        <f t="shared" si="9"/>
        <v>0</v>
      </c>
      <c r="G57" s="511">
        <f t="shared" si="10"/>
        <v>0</v>
      </c>
      <c r="H57" s="477">
        <f t="shared" si="11"/>
        <v>0</v>
      </c>
      <c r="I57" s="500">
        <f t="shared" si="6"/>
        <v>0</v>
      </c>
      <c r="J57" s="500"/>
      <c r="K57" s="512"/>
      <c r="L57" s="504">
        <f t="shared" si="7"/>
        <v>0</v>
      </c>
      <c r="M57" s="512"/>
      <c r="N57" s="504">
        <f t="shared" si="4"/>
        <v>0</v>
      </c>
      <c r="O57" s="504">
        <f t="shared" si="5"/>
        <v>0</v>
      </c>
      <c r="P57" s="278"/>
      <c r="R57" s="243"/>
      <c r="S57" s="243"/>
      <c r="T57" s="243"/>
      <c r="U57" s="243"/>
    </row>
    <row r="58" spans="2:21">
      <c r="B58" s="145" t="str">
        <f t="shared" si="0"/>
        <v/>
      </c>
      <c r="C58" s="495">
        <f>IF(D11="","-",+C57+1)</f>
        <v>2058</v>
      </c>
      <c r="D58" s="508">
        <f>IF(F57+SUM(E$17:E57)=D$10,F57,D$10-SUM(E$17:E57))</f>
        <v>0</v>
      </c>
      <c r="E58" s="509">
        <f t="shared" si="12"/>
        <v>0</v>
      </c>
      <c r="F58" s="510">
        <f t="shared" si="9"/>
        <v>0</v>
      </c>
      <c r="G58" s="511">
        <f t="shared" si="10"/>
        <v>0</v>
      </c>
      <c r="H58" s="477">
        <f t="shared" si="11"/>
        <v>0</v>
      </c>
      <c r="I58" s="500">
        <f t="shared" si="6"/>
        <v>0</v>
      </c>
      <c r="J58" s="500"/>
      <c r="K58" s="512"/>
      <c r="L58" s="504">
        <f t="shared" si="7"/>
        <v>0</v>
      </c>
      <c r="M58" s="512"/>
      <c r="N58" s="504">
        <f t="shared" si="4"/>
        <v>0</v>
      </c>
      <c r="O58" s="504">
        <f t="shared" si="5"/>
        <v>0</v>
      </c>
      <c r="P58" s="278"/>
      <c r="R58" s="243"/>
      <c r="S58" s="243"/>
      <c r="T58" s="243"/>
      <c r="U58" s="243"/>
    </row>
    <row r="59" spans="2:21">
      <c r="B59" s="145" t="str">
        <f t="shared" si="0"/>
        <v/>
      </c>
      <c r="C59" s="495">
        <f>IF(D11="","-",+C58+1)</f>
        <v>2059</v>
      </c>
      <c r="D59" s="508">
        <f>IF(F58+SUM(E$17:E58)=D$10,F58,D$10-SUM(E$17:E58))</f>
        <v>0</v>
      </c>
      <c r="E59" s="509">
        <f t="shared" si="12"/>
        <v>0</v>
      </c>
      <c r="F59" s="510">
        <f t="shared" si="9"/>
        <v>0</v>
      </c>
      <c r="G59" s="511">
        <f t="shared" si="10"/>
        <v>0</v>
      </c>
      <c r="H59" s="477">
        <f t="shared" si="11"/>
        <v>0</v>
      </c>
      <c r="I59" s="500">
        <f t="shared" si="6"/>
        <v>0</v>
      </c>
      <c r="J59" s="500"/>
      <c r="K59" s="512"/>
      <c r="L59" s="504">
        <f t="shared" si="7"/>
        <v>0</v>
      </c>
      <c r="M59" s="512"/>
      <c r="N59" s="504">
        <f t="shared" si="4"/>
        <v>0</v>
      </c>
      <c r="O59" s="504">
        <f t="shared" si="5"/>
        <v>0</v>
      </c>
      <c r="P59" s="278"/>
      <c r="R59" s="243"/>
      <c r="S59" s="243"/>
      <c r="T59" s="243"/>
      <c r="U59" s="243"/>
    </row>
    <row r="60" spans="2:21">
      <c r="B60" s="145" t="str">
        <f t="shared" si="0"/>
        <v/>
      </c>
      <c r="C60" s="495">
        <f>IF(D11="","-",+C59+1)</f>
        <v>2060</v>
      </c>
      <c r="D60" s="508">
        <f>IF(F59+SUM(E$17:E59)=D$10,F59,D$10-SUM(E$17:E59))</f>
        <v>0</v>
      </c>
      <c r="E60" s="509">
        <f t="shared" si="12"/>
        <v>0</v>
      </c>
      <c r="F60" s="510">
        <f t="shared" si="9"/>
        <v>0</v>
      </c>
      <c r="G60" s="511">
        <f t="shared" si="10"/>
        <v>0</v>
      </c>
      <c r="H60" s="477">
        <f t="shared" si="11"/>
        <v>0</v>
      </c>
      <c r="I60" s="500">
        <f t="shared" si="6"/>
        <v>0</v>
      </c>
      <c r="J60" s="500"/>
      <c r="K60" s="512"/>
      <c r="L60" s="504">
        <f t="shared" si="7"/>
        <v>0</v>
      </c>
      <c r="M60" s="512"/>
      <c r="N60" s="504">
        <f t="shared" si="4"/>
        <v>0</v>
      </c>
      <c r="O60" s="504">
        <f t="shared" si="5"/>
        <v>0</v>
      </c>
      <c r="P60" s="278"/>
      <c r="R60" s="243"/>
      <c r="S60" s="243"/>
      <c r="T60" s="243"/>
      <c r="U60" s="243"/>
    </row>
    <row r="61" spans="2:21">
      <c r="B61" s="145" t="str">
        <f t="shared" si="0"/>
        <v/>
      </c>
      <c r="C61" s="495">
        <f>IF(D11="","-",+C60+1)</f>
        <v>2061</v>
      </c>
      <c r="D61" s="508">
        <f>IF(F60+SUM(E$17:E60)=D$10,F60,D$10-SUM(E$17:E60))</f>
        <v>0</v>
      </c>
      <c r="E61" s="509">
        <f t="shared" si="12"/>
        <v>0</v>
      </c>
      <c r="F61" s="510">
        <f t="shared" si="9"/>
        <v>0</v>
      </c>
      <c r="G61" s="511">
        <f t="shared" si="10"/>
        <v>0</v>
      </c>
      <c r="H61" s="477">
        <f t="shared" si="11"/>
        <v>0</v>
      </c>
      <c r="I61" s="500">
        <f t="shared" si="6"/>
        <v>0</v>
      </c>
      <c r="J61" s="500"/>
      <c r="K61" s="512"/>
      <c r="L61" s="504">
        <f t="shared" si="7"/>
        <v>0</v>
      </c>
      <c r="M61" s="512"/>
      <c r="N61" s="504">
        <f t="shared" si="4"/>
        <v>0</v>
      </c>
      <c r="O61" s="504">
        <f t="shared" si="5"/>
        <v>0</v>
      </c>
      <c r="P61" s="278"/>
      <c r="R61" s="243"/>
      <c r="S61" s="243"/>
      <c r="T61" s="243"/>
      <c r="U61" s="243"/>
    </row>
    <row r="62" spans="2:21">
      <c r="B62" s="145" t="str">
        <f t="shared" si="0"/>
        <v/>
      </c>
      <c r="C62" s="495">
        <f>IF(D11="","-",+C61+1)</f>
        <v>2062</v>
      </c>
      <c r="D62" s="508">
        <f>IF(F61+SUM(E$17:E61)=D$10,F61,D$10-SUM(E$17:E61))</f>
        <v>0</v>
      </c>
      <c r="E62" s="509">
        <f t="shared" si="12"/>
        <v>0</v>
      </c>
      <c r="F62" s="510">
        <f t="shared" si="9"/>
        <v>0</v>
      </c>
      <c r="G62" s="511">
        <f t="shared" si="10"/>
        <v>0</v>
      </c>
      <c r="H62" s="477">
        <f t="shared" si="11"/>
        <v>0</v>
      </c>
      <c r="I62" s="500">
        <f t="shared" si="6"/>
        <v>0</v>
      </c>
      <c r="J62" s="500"/>
      <c r="K62" s="512"/>
      <c r="L62" s="504">
        <f t="shared" si="7"/>
        <v>0</v>
      </c>
      <c r="M62" s="512"/>
      <c r="N62" s="504">
        <f t="shared" si="4"/>
        <v>0</v>
      </c>
      <c r="O62" s="504">
        <f t="shared" si="5"/>
        <v>0</v>
      </c>
      <c r="P62" s="278"/>
      <c r="R62" s="243"/>
      <c r="S62" s="243"/>
      <c r="T62" s="243"/>
      <c r="U62" s="243"/>
    </row>
    <row r="63" spans="2:21">
      <c r="B63" s="145" t="str">
        <f t="shared" si="0"/>
        <v/>
      </c>
      <c r="C63" s="495">
        <f>IF(D11="","-",+C62+1)</f>
        <v>2063</v>
      </c>
      <c r="D63" s="508">
        <f>IF(F62+SUM(E$17:E62)=D$10,F62,D$10-SUM(E$17:E62))</f>
        <v>0</v>
      </c>
      <c r="E63" s="509">
        <f t="shared" si="12"/>
        <v>0</v>
      </c>
      <c r="F63" s="510">
        <f t="shared" si="9"/>
        <v>0</v>
      </c>
      <c r="G63" s="511">
        <f t="shared" si="10"/>
        <v>0</v>
      </c>
      <c r="H63" s="477">
        <f t="shared" si="11"/>
        <v>0</v>
      </c>
      <c r="I63" s="500">
        <f t="shared" si="6"/>
        <v>0</v>
      </c>
      <c r="J63" s="500"/>
      <c r="K63" s="512"/>
      <c r="L63" s="504">
        <f t="shared" si="7"/>
        <v>0</v>
      </c>
      <c r="M63" s="512"/>
      <c r="N63" s="504">
        <f t="shared" si="4"/>
        <v>0</v>
      </c>
      <c r="O63" s="504">
        <f t="shared" si="5"/>
        <v>0</v>
      </c>
      <c r="P63" s="278"/>
      <c r="R63" s="243"/>
      <c r="S63" s="243"/>
      <c r="T63" s="243"/>
      <c r="U63" s="243"/>
    </row>
    <row r="64" spans="2:21">
      <c r="B64" s="145" t="str">
        <f t="shared" si="0"/>
        <v/>
      </c>
      <c r="C64" s="495">
        <f>IF(D11="","-",+C63+1)</f>
        <v>2064</v>
      </c>
      <c r="D64" s="508">
        <f>IF(F63+SUM(E$17:E63)=D$10,F63,D$10-SUM(E$17:E63))</f>
        <v>0</v>
      </c>
      <c r="E64" s="509">
        <f t="shared" si="12"/>
        <v>0</v>
      </c>
      <c r="F64" s="510">
        <f t="shared" si="9"/>
        <v>0</v>
      </c>
      <c r="G64" s="511">
        <f t="shared" si="10"/>
        <v>0</v>
      </c>
      <c r="H64" s="477">
        <f t="shared" si="11"/>
        <v>0</v>
      </c>
      <c r="I64" s="500">
        <f t="shared" si="6"/>
        <v>0</v>
      </c>
      <c r="J64" s="500"/>
      <c r="K64" s="512"/>
      <c r="L64" s="504">
        <f t="shared" si="7"/>
        <v>0</v>
      </c>
      <c r="M64" s="512"/>
      <c r="N64" s="504">
        <f t="shared" si="4"/>
        <v>0</v>
      </c>
      <c r="O64" s="504">
        <f t="shared" si="5"/>
        <v>0</v>
      </c>
      <c r="P64" s="278"/>
      <c r="R64" s="243"/>
      <c r="S64" s="243"/>
      <c r="T64" s="243"/>
      <c r="U64" s="243"/>
    </row>
    <row r="65" spans="2:21">
      <c r="B65" s="145" t="str">
        <f t="shared" si="0"/>
        <v/>
      </c>
      <c r="C65" s="495">
        <f>IF(D11="","-",+C64+1)</f>
        <v>2065</v>
      </c>
      <c r="D65" s="508">
        <f>IF(F64+SUM(E$17:E64)=D$10,F64,D$10-SUM(E$17:E64))</f>
        <v>0</v>
      </c>
      <c r="E65" s="509">
        <f t="shared" si="12"/>
        <v>0</v>
      </c>
      <c r="F65" s="510">
        <f t="shared" si="9"/>
        <v>0</v>
      </c>
      <c r="G65" s="511">
        <f t="shared" si="10"/>
        <v>0</v>
      </c>
      <c r="H65" s="477">
        <f t="shared" si="11"/>
        <v>0</v>
      </c>
      <c r="I65" s="500">
        <f t="shared" si="6"/>
        <v>0</v>
      </c>
      <c r="J65" s="500"/>
      <c r="K65" s="512"/>
      <c r="L65" s="504">
        <f t="shared" si="7"/>
        <v>0</v>
      </c>
      <c r="M65" s="512"/>
      <c r="N65" s="504">
        <f t="shared" si="4"/>
        <v>0</v>
      </c>
      <c r="O65" s="504">
        <f t="shared" si="5"/>
        <v>0</v>
      </c>
      <c r="P65" s="278"/>
      <c r="R65" s="243"/>
      <c r="S65" s="243"/>
      <c r="T65" s="243"/>
      <c r="U65" s="243"/>
    </row>
    <row r="66" spans="2:21">
      <c r="B66" s="145" t="str">
        <f t="shared" si="0"/>
        <v/>
      </c>
      <c r="C66" s="495">
        <f>IF(D11="","-",+C65+1)</f>
        <v>2066</v>
      </c>
      <c r="D66" s="508">
        <f>IF(F65+SUM(E$17:E65)=D$10,F65,D$10-SUM(E$17:E65))</f>
        <v>0</v>
      </c>
      <c r="E66" s="509">
        <f t="shared" si="12"/>
        <v>0</v>
      </c>
      <c r="F66" s="510">
        <f t="shared" si="9"/>
        <v>0</v>
      </c>
      <c r="G66" s="511">
        <f t="shared" si="10"/>
        <v>0</v>
      </c>
      <c r="H66" s="477">
        <f t="shared" si="11"/>
        <v>0</v>
      </c>
      <c r="I66" s="500">
        <f t="shared" si="6"/>
        <v>0</v>
      </c>
      <c r="J66" s="500"/>
      <c r="K66" s="512"/>
      <c r="L66" s="504">
        <f t="shared" si="7"/>
        <v>0</v>
      </c>
      <c r="M66" s="512"/>
      <c r="N66" s="504">
        <f t="shared" si="4"/>
        <v>0</v>
      </c>
      <c r="O66" s="504">
        <f t="shared" si="5"/>
        <v>0</v>
      </c>
      <c r="P66" s="278"/>
      <c r="R66" s="243"/>
      <c r="S66" s="243"/>
      <c r="T66" s="243"/>
      <c r="U66" s="243"/>
    </row>
    <row r="67" spans="2:21">
      <c r="B67" s="145" t="str">
        <f t="shared" si="0"/>
        <v/>
      </c>
      <c r="C67" s="495">
        <f>IF(D11="","-",+C66+1)</f>
        <v>2067</v>
      </c>
      <c r="D67" s="508">
        <f>IF(F66+SUM(E$17:E66)=D$10,F66,D$10-SUM(E$17:E66))</f>
        <v>0</v>
      </c>
      <c r="E67" s="509">
        <f t="shared" si="12"/>
        <v>0</v>
      </c>
      <c r="F67" s="510">
        <f t="shared" si="9"/>
        <v>0</v>
      </c>
      <c r="G67" s="511">
        <f t="shared" si="10"/>
        <v>0</v>
      </c>
      <c r="H67" s="477">
        <f t="shared" si="11"/>
        <v>0</v>
      </c>
      <c r="I67" s="500">
        <f t="shared" si="6"/>
        <v>0</v>
      </c>
      <c r="J67" s="500"/>
      <c r="K67" s="512"/>
      <c r="L67" s="504">
        <f t="shared" si="7"/>
        <v>0</v>
      </c>
      <c r="M67" s="512"/>
      <c r="N67" s="504">
        <f t="shared" si="4"/>
        <v>0</v>
      </c>
      <c r="O67" s="504">
        <f t="shared" si="5"/>
        <v>0</v>
      </c>
      <c r="P67" s="278"/>
      <c r="R67" s="243"/>
      <c r="S67" s="243"/>
      <c r="T67" s="243"/>
      <c r="U67" s="243"/>
    </row>
    <row r="68" spans="2:21">
      <c r="B68" s="145" t="str">
        <f t="shared" si="0"/>
        <v/>
      </c>
      <c r="C68" s="495">
        <f>IF(D11="","-",+C67+1)</f>
        <v>2068</v>
      </c>
      <c r="D68" s="508">
        <f>IF(F67+SUM(E$17:E67)=D$10,F67,D$10-SUM(E$17:E67))</f>
        <v>0</v>
      </c>
      <c r="E68" s="509">
        <f t="shared" si="12"/>
        <v>0</v>
      </c>
      <c r="F68" s="510">
        <f t="shared" si="9"/>
        <v>0</v>
      </c>
      <c r="G68" s="511">
        <f t="shared" si="10"/>
        <v>0</v>
      </c>
      <c r="H68" s="477">
        <f t="shared" si="11"/>
        <v>0</v>
      </c>
      <c r="I68" s="500">
        <f t="shared" si="6"/>
        <v>0</v>
      </c>
      <c r="J68" s="500"/>
      <c r="K68" s="512"/>
      <c r="L68" s="504">
        <f t="shared" si="7"/>
        <v>0</v>
      </c>
      <c r="M68" s="512"/>
      <c r="N68" s="504">
        <f t="shared" si="4"/>
        <v>0</v>
      </c>
      <c r="O68" s="504">
        <f t="shared" si="5"/>
        <v>0</v>
      </c>
      <c r="P68" s="278"/>
      <c r="R68" s="243"/>
      <c r="S68" s="243"/>
      <c r="T68" s="243"/>
      <c r="U68" s="243"/>
    </row>
    <row r="69" spans="2:21">
      <c r="B69" s="145" t="str">
        <f t="shared" si="0"/>
        <v/>
      </c>
      <c r="C69" s="495">
        <f>IF(D11="","-",+C68+1)</f>
        <v>2069</v>
      </c>
      <c r="D69" s="508">
        <f>IF(F68+SUM(E$17:E68)=D$10,F68,D$10-SUM(E$17:E68))</f>
        <v>0</v>
      </c>
      <c r="E69" s="509">
        <f t="shared" si="12"/>
        <v>0</v>
      </c>
      <c r="F69" s="510">
        <f t="shared" si="9"/>
        <v>0</v>
      </c>
      <c r="G69" s="511">
        <f t="shared" si="10"/>
        <v>0</v>
      </c>
      <c r="H69" s="477">
        <f t="shared" si="11"/>
        <v>0</v>
      </c>
      <c r="I69" s="500">
        <f t="shared" si="6"/>
        <v>0</v>
      </c>
      <c r="J69" s="500"/>
      <c r="K69" s="512"/>
      <c r="L69" s="504">
        <f t="shared" si="7"/>
        <v>0</v>
      </c>
      <c r="M69" s="512"/>
      <c r="N69" s="504">
        <f t="shared" si="4"/>
        <v>0</v>
      </c>
      <c r="O69" s="504">
        <f t="shared" si="5"/>
        <v>0</v>
      </c>
      <c r="P69" s="278"/>
      <c r="R69" s="243"/>
      <c r="S69" s="243"/>
      <c r="T69" s="243"/>
      <c r="U69" s="243"/>
    </row>
    <row r="70" spans="2:21">
      <c r="B70" s="145" t="str">
        <f t="shared" si="0"/>
        <v/>
      </c>
      <c r="C70" s="495">
        <f>IF(D11="","-",+C69+1)</f>
        <v>2070</v>
      </c>
      <c r="D70" s="508">
        <f>IF(F69+SUM(E$17:E69)=D$10,F69,D$10-SUM(E$17:E69))</f>
        <v>0</v>
      </c>
      <c r="E70" s="509">
        <f t="shared" si="12"/>
        <v>0</v>
      </c>
      <c r="F70" s="510">
        <f t="shared" si="9"/>
        <v>0</v>
      </c>
      <c r="G70" s="511">
        <f t="shared" si="10"/>
        <v>0</v>
      </c>
      <c r="H70" s="477">
        <f t="shared" si="11"/>
        <v>0</v>
      </c>
      <c r="I70" s="500">
        <f t="shared" si="6"/>
        <v>0</v>
      </c>
      <c r="J70" s="500"/>
      <c r="K70" s="512"/>
      <c r="L70" s="504">
        <f t="shared" si="7"/>
        <v>0</v>
      </c>
      <c r="M70" s="512"/>
      <c r="N70" s="504">
        <f t="shared" si="4"/>
        <v>0</v>
      </c>
      <c r="O70" s="504">
        <f t="shared" si="5"/>
        <v>0</v>
      </c>
      <c r="P70" s="278"/>
      <c r="R70" s="243"/>
      <c r="S70" s="243"/>
      <c r="T70" s="243"/>
      <c r="U70" s="243"/>
    </row>
    <row r="71" spans="2:21">
      <c r="B71" s="145" t="str">
        <f t="shared" si="0"/>
        <v/>
      </c>
      <c r="C71" s="495">
        <f>IF(D11="","-",+C70+1)</f>
        <v>2071</v>
      </c>
      <c r="D71" s="508">
        <f>IF(F70+SUM(E$17:E70)=D$10,F70,D$10-SUM(E$17:E70))</f>
        <v>0</v>
      </c>
      <c r="E71" s="509">
        <f t="shared" si="12"/>
        <v>0</v>
      </c>
      <c r="F71" s="510">
        <f t="shared" si="9"/>
        <v>0</v>
      </c>
      <c r="G71" s="511">
        <f t="shared" si="10"/>
        <v>0</v>
      </c>
      <c r="H71" s="477">
        <f t="shared" si="11"/>
        <v>0</v>
      </c>
      <c r="I71" s="500">
        <f t="shared" si="6"/>
        <v>0</v>
      </c>
      <c r="J71" s="500"/>
      <c r="K71" s="512"/>
      <c r="L71" s="504">
        <f t="shared" si="7"/>
        <v>0</v>
      </c>
      <c r="M71" s="512"/>
      <c r="N71" s="504">
        <f t="shared" si="4"/>
        <v>0</v>
      </c>
      <c r="O71" s="504">
        <f t="shared" si="5"/>
        <v>0</v>
      </c>
      <c r="P71" s="278"/>
      <c r="R71" s="243"/>
      <c r="S71" s="243"/>
      <c r="T71" s="243"/>
      <c r="U71" s="243"/>
    </row>
    <row r="72" spans="2:21">
      <c r="B72" s="145" t="str">
        <f t="shared" si="0"/>
        <v/>
      </c>
      <c r="C72" s="495">
        <f>IF(D11="","-",+C71+1)</f>
        <v>2072</v>
      </c>
      <c r="D72" s="508">
        <f>IF(F71+SUM(E$17:E71)=D$10,F71,D$10-SUM(E$17:E71))</f>
        <v>0</v>
      </c>
      <c r="E72" s="509">
        <f t="shared" si="12"/>
        <v>0</v>
      </c>
      <c r="F72" s="510">
        <f t="shared" si="9"/>
        <v>0</v>
      </c>
      <c r="G72" s="511">
        <f t="shared" si="10"/>
        <v>0</v>
      </c>
      <c r="H72" s="477">
        <f t="shared" si="11"/>
        <v>0</v>
      </c>
      <c r="I72" s="500">
        <f t="shared" si="6"/>
        <v>0</v>
      </c>
      <c r="J72" s="500"/>
      <c r="K72" s="512"/>
      <c r="L72" s="504">
        <f t="shared" si="7"/>
        <v>0</v>
      </c>
      <c r="M72" s="512"/>
      <c r="N72" s="504">
        <f t="shared" si="4"/>
        <v>0</v>
      </c>
      <c r="O72" s="504">
        <f t="shared" si="5"/>
        <v>0</v>
      </c>
      <c r="P72" s="278"/>
      <c r="R72" s="243"/>
      <c r="S72" s="243"/>
      <c r="T72" s="243"/>
      <c r="U72" s="243"/>
    </row>
    <row r="73" spans="2:21" ht="13.5" thickBot="1">
      <c r="B73" s="145" t="str">
        <f t="shared" si="0"/>
        <v/>
      </c>
      <c r="C73" s="524">
        <f>IF(D11="","-",+C72+1)</f>
        <v>2073</v>
      </c>
      <c r="D73" s="525">
        <f>IF(F72+SUM(E$17:E72)=D$10,F72,D$10-SUM(E$17:E72))</f>
        <v>0</v>
      </c>
      <c r="E73" s="526">
        <f t="shared" si="12"/>
        <v>0</v>
      </c>
      <c r="F73" s="527">
        <f t="shared" si="9"/>
        <v>0</v>
      </c>
      <c r="G73" s="527">
        <f t="shared" si="10"/>
        <v>0</v>
      </c>
      <c r="H73" s="527">
        <f t="shared" si="11"/>
        <v>0</v>
      </c>
      <c r="I73" s="529">
        <f t="shared" si="6"/>
        <v>0</v>
      </c>
      <c r="J73" s="500"/>
      <c r="K73" s="530"/>
      <c r="L73" s="531">
        <f t="shared" si="7"/>
        <v>0</v>
      </c>
      <c r="M73" s="530"/>
      <c r="N73" s="531">
        <f t="shared" si="4"/>
        <v>0</v>
      </c>
      <c r="O73" s="531">
        <f t="shared" si="5"/>
        <v>0</v>
      </c>
      <c r="P73" s="278"/>
      <c r="R73" s="243"/>
      <c r="S73" s="243"/>
      <c r="T73" s="243"/>
      <c r="U73" s="243"/>
    </row>
    <row r="74" spans="2:21">
      <c r="C74" s="349" t="s">
        <v>75</v>
      </c>
      <c r="D74" s="294"/>
      <c r="E74" s="294">
        <f>SUM(E17:E73)</f>
        <v>11056565.360000001</v>
      </c>
      <c r="F74" s="294"/>
      <c r="G74" s="294">
        <f>SUM(G17:G73)</f>
        <v>30970913.062282268</v>
      </c>
      <c r="H74" s="294">
        <f>SUM(H17:H73)</f>
        <v>30970913.062282268</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15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1424987.0679285447</v>
      </c>
      <c r="N88" s="544">
        <f>IF(J93&lt;D11,0,VLOOKUP(J93,C17:O73,11))</f>
        <v>1424987.0679285447</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1585198.8759410642</v>
      </c>
      <c r="N89" s="548">
        <f>IF(J93&lt;D11,0,VLOOKUP(J93,C100:P155,7))</f>
        <v>1585198.8759410642</v>
      </c>
      <c r="O89" s="549">
        <f>+N89-M89</f>
        <v>0</v>
      </c>
      <c r="P89" s="243"/>
      <c r="Q89" s="243"/>
      <c r="R89" s="243"/>
      <c r="S89" s="243"/>
      <c r="T89" s="243"/>
      <c r="U89" s="243"/>
    </row>
    <row r="90" spans="1:21" ht="13.5" thickBot="1">
      <c r="C90" s="454" t="s">
        <v>82</v>
      </c>
      <c r="D90" s="550" t="str">
        <f>+D7</f>
        <v>Darlington Roman Nose 138 kv</v>
      </c>
      <c r="E90" s="243"/>
      <c r="F90" s="243"/>
      <c r="G90" s="243"/>
      <c r="H90" s="243"/>
      <c r="I90" s="325"/>
      <c r="J90" s="325"/>
      <c r="K90" s="551"/>
      <c r="L90" s="552" t="s">
        <v>135</v>
      </c>
      <c r="M90" s="553">
        <f>+M89-M88</f>
        <v>160211.8080125195</v>
      </c>
      <c r="N90" s="553">
        <f>+N89-N88</f>
        <v>160211.8080125195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
        <v>260</v>
      </c>
      <c r="E92" s="558"/>
      <c r="F92" s="558"/>
      <c r="G92" s="558"/>
      <c r="H92" s="558"/>
      <c r="I92" s="558"/>
      <c r="J92" s="558"/>
      <c r="K92" s="560"/>
      <c r="P92" s="468"/>
      <c r="Q92" s="243"/>
      <c r="R92" s="243"/>
      <c r="S92" s="243"/>
      <c r="T92" s="243"/>
      <c r="U92" s="243"/>
    </row>
    <row r="93" spans="1:21">
      <c r="C93" s="472" t="s">
        <v>49</v>
      </c>
      <c r="D93" s="598">
        <v>11056565</v>
      </c>
      <c r="E93" s="248" t="s">
        <v>84</v>
      </c>
      <c r="H93" s="408"/>
      <c r="I93" s="408"/>
      <c r="J93" s="471">
        <f>+'OKT.WS.G.BPU.ATRR.True-up'!M16</f>
        <v>2021</v>
      </c>
      <c r="K93" s="467"/>
      <c r="L93" s="294" t="s">
        <v>85</v>
      </c>
      <c r="P93" s="278"/>
      <c r="Q93" s="243"/>
      <c r="R93" s="243"/>
      <c r="S93" s="243"/>
      <c r="T93" s="243"/>
      <c r="U93" s="243"/>
    </row>
    <row r="94" spans="1:21">
      <c r="C94" s="472" t="s">
        <v>52</v>
      </c>
      <c r="D94" s="639">
        <f>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98">
        <f>D12</f>
        <v>6</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442262.6</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55" si="13">IF(D100=F99,"","IU")</f>
        <v>IU</v>
      </c>
      <c r="C100" s="495">
        <f>IF(D94= "","-",D94)</f>
        <v>2017</v>
      </c>
      <c r="D100" s="496">
        <v>0</v>
      </c>
      <c r="E100" s="498">
        <v>137920.28750000001</v>
      </c>
      <c r="F100" s="505">
        <v>10895702.7125</v>
      </c>
      <c r="G100" s="505">
        <v>5447851.3562500002</v>
      </c>
      <c r="H100" s="498">
        <v>777148.63448158256</v>
      </c>
      <c r="I100" s="499">
        <v>777148.63448158256</v>
      </c>
      <c r="J100" s="504">
        <f>+I100-H100</f>
        <v>0</v>
      </c>
      <c r="K100" s="504"/>
      <c r="L100" s="506">
        <f>+H100</f>
        <v>777148.63448158256</v>
      </c>
      <c r="M100" s="504">
        <f>IF(L100&lt;&gt;0,+H100-L100,0)</f>
        <v>0</v>
      </c>
      <c r="N100" s="506">
        <f>+I100</f>
        <v>777148.63448158256</v>
      </c>
      <c r="O100" s="586">
        <f>IF(N100&lt;&gt;0,+I100-N100,0)</f>
        <v>0</v>
      </c>
      <c r="P100" s="504">
        <f>+O100-M100</f>
        <v>0</v>
      </c>
      <c r="Q100" s="243"/>
      <c r="R100" s="243"/>
      <c r="S100" s="243"/>
      <c r="T100" s="243"/>
      <c r="U100" s="243"/>
    </row>
    <row r="101" spans="1:21">
      <c r="B101" s="145" t="str">
        <f t="shared" si="13"/>
        <v/>
      </c>
      <c r="C101" s="495">
        <f>IF(D94="","-",+C100+1)</f>
        <v>2018</v>
      </c>
      <c r="D101" s="496">
        <v>10895702.7125</v>
      </c>
      <c r="E101" s="498">
        <v>306489.52777777775</v>
      </c>
      <c r="F101" s="505">
        <v>10589213.184722222</v>
      </c>
      <c r="G101" s="505">
        <v>10742457.94861111</v>
      </c>
      <c r="H101" s="498">
        <v>1440489.6981770755</v>
      </c>
      <c r="I101" s="499">
        <v>1440489.6981770755</v>
      </c>
      <c r="J101" s="504">
        <v>0</v>
      </c>
      <c r="K101" s="504"/>
      <c r="L101" s="506">
        <f>H101</f>
        <v>1440489.6981770755</v>
      </c>
      <c r="M101" s="504">
        <f>IF(L101&lt;&gt;0,+H101-L101,0)</f>
        <v>0</v>
      </c>
      <c r="N101" s="506">
        <f>I101</f>
        <v>1440489.6981770755</v>
      </c>
      <c r="O101" s="504">
        <f>IF(N101&lt;&gt;0,+I101-N101,0)</f>
        <v>0</v>
      </c>
      <c r="P101" s="504">
        <f>+O101-M101</f>
        <v>0</v>
      </c>
      <c r="Q101" s="243"/>
      <c r="R101" s="243"/>
      <c r="S101" s="243"/>
      <c r="T101" s="243"/>
      <c r="U101" s="243"/>
    </row>
    <row r="102" spans="1:21">
      <c r="B102" s="145" t="str">
        <f t="shared" si="13"/>
        <v>IU</v>
      </c>
      <c r="C102" s="495">
        <f>IF(D94="","-",+C101+1)</f>
        <v>2019</v>
      </c>
      <c r="D102" s="496">
        <v>10612155.184722222</v>
      </c>
      <c r="E102" s="498">
        <v>307126.80555555556</v>
      </c>
      <c r="F102" s="505">
        <v>10305028.379166666</v>
      </c>
      <c r="G102" s="505">
        <v>10458591.781944444</v>
      </c>
      <c r="H102" s="498">
        <v>1411161.3681851514</v>
      </c>
      <c r="I102" s="499">
        <v>1411161.3681851514</v>
      </c>
      <c r="J102" s="504">
        <f t="shared" ref="J102:J155" si="14">+I102-H102</f>
        <v>0</v>
      </c>
      <c r="K102" s="504"/>
      <c r="L102" s="506">
        <f>H102</f>
        <v>1411161.3681851514</v>
      </c>
      <c r="M102" s="504">
        <f>IF(L102&lt;&gt;0,+H102-L102,0)</f>
        <v>0</v>
      </c>
      <c r="N102" s="506">
        <f>I102</f>
        <v>1411161.3681851514</v>
      </c>
      <c r="O102" s="504">
        <f t="shared" ref="O102:O155" si="15">IF(N102&lt;&gt;0,+I102-N102,0)</f>
        <v>0</v>
      </c>
      <c r="P102" s="504">
        <f t="shared" ref="P102:P155" si="16">+O102-M102</f>
        <v>0</v>
      </c>
      <c r="Q102" s="243"/>
      <c r="R102" s="243"/>
      <c r="S102" s="243"/>
      <c r="T102" s="243"/>
      <c r="U102" s="243"/>
    </row>
    <row r="103" spans="1:21">
      <c r="B103" s="145" t="str">
        <f t="shared" si="13"/>
        <v/>
      </c>
      <c r="C103" s="495">
        <f>IF(D94="","-",+C102+1)</f>
        <v>2020</v>
      </c>
      <c r="D103" s="496">
        <v>10305028.379166666</v>
      </c>
      <c r="E103" s="498">
        <v>394877.32142857142</v>
      </c>
      <c r="F103" s="505">
        <v>9910151.0577380955</v>
      </c>
      <c r="G103" s="505">
        <v>10107589.718452381</v>
      </c>
      <c r="H103" s="498">
        <v>1470461.3095253243</v>
      </c>
      <c r="I103" s="499">
        <v>1470461.3095253243</v>
      </c>
      <c r="J103" s="504">
        <f t="shared" si="14"/>
        <v>0</v>
      </c>
      <c r="K103" s="504"/>
      <c r="L103" s="506">
        <f>H103</f>
        <v>1470461.3095253243</v>
      </c>
      <c r="M103" s="504">
        <f>IF(L103&lt;&gt;0,+H103-L103,0)</f>
        <v>0</v>
      </c>
      <c r="N103" s="506">
        <f>I103</f>
        <v>1470461.3095253243</v>
      </c>
      <c r="O103" s="504">
        <f t="shared" si="15"/>
        <v>0</v>
      </c>
      <c r="P103" s="504">
        <f t="shared" si="16"/>
        <v>0</v>
      </c>
      <c r="Q103" s="243"/>
      <c r="R103" s="243"/>
      <c r="S103" s="243"/>
      <c r="T103" s="243"/>
      <c r="U103" s="243"/>
    </row>
    <row r="104" spans="1:21">
      <c r="B104" s="145" t="str">
        <f t="shared" si="13"/>
        <v/>
      </c>
      <c r="C104" s="495">
        <f>IF(D94="","-",+C103+1)</f>
        <v>2021</v>
      </c>
      <c r="D104" s="349">
        <f>IF(F103+SUM(E$100:E103)=D$93,F103,D$93-SUM(E$100:E103))</f>
        <v>9910151.0577380955</v>
      </c>
      <c r="E104" s="509">
        <f t="shared" ref="E104:E134" si="17">IF(+J$97&lt;F103,J$97,D104)</f>
        <v>442262.6</v>
      </c>
      <c r="F104" s="510">
        <f t="shared" ref="F104:F155" si="18">+D104-E104</f>
        <v>9467888.4577380959</v>
      </c>
      <c r="G104" s="510">
        <f t="shared" ref="G104:G155" si="19">+(F104+D104)/2</f>
        <v>9689019.7577380948</v>
      </c>
      <c r="H104" s="523">
        <f>+J$95*G104+E104</f>
        <v>1585198.8759410642</v>
      </c>
      <c r="I104" s="572">
        <f t="shared" ref="I104:I155" si="20">+J$96*G104+E104</f>
        <v>1585198.8759410642</v>
      </c>
      <c r="J104" s="504">
        <f t="shared" si="14"/>
        <v>0</v>
      </c>
      <c r="K104" s="504"/>
      <c r="L104" s="512"/>
      <c r="M104" s="504">
        <f t="shared" ref="M104:M155" si="21">IF(L104&lt;&gt;0,+H104-L104,0)</f>
        <v>0</v>
      </c>
      <c r="N104" s="512"/>
      <c r="O104" s="504">
        <f t="shared" si="15"/>
        <v>0</v>
      </c>
      <c r="P104" s="504">
        <f t="shared" si="16"/>
        <v>0</v>
      </c>
      <c r="Q104" s="243"/>
      <c r="R104" s="243"/>
      <c r="S104" s="243"/>
      <c r="T104" s="243"/>
      <c r="U104" s="243"/>
    </row>
    <row r="105" spans="1:21">
      <c r="B105" s="145" t="str">
        <f t="shared" si="13"/>
        <v/>
      </c>
      <c r="C105" s="495">
        <f>IF(D94="","-",+C104+1)</f>
        <v>2022</v>
      </c>
      <c r="D105" s="349">
        <f>IF(F104+SUM(E$100:E104)=D$93,F104,D$93-SUM(E$100:E104))</f>
        <v>9467888.4577380959</v>
      </c>
      <c r="E105" s="509">
        <f t="shared" si="17"/>
        <v>442262.6</v>
      </c>
      <c r="F105" s="510">
        <f t="shared" si="18"/>
        <v>9025625.8577380963</v>
      </c>
      <c r="G105" s="510">
        <f t="shared" si="19"/>
        <v>9246757.157738097</v>
      </c>
      <c r="H105" s="523">
        <f t="shared" ref="H105:H155" si="22">+J$95*G105+E105</f>
        <v>1533028.6893101293</v>
      </c>
      <c r="I105" s="572">
        <f t="shared" si="20"/>
        <v>1533028.6893101293</v>
      </c>
      <c r="J105" s="504">
        <f t="shared" si="14"/>
        <v>0</v>
      </c>
      <c r="K105" s="504"/>
      <c r="L105" s="512"/>
      <c r="M105" s="504">
        <f t="shared" si="21"/>
        <v>0</v>
      </c>
      <c r="N105" s="512"/>
      <c r="O105" s="504">
        <f t="shared" si="15"/>
        <v>0</v>
      </c>
      <c r="P105" s="504">
        <f t="shared" si="16"/>
        <v>0</v>
      </c>
      <c r="Q105" s="243"/>
      <c r="R105" s="243"/>
      <c r="S105" s="243"/>
      <c r="T105" s="243"/>
      <c r="U105" s="243"/>
    </row>
    <row r="106" spans="1:21">
      <c r="B106" s="145" t="str">
        <f t="shared" si="13"/>
        <v/>
      </c>
      <c r="C106" s="495">
        <f>IF(D94="","-",+C105+1)</f>
        <v>2023</v>
      </c>
      <c r="D106" s="349">
        <f>IF(F105+SUM(E$100:E105)=D$93,F105,D$93-SUM(E$100:E105))</f>
        <v>9025625.8577380963</v>
      </c>
      <c r="E106" s="509">
        <f t="shared" si="17"/>
        <v>442262.6</v>
      </c>
      <c r="F106" s="510">
        <f t="shared" si="18"/>
        <v>8583363.2577380966</v>
      </c>
      <c r="G106" s="510">
        <f t="shared" si="19"/>
        <v>8804494.5577380955</v>
      </c>
      <c r="H106" s="523">
        <f t="shared" si="22"/>
        <v>1480858.5026791943</v>
      </c>
      <c r="I106" s="572">
        <f t="shared" si="20"/>
        <v>1480858.5026791943</v>
      </c>
      <c r="J106" s="504">
        <f t="shared" si="14"/>
        <v>0</v>
      </c>
      <c r="K106" s="504"/>
      <c r="L106" s="512"/>
      <c r="M106" s="504">
        <f t="shared" si="21"/>
        <v>0</v>
      </c>
      <c r="N106" s="512"/>
      <c r="O106" s="504">
        <f t="shared" si="15"/>
        <v>0</v>
      </c>
      <c r="P106" s="504">
        <f t="shared" si="16"/>
        <v>0</v>
      </c>
      <c r="Q106" s="243"/>
      <c r="R106" s="243"/>
      <c r="S106" s="243"/>
      <c r="T106" s="243"/>
      <c r="U106" s="243"/>
    </row>
    <row r="107" spans="1:21">
      <c r="B107" s="145" t="str">
        <f t="shared" si="13"/>
        <v/>
      </c>
      <c r="C107" s="495">
        <f>IF(D94="","-",+C106+1)</f>
        <v>2024</v>
      </c>
      <c r="D107" s="349">
        <f>IF(F106+SUM(E$100:E106)=D$93,F106,D$93-SUM(E$100:E106))</f>
        <v>8583363.2577380966</v>
      </c>
      <c r="E107" s="509">
        <f t="shared" si="17"/>
        <v>442262.6</v>
      </c>
      <c r="F107" s="510">
        <f t="shared" si="18"/>
        <v>8141100.657738097</v>
      </c>
      <c r="G107" s="510">
        <f t="shared" si="19"/>
        <v>8362231.9577380968</v>
      </c>
      <c r="H107" s="523">
        <f t="shared" si="22"/>
        <v>1428688.3160482594</v>
      </c>
      <c r="I107" s="572">
        <f t="shared" si="20"/>
        <v>1428688.3160482594</v>
      </c>
      <c r="J107" s="504">
        <f t="shared" si="14"/>
        <v>0</v>
      </c>
      <c r="K107" s="504"/>
      <c r="L107" s="512"/>
      <c r="M107" s="504">
        <f t="shared" si="21"/>
        <v>0</v>
      </c>
      <c r="N107" s="512"/>
      <c r="O107" s="504">
        <f t="shared" si="15"/>
        <v>0</v>
      </c>
      <c r="P107" s="504">
        <f t="shared" si="16"/>
        <v>0</v>
      </c>
      <c r="Q107" s="243"/>
      <c r="R107" s="243"/>
      <c r="S107" s="243"/>
      <c r="T107" s="243"/>
      <c r="U107" s="243"/>
    </row>
    <row r="108" spans="1:21">
      <c r="B108" s="145" t="str">
        <f t="shared" si="13"/>
        <v/>
      </c>
      <c r="C108" s="495">
        <f>IF(D94="","-",+C107+1)</f>
        <v>2025</v>
      </c>
      <c r="D108" s="349">
        <f>IF(F107+SUM(E$100:E107)=D$93,F107,D$93-SUM(E$100:E107))</f>
        <v>8141100.657738097</v>
      </c>
      <c r="E108" s="509">
        <f t="shared" si="17"/>
        <v>442262.6</v>
      </c>
      <c r="F108" s="510">
        <f t="shared" si="18"/>
        <v>7698838.0577380974</v>
      </c>
      <c r="G108" s="510">
        <f t="shared" si="19"/>
        <v>7919969.3577380972</v>
      </c>
      <c r="H108" s="523">
        <f t="shared" si="22"/>
        <v>1376518.1294173244</v>
      </c>
      <c r="I108" s="572">
        <f t="shared" si="20"/>
        <v>1376518.1294173244</v>
      </c>
      <c r="J108" s="504">
        <f t="shared" si="14"/>
        <v>0</v>
      </c>
      <c r="K108" s="504"/>
      <c r="L108" s="512"/>
      <c r="M108" s="504">
        <f t="shared" si="21"/>
        <v>0</v>
      </c>
      <c r="N108" s="512"/>
      <c r="O108" s="504">
        <f t="shared" si="15"/>
        <v>0</v>
      </c>
      <c r="P108" s="504">
        <f t="shared" si="16"/>
        <v>0</v>
      </c>
      <c r="Q108" s="243"/>
      <c r="R108" s="243"/>
      <c r="S108" s="243"/>
      <c r="T108" s="243"/>
      <c r="U108" s="243"/>
    </row>
    <row r="109" spans="1:21">
      <c r="B109" s="145" t="str">
        <f t="shared" si="13"/>
        <v/>
      </c>
      <c r="C109" s="495">
        <f>IF(D94="","-",+C108+1)</f>
        <v>2026</v>
      </c>
      <c r="D109" s="349">
        <f>IF(F108+SUM(E$100:E108)=D$93,F108,D$93-SUM(E$100:E108))</f>
        <v>7698838.0577380974</v>
      </c>
      <c r="E109" s="509">
        <f t="shared" si="17"/>
        <v>442262.6</v>
      </c>
      <c r="F109" s="510">
        <f t="shared" si="18"/>
        <v>7256575.4577380978</v>
      </c>
      <c r="G109" s="510">
        <f t="shared" si="19"/>
        <v>7477706.7577380976</v>
      </c>
      <c r="H109" s="523">
        <f t="shared" si="22"/>
        <v>1324347.9427863897</v>
      </c>
      <c r="I109" s="572">
        <f t="shared" si="20"/>
        <v>1324347.9427863897</v>
      </c>
      <c r="J109" s="504">
        <f t="shared" si="14"/>
        <v>0</v>
      </c>
      <c r="K109" s="504"/>
      <c r="L109" s="512"/>
      <c r="M109" s="504">
        <f t="shared" si="21"/>
        <v>0</v>
      </c>
      <c r="N109" s="512"/>
      <c r="O109" s="504">
        <f t="shared" si="15"/>
        <v>0</v>
      </c>
      <c r="P109" s="504">
        <f t="shared" si="16"/>
        <v>0</v>
      </c>
      <c r="Q109" s="243"/>
      <c r="R109" s="243"/>
      <c r="S109" s="243"/>
      <c r="T109" s="243"/>
      <c r="U109" s="243"/>
    </row>
    <row r="110" spans="1:21">
      <c r="B110" s="145" t="str">
        <f t="shared" si="13"/>
        <v/>
      </c>
      <c r="C110" s="495">
        <f>IF(D94="","-",+C109+1)</f>
        <v>2027</v>
      </c>
      <c r="D110" s="349">
        <f>IF(F109+SUM(E$100:E109)=D$93,F109,D$93-SUM(E$100:E109))</f>
        <v>7256575.4577380978</v>
      </c>
      <c r="E110" s="509">
        <f t="shared" si="17"/>
        <v>442262.6</v>
      </c>
      <c r="F110" s="510">
        <f t="shared" si="18"/>
        <v>6814312.8577380981</v>
      </c>
      <c r="G110" s="510">
        <f t="shared" si="19"/>
        <v>7035444.1577380979</v>
      </c>
      <c r="H110" s="523">
        <f t="shared" si="22"/>
        <v>1272177.7561554548</v>
      </c>
      <c r="I110" s="572">
        <f t="shared" si="20"/>
        <v>1272177.7561554548</v>
      </c>
      <c r="J110" s="504">
        <f t="shared" si="14"/>
        <v>0</v>
      </c>
      <c r="K110" s="504"/>
      <c r="L110" s="512"/>
      <c r="M110" s="504">
        <f t="shared" si="21"/>
        <v>0</v>
      </c>
      <c r="N110" s="512"/>
      <c r="O110" s="504">
        <f t="shared" si="15"/>
        <v>0</v>
      </c>
      <c r="P110" s="504">
        <f t="shared" si="16"/>
        <v>0</v>
      </c>
      <c r="Q110" s="243"/>
      <c r="R110" s="243"/>
      <c r="S110" s="243"/>
      <c r="T110" s="243"/>
      <c r="U110" s="243"/>
    </row>
    <row r="111" spans="1:21">
      <c r="B111" s="145" t="str">
        <f t="shared" si="13"/>
        <v/>
      </c>
      <c r="C111" s="495">
        <f>IF(D94="","-",+C110+1)</f>
        <v>2028</v>
      </c>
      <c r="D111" s="349">
        <f>IF(F110+SUM(E$100:E110)=D$93,F110,D$93-SUM(E$100:E110))</f>
        <v>6814312.8577380981</v>
      </c>
      <c r="E111" s="509">
        <f t="shared" si="17"/>
        <v>442262.6</v>
      </c>
      <c r="F111" s="510">
        <f t="shared" si="18"/>
        <v>6372050.2577380985</v>
      </c>
      <c r="G111" s="510">
        <f t="shared" si="19"/>
        <v>6593181.5577380983</v>
      </c>
      <c r="H111" s="523">
        <f t="shared" si="22"/>
        <v>1220007.5695245201</v>
      </c>
      <c r="I111" s="572">
        <f t="shared" si="20"/>
        <v>1220007.5695245201</v>
      </c>
      <c r="J111" s="504">
        <f t="shared" si="14"/>
        <v>0</v>
      </c>
      <c r="K111" s="504"/>
      <c r="L111" s="512"/>
      <c r="M111" s="504">
        <f t="shared" si="21"/>
        <v>0</v>
      </c>
      <c r="N111" s="512"/>
      <c r="O111" s="504">
        <f t="shared" si="15"/>
        <v>0</v>
      </c>
      <c r="P111" s="504">
        <f t="shared" si="16"/>
        <v>0</v>
      </c>
      <c r="Q111" s="243"/>
      <c r="R111" s="243"/>
      <c r="S111" s="243"/>
      <c r="T111" s="243"/>
      <c r="U111" s="243"/>
    </row>
    <row r="112" spans="1:21">
      <c r="B112" s="145" t="str">
        <f t="shared" si="13"/>
        <v/>
      </c>
      <c r="C112" s="495">
        <f>IF(D94="","-",+C111+1)</f>
        <v>2029</v>
      </c>
      <c r="D112" s="349">
        <f>IF(F111+SUM(E$100:E111)=D$93,F111,D$93-SUM(E$100:E111))</f>
        <v>6372050.2577380985</v>
      </c>
      <c r="E112" s="509">
        <f t="shared" si="17"/>
        <v>442262.6</v>
      </c>
      <c r="F112" s="510">
        <f t="shared" si="18"/>
        <v>5929787.6577380989</v>
      </c>
      <c r="G112" s="510">
        <f t="shared" si="19"/>
        <v>6150918.9577380987</v>
      </c>
      <c r="H112" s="523">
        <f t="shared" si="22"/>
        <v>1167837.3828935851</v>
      </c>
      <c r="I112" s="572">
        <f t="shared" si="20"/>
        <v>1167837.3828935851</v>
      </c>
      <c r="J112" s="504">
        <f t="shared" si="14"/>
        <v>0</v>
      </c>
      <c r="K112" s="504"/>
      <c r="L112" s="512"/>
      <c r="M112" s="504">
        <f t="shared" si="21"/>
        <v>0</v>
      </c>
      <c r="N112" s="512"/>
      <c r="O112" s="504">
        <f t="shared" si="15"/>
        <v>0</v>
      </c>
      <c r="P112" s="504">
        <f t="shared" si="16"/>
        <v>0</v>
      </c>
      <c r="Q112" s="243"/>
      <c r="R112" s="243"/>
      <c r="S112" s="243"/>
      <c r="T112" s="243"/>
      <c r="U112" s="243"/>
    </row>
    <row r="113" spans="2:21">
      <c r="B113" s="145" t="str">
        <f t="shared" si="13"/>
        <v/>
      </c>
      <c r="C113" s="495">
        <f>IF(D94="","-",+C112+1)</f>
        <v>2030</v>
      </c>
      <c r="D113" s="349">
        <f>IF(F112+SUM(E$100:E112)=D$93,F112,D$93-SUM(E$100:E112))</f>
        <v>5929787.6577380989</v>
      </c>
      <c r="E113" s="509">
        <f t="shared" si="17"/>
        <v>442262.6</v>
      </c>
      <c r="F113" s="510">
        <f t="shared" si="18"/>
        <v>5487525.0577380992</v>
      </c>
      <c r="G113" s="510">
        <f t="shared" si="19"/>
        <v>5708656.3577380991</v>
      </c>
      <c r="H113" s="523">
        <f t="shared" si="22"/>
        <v>1115667.1962626502</v>
      </c>
      <c r="I113" s="572">
        <f t="shared" si="20"/>
        <v>1115667.1962626502</v>
      </c>
      <c r="J113" s="504">
        <f t="shared" si="14"/>
        <v>0</v>
      </c>
      <c r="K113" s="504"/>
      <c r="L113" s="512"/>
      <c r="M113" s="504">
        <f t="shared" si="21"/>
        <v>0</v>
      </c>
      <c r="N113" s="512"/>
      <c r="O113" s="504">
        <f t="shared" si="15"/>
        <v>0</v>
      </c>
      <c r="P113" s="504">
        <f t="shared" si="16"/>
        <v>0</v>
      </c>
      <c r="Q113" s="243"/>
      <c r="R113" s="243"/>
      <c r="S113" s="243"/>
      <c r="T113" s="243"/>
      <c r="U113" s="243"/>
    </row>
    <row r="114" spans="2:21">
      <c r="B114" s="145" t="str">
        <f t="shared" si="13"/>
        <v/>
      </c>
      <c r="C114" s="495">
        <f>IF(D94="","-",+C113+1)</f>
        <v>2031</v>
      </c>
      <c r="D114" s="349">
        <f>IF(F113+SUM(E$100:E113)=D$93,F113,D$93-SUM(E$100:E113))</f>
        <v>5487525.0577380992</v>
      </c>
      <c r="E114" s="509">
        <f t="shared" si="17"/>
        <v>442262.6</v>
      </c>
      <c r="F114" s="510">
        <f t="shared" si="18"/>
        <v>5045262.4577380996</v>
      </c>
      <c r="G114" s="510">
        <f t="shared" si="19"/>
        <v>5266393.7577380994</v>
      </c>
      <c r="H114" s="523">
        <f t="shared" si="22"/>
        <v>1063497.0096317152</v>
      </c>
      <c r="I114" s="572">
        <f t="shared" si="20"/>
        <v>1063497.0096317152</v>
      </c>
      <c r="J114" s="504">
        <f t="shared" si="14"/>
        <v>0</v>
      </c>
      <c r="K114" s="504"/>
      <c r="L114" s="512"/>
      <c r="M114" s="504">
        <f t="shared" si="21"/>
        <v>0</v>
      </c>
      <c r="N114" s="512"/>
      <c r="O114" s="504">
        <f t="shared" si="15"/>
        <v>0</v>
      </c>
      <c r="P114" s="504">
        <f t="shared" si="16"/>
        <v>0</v>
      </c>
      <c r="Q114" s="243"/>
      <c r="R114" s="243"/>
      <c r="S114" s="243"/>
      <c r="T114" s="243"/>
      <c r="U114" s="243"/>
    </row>
    <row r="115" spans="2:21">
      <c r="B115" s="145" t="str">
        <f t="shared" si="13"/>
        <v/>
      </c>
      <c r="C115" s="495">
        <f>IF(D94="","-",+C114+1)</f>
        <v>2032</v>
      </c>
      <c r="D115" s="349">
        <f>IF(F114+SUM(E$100:E114)=D$93,F114,D$93-SUM(E$100:E114))</f>
        <v>5045262.4577380996</v>
      </c>
      <c r="E115" s="509">
        <f t="shared" si="17"/>
        <v>442262.6</v>
      </c>
      <c r="F115" s="510">
        <f t="shared" si="18"/>
        <v>4602999.8577381</v>
      </c>
      <c r="G115" s="510">
        <f t="shared" si="19"/>
        <v>4824131.1577380998</v>
      </c>
      <c r="H115" s="523">
        <f t="shared" si="22"/>
        <v>1011326.8230007803</v>
      </c>
      <c r="I115" s="572">
        <f t="shared" si="20"/>
        <v>1011326.8230007803</v>
      </c>
      <c r="J115" s="504">
        <f t="shared" si="14"/>
        <v>0</v>
      </c>
      <c r="K115" s="504"/>
      <c r="L115" s="512"/>
      <c r="M115" s="504">
        <f t="shared" si="21"/>
        <v>0</v>
      </c>
      <c r="N115" s="512"/>
      <c r="O115" s="504">
        <f t="shared" si="15"/>
        <v>0</v>
      </c>
      <c r="P115" s="504">
        <f t="shared" si="16"/>
        <v>0</v>
      </c>
      <c r="Q115" s="243"/>
      <c r="R115" s="243"/>
      <c r="S115" s="243"/>
      <c r="T115" s="243"/>
      <c r="U115" s="243"/>
    </row>
    <row r="116" spans="2:21">
      <c r="B116" s="145" t="str">
        <f t="shared" si="13"/>
        <v/>
      </c>
      <c r="C116" s="495">
        <f>IF(D94="","-",+C115+1)</f>
        <v>2033</v>
      </c>
      <c r="D116" s="349">
        <f>IF(F115+SUM(E$100:E115)=D$93,F115,D$93-SUM(E$100:E115))</f>
        <v>4602999.8577381</v>
      </c>
      <c r="E116" s="509">
        <f t="shared" si="17"/>
        <v>442262.6</v>
      </c>
      <c r="F116" s="510">
        <f t="shared" si="18"/>
        <v>4160737.2577380999</v>
      </c>
      <c r="G116" s="510">
        <f t="shared" si="19"/>
        <v>4381868.5577381002</v>
      </c>
      <c r="H116" s="523">
        <f t="shared" si="22"/>
        <v>959156.63636984536</v>
      </c>
      <c r="I116" s="572">
        <f t="shared" si="20"/>
        <v>959156.63636984536</v>
      </c>
      <c r="J116" s="504">
        <f t="shared" si="14"/>
        <v>0</v>
      </c>
      <c r="K116" s="504"/>
      <c r="L116" s="512"/>
      <c r="M116" s="504">
        <f t="shared" si="21"/>
        <v>0</v>
      </c>
      <c r="N116" s="512"/>
      <c r="O116" s="504">
        <f t="shared" si="15"/>
        <v>0</v>
      </c>
      <c r="P116" s="504">
        <f t="shared" si="16"/>
        <v>0</v>
      </c>
      <c r="Q116" s="243"/>
      <c r="R116" s="243"/>
      <c r="S116" s="243"/>
      <c r="T116" s="243"/>
      <c r="U116" s="243"/>
    </row>
    <row r="117" spans="2:21">
      <c r="B117" s="145" t="str">
        <f t="shared" si="13"/>
        <v/>
      </c>
      <c r="C117" s="495">
        <f>IF(D94="","-",+C116+1)</f>
        <v>2034</v>
      </c>
      <c r="D117" s="349">
        <f>IF(F116+SUM(E$100:E116)=D$93,F116,D$93-SUM(E$100:E116))</f>
        <v>4160737.2577380999</v>
      </c>
      <c r="E117" s="509">
        <f t="shared" si="17"/>
        <v>442262.6</v>
      </c>
      <c r="F117" s="510">
        <f t="shared" si="18"/>
        <v>3718474.6577380998</v>
      </c>
      <c r="G117" s="510">
        <f t="shared" si="19"/>
        <v>3939605.9577380996</v>
      </c>
      <c r="H117" s="523">
        <f t="shared" si="22"/>
        <v>906986.44973891042</v>
      </c>
      <c r="I117" s="572">
        <f t="shared" si="20"/>
        <v>906986.44973891042</v>
      </c>
      <c r="J117" s="504">
        <f t="shared" si="14"/>
        <v>0</v>
      </c>
      <c r="K117" s="504"/>
      <c r="L117" s="512"/>
      <c r="M117" s="504">
        <f t="shared" si="21"/>
        <v>0</v>
      </c>
      <c r="N117" s="512"/>
      <c r="O117" s="504">
        <f t="shared" si="15"/>
        <v>0</v>
      </c>
      <c r="P117" s="504">
        <f t="shared" si="16"/>
        <v>0</v>
      </c>
      <c r="Q117" s="243"/>
      <c r="R117" s="243"/>
      <c r="S117" s="243"/>
      <c r="T117" s="243"/>
      <c r="U117" s="243"/>
    </row>
    <row r="118" spans="2:21">
      <c r="B118" s="145" t="str">
        <f t="shared" si="13"/>
        <v/>
      </c>
      <c r="C118" s="495">
        <f>IF(D94="","-",+C117+1)</f>
        <v>2035</v>
      </c>
      <c r="D118" s="349">
        <f>IF(F117+SUM(E$100:E117)=D$93,F117,D$93-SUM(E$100:E117))</f>
        <v>3718474.6577380998</v>
      </c>
      <c r="E118" s="509">
        <f t="shared" si="17"/>
        <v>442262.6</v>
      </c>
      <c r="F118" s="510">
        <f t="shared" si="18"/>
        <v>3276212.0577380997</v>
      </c>
      <c r="G118" s="510">
        <f t="shared" si="19"/>
        <v>3497343.3577381</v>
      </c>
      <c r="H118" s="523">
        <f t="shared" si="22"/>
        <v>854816.26310797548</v>
      </c>
      <c r="I118" s="572">
        <f t="shared" si="20"/>
        <v>854816.26310797548</v>
      </c>
      <c r="J118" s="504">
        <f t="shared" si="14"/>
        <v>0</v>
      </c>
      <c r="K118" s="504"/>
      <c r="L118" s="512"/>
      <c r="M118" s="504">
        <f t="shared" si="21"/>
        <v>0</v>
      </c>
      <c r="N118" s="512"/>
      <c r="O118" s="504">
        <f t="shared" si="15"/>
        <v>0</v>
      </c>
      <c r="P118" s="504">
        <f t="shared" si="16"/>
        <v>0</v>
      </c>
      <c r="Q118" s="243"/>
      <c r="R118" s="243"/>
      <c r="S118" s="243"/>
      <c r="T118" s="243"/>
      <c r="U118" s="243"/>
    </row>
    <row r="119" spans="2:21">
      <c r="B119" s="145" t="str">
        <f t="shared" si="13"/>
        <v/>
      </c>
      <c r="C119" s="495">
        <f>IF(D94="","-",+C118+1)</f>
        <v>2036</v>
      </c>
      <c r="D119" s="349">
        <f>IF(F118+SUM(E$100:E118)=D$93,F118,D$93-SUM(E$100:E118))</f>
        <v>3276212.0577380997</v>
      </c>
      <c r="E119" s="509">
        <f t="shared" si="17"/>
        <v>442262.6</v>
      </c>
      <c r="F119" s="510">
        <f t="shared" si="18"/>
        <v>2833949.4577380996</v>
      </c>
      <c r="G119" s="510">
        <f t="shared" si="19"/>
        <v>3055080.7577380994</v>
      </c>
      <c r="H119" s="523">
        <f t="shared" si="22"/>
        <v>802646.07647704054</v>
      </c>
      <c r="I119" s="572">
        <f t="shared" si="20"/>
        <v>802646.07647704054</v>
      </c>
      <c r="J119" s="504">
        <f t="shared" si="14"/>
        <v>0</v>
      </c>
      <c r="K119" s="504"/>
      <c r="L119" s="512"/>
      <c r="M119" s="504">
        <f t="shared" si="21"/>
        <v>0</v>
      </c>
      <c r="N119" s="512"/>
      <c r="O119" s="504">
        <f t="shared" si="15"/>
        <v>0</v>
      </c>
      <c r="P119" s="504">
        <f t="shared" si="16"/>
        <v>0</v>
      </c>
      <c r="Q119" s="243"/>
      <c r="R119" s="243"/>
      <c r="S119" s="243"/>
      <c r="T119" s="243"/>
      <c r="U119" s="243"/>
    </row>
    <row r="120" spans="2:21">
      <c r="B120" s="145" t="str">
        <f t="shared" si="13"/>
        <v/>
      </c>
      <c r="C120" s="495">
        <f>IF(D94="","-",+C119+1)</f>
        <v>2037</v>
      </c>
      <c r="D120" s="349">
        <f>IF(F119+SUM(E$100:E119)=D$93,F119,D$93-SUM(E$100:E119))</f>
        <v>2833949.4577380996</v>
      </c>
      <c r="E120" s="509">
        <f t="shared" si="17"/>
        <v>442262.6</v>
      </c>
      <c r="F120" s="510">
        <f t="shared" si="18"/>
        <v>2391686.8577380995</v>
      </c>
      <c r="G120" s="510">
        <f t="shared" si="19"/>
        <v>2612818.1577380998</v>
      </c>
      <c r="H120" s="523">
        <f t="shared" si="22"/>
        <v>750475.88984610559</v>
      </c>
      <c r="I120" s="572">
        <f t="shared" si="20"/>
        <v>750475.88984610559</v>
      </c>
      <c r="J120" s="504">
        <f t="shared" si="14"/>
        <v>0</v>
      </c>
      <c r="K120" s="504"/>
      <c r="L120" s="512"/>
      <c r="M120" s="504">
        <f t="shared" si="21"/>
        <v>0</v>
      </c>
      <c r="N120" s="512"/>
      <c r="O120" s="504">
        <f t="shared" si="15"/>
        <v>0</v>
      </c>
      <c r="P120" s="504">
        <f t="shared" si="16"/>
        <v>0</v>
      </c>
      <c r="Q120" s="243"/>
      <c r="R120" s="243"/>
      <c r="S120" s="243"/>
      <c r="T120" s="243"/>
      <c r="U120" s="243"/>
    </row>
    <row r="121" spans="2:21">
      <c r="B121" s="145" t="str">
        <f t="shared" si="13"/>
        <v/>
      </c>
      <c r="C121" s="495">
        <f>IF(D94="","-",+C120+1)</f>
        <v>2038</v>
      </c>
      <c r="D121" s="349">
        <f>IF(F120+SUM(E$100:E120)=D$93,F120,D$93-SUM(E$100:E120))</f>
        <v>2391686.8577380995</v>
      </c>
      <c r="E121" s="509">
        <f t="shared" si="17"/>
        <v>442262.6</v>
      </c>
      <c r="F121" s="510">
        <f t="shared" si="18"/>
        <v>1949424.2577380994</v>
      </c>
      <c r="G121" s="510">
        <f t="shared" si="19"/>
        <v>2170555.5577380992</v>
      </c>
      <c r="H121" s="523">
        <f t="shared" si="22"/>
        <v>698305.70321517065</v>
      </c>
      <c r="I121" s="572">
        <f t="shared" si="20"/>
        <v>698305.70321517065</v>
      </c>
      <c r="J121" s="504">
        <f t="shared" si="14"/>
        <v>0</v>
      </c>
      <c r="K121" s="504"/>
      <c r="L121" s="512"/>
      <c r="M121" s="504">
        <f t="shared" si="21"/>
        <v>0</v>
      </c>
      <c r="N121" s="512"/>
      <c r="O121" s="504">
        <f t="shared" si="15"/>
        <v>0</v>
      </c>
      <c r="P121" s="504">
        <f t="shared" si="16"/>
        <v>0</v>
      </c>
      <c r="Q121" s="243"/>
      <c r="R121" s="243"/>
      <c r="S121" s="243"/>
      <c r="T121" s="243"/>
      <c r="U121" s="243"/>
    </row>
    <row r="122" spans="2:21">
      <c r="B122" s="145" t="str">
        <f t="shared" si="13"/>
        <v/>
      </c>
      <c r="C122" s="495">
        <f>IF(D94="","-",+C121+1)</f>
        <v>2039</v>
      </c>
      <c r="D122" s="349">
        <f>IF(F121+SUM(E$100:E121)=D$93,F121,D$93-SUM(E$100:E121))</f>
        <v>1949424.2577380994</v>
      </c>
      <c r="E122" s="509">
        <f t="shared" si="17"/>
        <v>442262.6</v>
      </c>
      <c r="F122" s="510">
        <f t="shared" si="18"/>
        <v>1507161.6577380993</v>
      </c>
      <c r="G122" s="510">
        <f t="shared" si="19"/>
        <v>1728292.9577380994</v>
      </c>
      <c r="H122" s="523">
        <f t="shared" si="22"/>
        <v>646135.51658423571</v>
      </c>
      <c r="I122" s="572">
        <f t="shared" si="20"/>
        <v>646135.51658423571</v>
      </c>
      <c r="J122" s="504">
        <f t="shared" si="14"/>
        <v>0</v>
      </c>
      <c r="K122" s="504"/>
      <c r="L122" s="512"/>
      <c r="M122" s="504">
        <f t="shared" si="21"/>
        <v>0</v>
      </c>
      <c r="N122" s="512"/>
      <c r="O122" s="504">
        <f t="shared" si="15"/>
        <v>0</v>
      </c>
      <c r="P122" s="504">
        <f t="shared" si="16"/>
        <v>0</v>
      </c>
      <c r="Q122" s="243"/>
      <c r="R122" s="243"/>
      <c r="S122" s="243"/>
      <c r="T122" s="243"/>
      <c r="U122" s="243"/>
    </row>
    <row r="123" spans="2:21">
      <c r="B123" s="145" t="str">
        <f t="shared" si="13"/>
        <v/>
      </c>
      <c r="C123" s="495">
        <f>IF(D94="","-",+C122+1)</f>
        <v>2040</v>
      </c>
      <c r="D123" s="349">
        <f>IF(F122+SUM(E$100:E122)=D$93,F122,D$93-SUM(E$100:E122))</f>
        <v>1507161.6577380993</v>
      </c>
      <c r="E123" s="509">
        <f t="shared" si="17"/>
        <v>442262.6</v>
      </c>
      <c r="F123" s="510">
        <f t="shared" si="18"/>
        <v>1064899.0577380992</v>
      </c>
      <c r="G123" s="510">
        <f t="shared" si="19"/>
        <v>1286030.3577380993</v>
      </c>
      <c r="H123" s="523">
        <f t="shared" si="22"/>
        <v>593965.32995330077</v>
      </c>
      <c r="I123" s="572">
        <f t="shared" si="20"/>
        <v>593965.32995330077</v>
      </c>
      <c r="J123" s="504">
        <f t="shared" si="14"/>
        <v>0</v>
      </c>
      <c r="K123" s="504"/>
      <c r="L123" s="512"/>
      <c r="M123" s="504">
        <f t="shared" si="21"/>
        <v>0</v>
      </c>
      <c r="N123" s="512"/>
      <c r="O123" s="504">
        <f t="shared" si="15"/>
        <v>0</v>
      </c>
      <c r="P123" s="504">
        <f t="shared" si="16"/>
        <v>0</v>
      </c>
      <c r="Q123" s="243"/>
      <c r="R123" s="243"/>
      <c r="S123" s="243"/>
      <c r="T123" s="243"/>
      <c r="U123" s="243"/>
    </row>
    <row r="124" spans="2:21">
      <c r="B124" s="145" t="str">
        <f t="shared" si="13"/>
        <v/>
      </c>
      <c r="C124" s="495">
        <f>IF(D94="","-",+C123+1)</f>
        <v>2041</v>
      </c>
      <c r="D124" s="349">
        <f>IF(F123+SUM(E$100:E123)=D$93,F123,D$93-SUM(E$100:E123))</f>
        <v>1064899.0577380992</v>
      </c>
      <c r="E124" s="509">
        <f t="shared" si="17"/>
        <v>442262.6</v>
      </c>
      <c r="F124" s="510">
        <f t="shared" si="18"/>
        <v>622636.45773809927</v>
      </c>
      <c r="G124" s="510">
        <f t="shared" si="19"/>
        <v>843767.7577380992</v>
      </c>
      <c r="H124" s="523">
        <f t="shared" si="22"/>
        <v>541795.14332236582</v>
      </c>
      <c r="I124" s="572">
        <f t="shared" si="20"/>
        <v>541795.14332236582</v>
      </c>
      <c r="J124" s="504">
        <f t="shared" si="14"/>
        <v>0</v>
      </c>
      <c r="K124" s="504"/>
      <c r="L124" s="512"/>
      <c r="M124" s="504">
        <f t="shared" si="21"/>
        <v>0</v>
      </c>
      <c r="N124" s="512"/>
      <c r="O124" s="504">
        <f t="shared" si="15"/>
        <v>0</v>
      </c>
      <c r="P124" s="504">
        <f t="shared" si="16"/>
        <v>0</v>
      </c>
      <c r="Q124" s="243"/>
      <c r="R124" s="243"/>
      <c r="S124" s="243"/>
      <c r="T124" s="243"/>
      <c r="U124" s="243"/>
    </row>
    <row r="125" spans="2:21">
      <c r="B125" s="145" t="str">
        <f t="shared" si="13"/>
        <v/>
      </c>
      <c r="C125" s="495">
        <f>IF(D94="","-",+C124+1)</f>
        <v>2042</v>
      </c>
      <c r="D125" s="349">
        <f>IF(F124+SUM(E$100:E124)=D$93,F124,D$93-SUM(E$100:E124))</f>
        <v>622636.45773809927</v>
      </c>
      <c r="E125" s="509">
        <f t="shared" si="17"/>
        <v>442262.6</v>
      </c>
      <c r="F125" s="510">
        <f t="shared" si="18"/>
        <v>180373.85773809929</v>
      </c>
      <c r="G125" s="510">
        <f t="shared" si="19"/>
        <v>401505.15773809928</v>
      </c>
      <c r="H125" s="523">
        <f t="shared" si="22"/>
        <v>489624.95669143082</v>
      </c>
      <c r="I125" s="572">
        <f t="shared" si="20"/>
        <v>489624.95669143082</v>
      </c>
      <c r="J125" s="504">
        <f t="shared" si="14"/>
        <v>0</v>
      </c>
      <c r="K125" s="504"/>
      <c r="L125" s="512"/>
      <c r="M125" s="504">
        <f t="shared" si="21"/>
        <v>0</v>
      </c>
      <c r="N125" s="512"/>
      <c r="O125" s="504">
        <f t="shared" si="15"/>
        <v>0</v>
      </c>
      <c r="P125" s="504">
        <f t="shared" si="16"/>
        <v>0</v>
      </c>
      <c r="Q125" s="243"/>
      <c r="R125" s="243"/>
      <c r="S125" s="243"/>
      <c r="T125" s="243"/>
      <c r="U125" s="243"/>
    </row>
    <row r="126" spans="2:21">
      <c r="B126" s="145" t="str">
        <f t="shared" si="13"/>
        <v/>
      </c>
      <c r="C126" s="495">
        <f>IF(D94="","-",+C125+1)</f>
        <v>2043</v>
      </c>
      <c r="D126" s="349">
        <f>IF(F125+SUM(E$100:E125)=D$93,F125,D$93-SUM(E$100:E125))</f>
        <v>180373.85773809929</v>
      </c>
      <c r="E126" s="509">
        <f t="shared" si="17"/>
        <v>180373.85773809929</v>
      </c>
      <c r="F126" s="510">
        <f t="shared" si="18"/>
        <v>0</v>
      </c>
      <c r="G126" s="510">
        <f t="shared" si="19"/>
        <v>90186.928869049647</v>
      </c>
      <c r="H126" s="523">
        <f t="shared" si="22"/>
        <v>191012.48942608098</v>
      </c>
      <c r="I126" s="572">
        <f t="shared" si="20"/>
        <v>191012.48942608098</v>
      </c>
      <c r="J126" s="504">
        <f t="shared" si="14"/>
        <v>0</v>
      </c>
      <c r="K126" s="504"/>
      <c r="L126" s="512"/>
      <c r="M126" s="504">
        <f t="shared" si="21"/>
        <v>0</v>
      </c>
      <c r="N126" s="512"/>
      <c r="O126" s="504">
        <f t="shared" si="15"/>
        <v>0</v>
      </c>
      <c r="P126" s="504">
        <f t="shared" si="16"/>
        <v>0</v>
      </c>
      <c r="Q126" s="243"/>
      <c r="R126" s="243"/>
      <c r="S126" s="243"/>
      <c r="T126" s="243"/>
      <c r="U126" s="243"/>
    </row>
    <row r="127" spans="2:21">
      <c r="B127" s="145" t="str">
        <f t="shared" si="13"/>
        <v/>
      </c>
      <c r="C127" s="495">
        <f>IF(D94="","-",+C126+1)</f>
        <v>2044</v>
      </c>
      <c r="D127" s="349">
        <f>IF(F126+SUM(E$100:E126)=D$93,F126,D$93-SUM(E$100:E126))</f>
        <v>0</v>
      </c>
      <c r="E127" s="509">
        <f t="shared" si="17"/>
        <v>0</v>
      </c>
      <c r="F127" s="510">
        <f t="shared" si="18"/>
        <v>0</v>
      </c>
      <c r="G127" s="510">
        <f t="shared" si="19"/>
        <v>0</v>
      </c>
      <c r="H127" s="523">
        <f t="shared" si="22"/>
        <v>0</v>
      </c>
      <c r="I127" s="572">
        <f t="shared" si="20"/>
        <v>0</v>
      </c>
      <c r="J127" s="504">
        <f t="shared" si="14"/>
        <v>0</v>
      </c>
      <c r="K127" s="504"/>
      <c r="L127" s="512"/>
      <c r="M127" s="504">
        <f t="shared" si="21"/>
        <v>0</v>
      </c>
      <c r="N127" s="512"/>
      <c r="O127" s="504">
        <f t="shared" si="15"/>
        <v>0</v>
      </c>
      <c r="P127" s="504">
        <f t="shared" si="16"/>
        <v>0</v>
      </c>
      <c r="Q127" s="243"/>
      <c r="R127" s="243"/>
      <c r="S127" s="243"/>
      <c r="T127" s="243"/>
      <c r="U127" s="243"/>
    </row>
    <row r="128" spans="2:21">
      <c r="B128" s="145" t="str">
        <f t="shared" si="13"/>
        <v/>
      </c>
      <c r="C128" s="495">
        <f>IF(D94="","-",+C127+1)</f>
        <v>2045</v>
      </c>
      <c r="D128" s="349">
        <f>IF(F127+SUM(E$100:E127)=D$93,F127,D$93-SUM(E$100:E127))</f>
        <v>0</v>
      </c>
      <c r="E128" s="509">
        <f t="shared" si="17"/>
        <v>0</v>
      </c>
      <c r="F128" s="510">
        <f t="shared" si="18"/>
        <v>0</v>
      </c>
      <c r="G128" s="510">
        <f t="shared" si="19"/>
        <v>0</v>
      </c>
      <c r="H128" s="523">
        <f t="shared" si="22"/>
        <v>0</v>
      </c>
      <c r="I128" s="572">
        <f t="shared" si="20"/>
        <v>0</v>
      </c>
      <c r="J128" s="504">
        <f t="shared" si="14"/>
        <v>0</v>
      </c>
      <c r="K128" s="504"/>
      <c r="L128" s="512"/>
      <c r="M128" s="504">
        <f t="shared" si="21"/>
        <v>0</v>
      </c>
      <c r="N128" s="512"/>
      <c r="O128" s="504">
        <f t="shared" si="15"/>
        <v>0</v>
      </c>
      <c r="P128" s="504">
        <f t="shared" si="16"/>
        <v>0</v>
      </c>
      <c r="Q128" s="243"/>
      <c r="R128" s="243"/>
      <c r="S128" s="243"/>
      <c r="T128" s="243"/>
      <c r="U128" s="243"/>
    </row>
    <row r="129" spans="2:21">
      <c r="B129" s="145" t="str">
        <f t="shared" si="13"/>
        <v/>
      </c>
      <c r="C129" s="495">
        <f>IF(D94="","-",+C128+1)</f>
        <v>2046</v>
      </c>
      <c r="D129" s="349">
        <f>IF(F128+SUM(E$100:E128)=D$93,F128,D$93-SUM(E$100:E128))</f>
        <v>0</v>
      </c>
      <c r="E129" s="509">
        <f t="shared" si="17"/>
        <v>0</v>
      </c>
      <c r="F129" s="510">
        <f t="shared" si="18"/>
        <v>0</v>
      </c>
      <c r="G129" s="510">
        <f t="shared" si="19"/>
        <v>0</v>
      </c>
      <c r="H129" s="523">
        <f t="shared" si="22"/>
        <v>0</v>
      </c>
      <c r="I129" s="572">
        <f t="shared" si="20"/>
        <v>0</v>
      </c>
      <c r="J129" s="504">
        <f t="shared" si="14"/>
        <v>0</v>
      </c>
      <c r="K129" s="504"/>
      <c r="L129" s="512"/>
      <c r="M129" s="504">
        <f t="shared" si="21"/>
        <v>0</v>
      </c>
      <c r="N129" s="512"/>
      <c r="O129" s="504">
        <f t="shared" si="15"/>
        <v>0</v>
      </c>
      <c r="P129" s="504">
        <f t="shared" si="16"/>
        <v>0</v>
      </c>
      <c r="Q129" s="243"/>
      <c r="R129" s="243"/>
      <c r="S129" s="243"/>
      <c r="T129" s="243"/>
      <c r="U129" s="243"/>
    </row>
    <row r="130" spans="2:21">
      <c r="B130" s="145" t="str">
        <f t="shared" si="13"/>
        <v/>
      </c>
      <c r="C130" s="495">
        <f>IF(D94="","-",+C129+1)</f>
        <v>2047</v>
      </c>
      <c r="D130" s="349">
        <f>IF(F129+SUM(E$100:E129)=D$93,F129,D$93-SUM(E$100:E129))</f>
        <v>0</v>
      </c>
      <c r="E130" s="509">
        <f t="shared" si="17"/>
        <v>0</v>
      </c>
      <c r="F130" s="510">
        <f t="shared" si="18"/>
        <v>0</v>
      </c>
      <c r="G130" s="510">
        <f t="shared" si="19"/>
        <v>0</v>
      </c>
      <c r="H130" s="523">
        <f t="shared" si="22"/>
        <v>0</v>
      </c>
      <c r="I130" s="572">
        <f t="shared" si="20"/>
        <v>0</v>
      </c>
      <c r="J130" s="504">
        <f t="shared" si="14"/>
        <v>0</v>
      </c>
      <c r="K130" s="504"/>
      <c r="L130" s="512"/>
      <c r="M130" s="504">
        <f t="shared" si="21"/>
        <v>0</v>
      </c>
      <c r="N130" s="512"/>
      <c r="O130" s="504">
        <f t="shared" si="15"/>
        <v>0</v>
      </c>
      <c r="P130" s="504">
        <f t="shared" si="16"/>
        <v>0</v>
      </c>
      <c r="Q130" s="243"/>
      <c r="R130" s="243"/>
      <c r="S130" s="243"/>
      <c r="T130" s="243"/>
      <c r="U130" s="243"/>
    </row>
    <row r="131" spans="2:21">
      <c r="B131" s="145" t="str">
        <f t="shared" si="13"/>
        <v/>
      </c>
      <c r="C131" s="495">
        <f>IF(D94="","-",+C130+1)</f>
        <v>2048</v>
      </c>
      <c r="D131" s="349">
        <f>IF(F130+SUM(E$100:E130)=D$93,F130,D$93-SUM(E$100:E130))</f>
        <v>0</v>
      </c>
      <c r="E131" s="509">
        <f t="shared" si="17"/>
        <v>0</v>
      </c>
      <c r="F131" s="510">
        <f t="shared" si="18"/>
        <v>0</v>
      </c>
      <c r="G131" s="510">
        <f t="shared" si="19"/>
        <v>0</v>
      </c>
      <c r="H131" s="523">
        <f t="shared" si="22"/>
        <v>0</v>
      </c>
      <c r="I131" s="572">
        <f t="shared" si="20"/>
        <v>0</v>
      </c>
      <c r="J131" s="504">
        <f t="shared" si="14"/>
        <v>0</v>
      </c>
      <c r="K131" s="504"/>
      <c r="L131" s="512"/>
      <c r="M131" s="504">
        <f t="shared" si="21"/>
        <v>0</v>
      </c>
      <c r="N131" s="512"/>
      <c r="O131" s="504">
        <f t="shared" si="15"/>
        <v>0</v>
      </c>
      <c r="P131" s="504">
        <f t="shared" si="16"/>
        <v>0</v>
      </c>
      <c r="Q131" s="243"/>
      <c r="R131" s="243"/>
      <c r="S131" s="243"/>
      <c r="T131" s="243"/>
      <c r="U131" s="243"/>
    </row>
    <row r="132" spans="2:21">
      <c r="B132" s="145" t="str">
        <f t="shared" si="13"/>
        <v/>
      </c>
      <c r="C132" s="495">
        <f>IF(D94="","-",+C131+1)</f>
        <v>2049</v>
      </c>
      <c r="D132" s="349">
        <f>IF(F131+SUM(E$100:E131)=D$93,F131,D$93-SUM(E$100:E131))</f>
        <v>0</v>
      </c>
      <c r="E132" s="509">
        <f t="shared" si="17"/>
        <v>0</v>
      </c>
      <c r="F132" s="510">
        <f t="shared" si="18"/>
        <v>0</v>
      </c>
      <c r="G132" s="510">
        <f t="shared" si="19"/>
        <v>0</v>
      </c>
      <c r="H132" s="523">
        <f t="shared" si="22"/>
        <v>0</v>
      </c>
      <c r="I132" s="572">
        <f t="shared" si="20"/>
        <v>0</v>
      </c>
      <c r="J132" s="504">
        <f t="shared" si="14"/>
        <v>0</v>
      </c>
      <c r="K132" s="504"/>
      <c r="L132" s="512"/>
      <c r="M132" s="504">
        <f t="shared" si="21"/>
        <v>0</v>
      </c>
      <c r="N132" s="512"/>
      <c r="O132" s="504">
        <f t="shared" si="15"/>
        <v>0</v>
      </c>
      <c r="P132" s="504">
        <f t="shared" si="16"/>
        <v>0</v>
      </c>
      <c r="Q132" s="243"/>
      <c r="R132" s="243"/>
      <c r="S132" s="243"/>
      <c r="T132" s="243"/>
      <c r="U132" s="243"/>
    </row>
    <row r="133" spans="2:21">
      <c r="B133" s="145" t="str">
        <f t="shared" si="13"/>
        <v/>
      </c>
      <c r="C133" s="495">
        <f>IF(D94="","-",+C132+1)</f>
        <v>2050</v>
      </c>
      <c r="D133" s="349">
        <f>IF(F132+SUM(E$100:E132)=D$93,F132,D$93-SUM(E$100:E132))</f>
        <v>0</v>
      </c>
      <c r="E133" s="509">
        <f t="shared" si="17"/>
        <v>0</v>
      </c>
      <c r="F133" s="510">
        <f t="shared" si="18"/>
        <v>0</v>
      </c>
      <c r="G133" s="510">
        <f t="shared" si="19"/>
        <v>0</v>
      </c>
      <c r="H133" s="523">
        <f t="shared" si="22"/>
        <v>0</v>
      </c>
      <c r="I133" s="572">
        <f t="shared" si="20"/>
        <v>0</v>
      </c>
      <c r="J133" s="504">
        <f t="shared" si="14"/>
        <v>0</v>
      </c>
      <c r="K133" s="504"/>
      <c r="L133" s="512"/>
      <c r="M133" s="504">
        <f t="shared" si="21"/>
        <v>0</v>
      </c>
      <c r="N133" s="512"/>
      <c r="O133" s="504">
        <f t="shared" si="15"/>
        <v>0</v>
      </c>
      <c r="P133" s="504">
        <f t="shared" si="16"/>
        <v>0</v>
      </c>
      <c r="Q133" s="243"/>
      <c r="R133" s="243"/>
      <c r="S133" s="243"/>
      <c r="T133" s="243"/>
      <c r="U133" s="243"/>
    </row>
    <row r="134" spans="2:21">
      <c r="B134" s="145" t="str">
        <f t="shared" si="13"/>
        <v/>
      </c>
      <c r="C134" s="495">
        <f>IF(D94="","-",+C133+1)</f>
        <v>2051</v>
      </c>
      <c r="D134" s="349">
        <f>IF(F133+SUM(E$100:E133)=D$93,F133,D$93-SUM(E$100:E133))</f>
        <v>0</v>
      </c>
      <c r="E134" s="509">
        <f t="shared" si="17"/>
        <v>0</v>
      </c>
      <c r="F134" s="510">
        <f t="shared" si="18"/>
        <v>0</v>
      </c>
      <c r="G134" s="510">
        <f t="shared" si="19"/>
        <v>0</v>
      </c>
      <c r="H134" s="523">
        <f t="shared" si="22"/>
        <v>0</v>
      </c>
      <c r="I134" s="572">
        <f t="shared" si="20"/>
        <v>0</v>
      </c>
      <c r="J134" s="504">
        <f t="shared" si="14"/>
        <v>0</v>
      </c>
      <c r="K134" s="504"/>
      <c r="L134" s="512"/>
      <c r="M134" s="504">
        <f t="shared" si="21"/>
        <v>0</v>
      </c>
      <c r="N134" s="512"/>
      <c r="O134" s="504">
        <f t="shared" si="15"/>
        <v>0</v>
      </c>
      <c r="P134" s="504">
        <f t="shared" si="16"/>
        <v>0</v>
      </c>
      <c r="Q134" s="243"/>
      <c r="R134" s="243"/>
      <c r="S134" s="243"/>
      <c r="T134" s="243"/>
      <c r="U134" s="243"/>
    </row>
    <row r="135" spans="2:21">
      <c r="B135" s="145" t="str">
        <f t="shared" si="13"/>
        <v/>
      </c>
      <c r="C135" s="495">
        <f>IF(D94="","-",+C134+1)</f>
        <v>2052</v>
      </c>
      <c r="D135" s="349">
        <f>IF(F134+SUM(E$100:E134)=D$93,F134,D$93-SUM(E$100:E134))</f>
        <v>0</v>
      </c>
      <c r="E135" s="509">
        <f t="shared" ref="E135:E155" si="23">IF(+J$97&lt;F134,J$97,D135)</f>
        <v>0</v>
      </c>
      <c r="F135" s="510">
        <f t="shared" si="18"/>
        <v>0</v>
      </c>
      <c r="G135" s="510">
        <f t="shared" si="19"/>
        <v>0</v>
      </c>
      <c r="H135" s="523">
        <f t="shared" si="22"/>
        <v>0</v>
      </c>
      <c r="I135" s="572">
        <f t="shared" si="20"/>
        <v>0</v>
      </c>
      <c r="J135" s="504">
        <f t="shared" si="14"/>
        <v>0</v>
      </c>
      <c r="K135" s="504"/>
      <c r="L135" s="512"/>
      <c r="M135" s="504">
        <f t="shared" si="21"/>
        <v>0</v>
      </c>
      <c r="N135" s="512"/>
      <c r="O135" s="504">
        <f t="shared" si="15"/>
        <v>0</v>
      </c>
      <c r="P135" s="504">
        <f t="shared" si="16"/>
        <v>0</v>
      </c>
      <c r="Q135" s="243"/>
      <c r="R135" s="243"/>
      <c r="S135" s="243"/>
      <c r="T135" s="243"/>
      <c r="U135" s="243"/>
    </row>
    <row r="136" spans="2:21">
      <c r="B136" s="145" t="str">
        <f t="shared" si="13"/>
        <v/>
      </c>
      <c r="C136" s="495">
        <f>IF(D94="","-",+C135+1)</f>
        <v>2053</v>
      </c>
      <c r="D136" s="349">
        <f>IF(F135+SUM(E$100:E135)=D$93,F135,D$93-SUM(E$100:E135))</f>
        <v>0</v>
      </c>
      <c r="E136" s="509">
        <f t="shared" si="23"/>
        <v>0</v>
      </c>
      <c r="F136" s="510">
        <f t="shared" si="18"/>
        <v>0</v>
      </c>
      <c r="G136" s="510">
        <f t="shared" si="19"/>
        <v>0</v>
      </c>
      <c r="H136" s="523">
        <f t="shared" si="22"/>
        <v>0</v>
      </c>
      <c r="I136" s="572">
        <f t="shared" si="20"/>
        <v>0</v>
      </c>
      <c r="J136" s="504">
        <f t="shared" si="14"/>
        <v>0</v>
      </c>
      <c r="K136" s="504"/>
      <c r="L136" s="512"/>
      <c r="M136" s="504">
        <f t="shared" si="21"/>
        <v>0</v>
      </c>
      <c r="N136" s="512"/>
      <c r="O136" s="504">
        <f t="shared" si="15"/>
        <v>0</v>
      </c>
      <c r="P136" s="504">
        <f t="shared" si="16"/>
        <v>0</v>
      </c>
      <c r="Q136" s="243"/>
      <c r="R136" s="243"/>
      <c r="S136" s="243"/>
      <c r="T136" s="243"/>
      <c r="U136" s="243"/>
    </row>
    <row r="137" spans="2:21">
      <c r="B137" s="145" t="str">
        <f t="shared" si="13"/>
        <v/>
      </c>
      <c r="C137" s="495">
        <f>IF(D94="","-",+C136+1)</f>
        <v>2054</v>
      </c>
      <c r="D137" s="349">
        <f>IF(F136+SUM(E$100:E136)=D$93,F136,D$93-SUM(E$100:E136))</f>
        <v>0</v>
      </c>
      <c r="E137" s="509">
        <f t="shared" si="23"/>
        <v>0</v>
      </c>
      <c r="F137" s="510">
        <f t="shared" si="18"/>
        <v>0</v>
      </c>
      <c r="G137" s="510">
        <f t="shared" si="19"/>
        <v>0</v>
      </c>
      <c r="H137" s="523">
        <f t="shared" si="22"/>
        <v>0</v>
      </c>
      <c r="I137" s="572">
        <f t="shared" si="20"/>
        <v>0</v>
      </c>
      <c r="J137" s="504">
        <f t="shared" si="14"/>
        <v>0</v>
      </c>
      <c r="K137" s="504"/>
      <c r="L137" s="512"/>
      <c r="M137" s="504">
        <f t="shared" si="21"/>
        <v>0</v>
      </c>
      <c r="N137" s="512"/>
      <c r="O137" s="504">
        <f t="shared" si="15"/>
        <v>0</v>
      </c>
      <c r="P137" s="504">
        <f t="shared" si="16"/>
        <v>0</v>
      </c>
      <c r="Q137" s="243"/>
      <c r="R137" s="243"/>
      <c r="S137" s="243"/>
      <c r="T137" s="243"/>
      <c r="U137" s="243"/>
    </row>
    <row r="138" spans="2:21">
      <c r="B138" s="145" t="str">
        <f t="shared" si="13"/>
        <v/>
      </c>
      <c r="C138" s="495">
        <f>IF(D94="","-",+C137+1)</f>
        <v>2055</v>
      </c>
      <c r="D138" s="349">
        <f>IF(F137+SUM(E$100:E137)=D$93,F137,D$93-SUM(E$100:E137))</f>
        <v>0</v>
      </c>
      <c r="E138" s="509">
        <f t="shared" si="23"/>
        <v>0</v>
      </c>
      <c r="F138" s="510">
        <f t="shared" si="18"/>
        <v>0</v>
      </c>
      <c r="G138" s="510">
        <f t="shared" si="19"/>
        <v>0</v>
      </c>
      <c r="H138" s="523">
        <f t="shared" si="22"/>
        <v>0</v>
      </c>
      <c r="I138" s="572">
        <f t="shared" si="20"/>
        <v>0</v>
      </c>
      <c r="J138" s="504">
        <f t="shared" si="14"/>
        <v>0</v>
      </c>
      <c r="K138" s="504"/>
      <c r="L138" s="512"/>
      <c r="M138" s="504">
        <f t="shared" si="21"/>
        <v>0</v>
      </c>
      <c r="N138" s="512"/>
      <c r="O138" s="504">
        <f t="shared" si="15"/>
        <v>0</v>
      </c>
      <c r="P138" s="504">
        <f t="shared" si="16"/>
        <v>0</v>
      </c>
      <c r="Q138" s="243"/>
      <c r="R138" s="243"/>
      <c r="S138" s="243"/>
      <c r="T138" s="243"/>
      <c r="U138" s="243"/>
    </row>
    <row r="139" spans="2:21">
      <c r="B139" s="145" t="str">
        <f t="shared" si="13"/>
        <v/>
      </c>
      <c r="C139" s="495">
        <f>IF(D94="","-",+C138+1)</f>
        <v>2056</v>
      </c>
      <c r="D139" s="349">
        <f>IF(F138+SUM(E$100:E138)=D$93,F138,D$93-SUM(E$100:E138))</f>
        <v>0</v>
      </c>
      <c r="E139" s="509">
        <f t="shared" si="23"/>
        <v>0</v>
      </c>
      <c r="F139" s="510">
        <f t="shared" si="18"/>
        <v>0</v>
      </c>
      <c r="G139" s="510">
        <f t="shared" si="19"/>
        <v>0</v>
      </c>
      <c r="H139" s="523">
        <f t="shared" si="22"/>
        <v>0</v>
      </c>
      <c r="I139" s="572">
        <f t="shared" si="20"/>
        <v>0</v>
      </c>
      <c r="J139" s="504">
        <f t="shared" si="14"/>
        <v>0</v>
      </c>
      <c r="K139" s="504"/>
      <c r="L139" s="512"/>
      <c r="M139" s="504">
        <f t="shared" si="21"/>
        <v>0</v>
      </c>
      <c r="N139" s="512"/>
      <c r="O139" s="504">
        <f t="shared" si="15"/>
        <v>0</v>
      </c>
      <c r="P139" s="504">
        <f t="shared" si="16"/>
        <v>0</v>
      </c>
      <c r="Q139" s="243"/>
      <c r="R139" s="243"/>
      <c r="S139" s="243"/>
      <c r="T139" s="243"/>
      <c r="U139" s="243"/>
    </row>
    <row r="140" spans="2:21">
      <c r="B140" s="145" t="str">
        <f t="shared" si="13"/>
        <v/>
      </c>
      <c r="C140" s="495">
        <f>IF(D94="","-",+C139+1)</f>
        <v>2057</v>
      </c>
      <c r="D140" s="349">
        <f>IF(F139+SUM(E$100:E139)=D$93,F139,D$93-SUM(E$100:E139))</f>
        <v>0</v>
      </c>
      <c r="E140" s="509">
        <f t="shared" si="23"/>
        <v>0</v>
      </c>
      <c r="F140" s="510">
        <f t="shared" si="18"/>
        <v>0</v>
      </c>
      <c r="G140" s="510">
        <f t="shared" si="19"/>
        <v>0</v>
      </c>
      <c r="H140" s="523">
        <f t="shared" si="22"/>
        <v>0</v>
      </c>
      <c r="I140" s="572">
        <f t="shared" si="20"/>
        <v>0</v>
      </c>
      <c r="J140" s="504">
        <f t="shared" si="14"/>
        <v>0</v>
      </c>
      <c r="K140" s="504"/>
      <c r="L140" s="512"/>
      <c r="M140" s="504">
        <f t="shared" si="21"/>
        <v>0</v>
      </c>
      <c r="N140" s="512"/>
      <c r="O140" s="504">
        <f t="shared" si="15"/>
        <v>0</v>
      </c>
      <c r="P140" s="504">
        <f t="shared" si="16"/>
        <v>0</v>
      </c>
      <c r="Q140" s="243"/>
      <c r="R140" s="243"/>
      <c r="S140" s="243"/>
      <c r="T140" s="243"/>
      <c r="U140" s="243"/>
    </row>
    <row r="141" spans="2:21">
      <c r="B141" s="145" t="str">
        <f t="shared" si="13"/>
        <v/>
      </c>
      <c r="C141" s="495">
        <f>IF(D94="","-",+C140+1)</f>
        <v>2058</v>
      </c>
      <c r="D141" s="349">
        <f>IF(F140+SUM(E$100:E140)=D$93,F140,D$93-SUM(E$100:E140))</f>
        <v>0</v>
      </c>
      <c r="E141" s="509">
        <f t="shared" si="23"/>
        <v>0</v>
      </c>
      <c r="F141" s="510">
        <f t="shared" si="18"/>
        <v>0</v>
      </c>
      <c r="G141" s="510">
        <f t="shared" si="19"/>
        <v>0</v>
      </c>
      <c r="H141" s="523">
        <f t="shared" si="22"/>
        <v>0</v>
      </c>
      <c r="I141" s="572">
        <f t="shared" si="20"/>
        <v>0</v>
      </c>
      <c r="J141" s="504">
        <f t="shared" si="14"/>
        <v>0</v>
      </c>
      <c r="K141" s="504"/>
      <c r="L141" s="512"/>
      <c r="M141" s="504">
        <f t="shared" si="21"/>
        <v>0</v>
      </c>
      <c r="N141" s="512"/>
      <c r="O141" s="504">
        <f t="shared" si="15"/>
        <v>0</v>
      </c>
      <c r="P141" s="504">
        <f t="shared" si="16"/>
        <v>0</v>
      </c>
      <c r="Q141" s="243"/>
      <c r="R141" s="243"/>
      <c r="S141" s="243"/>
      <c r="T141" s="243"/>
      <c r="U141" s="243"/>
    </row>
    <row r="142" spans="2:21">
      <c r="B142" s="145" t="str">
        <f t="shared" si="13"/>
        <v/>
      </c>
      <c r="C142" s="495">
        <f>IF(D94="","-",+C141+1)</f>
        <v>2059</v>
      </c>
      <c r="D142" s="349">
        <f>IF(F141+SUM(E$100:E141)=D$93,F141,D$93-SUM(E$100:E141))</f>
        <v>0</v>
      </c>
      <c r="E142" s="509">
        <f t="shared" si="23"/>
        <v>0</v>
      </c>
      <c r="F142" s="510">
        <f t="shared" si="18"/>
        <v>0</v>
      </c>
      <c r="G142" s="510">
        <f t="shared" si="19"/>
        <v>0</v>
      </c>
      <c r="H142" s="523">
        <f t="shared" si="22"/>
        <v>0</v>
      </c>
      <c r="I142" s="572">
        <f t="shared" si="20"/>
        <v>0</v>
      </c>
      <c r="J142" s="504">
        <f t="shared" si="14"/>
        <v>0</v>
      </c>
      <c r="K142" s="504"/>
      <c r="L142" s="512"/>
      <c r="M142" s="504">
        <f t="shared" si="21"/>
        <v>0</v>
      </c>
      <c r="N142" s="512"/>
      <c r="O142" s="504">
        <f t="shared" si="15"/>
        <v>0</v>
      </c>
      <c r="P142" s="504">
        <f t="shared" si="16"/>
        <v>0</v>
      </c>
      <c r="Q142" s="243"/>
      <c r="R142" s="243"/>
      <c r="S142" s="243"/>
      <c r="T142" s="243"/>
      <c r="U142" s="243"/>
    </row>
    <row r="143" spans="2:21">
      <c r="B143" s="145" t="str">
        <f t="shared" si="13"/>
        <v/>
      </c>
      <c r="C143" s="495">
        <f>IF(D94="","-",+C142+1)</f>
        <v>2060</v>
      </c>
      <c r="D143" s="349">
        <f>IF(F142+SUM(E$100:E142)=D$93,F142,D$93-SUM(E$100:E142))</f>
        <v>0</v>
      </c>
      <c r="E143" s="509">
        <f t="shared" si="23"/>
        <v>0</v>
      </c>
      <c r="F143" s="510">
        <f t="shared" si="18"/>
        <v>0</v>
      </c>
      <c r="G143" s="510">
        <f t="shared" si="19"/>
        <v>0</v>
      </c>
      <c r="H143" s="523">
        <f t="shared" si="22"/>
        <v>0</v>
      </c>
      <c r="I143" s="572">
        <f t="shared" si="20"/>
        <v>0</v>
      </c>
      <c r="J143" s="504">
        <f t="shared" si="14"/>
        <v>0</v>
      </c>
      <c r="K143" s="504"/>
      <c r="L143" s="512"/>
      <c r="M143" s="504">
        <f t="shared" si="21"/>
        <v>0</v>
      </c>
      <c r="N143" s="512"/>
      <c r="O143" s="504">
        <f t="shared" si="15"/>
        <v>0</v>
      </c>
      <c r="P143" s="504">
        <f t="shared" si="16"/>
        <v>0</v>
      </c>
      <c r="Q143" s="243"/>
      <c r="R143" s="243"/>
      <c r="S143" s="243"/>
      <c r="T143" s="243"/>
      <c r="U143" s="243"/>
    </row>
    <row r="144" spans="2:21">
      <c r="B144" s="145" t="str">
        <f t="shared" si="13"/>
        <v/>
      </c>
      <c r="C144" s="495">
        <f>IF(D94="","-",+C143+1)</f>
        <v>2061</v>
      </c>
      <c r="D144" s="349">
        <f>IF(F143+SUM(E$100:E143)=D$93,F143,D$93-SUM(E$100:E143))</f>
        <v>0</v>
      </c>
      <c r="E144" s="509">
        <f t="shared" si="23"/>
        <v>0</v>
      </c>
      <c r="F144" s="510">
        <f t="shared" si="18"/>
        <v>0</v>
      </c>
      <c r="G144" s="510">
        <f t="shared" si="19"/>
        <v>0</v>
      </c>
      <c r="H144" s="523">
        <f t="shared" si="22"/>
        <v>0</v>
      </c>
      <c r="I144" s="572">
        <f t="shared" si="20"/>
        <v>0</v>
      </c>
      <c r="J144" s="504">
        <f t="shared" si="14"/>
        <v>0</v>
      </c>
      <c r="K144" s="504"/>
      <c r="L144" s="512"/>
      <c r="M144" s="504">
        <f t="shared" si="21"/>
        <v>0</v>
      </c>
      <c r="N144" s="512"/>
      <c r="O144" s="504">
        <f t="shared" si="15"/>
        <v>0</v>
      </c>
      <c r="P144" s="504">
        <f t="shared" si="16"/>
        <v>0</v>
      </c>
      <c r="Q144" s="243"/>
      <c r="R144" s="243"/>
      <c r="S144" s="243"/>
      <c r="T144" s="243"/>
      <c r="U144" s="243"/>
    </row>
    <row r="145" spans="2:21">
      <c r="B145" s="145" t="str">
        <f t="shared" si="13"/>
        <v/>
      </c>
      <c r="C145" s="495">
        <f>IF(D94="","-",+C144+1)</f>
        <v>2062</v>
      </c>
      <c r="D145" s="349">
        <f>IF(F144+SUM(E$100:E144)=D$93,F144,D$93-SUM(E$100:E144))</f>
        <v>0</v>
      </c>
      <c r="E145" s="509">
        <f t="shared" si="23"/>
        <v>0</v>
      </c>
      <c r="F145" s="510">
        <f t="shared" si="18"/>
        <v>0</v>
      </c>
      <c r="G145" s="510">
        <f t="shared" si="19"/>
        <v>0</v>
      </c>
      <c r="H145" s="523">
        <f t="shared" si="22"/>
        <v>0</v>
      </c>
      <c r="I145" s="572">
        <f t="shared" si="20"/>
        <v>0</v>
      </c>
      <c r="J145" s="504">
        <f t="shared" si="14"/>
        <v>0</v>
      </c>
      <c r="K145" s="504"/>
      <c r="L145" s="512"/>
      <c r="M145" s="504">
        <f t="shared" si="21"/>
        <v>0</v>
      </c>
      <c r="N145" s="512"/>
      <c r="O145" s="504">
        <f t="shared" si="15"/>
        <v>0</v>
      </c>
      <c r="P145" s="504">
        <f t="shared" si="16"/>
        <v>0</v>
      </c>
      <c r="Q145" s="243"/>
      <c r="R145" s="243"/>
      <c r="S145" s="243"/>
      <c r="T145" s="243"/>
      <c r="U145" s="243"/>
    </row>
    <row r="146" spans="2:21">
      <c r="B146" s="145" t="str">
        <f t="shared" si="13"/>
        <v/>
      </c>
      <c r="C146" s="495">
        <f>IF(D94="","-",+C145+1)</f>
        <v>2063</v>
      </c>
      <c r="D146" s="349">
        <f>IF(F145+SUM(E$100:E145)=D$93,F145,D$93-SUM(E$100:E145))</f>
        <v>0</v>
      </c>
      <c r="E146" s="509">
        <f t="shared" si="23"/>
        <v>0</v>
      </c>
      <c r="F146" s="510">
        <f t="shared" si="18"/>
        <v>0</v>
      </c>
      <c r="G146" s="510">
        <f t="shared" si="19"/>
        <v>0</v>
      </c>
      <c r="H146" s="523">
        <f t="shared" si="22"/>
        <v>0</v>
      </c>
      <c r="I146" s="572">
        <f t="shared" si="20"/>
        <v>0</v>
      </c>
      <c r="J146" s="504">
        <f t="shared" si="14"/>
        <v>0</v>
      </c>
      <c r="K146" s="504"/>
      <c r="L146" s="512"/>
      <c r="M146" s="504">
        <f t="shared" si="21"/>
        <v>0</v>
      </c>
      <c r="N146" s="512"/>
      <c r="O146" s="504">
        <f t="shared" si="15"/>
        <v>0</v>
      </c>
      <c r="P146" s="504">
        <f t="shared" si="16"/>
        <v>0</v>
      </c>
      <c r="Q146" s="243"/>
      <c r="R146" s="243"/>
      <c r="S146" s="243"/>
      <c r="T146" s="243"/>
      <c r="U146" s="243"/>
    </row>
    <row r="147" spans="2:21">
      <c r="B147" s="145" t="str">
        <f t="shared" si="13"/>
        <v/>
      </c>
      <c r="C147" s="495">
        <f>IF(D94="","-",+C146+1)</f>
        <v>2064</v>
      </c>
      <c r="D147" s="349">
        <f>IF(F146+SUM(E$100:E146)=D$93,F146,D$93-SUM(E$100:E146))</f>
        <v>0</v>
      </c>
      <c r="E147" s="509">
        <f t="shared" si="23"/>
        <v>0</v>
      </c>
      <c r="F147" s="510">
        <f t="shared" si="18"/>
        <v>0</v>
      </c>
      <c r="G147" s="510">
        <f t="shared" si="19"/>
        <v>0</v>
      </c>
      <c r="H147" s="523">
        <f t="shared" si="22"/>
        <v>0</v>
      </c>
      <c r="I147" s="572">
        <f t="shared" si="20"/>
        <v>0</v>
      </c>
      <c r="J147" s="504">
        <f t="shared" si="14"/>
        <v>0</v>
      </c>
      <c r="K147" s="504"/>
      <c r="L147" s="512"/>
      <c r="M147" s="504">
        <f t="shared" si="21"/>
        <v>0</v>
      </c>
      <c r="N147" s="512"/>
      <c r="O147" s="504">
        <f t="shared" si="15"/>
        <v>0</v>
      </c>
      <c r="P147" s="504">
        <f t="shared" si="16"/>
        <v>0</v>
      </c>
      <c r="Q147" s="243"/>
      <c r="R147" s="243"/>
      <c r="S147" s="243"/>
      <c r="T147" s="243"/>
      <c r="U147" s="243"/>
    </row>
    <row r="148" spans="2:21">
      <c r="B148" s="145" t="str">
        <f t="shared" si="13"/>
        <v/>
      </c>
      <c r="C148" s="495">
        <f>IF(D94="","-",+C147+1)</f>
        <v>2065</v>
      </c>
      <c r="D148" s="349">
        <f>IF(F147+SUM(E$100:E147)=D$93,F147,D$93-SUM(E$100:E147))</f>
        <v>0</v>
      </c>
      <c r="E148" s="509">
        <f t="shared" si="23"/>
        <v>0</v>
      </c>
      <c r="F148" s="510">
        <f t="shared" si="18"/>
        <v>0</v>
      </c>
      <c r="G148" s="510">
        <f t="shared" si="19"/>
        <v>0</v>
      </c>
      <c r="H148" s="523">
        <f t="shared" si="22"/>
        <v>0</v>
      </c>
      <c r="I148" s="572">
        <f t="shared" si="20"/>
        <v>0</v>
      </c>
      <c r="J148" s="504">
        <f t="shared" si="14"/>
        <v>0</v>
      </c>
      <c r="K148" s="504"/>
      <c r="L148" s="512"/>
      <c r="M148" s="504">
        <f t="shared" si="21"/>
        <v>0</v>
      </c>
      <c r="N148" s="512"/>
      <c r="O148" s="504">
        <f t="shared" si="15"/>
        <v>0</v>
      </c>
      <c r="P148" s="504">
        <f t="shared" si="16"/>
        <v>0</v>
      </c>
      <c r="Q148" s="243"/>
      <c r="R148" s="243"/>
      <c r="S148" s="243"/>
      <c r="T148" s="243"/>
      <c r="U148" s="243"/>
    </row>
    <row r="149" spans="2:21">
      <c r="B149" s="145" t="str">
        <f t="shared" si="13"/>
        <v/>
      </c>
      <c r="C149" s="495">
        <f>IF(D94="","-",+C148+1)</f>
        <v>2066</v>
      </c>
      <c r="D149" s="349">
        <f>IF(F148+SUM(E$100:E148)=D$93,F148,D$93-SUM(E$100:E148))</f>
        <v>0</v>
      </c>
      <c r="E149" s="509">
        <f t="shared" si="23"/>
        <v>0</v>
      </c>
      <c r="F149" s="510">
        <f t="shared" si="18"/>
        <v>0</v>
      </c>
      <c r="G149" s="510">
        <f t="shared" si="19"/>
        <v>0</v>
      </c>
      <c r="H149" s="523">
        <f t="shared" si="22"/>
        <v>0</v>
      </c>
      <c r="I149" s="572">
        <f t="shared" si="20"/>
        <v>0</v>
      </c>
      <c r="J149" s="504">
        <f t="shared" si="14"/>
        <v>0</v>
      </c>
      <c r="K149" s="504"/>
      <c r="L149" s="512"/>
      <c r="M149" s="504">
        <f t="shared" si="21"/>
        <v>0</v>
      </c>
      <c r="N149" s="512"/>
      <c r="O149" s="504">
        <f t="shared" si="15"/>
        <v>0</v>
      </c>
      <c r="P149" s="504">
        <f t="shared" si="16"/>
        <v>0</v>
      </c>
      <c r="Q149" s="243"/>
      <c r="R149" s="243"/>
      <c r="S149" s="243"/>
      <c r="T149" s="243"/>
      <c r="U149" s="243"/>
    </row>
    <row r="150" spans="2:21">
      <c r="B150" s="145" t="str">
        <f t="shared" si="13"/>
        <v/>
      </c>
      <c r="C150" s="495">
        <f>IF(D94="","-",+C149+1)</f>
        <v>2067</v>
      </c>
      <c r="D150" s="349">
        <f>IF(F149+SUM(E$100:E149)=D$93,F149,D$93-SUM(E$100:E149))</f>
        <v>0</v>
      </c>
      <c r="E150" s="509">
        <f t="shared" si="23"/>
        <v>0</v>
      </c>
      <c r="F150" s="510">
        <f t="shared" si="18"/>
        <v>0</v>
      </c>
      <c r="G150" s="510">
        <f t="shared" si="19"/>
        <v>0</v>
      </c>
      <c r="H150" s="523">
        <f t="shared" si="22"/>
        <v>0</v>
      </c>
      <c r="I150" s="572">
        <f t="shared" si="20"/>
        <v>0</v>
      </c>
      <c r="J150" s="504">
        <f t="shared" si="14"/>
        <v>0</v>
      </c>
      <c r="K150" s="504"/>
      <c r="L150" s="512"/>
      <c r="M150" s="504">
        <f t="shared" si="21"/>
        <v>0</v>
      </c>
      <c r="N150" s="512"/>
      <c r="O150" s="504">
        <f t="shared" si="15"/>
        <v>0</v>
      </c>
      <c r="P150" s="504">
        <f t="shared" si="16"/>
        <v>0</v>
      </c>
      <c r="Q150" s="243"/>
      <c r="R150" s="243"/>
      <c r="S150" s="243"/>
      <c r="T150" s="243"/>
      <c r="U150" s="243"/>
    </row>
    <row r="151" spans="2:21">
      <c r="B151" s="145" t="str">
        <f t="shared" si="13"/>
        <v/>
      </c>
      <c r="C151" s="495">
        <f>IF(D94="","-",+C150+1)</f>
        <v>2068</v>
      </c>
      <c r="D151" s="349">
        <f>IF(F150+SUM(E$100:E150)=D$93,F150,D$93-SUM(E$100:E150))</f>
        <v>0</v>
      </c>
      <c r="E151" s="509">
        <f t="shared" si="23"/>
        <v>0</v>
      </c>
      <c r="F151" s="510">
        <f t="shared" si="18"/>
        <v>0</v>
      </c>
      <c r="G151" s="510">
        <f t="shared" si="19"/>
        <v>0</v>
      </c>
      <c r="H151" s="523">
        <f t="shared" si="22"/>
        <v>0</v>
      </c>
      <c r="I151" s="572">
        <f t="shared" si="20"/>
        <v>0</v>
      </c>
      <c r="J151" s="504">
        <f t="shared" si="14"/>
        <v>0</v>
      </c>
      <c r="K151" s="504"/>
      <c r="L151" s="512"/>
      <c r="M151" s="504">
        <f t="shared" si="21"/>
        <v>0</v>
      </c>
      <c r="N151" s="512"/>
      <c r="O151" s="504">
        <f t="shared" si="15"/>
        <v>0</v>
      </c>
      <c r="P151" s="504">
        <f t="shared" si="16"/>
        <v>0</v>
      </c>
      <c r="Q151" s="243"/>
      <c r="R151" s="243"/>
      <c r="S151" s="243"/>
      <c r="T151" s="243"/>
      <c r="U151" s="243"/>
    </row>
    <row r="152" spans="2:21">
      <c r="B152" s="145" t="str">
        <f t="shared" si="13"/>
        <v/>
      </c>
      <c r="C152" s="495">
        <f>IF(D94="","-",+C151+1)</f>
        <v>2069</v>
      </c>
      <c r="D152" s="349">
        <f>IF(F151+SUM(E$100:E151)=D$93,F151,D$93-SUM(E$100:E151))</f>
        <v>0</v>
      </c>
      <c r="E152" s="509">
        <f t="shared" si="23"/>
        <v>0</v>
      </c>
      <c r="F152" s="510">
        <f t="shared" si="18"/>
        <v>0</v>
      </c>
      <c r="G152" s="510">
        <f t="shared" si="19"/>
        <v>0</v>
      </c>
      <c r="H152" s="523">
        <f t="shared" si="22"/>
        <v>0</v>
      </c>
      <c r="I152" s="572">
        <f t="shared" si="20"/>
        <v>0</v>
      </c>
      <c r="J152" s="504">
        <f t="shared" si="14"/>
        <v>0</v>
      </c>
      <c r="K152" s="504"/>
      <c r="L152" s="512"/>
      <c r="M152" s="504">
        <f t="shared" si="21"/>
        <v>0</v>
      </c>
      <c r="N152" s="512"/>
      <c r="O152" s="504">
        <f t="shared" si="15"/>
        <v>0</v>
      </c>
      <c r="P152" s="504">
        <f t="shared" si="16"/>
        <v>0</v>
      </c>
      <c r="Q152" s="243"/>
      <c r="R152" s="243"/>
      <c r="S152" s="243"/>
      <c r="T152" s="243"/>
      <c r="U152" s="243"/>
    </row>
    <row r="153" spans="2:21">
      <c r="B153" s="145" t="str">
        <f t="shared" si="13"/>
        <v/>
      </c>
      <c r="C153" s="495">
        <f>IF(D94="","-",+C152+1)</f>
        <v>2070</v>
      </c>
      <c r="D153" s="349">
        <f>IF(F152+SUM(E$100:E152)=D$93,F152,D$93-SUM(E$100:E152))</f>
        <v>0</v>
      </c>
      <c r="E153" s="509">
        <f t="shared" si="23"/>
        <v>0</v>
      </c>
      <c r="F153" s="510">
        <f t="shared" si="18"/>
        <v>0</v>
      </c>
      <c r="G153" s="510">
        <f t="shared" si="19"/>
        <v>0</v>
      </c>
      <c r="H153" s="523">
        <f t="shared" si="22"/>
        <v>0</v>
      </c>
      <c r="I153" s="572">
        <f t="shared" si="20"/>
        <v>0</v>
      </c>
      <c r="J153" s="504">
        <f t="shared" si="14"/>
        <v>0</v>
      </c>
      <c r="K153" s="504"/>
      <c r="L153" s="512"/>
      <c r="M153" s="504">
        <f t="shared" si="21"/>
        <v>0</v>
      </c>
      <c r="N153" s="512"/>
      <c r="O153" s="504">
        <f t="shared" si="15"/>
        <v>0</v>
      </c>
      <c r="P153" s="504">
        <f t="shared" si="16"/>
        <v>0</v>
      </c>
      <c r="Q153" s="243"/>
      <c r="R153" s="243"/>
      <c r="S153" s="243"/>
      <c r="T153" s="243"/>
      <c r="U153" s="243"/>
    </row>
    <row r="154" spans="2:21">
      <c r="B154" s="145" t="str">
        <f t="shared" si="13"/>
        <v/>
      </c>
      <c r="C154" s="495">
        <f>IF(D94="","-",+C153+1)</f>
        <v>2071</v>
      </c>
      <c r="D154" s="349">
        <f>IF(F153+SUM(E$100:E153)=D$93,F153,D$93-SUM(E$100:E153))</f>
        <v>0</v>
      </c>
      <c r="E154" s="509">
        <f t="shared" si="23"/>
        <v>0</v>
      </c>
      <c r="F154" s="510">
        <f t="shared" si="18"/>
        <v>0</v>
      </c>
      <c r="G154" s="510">
        <f t="shared" si="19"/>
        <v>0</v>
      </c>
      <c r="H154" s="523">
        <f t="shared" si="22"/>
        <v>0</v>
      </c>
      <c r="I154" s="572">
        <f t="shared" si="20"/>
        <v>0</v>
      </c>
      <c r="J154" s="504">
        <f t="shared" si="14"/>
        <v>0</v>
      </c>
      <c r="K154" s="504"/>
      <c r="L154" s="512"/>
      <c r="M154" s="504">
        <f t="shared" si="21"/>
        <v>0</v>
      </c>
      <c r="N154" s="512"/>
      <c r="O154" s="504">
        <f t="shared" si="15"/>
        <v>0</v>
      </c>
      <c r="P154" s="504">
        <f t="shared" si="16"/>
        <v>0</v>
      </c>
      <c r="Q154" s="243"/>
      <c r="R154" s="243"/>
      <c r="S154" s="243"/>
      <c r="T154" s="243"/>
      <c r="U154" s="243"/>
    </row>
    <row r="155" spans="2:21" ht="13.5" thickBot="1">
      <c r="B155" s="145" t="str">
        <f t="shared" si="13"/>
        <v/>
      </c>
      <c r="C155" s="524">
        <f>IF(D94="","-",+C154+1)</f>
        <v>2072</v>
      </c>
      <c r="D155" s="527">
        <f>IF(F154+SUM(E$100:E154)=D$93,F154,D$93-SUM(E$100:E154))</f>
        <v>0</v>
      </c>
      <c r="E155" s="526">
        <f t="shared" si="23"/>
        <v>0</v>
      </c>
      <c r="F155" s="527">
        <f t="shared" si="18"/>
        <v>0</v>
      </c>
      <c r="G155" s="527">
        <f t="shared" si="19"/>
        <v>0</v>
      </c>
      <c r="H155" s="528">
        <f t="shared" si="22"/>
        <v>0</v>
      </c>
      <c r="I155" s="573">
        <f t="shared" si="20"/>
        <v>0</v>
      </c>
      <c r="J155" s="531">
        <f t="shared" si="14"/>
        <v>0</v>
      </c>
      <c r="K155" s="504"/>
      <c r="L155" s="530"/>
      <c r="M155" s="531">
        <f t="shared" si="21"/>
        <v>0</v>
      </c>
      <c r="N155" s="530"/>
      <c r="O155" s="531">
        <f t="shared" si="15"/>
        <v>0</v>
      </c>
      <c r="P155" s="531">
        <f t="shared" si="16"/>
        <v>0</v>
      </c>
      <c r="Q155" s="243"/>
      <c r="R155" s="243"/>
      <c r="S155" s="243"/>
      <c r="T155" s="243"/>
      <c r="U155" s="243"/>
    </row>
    <row r="156" spans="2:21">
      <c r="C156" s="349" t="s">
        <v>75</v>
      </c>
      <c r="D156" s="294"/>
      <c r="E156" s="294">
        <f>SUM(E100:E155)</f>
        <v>11056565</v>
      </c>
      <c r="F156" s="294"/>
      <c r="G156" s="294"/>
      <c r="H156" s="294">
        <f>SUM(H100:H155)</f>
        <v>28113335.658752665</v>
      </c>
      <c r="I156" s="294">
        <f>SUM(I100:I155)</f>
        <v>28113335.658752665</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31 C34:C40 C44:C73">
    <cfRule type="cellIs" dxfId="34" priority="4" stopIfTrue="1" operator="equal">
      <formula>$I$10</formula>
    </cfRule>
  </conditionalFormatting>
  <conditionalFormatting sqref="C100:C155">
    <cfRule type="cellIs" dxfId="33" priority="5" stopIfTrue="1" operator="equal">
      <formula>$J$93</formula>
    </cfRule>
  </conditionalFormatting>
  <conditionalFormatting sqref="C32">
    <cfRule type="cellIs" dxfId="32" priority="3" stopIfTrue="1" operator="equal">
      <formula>$I$10</formula>
    </cfRule>
  </conditionalFormatting>
  <conditionalFormatting sqref="C33">
    <cfRule type="cellIs" dxfId="31" priority="2" stopIfTrue="1" operator="equal">
      <formula>$I$10</formula>
    </cfRule>
  </conditionalFormatting>
  <conditionalFormatting sqref="C41:C43">
    <cfRule type="cellIs" dxfId="30" priority="1" stopIfTrue="1" operator="equal">
      <formula>$I$10</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7"/>
  <dimension ref="A1:P163"/>
  <sheetViews>
    <sheetView zoomScale="85" zoomScaleNormal="85"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16 of 24</v>
      </c>
    </row>
    <row r="2" spans="1:16" ht="18">
      <c r="B2" s="243"/>
      <c r="C2" s="243"/>
      <c r="D2" s="292"/>
      <c r="E2" s="243"/>
      <c r="F2" s="243"/>
      <c r="G2" s="243"/>
      <c r="H2" s="325"/>
      <c r="I2" s="243"/>
      <c r="J2" s="278"/>
      <c r="K2" s="243"/>
      <c r="L2" s="243"/>
      <c r="M2" s="243"/>
      <c r="N2" s="243"/>
      <c r="P2" s="441" t="s">
        <v>131</v>
      </c>
    </row>
    <row r="3" spans="1:16" ht="18.75">
      <c r="B3" s="233" t="s">
        <v>42</v>
      </c>
      <c r="C3" s="305" t="s">
        <v>43</v>
      </c>
      <c r="D3" s="292"/>
      <c r="E3" s="243"/>
      <c r="F3" s="243"/>
      <c r="G3" s="243"/>
      <c r="H3" s="325"/>
      <c r="I3" s="325"/>
      <c r="J3" s="294"/>
      <c r="K3" s="325"/>
      <c r="L3" s="325"/>
      <c r="M3" s="325"/>
      <c r="N3" s="325"/>
      <c r="O3" s="243"/>
      <c r="P3" s="577">
        <v>1</v>
      </c>
    </row>
    <row r="4" spans="1:16" ht="15.75" thickBot="1">
      <c r="C4" s="304"/>
      <c r="D4" s="292"/>
      <c r="E4" s="243"/>
      <c r="F4" s="243"/>
      <c r="G4" s="243"/>
      <c r="H4" s="325"/>
      <c r="I4" s="325"/>
      <c r="J4" s="294"/>
      <c r="K4" s="325"/>
      <c r="L4" s="325"/>
      <c r="M4" s="325"/>
      <c r="N4" s="325"/>
      <c r="O4" s="243"/>
      <c r="P4" s="243"/>
    </row>
    <row r="5" spans="1:16" ht="15">
      <c r="C5" s="443" t="s">
        <v>44</v>
      </c>
      <c r="D5" s="292"/>
      <c r="E5" s="243"/>
      <c r="F5" s="243"/>
      <c r="G5" s="444"/>
      <c r="H5" s="243" t="s">
        <v>45</v>
      </c>
      <c r="I5" s="243"/>
      <c r="J5" s="278"/>
      <c r="K5" s="445" t="s">
        <v>242</v>
      </c>
      <c r="L5" s="446"/>
      <c r="M5" s="447"/>
      <c r="N5" s="448">
        <f>VLOOKUP(I10,C17:I73,5)</f>
        <v>1193754.0627599962</v>
      </c>
      <c r="P5" s="243"/>
    </row>
    <row r="6" spans="1:16" ht="15.75">
      <c r="C6" s="235"/>
      <c r="D6" s="292"/>
      <c r="E6" s="243"/>
      <c r="F6" s="243"/>
      <c r="G6" s="243"/>
      <c r="H6" s="449"/>
      <c r="I6" s="449"/>
      <c r="J6" s="450"/>
      <c r="K6" s="451" t="s">
        <v>243</v>
      </c>
      <c r="L6" s="452"/>
      <c r="M6" s="278"/>
      <c r="N6" s="453">
        <f>VLOOKUP(I10,C17:I73,6)</f>
        <v>1193754.0627599962</v>
      </c>
      <c r="O6" s="243"/>
      <c r="P6" s="243"/>
    </row>
    <row r="7" spans="1:16" ht="13.5" thickBot="1">
      <c r="C7" s="454" t="s">
        <v>46</v>
      </c>
      <c r="D7" s="637" t="s">
        <v>246</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261</v>
      </c>
      <c r="E9" s="646" t="s">
        <v>297</v>
      </c>
      <c r="F9" s="465"/>
      <c r="G9" s="465"/>
      <c r="H9" s="465"/>
      <c r="I9" s="466"/>
      <c r="J9" s="467"/>
      <c r="O9" s="468"/>
      <c r="P9" s="278"/>
    </row>
    <row r="10" spans="1:16">
      <c r="C10" s="469" t="s">
        <v>49</v>
      </c>
      <c r="D10" s="470">
        <v>9653726.4200000018</v>
      </c>
      <c r="E10" s="299" t="s">
        <v>50</v>
      </c>
      <c r="F10" s="468"/>
      <c r="G10" s="408"/>
      <c r="H10" s="408"/>
      <c r="I10" s="471">
        <f>+'OKT.WS.F.BPU.ATRR.Projected'!R101</f>
        <v>2024</v>
      </c>
      <c r="J10" s="467"/>
      <c r="K10" s="294" t="s">
        <v>51</v>
      </c>
      <c r="O10" s="278"/>
      <c r="P10" s="278"/>
    </row>
    <row r="11" spans="1:16">
      <c r="C11" s="472" t="s">
        <v>52</v>
      </c>
      <c r="D11" s="473">
        <v>2017</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c r="C12" s="472" t="s">
        <v>54</v>
      </c>
      <c r="D12" s="470">
        <v>7</v>
      </c>
      <c r="E12" s="472" t="s">
        <v>55</v>
      </c>
      <c r="F12" s="408"/>
      <c r="G12" s="220"/>
      <c r="H12" s="220"/>
      <c r="I12" s="476">
        <f>'OKT.WS.F.BPU.ATRR.Projected'!$F$79</f>
        <v>0.11393163315254198</v>
      </c>
      <c r="J12" s="413"/>
      <c r="K12" s="145" t="s">
        <v>56</v>
      </c>
      <c r="O12" s="278"/>
      <c r="P12" s="278"/>
    </row>
    <row r="13" spans="1:16">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row>
    <row r="14" spans="1:16" ht="13.5" thickBot="1">
      <c r="C14" s="472" t="s">
        <v>60</v>
      </c>
      <c r="D14" s="473" t="s">
        <v>61</v>
      </c>
      <c r="E14" s="278" t="s">
        <v>62</v>
      </c>
      <c r="F14" s="408"/>
      <c r="G14" s="220"/>
      <c r="H14" s="220"/>
      <c r="I14" s="477">
        <f>IF(D10=0,0,D10/D13)</f>
        <v>311410.5296774194</v>
      </c>
      <c r="J14" s="294"/>
      <c r="K14" s="294"/>
      <c r="L14" s="294"/>
      <c r="M14" s="294"/>
      <c r="N14" s="294"/>
      <c r="O14" s="278"/>
      <c r="P14" s="278"/>
    </row>
    <row r="15" spans="1:16"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c r="B17" s="145" t="str">
        <f t="shared" ref="B17:B71" si="0">IF(D17=F16,"","IU")</f>
        <v>IU</v>
      </c>
      <c r="C17" s="495">
        <f>IF(D11= "","-",D11)</f>
        <v>2017</v>
      </c>
      <c r="D17" s="612">
        <v>0</v>
      </c>
      <c r="E17" s="620">
        <v>72904.982539658653</v>
      </c>
      <c r="F17" s="612">
        <v>8826095.0174603406</v>
      </c>
      <c r="G17" s="620">
        <v>558075.303653282</v>
      </c>
      <c r="H17" s="617">
        <v>558075.303653282</v>
      </c>
      <c r="I17" s="500">
        <f>H17-G17</f>
        <v>0</v>
      </c>
      <c r="J17" s="500"/>
      <c r="K17" s="501">
        <f t="shared" ref="K17:K22" si="1">+G17</f>
        <v>558075.303653282</v>
      </c>
      <c r="L17" s="503">
        <f t="shared" ref="L17:L71" si="2">IF(K17&lt;&gt;0,+G17-K17,0)</f>
        <v>0</v>
      </c>
      <c r="M17" s="501">
        <f t="shared" ref="M17:M22" si="3">+H17</f>
        <v>558075.303653282</v>
      </c>
      <c r="N17" s="503">
        <f t="shared" ref="N17:N71" si="4">IF(M17&lt;&gt;0,+H17-M17,0)</f>
        <v>0</v>
      </c>
      <c r="O17" s="504">
        <f t="shared" ref="O17:O71" si="5">+N17-L17</f>
        <v>0</v>
      </c>
      <c r="P17" s="278"/>
    </row>
    <row r="18" spans="2:16">
      <c r="B18" s="145" t="str">
        <f t="shared" si="0"/>
        <v/>
      </c>
      <c r="C18" s="495">
        <f>IF(D11="","-",+C17+1)</f>
        <v>2018</v>
      </c>
      <c r="D18" s="614">
        <v>8826095.0174603406</v>
      </c>
      <c r="E18" s="613">
        <v>218244.25465113699</v>
      </c>
      <c r="F18" s="614">
        <v>8607850.7628092039</v>
      </c>
      <c r="G18" s="613">
        <v>1104094.8534187796</v>
      </c>
      <c r="H18" s="617">
        <v>1104094.8534187796</v>
      </c>
      <c r="I18" s="500">
        <f t="shared" ref="I18:I71" si="6">H18-G18</f>
        <v>0</v>
      </c>
      <c r="J18" s="500"/>
      <c r="K18" s="592">
        <f t="shared" si="1"/>
        <v>1104094.8534187796</v>
      </c>
      <c r="L18" s="596">
        <f t="shared" si="2"/>
        <v>0</v>
      </c>
      <c r="M18" s="592">
        <f t="shared" si="3"/>
        <v>1104094.8534187796</v>
      </c>
      <c r="N18" s="504">
        <f t="shared" si="4"/>
        <v>0</v>
      </c>
      <c r="O18" s="504">
        <f t="shared" si="5"/>
        <v>0</v>
      </c>
      <c r="P18" s="278"/>
    </row>
    <row r="19" spans="2:16">
      <c r="B19" s="145" t="str">
        <f t="shared" si="0"/>
        <v/>
      </c>
      <c r="C19" s="495">
        <f>IF(D11="","-",+C18+1)</f>
        <v>2019</v>
      </c>
      <c r="D19" s="614">
        <v>8607850.7628092039</v>
      </c>
      <c r="E19" s="613">
        <v>263934.0787603631</v>
      </c>
      <c r="F19" s="614">
        <v>8343916.6840488408</v>
      </c>
      <c r="G19" s="613">
        <v>1144883.2286713799</v>
      </c>
      <c r="H19" s="617">
        <v>1144883.2286713799</v>
      </c>
      <c r="I19" s="500">
        <f t="shared" si="6"/>
        <v>0</v>
      </c>
      <c r="J19" s="500"/>
      <c r="K19" s="592">
        <f t="shared" si="1"/>
        <v>1144883.2286713799</v>
      </c>
      <c r="L19" s="596">
        <f t="shared" ref="L19" si="7">IF(K19&lt;&gt;0,+G19-K19,0)</f>
        <v>0</v>
      </c>
      <c r="M19" s="592">
        <f t="shared" si="3"/>
        <v>1144883.2286713799</v>
      </c>
      <c r="N19" s="504">
        <f t="shared" ref="N19" si="8">IF(M19&lt;&gt;0,+H19-M19,0)</f>
        <v>0</v>
      </c>
      <c r="O19" s="504">
        <f t="shared" ref="O19" si="9">+N19-L19</f>
        <v>0</v>
      </c>
      <c r="P19" s="278"/>
    </row>
    <row r="20" spans="2:16">
      <c r="B20" s="145" t="str">
        <f t="shared" si="0"/>
        <v>IU</v>
      </c>
      <c r="C20" s="495">
        <f>IF(D11="","-",+C19+1)</f>
        <v>2020</v>
      </c>
      <c r="D20" s="614">
        <v>9147876.5081580672</v>
      </c>
      <c r="E20" s="613">
        <v>282782.06007850129</v>
      </c>
      <c r="F20" s="614">
        <v>8865094.4480795655</v>
      </c>
      <c r="G20" s="613">
        <v>1227854.794149773</v>
      </c>
      <c r="H20" s="617">
        <v>1227854.794149773</v>
      </c>
      <c r="I20" s="500">
        <f t="shared" si="6"/>
        <v>0</v>
      </c>
      <c r="J20" s="500"/>
      <c r="K20" s="592">
        <f t="shared" si="1"/>
        <v>1227854.794149773</v>
      </c>
      <c r="L20" s="596">
        <f t="shared" ref="L20" si="10">IF(K20&lt;&gt;0,+G20-K20,0)</f>
        <v>0</v>
      </c>
      <c r="M20" s="592">
        <f t="shared" si="3"/>
        <v>1227854.794149773</v>
      </c>
      <c r="N20" s="504">
        <f t="shared" si="4"/>
        <v>0</v>
      </c>
      <c r="O20" s="504">
        <f t="shared" si="5"/>
        <v>0</v>
      </c>
      <c r="P20" s="278"/>
    </row>
    <row r="21" spans="2:16">
      <c r="B21" s="145" t="str">
        <f t="shared" si="0"/>
        <v>IU</v>
      </c>
      <c r="C21" s="495">
        <f>IF(D11="","-",+C20+1)</f>
        <v>2021</v>
      </c>
      <c r="D21" s="614">
        <v>8825085.6239703409</v>
      </c>
      <c r="E21" s="613">
        <v>311708.09677419357</v>
      </c>
      <c r="F21" s="614">
        <v>8513377.5271961465</v>
      </c>
      <c r="G21" s="613">
        <v>1249589.4972268606</v>
      </c>
      <c r="H21" s="617">
        <v>1249589.4972268606</v>
      </c>
      <c r="I21" s="500">
        <f t="shared" si="6"/>
        <v>0</v>
      </c>
      <c r="J21" s="500"/>
      <c r="K21" s="592">
        <f t="shared" si="1"/>
        <v>1249589.4972268606</v>
      </c>
      <c r="L21" s="596">
        <f t="shared" ref="L21" si="11">IF(K21&lt;&gt;0,+G21-K21,0)</f>
        <v>0</v>
      </c>
      <c r="M21" s="592">
        <f t="shared" si="3"/>
        <v>1249589.4972268606</v>
      </c>
      <c r="N21" s="504">
        <f t="shared" si="4"/>
        <v>0</v>
      </c>
      <c r="O21" s="504">
        <f t="shared" si="5"/>
        <v>0</v>
      </c>
      <c r="P21" s="278"/>
    </row>
    <row r="22" spans="2:16">
      <c r="B22" s="145" t="str">
        <f t="shared" si="0"/>
        <v>IU</v>
      </c>
      <c r="C22" s="580">
        <f>IF(D11="","-",+C21+1)</f>
        <v>2022</v>
      </c>
      <c r="D22" s="614">
        <v>8504152.5271961465</v>
      </c>
      <c r="E22" s="613">
        <v>292537.15151515149</v>
      </c>
      <c r="F22" s="614">
        <v>8211615.3756809952</v>
      </c>
      <c r="G22" s="613">
        <v>1251677.6661612696</v>
      </c>
      <c r="H22" s="617">
        <v>1251677.6661612696</v>
      </c>
      <c r="I22" s="500">
        <f t="shared" si="6"/>
        <v>0</v>
      </c>
      <c r="J22" s="500"/>
      <c r="K22" s="592">
        <f t="shared" si="1"/>
        <v>1251677.6661612696</v>
      </c>
      <c r="L22" s="596">
        <f t="shared" ref="L22" si="12">IF(K22&lt;&gt;0,+G22-K22,0)</f>
        <v>0</v>
      </c>
      <c r="M22" s="592">
        <f t="shared" si="3"/>
        <v>1251677.6661612696</v>
      </c>
      <c r="N22" s="504">
        <f t="shared" si="4"/>
        <v>0</v>
      </c>
      <c r="O22" s="504">
        <f t="shared" si="5"/>
        <v>0</v>
      </c>
      <c r="P22" s="278"/>
    </row>
    <row r="23" spans="2:16">
      <c r="B23" s="145" t="str">
        <f t="shared" si="0"/>
        <v>IU</v>
      </c>
      <c r="C23" s="495">
        <f>IF(D11="","-",+C22+1)</f>
        <v>2023</v>
      </c>
      <c r="D23" s="614">
        <v>8211615.795680997</v>
      </c>
      <c r="E23" s="613">
        <v>311410.5296774194</v>
      </c>
      <c r="F23" s="614">
        <v>7900205.266003578</v>
      </c>
      <c r="G23" s="613">
        <v>1221993.0968940321</v>
      </c>
      <c r="H23" s="617">
        <v>1221993.0968940321</v>
      </c>
      <c r="I23" s="500">
        <f t="shared" si="6"/>
        <v>0</v>
      </c>
      <c r="J23" s="500"/>
      <c r="K23" s="512"/>
      <c r="L23" s="504">
        <f t="shared" si="2"/>
        <v>0</v>
      </c>
      <c r="M23" s="512"/>
      <c r="N23" s="504">
        <f t="shared" si="4"/>
        <v>0</v>
      </c>
      <c r="O23" s="504">
        <f t="shared" si="5"/>
        <v>0</v>
      </c>
      <c r="P23" s="278"/>
    </row>
    <row r="24" spans="2:16">
      <c r="B24" s="145" t="str">
        <f t="shared" si="0"/>
        <v/>
      </c>
      <c r="C24" s="495">
        <f>IF(D11="","-",+C23+1)</f>
        <v>2024</v>
      </c>
      <c r="D24" s="508">
        <f>IF(F23+SUM(E$17:E23)=D$10,F23,D$10-SUM(E$17:E23))</f>
        <v>7900205.266003578</v>
      </c>
      <c r="E24" s="509">
        <f t="shared" ref="E24:E49" si="13">IF(+I$14&lt;F23,I$14,D24)</f>
        <v>311410.5296774194</v>
      </c>
      <c r="F24" s="510">
        <f t="shared" ref="F24:F71" si="14">+D24-E24</f>
        <v>7588794.736326159</v>
      </c>
      <c r="G24" s="511">
        <f t="shared" ref="G24:G48" si="15">(D24+F24)/2*I$12+E24</f>
        <v>1193754.0627599962</v>
      </c>
      <c r="H24" s="477">
        <f t="shared" ref="H24:H48" si="16">+(D24+F24)/2*I$13+E24</f>
        <v>1193754.0627599962</v>
      </c>
      <c r="I24" s="500">
        <f t="shared" si="6"/>
        <v>0</v>
      </c>
      <c r="J24" s="500"/>
      <c r="K24" s="512"/>
      <c r="L24" s="504">
        <f t="shared" si="2"/>
        <v>0</v>
      </c>
      <c r="M24" s="512"/>
      <c r="N24" s="504">
        <f t="shared" si="4"/>
        <v>0</v>
      </c>
      <c r="O24" s="504">
        <f t="shared" si="5"/>
        <v>0</v>
      </c>
      <c r="P24" s="278"/>
    </row>
    <row r="25" spans="2:16">
      <c r="B25" s="145" t="str">
        <f t="shared" si="0"/>
        <v/>
      </c>
      <c r="C25" s="495">
        <f>IF(D11="","-",+C24+1)</f>
        <v>2025</v>
      </c>
      <c r="D25" s="508">
        <f>IF(F24+SUM(E$17:E24)=D$10,F24,D$10-SUM(E$17:E24))</f>
        <v>7588794.736326159</v>
      </c>
      <c r="E25" s="509">
        <f t="shared" si="13"/>
        <v>311410.5296774194</v>
      </c>
      <c r="F25" s="510">
        <f t="shared" si="14"/>
        <v>7277384.20664874</v>
      </c>
      <c r="G25" s="511">
        <f t="shared" si="15"/>
        <v>1158274.5525329497</v>
      </c>
      <c r="H25" s="477">
        <f t="shared" si="16"/>
        <v>1158274.5525329497</v>
      </c>
      <c r="I25" s="500">
        <f t="shared" si="6"/>
        <v>0</v>
      </c>
      <c r="J25" s="500"/>
      <c r="K25" s="512"/>
      <c r="L25" s="504">
        <f t="shared" si="2"/>
        <v>0</v>
      </c>
      <c r="M25" s="512"/>
      <c r="N25" s="504">
        <f t="shared" si="4"/>
        <v>0</v>
      </c>
      <c r="O25" s="504">
        <f t="shared" si="5"/>
        <v>0</v>
      </c>
      <c r="P25" s="278"/>
    </row>
    <row r="26" spans="2:16">
      <c r="B26" s="145" t="str">
        <f t="shared" si="0"/>
        <v/>
      </c>
      <c r="C26" s="495">
        <f>IF(D11="","-",+C25+1)</f>
        <v>2026</v>
      </c>
      <c r="D26" s="508">
        <f>IF(F25+SUM(E$17:E25)=D$10,F25,D$10-SUM(E$17:E25))</f>
        <v>7277384.20664874</v>
      </c>
      <c r="E26" s="509">
        <f t="shared" si="13"/>
        <v>311410.5296774194</v>
      </c>
      <c r="F26" s="510">
        <f t="shared" si="14"/>
        <v>6965973.676971321</v>
      </c>
      <c r="G26" s="511">
        <f t="shared" si="15"/>
        <v>1122795.0423059033</v>
      </c>
      <c r="H26" s="477">
        <f t="shared" si="16"/>
        <v>1122795.0423059033</v>
      </c>
      <c r="I26" s="500">
        <f t="shared" si="6"/>
        <v>0</v>
      </c>
      <c r="J26" s="500"/>
      <c r="K26" s="512"/>
      <c r="L26" s="504">
        <f t="shared" si="2"/>
        <v>0</v>
      </c>
      <c r="M26" s="512"/>
      <c r="N26" s="504">
        <f t="shared" si="4"/>
        <v>0</v>
      </c>
      <c r="O26" s="504">
        <f t="shared" si="5"/>
        <v>0</v>
      </c>
      <c r="P26" s="278"/>
    </row>
    <row r="27" spans="2:16">
      <c r="B27" s="145" t="str">
        <f t="shared" si="0"/>
        <v/>
      </c>
      <c r="C27" s="495">
        <f>IF(D11="","-",+C26+1)</f>
        <v>2027</v>
      </c>
      <c r="D27" s="508">
        <f>IF(F26+SUM(E$17:E26)=D$10,F26,D$10-SUM(E$17:E26))</f>
        <v>6965973.676971321</v>
      </c>
      <c r="E27" s="509">
        <f t="shared" si="13"/>
        <v>311410.5296774194</v>
      </c>
      <c r="F27" s="510">
        <f t="shared" si="14"/>
        <v>6654563.147293902</v>
      </c>
      <c r="G27" s="511">
        <f t="shared" si="15"/>
        <v>1087315.5320788566</v>
      </c>
      <c r="H27" s="477">
        <f t="shared" si="16"/>
        <v>1087315.5320788566</v>
      </c>
      <c r="I27" s="500">
        <f t="shared" si="6"/>
        <v>0</v>
      </c>
      <c r="J27" s="500"/>
      <c r="K27" s="512"/>
      <c r="L27" s="504">
        <f t="shared" si="2"/>
        <v>0</v>
      </c>
      <c r="M27" s="512"/>
      <c r="N27" s="504">
        <f t="shared" si="4"/>
        <v>0</v>
      </c>
      <c r="O27" s="504">
        <f t="shared" si="5"/>
        <v>0</v>
      </c>
      <c r="P27" s="278"/>
    </row>
    <row r="28" spans="2:16">
      <c r="B28" s="145" t="str">
        <f t="shared" si="0"/>
        <v/>
      </c>
      <c r="C28" s="495">
        <f>IF(D11="","-",+C27+1)</f>
        <v>2028</v>
      </c>
      <c r="D28" s="508">
        <f>IF(F27+SUM(E$17:E27)=D$10,F27,D$10-SUM(E$17:E27))</f>
        <v>6654563.147293902</v>
      </c>
      <c r="E28" s="509">
        <f t="shared" si="13"/>
        <v>311410.5296774194</v>
      </c>
      <c r="F28" s="510">
        <f t="shared" si="14"/>
        <v>6343152.617616483</v>
      </c>
      <c r="G28" s="511">
        <f t="shared" si="15"/>
        <v>1051836.0218518102</v>
      </c>
      <c r="H28" s="477">
        <f t="shared" si="16"/>
        <v>1051836.0218518102</v>
      </c>
      <c r="I28" s="500">
        <f t="shared" si="6"/>
        <v>0</v>
      </c>
      <c r="J28" s="500"/>
      <c r="K28" s="512"/>
      <c r="L28" s="504">
        <f t="shared" si="2"/>
        <v>0</v>
      </c>
      <c r="M28" s="512"/>
      <c r="N28" s="504">
        <f t="shared" si="4"/>
        <v>0</v>
      </c>
      <c r="O28" s="504">
        <f t="shared" si="5"/>
        <v>0</v>
      </c>
      <c r="P28" s="278"/>
    </row>
    <row r="29" spans="2:16">
      <c r="B29" s="145" t="str">
        <f t="shared" si="0"/>
        <v/>
      </c>
      <c r="C29" s="495">
        <f>IF(D11="","-",+C28+1)</f>
        <v>2029</v>
      </c>
      <c r="D29" s="508">
        <f>IF(F28+SUM(E$17:E28)=D$10,F28,D$10-SUM(E$17:E28))</f>
        <v>6343152.6176164802</v>
      </c>
      <c r="E29" s="509">
        <f t="shared" si="13"/>
        <v>311410.5296774194</v>
      </c>
      <c r="F29" s="510">
        <f t="shared" si="14"/>
        <v>6031742.0879390612</v>
      </c>
      <c r="G29" s="511">
        <f t="shared" si="15"/>
        <v>1016356.5116247635</v>
      </c>
      <c r="H29" s="477">
        <f t="shared" si="16"/>
        <v>1016356.5116247635</v>
      </c>
      <c r="I29" s="500">
        <f t="shared" si="6"/>
        <v>0</v>
      </c>
      <c r="J29" s="500"/>
      <c r="K29" s="512"/>
      <c r="L29" s="504">
        <f t="shared" si="2"/>
        <v>0</v>
      </c>
      <c r="M29" s="512"/>
      <c r="N29" s="504">
        <f t="shared" si="4"/>
        <v>0</v>
      </c>
      <c r="O29" s="504">
        <f t="shared" si="5"/>
        <v>0</v>
      </c>
      <c r="P29" s="278"/>
    </row>
    <row r="30" spans="2:16">
      <c r="B30" s="145" t="str">
        <f t="shared" si="0"/>
        <v/>
      </c>
      <c r="C30" s="495">
        <f>IF(D11="","-",+C29+1)</f>
        <v>2030</v>
      </c>
      <c r="D30" s="508">
        <f>IF(F29+SUM(E$17:E29)=D$10,F29,D$10-SUM(E$17:E29))</f>
        <v>6031742.0879390612</v>
      </c>
      <c r="E30" s="509">
        <f t="shared" si="13"/>
        <v>311410.5296774194</v>
      </c>
      <c r="F30" s="510">
        <f t="shared" si="14"/>
        <v>5720331.5582616422</v>
      </c>
      <c r="G30" s="511">
        <f t="shared" si="15"/>
        <v>980877.00139771681</v>
      </c>
      <c r="H30" s="477">
        <f t="shared" si="16"/>
        <v>980877.00139771681</v>
      </c>
      <c r="I30" s="500">
        <f t="shared" si="6"/>
        <v>0</v>
      </c>
      <c r="J30" s="500"/>
      <c r="K30" s="512"/>
      <c r="L30" s="504">
        <f t="shared" si="2"/>
        <v>0</v>
      </c>
      <c r="M30" s="512"/>
      <c r="N30" s="504">
        <f t="shared" si="4"/>
        <v>0</v>
      </c>
      <c r="O30" s="504">
        <f t="shared" si="5"/>
        <v>0</v>
      </c>
      <c r="P30" s="278"/>
    </row>
    <row r="31" spans="2:16">
      <c r="B31" s="145" t="str">
        <f t="shared" si="0"/>
        <v/>
      </c>
      <c r="C31" s="495">
        <f>IF(D11="","-",+C30+1)</f>
        <v>2031</v>
      </c>
      <c r="D31" s="508">
        <f>IF(F30+SUM(E$17:E30)=D$10,F30,D$10-SUM(E$17:E30))</f>
        <v>5720331.5582616422</v>
      </c>
      <c r="E31" s="509">
        <f t="shared" si="13"/>
        <v>311410.5296774194</v>
      </c>
      <c r="F31" s="510">
        <f t="shared" si="14"/>
        <v>5408921.0285842232</v>
      </c>
      <c r="G31" s="511">
        <f t="shared" si="15"/>
        <v>945397.49117067037</v>
      </c>
      <c r="H31" s="477">
        <f t="shared" si="16"/>
        <v>945397.49117067037</v>
      </c>
      <c r="I31" s="500">
        <f t="shared" si="6"/>
        <v>0</v>
      </c>
      <c r="J31" s="500"/>
      <c r="K31" s="512"/>
      <c r="L31" s="504">
        <f t="shared" si="2"/>
        <v>0</v>
      </c>
      <c r="M31" s="512"/>
      <c r="N31" s="504">
        <f t="shared" si="4"/>
        <v>0</v>
      </c>
      <c r="O31" s="504">
        <f t="shared" si="5"/>
        <v>0</v>
      </c>
      <c r="P31" s="278"/>
    </row>
    <row r="32" spans="2:16">
      <c r="B32" s="145" t="str">
        <f t="shared" si="0"/>
        <v/>
      </c>
      <c r="C32" s="495">
        <f>IF(D11="","-",+C31+1)</f>
        <v>2032</v>
      </c>
      <c r="D32" s="508">
        <f>IF(F31+SUM(E$17:E31)=D$10,F31,D$10-SUM(E$17:E31))</f>
        <v>5408921.0285842232</v>
      </c>
      <c r="E32" s="509">
        <f t="shared" si="13"/>
        <v>311410.5296774194</v>
      </c>
      <c r="F32" s="510">
        <f t="shared" si="14"/>
        <v>5097510.4989068042</v>
      </c>
      <c r="G32" s="511">
        <f t="shared" si="15"/>
        <v>909917.98094362393</v>
      </c>
      <c r="H32" s="477">
        <f t="shared" si="16"/>
        <v>909917.98094362393</v>
      </c>
      <c r="I32" s="500">
        <f t="shared" si="6"/>
        <v>0</v>
      </c>
      <c r="J32" s="500"/>
      <c r="K32" s="512"/>
      <c r="L32" s="504">
        <f t="shared" si="2"/>
        <v>0</v>
      </c>
      <c r="M32" s="512"/>
      <c r="N32" s="504">
        <f t="shared" si="4"/>
        <v>0</v>
      </c>
      <c r="O32" s="504">
        <f t="shared" si="5"/>
        <v>0</v>
      </c>
      <c r="P32" s="278"/>
    </row>
    <row r="33" spans="2:16">
      <c r="B33" s="145" t="str">
        <f t="shared" si="0"/>
        <v/>
      </c>
      <c r="C33" s="495">
        <f>IF(D11="","-",+C32+1)</f>
        <v>2033</v>
      </c>
      <c r="D33" s="508">
        <f>IF(F32+SUM(E$17:E32)=D$10,F32,D$10-SUM(E$17:E32))</f>
        <v>5097510.4989068042</v>
      </c>
      <c r="E33" s="509">
        <f t="shared" si="13"/>
        <v>311410.5296774194</v>
      </c>
      <c r="F33" s="510">
        <f t="shared" si="14"/>
        <v>4786099.9692293853</v>
      </c>
      <c r="G33" s="511">
        <f t="shared" si="15"/>
        <v>874438.47071657749</v>
      </c>
      <c r="H33" s="477">
        <f t="shared" si="16"/>
        <v>874438.47071657749</v>
      </c>
      <c r="I33" s="500">
        <f t="shared" si="6"/>
        <v>0</v>
      </c>
      <c r="J33" s="500"/>
      <c r="K33" s="512"/>
      <c r="L33" s="504">
        <f t="shared" si="2"/>
        <v>0</v>
      </c>
      <c r="M33" s="512"/>
      <c r="N33" s="504">
        <f t="shared" si="4"/>
        <v>0</v>
      </c>
      <c r="O33" s="504">
        <f t="shared" si="5"/>
        <v>0</v>
      </c>
      <c r="P33" s="278"/>
    </row>
    <row r="34" spans="2:16">
      <c r="B34" s="145" t="str">
        <f t="shared" si="0"/>
        <v/>
      </c>
      <c r="C34" s="495">
        <f>IF(D11="","-",+C33+1)</f>
        <v>2034</v>
      </c>
      <c r="D34" s="508">
        <f>IF(F33+SUM(E$17:E33)=D$10,F33,D$10-SUM(E$17:E33))</f>
        <v>4786099.9692293853</v>
      </c>
      <c r="E34" s="509">
        <f t="shared" si="13"/>
        <v>311410.5296774194</v>
      </c>
      <c r="F34" s="510">
        <f t="shared" si="14"/>
        <v>4474689.4395519663</v>
      </c>
      <c r="G34" s="511">
        <f t="shared" si="15"/>
        <v>838958.96048953105</v>
      </c>
      <c r="H34" s="477">
        <f t="shared" si="16"/>
        <v>838958.96048953105</v>
      </c>
      <c r="I34" s="500">
        <f t="shared" si="6"/>
        <v>0</v>
      </c>
      <c r="J34" s="500"/>
      <c r="K34" s="512"/>
      <c r="L34" s="504">
        <f t="shared" si="2"/>
        <v>0</v>
      </c>
      <c r="M34" s="512"/>
      <c r="N34" s="504">
        <f t="shared" si="4"/>
        <v>0</v>
      </c>
      <c r="O34" s="504">
        <f t="shared" si="5"/>
        <v>0</v>
      </c>
      <c r="P34" s="278"/>
    </row>
    <row r="35" spans="2:16">
      <c r="B35" s="145" t="str">
        <f t="shared" si="0"/>
        <v/>
      </c>
      <c r="C35" s="495">
        <f>IF(D11="","-",+C34+1)</f>
        <v>2035</v>
      </c>
      <c r="D35" s="508">
        <f>IF(F34+SUM(E$17:E34)=D$10,F34,D$10-SUM(E$17:E34))</f>
        <v>4474689.4395519663</v>
      </c>
      <c r="E35" s="509">
        <f t="shared" si="13"/>
        <v>311410.5296774194</v>
      </c>
      <c r="F35" s="510">
        <f t="shared" si="14"/>
        <v>4163278.9098745468</v>
      </c>
      <c r="G35" s="511">
        <f t="shared" si="15"/>
        <v>803479.45026248449</v>
      </c>
      <c r="H35" s="477">
        <f t="shared" si="16"/>
        <v>803479.45026248449</v>
      </c>
      <c r="I35" s="500">
        <f t="shared" si="6"/>
        <v>0</v>
      </c>
      <c r="J35" s="500"/>
      <c r="K35" s="512"/>
      <c r="L35" s="504">
        <f t="shared" si="2"/>
        <v>0</v>
      </c>
      <c r="M35" s="512"/>
      <c r="N35" s="504">
        <f t="shared" si="4"/>
        <v>0</v>
      </c>
      <c r="O35" s="504">
        <f t="shared" si="5"/>
        <v>0</v>
      </c>
      <c r="P35" s="278"/>
    </row>
    <row r="36" spans="2:16">
      <c r="B36" s="145" t="str">
        <f t="shared" si="0"/>
        <v/>
      </c>
      <c r="C36" s="495">
        <f>IF(D11="","-",+C35+1)</f>
        <v>2036</v>
      </c>
      <c r="D36" s="508">
        <f>IF(F35+SUM(E$17:E35)=D$10,F35,D$10-SUM(E$17:E35))</f>
        <v>4163278.9098745468</v>
      </c>
      <c r="E36" s="509">
        <f t="shared" si="13"/>
        <v>311410.5296774194</v>
      </c>
      <c r="F36" s="510">
        <f t="shared" si="14"/>
        <v>3851868.3801971273</v>
      </c>
      <c r="G36" s="511">
        <f t="shared" si="15"/>
        <v>767999.94003543793</v>
      </c>
      <c r="H36" s="477">
        <f t="shared" si="16"/>
        <v>767999.94003543793</v>
      </c>
      <c r="I36" s="500">
        <f t="shared" si="6"/>
        <v>0</v>
      </c>
      <c r="J36" s="500"/>
      <c r="K36" s="512"/>
      <c r="L36" s="504">
        <f t="shared" si="2"/>
        <v>0</v>
      </c>
      <c r="M36" s="512"/>
      <c r="N36" s="504">
        <f t="shared" si="4"/>
        <v>0</v>
      </c>
      <c r="O36" s="504">
        <f t="shared" si="5"/>
        <v>0</v>
      </c>
      <c r="P36" s="278"/>
    </row>
    <row r="37" spans="2:16">
      <c r="B37" s="145" t="str">
        <f t="shared" si="0"/>
        <v/>
      </c>
      <c r="C37" s="495">
        <f>IF(D11="","-",+C36+1)</f>
        <v>2037</v>
      </c>
      <c r="D37" s="508">
        <f>IF(F36+SUM(E$17:E36)=D$10,F36,D$10-SUM(E$17:E36))</f>
        <v>3851868.3801971273</v>
      </c>
      <c r="E37" s="509">
        <f t="shared" si="13"/>
        <v>311410.5296774194</v>
      </c>
      <c r="F37" s="510">
        <f t="shared" si="14"/>
        <v>3540457.8505197079</v>
      </c>
      <c r="G37" s="511">
        <f t="shared" si="15"/>
        <v>732520.42980839137</v>
      </c>
      <c r="H37" s="477">
        <f t="shared" si="16"/>
        <v>732520.42980839137</v>
      </c>
      <c r="I37" s="500">
        <f t="shared" si="6"/>
        <v>0</v>
      </c>
      <c r="J37" s="500"/>
      <c r="K37" s="512"/>
      <c r="L37" s="504">
        <f t="shared" si="2"/>
        <v>0</v>
      </c>
      <c r="M37" s="512"/>
      <c r="N37" s="504">
        <f t="shared" si="4"/>
        <v>0</v>
      </c>
      <c r="O37" s="504">
        <f t="shared" si="5"/>
        <v>0</v>
      </c>
      <c r="P37" s="278"/>
    </row>
    <row r="38" spans="2:16">
      <c r="B38" s="145" t="str">
        <f t="shared" si="0"/>
        <v/>
      </c>
      <c r="C38" s="495">
        <f>IF(D11="","-",+C37+1)</f>
        <v>2038</v>
      </c>
      <c r="D38" s="508">
        <f>IF(F37+SUM(E$17:E37)=D$10,F37,D$10-SUM(E$17:E37))</f>
        <v>3540457.8505197079</v>
      </c>
      <c r="E38" s="509">
        <f t="shared" si="13"/>
        <v>311410.5296774194</v>
      </c>
      <c r="F38" s="510">
        <f t="shared" si="14"/>
        <v>3229047.3208422884</v>
      </c>
      <c r="G38" s="511">
        <f t="shared" si="15"/>
        <v>697040.91958134482</v>
      </c>
      <c r="H38" s="477">
        <f t="shared" si="16"/>
        <v>697040.91958134482</v>
      </c>
      <c r="I38" s="500">
        <f t="shared" si="6"/>
        <v>0</v>
      </c>
      <c r="J38" s="500"/>
      <c r="K38" s="512"/>
      <c r="L38" s="504">
        <f t="shared" si="2"/>
        <v>0</v>
      </c>
      <c r="M38" s="512"/>
      <c r="N38" s="504">
        <f t="shared" si="4"/>
        <v>0</v>
      </c>
      <c r="O38" s="504">
        <f t="shared" si="5"/>
        <v>0</v>
      </c>
      <c r="P38" s="278"/>
    </row>
    <row r="39" spans="2:16">
      <c r="B39" s="145" t="str">
        <f t="shared" si="0"/>
        <v/>
      </c>
      <c r="C39" s="495">
        <f>IF(D11="","-",+C38+1)</f>
        <v>2039</v>
      </c>
      <c r="D39" s="508">
        <f>IF(F38+SUM(E$17:E38)=D$10,F38,D$10-SUM(E$17:E38))</f>
        <v>3229047.3208422884</v>
      </c>
      <c r="E39" s="509">
        <f t="shared" si="13"/>
        <v>311410.5296774194</v>
      </c>
      <c r="F39" s="510">
        <f t="shared" si="14"/>
        <v>2917636.791164869</v>
      </c>
      <c r="G39" s="511">
        <f t="shared" si="15"/>
        <v>661561.40935429838</v>
      </c>
      <c r="H39" s="477">
        <f t="shared" si="16"/>
        <v>661561.40935429838</v>
      </c>
      <c r="I39" s="500">
        <f t="shared" si="6"/>
        <v>0</v>
      </c>
      <c r="J39" s="500"/>
      <c r="K39" s="512"/>
      <c r="L39" s="504">
        <f t="shared" si="2"/>
        <v>0</v>
      </c>
      <c r="M39" s="512"/>
      <c r="N39" s="504">
        <f t="shared" si="4"/>
        <v>0</v>
      </c>
      <c r="O39" s="504">
        <f t="shared" si="5"/>
        <v>0</v>
      </c>
      <c r="P39" s="278"/>
    </row>
    <row r="40" spans="2:16">
      <c r="B40" s="145" t="str">
        <f t="shared" si="0"/>
        <v/>
      </c>
      <c r="C40" s="495">
        <f>IF(D11="","-",+C39+1)</f>
        <v>2040</v>
      </c>
      <c r="D40" s="508">
        <f>IF(F39+SUM(E$17:E39)=D$10,F39,D$10-SUM(E$17:E39))</f>
        <v>2917636.791164869</v>
      </c>
      <c r="E40" s="509">
        <f t="shared" si="13"/>
        <v>311410.5296774194</v>
      </c>
      <c r="F40" s="510">
        <f t="shared" si="14"/>
        <v>2606226.2614874495</v>
      </c>
      <c r="G40" s="511">
        <f t="shared" si="15"/>
        <v>626081.8991272517</v>
      </c>
      <c r="H40" s="477">
        <f t="shared" si="16"/>
        <v>626081.8991272517</v>
      </c>
      <c r="I40" s="500">
        <f t="shared" si="6"/>
        <v>0</v>
      </c>
      <c r="J40" s="500"/>
      <c r="K40" s="512"/>
      <c r="L40" s="504">
        <f t="shared" si="2"/>
        <v>0</v>
      </c>
      <c r="M40" s="512"/>
      <c r="N40" s="504">
        <f t="shared" si="4"/>
        <v>0</v>
      </c>
      <c r="O40" s="504">
        <f t="shared" si="5"/>
        <v>0</v>
      </c>
      <c r="P40" s="278"/>
    </row>
    <row r="41" spans="2:16">
      <c r="B41" s="145" t="str">
        <f t="shared" si="0"/>
        <v/>
      </c>
      <c r="C41" s="495">
        <f>IF(D11="","-",+C40+1)</f>
        <v>2041</v>
      </c>
      <c r="D41" s="508">
        <f>IF(F40+SUM(E$17:E40)=D$10,F40,D$10-SUM(E$17:E40))</f>
        <v>2606226.2614874495</v>
      </c>
      <c r="E41" s="509">
        <f t="shared" si="13"/>
        <v>311410.5296774194</v>
      </c>
      <c r="F41" s="510">
        <f t="shared" si="14"/>
        <v>2294815.7318100301</v>
      </c>
      <c r="G41" s="511">
        <f t="shared" si="15"/>
        <v>590602.38890020526</v>
      </c>
      <c r="H41" s="477">
        <f t="shared" si="16"/>
        <v>590602.38890020526</v>
      </c>
      <c r="I41" s="500">
        <f t="shared" si="6"/>
        <v>0</v>
      </c>
      <c r="J41" s="500"/>
      <c r="K41" s="512"/>
      <c r="L41" s="504">
        <f t="shared" si="2"/>
        <v>0</v>
      </c>
      <c r="M41" s="512"/>
      <c r="N41" s="504">
        <f t="shared" si="4"/>
        <v>0</v>
      </c>
      <c r="O41" s="504">
        <f t="shared" si="5"/>
        <v>0</v>
      </c>
      <c r="P41" s="278"/>
    </row>
    <row r="42" spans="2:16">
      <c r="B42" s="145" t="str">
        <f t="shared" si="0"/>
        <v/>
      </c>
      <c r="C42" s="495">
        <f>IF(D11="","-",+C41+1)</f>
        <v>2042</v>
      </c>
      <c r="D42" s="508">
        <f>IF(F41+SUM(E$17:E41)=D$10,F41,D$10-SUM(E$17:E41))</f>
        <v>2294815.7318100301</v>
      </c>
      <c r="E42" s="509">
        <f t="shared" si="13"/>
        <v>311410.5296774194</v>
      </c>
      <c r="F42" s="510">
        <f t="shared" si="14"/>
        <v>1983405.2021326106</v>
      </c>
      <c r="G42" s="511">
        <f t="shared" si="15"/>
        <v>555122.87867315859</v>
      </c>
      <c r="H42" s="477">
        <f t="shared" si="16"/>
        <v>555122.87867315859</v>
      </c>
      <c r="I42" s="500">
        <f t="shared" si="6"/>
        <v>0</v>
      </c>
      <c r="J42" s="500"/>
      <c r="K42" s="512"/>
      <c r="L42" s="504">
        <f t="shared" si="2"/>
        <v>0</v>
      </c>
      <c r="M42" s="512"/>
      <c r="N42" s="504">
        <f t="shared" si="4"/>
        <v>0</v>
      </c>
      <c r="O42" s="504">
        <f t="shared" si="5"/>
        <v>0</v>
      </c>
      <c r="P42" s="278"/>
    </row>
    <row r="43" spans="2:16">
      <c r="B43" s="145" t="str">
        <f t="shared" si="0"/>
        <v/>
      </c>
      <c r="C43" s="495">
        <f>IF(D11="","-",+C42+1)</f>
        <v>2043</v>
      </c>
      <c r="D43" s="508">
        <f>IF(F42+SUM(E$17:E42)=D$10,F42,D$10-SUM(E$17:E42))</f>
        <v>1983405.2021326106</v>
      </c>
      <c r="E43" s="509">
        <f t="shared" si="13"/>
        <v>311410.5296774194</v>
      </c>
      <c r="F43" s="510">
        <f t="shared" si="14"/>
        <v>1671994.6724551911</v>
      </c>
      <c r="G43" s="511">
        <f t="shared" si="15"/>
        <v>519643.36844611209</v>
      </c>
      <c r="H43" s="477">
        <f t="shared" si="16"/>
        <v>519643.36844611209</v>
      </c>
      <c r="I43" s="500">
        <f t="shared" si="6"/>
        <v>0</v>
      </c>
      <c r="J43" s="500"/>
      <c r="K43" s="512"/>
      <c r="L43" s="504">
        <f t="shared" si="2"/>
        <v>0</v>
      </c>
      <c r="M43" s="512"/>
      <c r="N43" s="504">
        <f t="shared" si="4"/>
        <v>0</v>
      </c>
      <c r="O43" s="504">
        <f t="shared" si="5"/>
        <v>0</v>
      </c>
      <c r="P43" s="278"/>
    </row>
    <row r="44" spans="2:16">
      <c r="B44" s="145" t="str">
        <f t="shared" si="0"/>
        <v/>
      </c>
      <c r="C44" s="495">
        <f>IF(D11="","-",+C43+1)</f>
        <v>2044</v>
      </c>
      <c r="D44" s="508">
        <f>IF(F43+SUM(E$17:E43)=D$10,F43,D$10-SUM(E$17:E43))</f>
        <v>1671994.6724551911</v>
      </c>
      <c r="E44" s="509">
        <f t="shared" si="13"/>
        <v>311410.5296774194</v>
      </c>
      <c r="F44" s="510">
        <f t="shared" si="14"/>
        <v>1360584.1427777717</v>
      </c>
      <c r="G44" s="511">
        <f t="shared" si="15"/>
        <v>484163.85821906559</v>
      </c>
      <c r="H44" s="477">
        <f t="shared" si="16"/>
        <v>484163.85821906559</v>
      </c>
      <c r="I44" s="500">
        <f t="shared" si="6"/>
        <v>0</v>
      </c>
      <c r="J44" s="500"/>
      <c r="K44" s="512"/>
      <c r="L44" s="504">
        <f t="shared" si="2"/>
        <v>0</v>
      </c>
      <c r="M44" s="512"/>
      <c r="N44" s="504">
        <f t="shared" si="4"/>
        <v>0</v>
      </c>
      <c r="O44" s="504">
        <f t="shared" si="5"/>
        <v>0</v>
      </c>
      <c r="P44" s="278"/>
    </row>
    <row r="45" spans="2:16">
      <c r="B45" s="145" t="str">
        <f t="shared" si="0"/>
        <v/>
      </c>
      <c r="C45" s="495">
        <f>IF(D11="","-",+C44+1)</f>
        <v>2045</v>
      </c>
      <c r="D45" s="508">
        <f>IF(F44+SUM(E$17:E44)=D$10,F44,D$10-SUM(E$17:E44))</f>
        <v>1360584.1427777717</v>
      </c>
      <c r="E45" s="509">
        <f t="shared" si="13"/>
        <v>311410.5296774194</v>
      </c>
      <c r="F45" s="510">
        <f t="shared" si="14"/>
        <v>1049173.6131003522</v>
      </c>
      <c r="G45" s="511">
        <f t="shared" si="15"/>
        <v>448684.34799201903</v>
      </c>
      <c r="H45" s="477">
        <f t="shared" si="16"/>
        <v>448684.34799201903</v>
      </c>
      <c r="I45" s="500">
        <f t="shared" si="6"/>
        <v>0</v>
      </c>
      <c r="J45" s="500"/>
      <c r="K45" s="512"/>
      <c r="L45" s="504">
        <f t="shared" si="2"/>
        <v>0</v>
      </c>
      <c r="M45" s="512"/>
      <c r="N45" s="504">
        <f t="shared" si="4"/>
        <v>0</v>
      </c>
      <c r="O45" s="504">
        <f t="shared" si="5"/>
        <v>0</v>
      </c>
      <c r="P45" s="278"/>
    </row>
    <row r="46" spans="2:16">
      <c r="B46" s="145" t="str">
        <f t="shared" si="0"/>
        <v/>
      </c>
      <c r="C46" s="495">
        <f>IF(D11="","-",+C45+1)</f>
        <v>2046</v>
      </c>
      <c r="D46" s="508">
        <f>IF(F45+SUM(E$17:E45)=D$10,F45,D$10-SUM(E$17:E45))</f>
        <v>1049173.6131003522</v>
      </c>
      <c r="E46" s="509">
        <f t="shared" si="13"/>
        <v>311410.5296774194</v>
      </c>
      <c r="F46" s="510">
        <f t="shared" si="14"/>
        <v>737763.08342293277</v>
      </c>
      <c r="G46" s="511">
        <f t="shared" si="15"/>
        <v>413204.83776497247</v>
      </c>
      <c r="H46" s="477">
        <f t="shared" si="16"/>
        <v>413204.83776497247</v>
      </c>
      <c r="I46" s="500">
        <f t="shared" si="6"/>
        <v>0</v>
      </c>
      <c r="J46" s="500"/>
      <c r="K46" s="512"/>
      <c r="L46" s="504">
        <f t="shared" si="2"/>
        <v>0</v>
      </c>
      <c r="M46" s="512"/>
      <c r="N46" s="504">
        <f t="shared" si="4"/>
        <v>0</v>
      </c>
      <c r="O46" s="504">
        <f t="shared" si="5"/>
        <v>0</v>
      </c>
      <c r="P46" s="278"/>
    </row>
    <row r="47" spans="2:16">
      <c r="B47" s="145" t="str">
        <f t="shared" si="0"/>
        <v/>
      </c>
      <c r="C47" s="495">
        <f>IF(D11="","-",+C46+1)</f>
        <v>2047</v>
      </c>
      <c r="D47" s="508">
        <f>IF(F46+SUM(E$17:E46)=D$10,F46,D$10-SUM(E$17:E46))</f>
        <v>737763.08342293277</v>
      </c>
      <c r="E47" s="509">
        <f t="shared" si="13"/>
        <v>311410.5296774194</v>
      </c>
      <c r="F47" s="510">
        <f t="shared" si="14"/>
        <v>426352.55374551337</v>
      </c>
      <c r="G47" s="511">
        <f t="shared" si="15"/>
        <v>377725.32753792591</v>
      </c>
      <c r="H47" s="477">
        <f t="shared" si="16"/>
        <v>377725.32753792591</v>
      </c>
      <c r="I47" s="500">
        <f t="shared" si="6"/>
        <v>0</v>
      </c>
      <c r="J47" s="500"/>
      <c r="K47" s="512"/>
      <c r="L47" s="504">
        <f t="shared" si="2"/>
        <v>0</v>
      </c>
      <c r="M47" s="512"/>
      <c r="N47" s="504">
        <f t="shared" si="4"/>
        <v>0</v>
      </c>
      <c r="O47" s="504">
        <f t="shared" si="5"/>
        <v>0</v>
      </c>
      <c r="P47" s="278"/>
    </row>
    <row r="48" spans="2:16">
      <c r="B48" s="145" t="str">
        <f t="shared" si="0"/>
        <v/>
      </c>
      <c r="C48" s="495">
        <f>IF(D11="","-",+C47+1)</f>
        <v>2048</v>
      </c>
      <c r="D48" s="508">
        <f>IF(F47+SUM(E$17:E47)=D$10,F47,D$10-SUM(E$17:E47))</f>
        <v>426352.55374551337</v>
      </c>
      <c r="E48" s="509">
        <f t="shared" si="13"/>
        <v>311410.5296774194</v>
      </c>
      <c r="F48" s="510">
        <f t="shared" si="14"/>
        <v>114942.02406809398</v>
      </c>
      <c r="G48" s="511">
        <f t="shared" si="15"/>
        <v>342245.81731087941</v>
      </c>
      <c r="H48" s="477">
        <f t="shared" si="16"/>
        <v>342245.81731087941</v>
      </c>
      <c r="I48" s="500">
        <f t="shared" si="6"/>
        <v>0</v>
      </c>
      <c r="J48" s="500"/>
      <c r="K48" s="512"/>
      <c r="L48" s="504">
        <f t="shared" si="2"/>
        <v>0</v>
      </c>
      <c r="M48" s="512"/>
      <c r="N48" s="504">
        <f t="shared" si="4"/>
        <v>0</v>
      </c>
      <c r="O48" s="504">
        <f t="shared" si="5"/>
        <v>0</v>
      </c>
      <c r="P48" s="278"/>
    </row>
    <row r="49" spans="2:16">
      <c r="B49" s="145" t="str">
        <f t="shared" si="0"/>
        <v/>
      </c>
      <c r="C49" s="495">
        <f>IF(D11="","-",+C48+1)</f>
        <v>2049</v>
      </c>
      <c r="D49" s="508">
        <f>IF(F48+SUM(E$17:E48)=D$10,F48,D$10-SUM(E$17:E48))</f>
        <v>114942.02406809398</v>
      </c>
      <c r="E49" s="509">
        <f t="shared" si="13"/>
        <v>114942.02406809398</v>
      </c>
      <c r="F49" s="510">
        <f t="shared" si="14"/>
        <v>0</v>
      </c>
      <c r="G49" s="511">
        <f t="shared" ref="G49:G71" si="17">(D49+F49)/2*I$12+E49</f>
        <v>121489.79032806234</v>
      </c>
      <c r="H49" s="477">
        <f t="shared" ref="H49:H71" si="18">+(D49+F49)/2*I$13+E49</f>
        <v>121489.79032806234</v>
      </c>
      <c r="I49" s="500">
        <f t="shared" si="6"/>
        <v>0</v>
      </c>
      <c r="J49" s="500"/>
      <c r="K49" s="512"/>
      <c r="L49" s="504">
        <f t="shared" si="2"/>
        <v>0</v>
      </c>
      <c r="M49" s="512"/>
      <c r="N49" s="504">
        <f t="shared" si="4"/>
        <v>0</v>
      </c>
      <c r="O49" s="504">
        <f t="shared" si="5"/>
        <v>0</v>
      </c>
      <c r="P49" s="278"/>
    </row>
    <row r="50" spans="2:16">
      <c r="B50" s="145" t="str">
        <f t="shared" si="0"/>
        <v/>
      </c>
      <c r="C50" s="495">
        <f>IF(D11="","-",+C49+1)</f>
        <v>2050</v>
      </c>
      <c r="D50" s="508">
        <f>IF(F49+SUM(E$17:E49)=D$10,F49,D$10-SUM(E$17:E49))</f>
        <v>0</v>
      </c>
      <c r="E50" s="509">
        <f t="shared" ref="E50:E71" si="19">IF(+I$14&lt;F49,I$14,D50)</f>
        <v>0</v>
      </c>
      <c r="F50" s="510">
        <f t="shared" si="14"/>
        <v>0</v>
      </c>
      <c r="G50" s="511">
        <f t="shared" si="17"/>
        <v>0</v>
      </c>
      <c r="H50" s="477">
        <f t="shared" si="18"/>
        <v>0</v>
      </c>
      <c r="I50" s="500">
        <f t="shared" si="6"/>
        <v>0</v>
      </c>
      <c r="J50" s="500"/>
      <c r="K50" s="512"/>
      <c r="L50" s="504">
        <f t="shared" si="2"/>
        <v>0</v>
      </c>
      <c r="M50" s="512"/>
      <c r="N50" s="504">
        <f t="shared" si="4"/>
        <v>0</v>
      </c>
      <c r="O50" s="504">
        <f t="shared" si="5"/>
        <v>0</v>
      </c>
      <c r="P50" s="278"/>
    </row>
    <row r="51" spans="2:16">
      <c r="B51" s="145" t="str">
        <f t="shared" si="0"/>
        <v/>
      </c>
      <c r="C51" s="495">
        <f>IF(D11="","-",+C50+1)</f>
        <v>2051</v>
      </c>
      <c r="D51" s="508">
        <f>IF(F50+SUM(E$17:E50)=D$10,F50,D$10-SUM(E$17:E50))</f>
        <v>0</v>
      </c>
      <c r="E51" s="509">
        <f t="shared" si="19"/>
        <v>0</v>
      </c>
      <c r="F51" s="510">
        <f t="shared" si="14"/>
        <v>0</v>
      </c>
      <c r="G51" s="511">
        <f t="shared" si="17"/>
        <v>0</v>
      </c>
      <c r="H51" s="477">
        <f t="shared" si="18"/>
        <v>0</v>
      </c>
      <c r="I51" s="500">
        <f t="shared" si="6"/>
        <v>0</v>
      </c>
      <c r="J51" s="500"/>
      <c r="K51" s="512"/>
      <c r="L51" s="504">
        <f t="shared" si="2"/>
        <v>0</v>
      </c>
      <c r="M51" s="512"/>
      <c r="N51" s="504">
        <f t="shared" si="4"/>
        <v>0</v>
      </c>
      <c r="O51" s="504">
        <f t="shared" si="5"/>
        <v>0</v>
      </c>
      <c r="P51" s="278"/>
    </row>
    <row r="52" spans="2:16">
      <c r="B52" s="145" t="str">
        <f t="shared" si="0"/>
        <v/>
      </c>
      <c r="C52" s="495">
        <f>IF(D11="","-",+C51+1)</f>
        <v>2052</v>
      </c>
      <c r="D52" s="508">
        <f>IF(F51+SUM(E$17:E51)=D$10,F51,D$10-SUM(E$17:E51))</f>
        <v>0</v>
      </c>
      <c r="E52" s="509">
        <f t="shared" si="19"/>
        <v>0</v>
      </c>
      <c r="F52" s="510">
        <f t="shared" si="14"/>
        <v>0</v>
      </c>
      <c r="G52" s="511">
        <f t="shared" si="17"/>
        <v>0</v>
      </c>
      <c r="H52" s="477">
        <f t="shared" si="18"/>
        <v>0</v>
      </c>
      <c r="I52" s="500">
        <f t="shared" si="6"/>
        <v>0</v>
      </c>
      <c r="J52" s="500"/>
      <c r="K52" s="512"/>
      <c r="L52" s="504">
        <f t="shared" si="2"/>
        <v>0</v>
      </c>
      <c r="M52" s="512"/>
      <c r="N52" s="504">
        <f t="shared" si="4"/>
        <v>0</v>
      </c>
      <c r="O52" s="504">
        <f t="shared" si="5"/>
        <v>0</v>
      </c>
      <c r="P52" s="278"/>
    </row>
    <row r="53" spans="2:16">
      <c r="B53" s="145" t="str">
        <f t="shared" si="0"/>
        <v/>
      </c>
      <c r="C53" s="495">
        <f>IF(D11="","-",+C52+1)</f>
        <v>2053</v>
      </c>
      <c r="D53" s="508">
        <f>IF(F52+SUM(E$17:E52)=D$10,F52,D$10-SUM(E$17:E52))</f>
        <v>0</v>
      </c>
      <c r="E53" s="509">
        <f t="shared" si="19"/>
        <v>0</v>
      </c>
      <c r="F53" s="510">
        <f t="shared" si="14"/>
        <v>0</v>
      </c>
      <c r="G53" s="511">
        <f t="shared" si="17"/>
        <v>0</v>
      </c>
      <c r="H53" s="477">
        <f t="shared" si="18"/>
        <v>0</v>
      </c>
      <c r="I53" s="500">
        <f t="shared" si="6"/>
        <v>0</v>
      </c>
      <c r="J53" s="500"/>
      <c r="K53" s="512"/>
      <c r="L53" s="504">
        <f t="shared" si="2"/>
        <v>0</v>
      </c>
      <c r="M53" s="512"/>
      <c r="N53" s="504">
        <f t="shared" si="4"/>
        <v>0</v>
      </c>
      <c r="O53" s="504">
        <f t="shared" si="5"/>
        <v>0</v>
      </c>
      <c r="P53" s="278"/>
    </row>
    <row r="54" spans="2:16">
      <c r="B54" s="145" t="str">
        <f t="shared" si="0"/>
        <v/>
      </c>
      <c r="C54" s="495">
        <f>IF(D11="","-",+C53+1)</f>
        <v>2054</v>
      </c>
      <c r="D54" s="508">
        <f>IF(F53+SUM(E$17:E53)=D$10,F53,D$10-SUM(E$17:E53))</f>
        <v>0</v>
      </c>
      <c r="E54" s="509">
        <f t="shared" si="19"/>
        <v>0</v>
      </c>
      <c r="F54" s="510">
        <f t="shared" si="14"/>
        <v>0</v>
      </c>
      <c r="G54" s="511">
        <f t="shared" si="17"/>
        <v>0</v>
      </c>
      <c r="H54" s="477">
        <f t="shared" si="18"/>
        <v>0</v>
      </c>
      <c r="I54" s="500">
        <f t="shared" si="6"/>
        <v>0</v>
      </c>
      <c r="J54" s="500"/>
      <c r="K54" s="512"/>
      <c r="L54" s="504">
        <f t="shared" si="2"/>
        <v>0</v>
      </c>
      <c r="M54" s="512"/>
      <c r="N54" s="504">
        <f t="shared" si="4"/>
        <v>0</v>
      </c>
      <c r="O54" s="504">
        <f t="shared" si="5"/>
        <v>0</v>
      </c>
      <c r="P54" s="278"/>
    </row>
    <row r="55" spans="2:16">
      <c r="B55" s="145" t="str">
        <f t="shared" si="0"/>
        <v/>
      </c>
      <c r="C55" s="495">
        <f>IF(D11="","-",+C54+1)</f>
        <v>2055</v>
      </c>
      <c r="D55" s="508">
        <f>IF(F54+SUM(E$17:E54)=D$10,F54,D$10-SUM(E$17:E54))</f>
        <v>0</v>
      </c>
      <c r="E55" s="509">
        <f t="shared" si="19"/>
        <v>0</v>
      </c>
      <c r="F55" s="510">
        <f t="shared" si="14"/>
        <v>0</v>
      </c>
      <c r="G55" s="511">
        <f t="shared" si="17"/>
        <v>0</v>
      </c>
      <c r="H55" s="477">
        <f t="shared" si="18"/>
        <v>0</v>
      </c>
      <c r="I55" s="500">
        <f t="shared" si="6"/>
        <v>0</v>
      </c>
      <c r="J55" s="500"/>
      <c r="K55" s="512"/>
      <c r="L55" s="504">
        <f t="shared" si="2"/>
        <v>0</v>
      </c>
      <c r="M55" s="512"/>
      <c r="N55" s="504">
        <f t="shared" si="4"/>
        <v>0</v>
      </c>
      <c r="O55" s="504">
        <f t="shared" si="5"/>
        <v>0</v>
      </c>
      <c r="P55" s="278"/>
    </row>
    <row r="56" spans="2:16">
      <c r="B56" s="145" t="str">
        <f t="shared" si="0"/>
        <v/>
      </c>
      <c r="C56" s="495">
        <f>IF(D11="","-",+C55+1)</f>
        <v>2056</v>
      </c>
      <c r="D56" s="508">
        <f>IF(F55+SUM(E$17:E55)=D$10,F55,D$10-SUM(E$17:E55))</f>
        <v>0</v>
      </c>
      <c r="E56" s="509">
        <f t="shared" si="19"/>
        <v>0</v>
      </c>
      <c r="F56" s="510">
        <f t="shared" si="14"/>
        <v>0</v>
      </c>
      <c r="G56" s="511">
        <f t="shared" si="17"/>
        <v>0</v>
      </c>
      <c r="H56" s="477">
        <f t="shared" si="18"/>
        <v>0</v>
      </c>
      <c r="I56" s="500">
        <f t="shared" si="6"/>
        <v>0</v>
      </c>
      <c r="J56" s="500"/>
      <c r="K56" s="512"/>
      <c r="L56" s="504">
        <f t="shared" si="2"/>
        <v>0</v>
      </c>
      <c r="M56" s="512"/>
      <c r="N56" s="504">
        <f t="shared" si="4"/>
        <v>0</v>
      </c>
      <c r="O56" s="504">
        <f t="shared" si="5"/>
        <v>0</v>
      </c>
      <c r="P56" s="278"/>
    </row>
    <row r="57" spans="2:16">
      <c r="B57" s="145" t="str">
        <f t="shared" si="0"/>
        <v/>
      </c>
      <c r="C57" s="495">
        <f>IF(D11="","-",+C56+1)</f>
        <v>2057</v>
      </c>
      <c r="D57" s="508">
        <f>IF(F56+SUM(E$17:E56)=D$10,F56,D$10-SUM(E$17:E56))</f>
        <v>0</v>
      </c>
      <c r="E57" s="509">
        <f t="shared" si="19"/>
        <v>0</v>
      </c>
      <c r="F57" s="510">
        <f t="shared" si="14"/>
        <v>0</v>
      </c>
      <c r="G57" s="511">
        <f t="shared" si="17"/>
        <v>0</v>
      </c>
      <c r="H57" s="477">
        <f t="shared" si="18"/>
        <v>0</v>
      </c>
      <c r="I57" s="500">
        <f t="shared" si="6"/>
        <v>0</v>
      </c>
      <c r="J57" s="500"/>
      <c r="K57" s="512"/>
      <c r="L57" s="504">
        <f t="shared" si="2"/>
        <v>0</v>
      </c>
      <c r="M57" s="512"/>
      <c r="N57" s="504">
        <f t="shared" si="4"/>
        <v>0</v>
      </c>
      <c r="O57" s="504">
        <f t="shared" si="5"/>
        <v>0</v>
      </c>
      <c r="P57" s="278"/>
    </row>
    <row r="58" spans="2:16">
      <c r="B58" s="145" t="str">
        <f t="shared" si="0"/>
        <v/>
      </c>
      <c r="C58" s="495">
        <f>IF(D11="","-",+C57+1)</f>
        <v>2058</v>
      </c>
      <c r="D58" s="508">
        <f>IF(F57+SUM(E$17:E57)=D$10,F57,D$10-SUM(E$17:E57))</f>
        <v>0</v>
      </c>
      <c r="E58" s="509">
        <f t="shared" si="19"/>
        <v>0</v>
      </c>
      <c r="F58" s="510">
        <f t="shared" si="14"/>
        <v>0</v>
      </c>
      <c r="G58" s="511">
        <f t="shared" si="17"/>
        <v>0</v>
      </c>
      <c r="H58" s="477">
        <f t="shared" si="18"/>
        <v>0</v>
      </c>
      <c r="I58" s="500">
        <f t="shared" si="6"/>
        <v>0</v>
      </c>
      <c r="J58" s="500"/>
      <c r="K58" s="512"/>
      <c r="L58" s="504">
        <f t="shared" si="2"/>
        <v>0</v>
      </c>
      <c r="M58" s="512"/>
      <c r="N58" s="504">
        <f t="shared" si="4"/>
        <v>0</v>
      </c>
      <c r="O58" s="504">
        <f t="shared" si="5"/>
        <v>0</v>
      </c>
      <c r="P58" s="278"/>
    </row>
    <row r="59" spans="2:16">
      <c r="B59" s="145" t="str">
        <f t="shared" si="0"/>
        <v/>
      </c>
      <c r="C59" s="495">
        <f>IF(D11="","-",+C58+1)</f>
        <v>2059</v>
      </c>
      <c r="D59" s="508">
        <f>IF(F58+SUM(E$17:E58)=D$10,F58,D$10-SUM(E$17:E58))</f>
        <v>0</v>
      </c>
      <c r="E59" s="509">
        <f t="shared" si="19"/>
        <v>0</v>
      </c>
      <c r="F59" s="510">
        <f t="shared" si="14"/>
        <v>0</v>
      </c>
      <c r="G59" s="511">
        <f t="shared" si="17"/>
        <v>0</v>
      </c>
      <c r="H59" s="477">
        <f t="shared" si="18"/>
        <v>0</v>
      </c>
      <c r="I59" s="500">
        <f t="shared" si="6"/>
        <v>0</v>
      </c>
      <c r="J59" s="500"/>
      <c r="K59" s="512"/>
      <c r="L59" s="504">
        <f t="shared" si="2"/>
        <v>0</v>
      </c>
      <c r="M59" s="512"/>
      <c r="N59" s="504">
        <f t="shared" si="4"/>
        <v>0</v>
      </c>
      <c r="O59" s="504">
        <f t="shared" si="5"/>
        <v>0</v>
      </c>
      <c r="P59" s="278"/>
    </row>
    <row r="60" spans="2:16">
      <c r="B60" s="145" t="str">
        <f t="shared" si="0"/>
        <v/>
      </c>
      <c r="C60" s="495">
        <f>IF(D11="","-",+C59+1)</f>
        <v>2060</v>
      </c>
      <c r="D60" s="508">
        <f>IF(F59+SUM(E$17:E59)=D$10,F59,D$10-SUM(E$17:E59))</f>
        <v>0</v>
      </c>
      <c r="E60" s="509">
        <f t="shared" si="19"/>
        <v>0</v>
      </c>
      <c r="F60" s="510">
        <f t="shared" si="14"/>
        <v>0</v>
      </c>
      <c r="G60" s="511">
        <f t="shared" si="17"/>
        <v>0</v>
      </c>
      <c r="H60" s="477">
        <f t="shared" si="18"/>
        <v>0</v>
      </c>
      <c r="I60" s="500">
        <f t="shared" si="6"/>
        <v>0</v>
      </c>
      <c r="J60" s="500"/>
      <c r="K60" s="512"/>
      <c r="L60" s="504">
        <f t="shared" si="2"/>
        <v>0</v>
      </c>
      <c r="M60" s="512"/>
      <c r="N60" s="504">
        <f t="shared" si="4"/>
        <v>0</v>
      </c>
      <c r="O60" s="504">
        <f t="shared" si="5"/>
        <v>0</v>
      </c>
      <c r="P60" s="278"/>
    </row>
    <row r="61" spans="2:16">
      <c r="B61" s="145" t="str">
        <f t="shared" si="0"/>
        <v/>
      </c>
      <c r="C61" s="495">
        <f>IF(D11="","-",+C60+1)</f>
        <v>2061</v>
      </c>
      <c r="D61" s="508">
        <f>IF(F60+SUM(E$17:E60)=D$10,F60,D$10-SUM(E$17:E60))</f>
        <v>0</v>
      </c>
      <c r="E61" s="509">
        <f t="shared" si="19"/>
        <v>0</v>
      </c>
      <c r="F61" s="510">
        <f t="shared" si="14"/>
        <v>0</v>
      </c>
      <c r="G61" s="523">
        <f t="shared" si="17"/>
        <v>0</v>
      </c>
      <c r="H61" s="477">
        <f t="shared" si="18"/>
        <v>0</v>
      </c>
      <c r="I61" s="500">
        <f t="shared" si="6"/>
        <v>0</v>
      </c>
      <c r="J61" s="500"/>
      <c r="K61" s="512"/>
      <c r="L61" s="504">
        <f t="shared" si="2"/>
        <v>0</v>
      </c>
      <c r="M61" s="512"/>
      <c r="N61" s="504">
        <f t="shared" si="4"/>
        <v>0</v>
      </c>
      <c r="O61" s="504">
        <f t="shared" si="5"/>
        <v>0</v>
      </c>
      <c r="P61" s="278"/>
    </row>
    <row r="62" spans="2:16">
      <c r="B62" s="145" t="str">
        <f t="shared" si="0"/>
        <v/>
      </c>
      <c r="C62" s="495">
        <f>IF(D11="","-",+C61+1)</f>
        <v>2062</v>
      </c>
      <c r="D62" s="508">
        <f>IF(F61+SUM(E$17:E61)=D$10,F61,D$10-SUM(E$17:E61))</f>
        <v>0</v>
      </c>
      <c r="E62" s="509">
        <f t="shared" si="19"/>
        <v>0</v>
      </c>
      <c r="F62" s="510">
        <f t="shared" si="14"/>
        <v>0</v>
      </c>
      <c r="G62" s="523">
        <f t="shared" si="17"/>
        <v>0</v>
      </c>
      <c r="H62" s="477">
        <f t="shared" si="18"/>
        <v>0</v>
      </c>
      <c r="I62" s="500">
        <f t="shared" si="6"/>
        <v>0</v>
      </c>
      <c r="J62" s="500"/>
      <c r="K62" s="512"/>
      <c r="L62" s="504">
        <f t="shared" si="2"/>
        <v>0</v>
      </c>
      <c r="M62" s="512"/>
      <c r="N62" s="504">
        <f t="shared" si="4"/>
        <v>0</v>
      </c>
      <c r="O62" s="504">
        <f t="shared" si="5"/>
        <v>0</v>
      </c>
      <c r="P62" s="278"/>
    </row>
    <row r="63" spans="2:16">
      <c r="B63" s="145" t="str">
        <f t="shared" si="0"/>
        <v/>
      </c>
      <c r="C63" s="495">
        <f>IF(D11="","-",+C62+1)</f>
        <v>2063</v>
      </c>
      <c r="D63" s="508">
        <f>IF(F62+SUM(E$17:E62)=D$10,F62,D$10-SUM(E$17:E62))</f>
        <v>0</v>
      </c>
      <c r="E63" s="509">
        <f t="shared" si="19"/>
        <v>0</v>
      </c>
      <c r="F63" s="510">
        <f t="shared" si="14"/>
        <v>0</v>
      </c>
      <c r="G63" s="523">
        <f t="shared" si="17"/>
        <v>0</v>
      </c>
      <c r="H63" s="477">
        <f t="shared" si="18"/>
        <v>0</v>
      </c>
      <c r="I63" s="500">
        <f t="shared" si="6"/>
        <v>0</v>
      </c>
      <c r="J63" s="500"/>
      <c r="K63" s="512"/>
      <c r="L63" s="504">
        <f t="shared" si="2"/>
        <v>0</v>
      </c>
      <c r="M63" s="512"/>
      <c r="N63" s="504">
        <f t="shared" si="4"/>
        <v>0</v>
      </c>
      <c r="O63" s="504">
        <f t="shared" si="5"/>
        <v>0</v>
      </c>
      <c r="P63" s="278"/>
    </row>
    <row r="64" spans="2:16">
      <c r="B64" s="145" t="str">
        <f t="shared" si="0"/>
        <v/>
      </c>
      <c r="C64" s="495">
        <f>IF(D11="","-",+C63+1)</f>
        <v>2064</v>
      </c>
      <c r="D64" s="508">
        <f>IF(F63+SUM(E$17:E63)=D$10,F63,D$10-SUM(E$17:E63))</f>
        <v>0</v>
      </c>
      <c r="E64" s="509">
        <f t="shared" si="19"/>
        <v>0</v>
      </c>
      <c r="F64" s="510">
        <f t="shared" si="14"/>
        <v>0</v>
      </c>
      <c r="G64" s="523">
        <f t="shared" si="17"/>
        <v>0</v>
      </c>
      <c r="H64" s="477">
        <f t="shared" si="18"/>
        <v>0</v>
      </c>
      <c r="I64" s="500">
        <f t="shared" si="6"/>
        <v>0</v>
      </c>
      <c r="J64" s="500"/>
      <c r="K64" s="512"/>
      <c r="L64" s="504">
        <f t="shared" si="2"/>
        <v>0</v>
      </c>
      <c r="M64" s="512"/>
      <c r="N64" s="504">
        <f t="shared" si="4"/>
        <v>0</v>
      </c>
      <c r="O64" s="504">
        <f t="shared" si="5"/>
        <v>0</v>
      </c>
      <c r="P64" s="278"/>
    </row>
    <row r="65" spans="2:16">
      <c r="B65" s="145" t="str">
        <f t="shared" si="0"/>
        <v/>
      </c>
      <c r="C65" s="495">
        <f>IF(D11="","-",+C64+1)</f>
        <v>2065</v>
      </c>
      <c r="D65" s="508">
        <f>IF(F64+SUM(E$17:E64)=D$10,F64,D$10-SUM(E$17:E64))</f>
        <v>0</v>
      </c>
      <c r="E65" s="509">
        <f t="shared" si="19"/>
        <v>0</v>
      </c>
      <c r="F65" s="510">
        <f t="shared" si="14"/>
        <v>0</v>
      </c>
      <c r="G65" s="523">
        <f t="shared" si="17"/>
        <v>0</v>
      </c>
      <c r="H65" s="477">
        <f t="shared" si="18"/>
        <v>0</v>
      </c>
      <c r="I65" s="500">
        <f t="shared" si="6"/>
        <v>0</v>
      </c>
      <c r="J65" s="500"/>
      <c r="K65" s="512"/>
      <c r="L65" s="504">
        <f t="shared" si="2"/>
        <v>0</v>
      </c>
      <c r="M65" s="512"/>
      <c r="N65" s="504">
        <f t="shared" si="4"/>
        <v>0</v>
      </c>
      <c r="O65" s="504">
        <f t="shared" si="5"/>
        <v>0</v>
      </c>
      <c r="P65" s="278"/>
    </row>
    <row r="66" spans="2:16">
      <c r="B66" s="145" t="str">
        <f t="shared" si="0"/>
        <v/>
      </c>
      <c r="C66" s="495">
        <f>IF(D11="","-",+C65+1)</f>
        <v>2066</v>
      </c>
      <c r="D66" s="508">
        <f>IF(F65+SUM(E$17:E65)=D$10,F65,D$10-SUM(E$17:E65))</f>
        <v>0</v>
      </c>
      <c r="E66" s="509">
        <f t="shared" si="19"/>
        <v>0</v>
      </c>
      <c r="F66" s="510">
        <f t="shared" si="14"/>
        <v>0</v>
      </c>
      <c r="G66" s="523">
        <f t="shared" si="17"/>
        <v>0</v>
      </c>
      <c r="H66" s="477">
        <f t="shared" si="18"/>
        <v>0</v>
      </c>
      <c r="I66" s="500">
        <f t="shared" si="6"/>
        <v>0</v>
      </c>
      <c r="J66" s="500"/>
      <c r="K66" s="512"/>
      <c r="L66" s="504">
        <f t="shared" si="2"/>
        <v>0</v>
      </c>
      <c r="M66" s="512"/>
      <c r="N66" s="504">
        <f t="shared" si="4"/>
        <v>0</v>
      </c>
      <c r="O66" s="504">
        <f t="shared" si="5"/>
        <v>0</v>
      </c>
      <c r="P66" s="278"/>
    </row>
    <row r="67" spans="2:16">
      <c r="B67" s="145" t="str">
        <f t="shared" si="0"/>
        <v/>
      </c>
      <c r="C67" s="495">
        <f>IF(D11="","-",+C66+1)</f>
        <v>2067</v>
      </c>
      <c r="D67" s="508">
        <f>IF(F66+SUM(E$17:E66)=D$10,F66,D$10-SUM(E$17:E66))</f>
        <v>0</v>
      </c>
      <c r="E67" s="509">
        <f t="shared" si="19"/>
        <v>0</v>
      </c>
      <c r="F67" s="510">
        <f t="shared" si="14"/>
        <v>0</v>
      </c>
      <c r="G67" s="523">
        <f t="shared" si="17"/>
        <v>0</v>
      </c>
      <c r="H67" s="477">
        <f t="shared" si="18"/>
        <v>0</v>
      </c>
      <c r="I67" s="500">
        <f t="shared" si="6"/>
        <v>0</v>
      </c>
      <c r="J67" s="500"/>
      <c r="K67" s="512"/>
      <c r="L67" s="504">
        <f t="shared" si="2"/>
        <v>0</v>
      </c>
      <c r="M67" s="512"/>
      <c r="N67" s="504">
        <f t="shared" si="4"/>
        <v>0</v>
      </c>
      <c r="O67" s="504">
        <f t="shared" si="5"/>
        <v>0</v>
      </c>
      <c r="P67" s="278"/>
    </row>
    <row r="68" spans="2:16">
      <c r="B68" s="145" t="str">
        <f t="shared" si="0"/>
        <v/>
      </c>
      <c r="C68" s="495">
        <f>IF(D11="","-",+C67+1)</f>
        <v>2068</v>
      </c>
      <c r="D68" s="508">
        <f>IF(F67+SUM(E$17:E67)=D$10,F67,D$10-SUM(E$17:E67))</f>
        <v>0</v>
      </c>
      <c r="E68" s="509">
        <f t="shared" si="19"/>
        <v>0</v>
      </c>
      <c r="F68" s="510">
        <f t="shared" si="14"/>
        <v>0</v>
      </c>
      <c r="G68" s="523">
        <f t="shared" si="17"/>
        <v>0</v>
      </c>
      <c r="H68" s="477">
        <f t="shared" si="18"/>
        <v>0</v>
      </c>
      <c r="I68" s="500">
        <f t="shared" si="6"/>
        <v>0</v>
      </c>
      <c r="J68" s="500"/>
      <c r="K68" s="512"/>
      <c r="L68" s="504">
        <f t="shared" si="2"/>
        <v>0</v>
      </c>
      <c r="M68" s="512"/>
      <c r="N68" s="504">
        <f t="shared" si="4"/>
        <v>0</v>
      </c>
      <c r="O68" s="504">
        <f t="shared" si="5"/>
        <v>0</v>
      </c>
      <c r="P68" s="278"/>
    </row>
    <row r="69" spans="2:16">
      <c r="B69" s="145" t="str">
        <f t="shared" si="0"/>
        <v/>
      </c>
      <c r="C69" s="495">
        <f>IF(D11="","-",+C68+1)</f>
        <v>2069</v>
      </c>
      <c r="D69" s="508">
        <f>IF(F68+SUM(E$17:E68)=D$10,F68,D$10-SUM(E$17:E68))</f>
        <v>0</v>
      </c>
      <c r="E69" s="509">
        <f t="shared" si="19"/>
        <v>0</v>
      </c>
      <c r="F69" s="510">
        <f t="shared" si="14"/>
        <v>0</v>
      </c>
      <c r="G69" s="523">
        <f t="shared" si="17"/>
        <v>0</v>
      </c>
      <c r="H69" s="477">
        <f t="shared" si="18"/>
        <v>0</v>
      </c>
      <c r="I69" s="500">
        <f t="shared" si="6"/>
        <v>0</v>
      </c>
      <c r="J69" s="500"/>
      <c r="K69" s="512"/>
      <c r="L69" s="504">
        <f t="shared" si="2"/>
        <v>0</v>
      </c>
      <c r="M69" s="512"/>
      <c r="N69" s="504">
        <f t="shared" si="4"/>
        <v>0</v>
      </c>
      <c r="O69" s="504">
        <f t="shared" si="5"/>
        <v>0</v>
      </c>
      <c r="P69" s="278"/>
    </row>
    <row r="70" spans="2:16">
      <c r="B70" s="145" t="str">
        <f t="shared" si="0"/>
        <v/>
      </c>
      <c r="C70" s="495">
        <f>IF(D11="","-",+C69+1)</f>
        <v>2070</v>
      </c>
      <c r="D70" s="508">
        <f>IF(F69+SUM(E$17:E69)=D$10,F69,D$10-SUM(E$17:E69))</f>
        <v>0</v>
      </c>
      <c r="E70" s="509">
        <f t="shared" si="19"/>
        <v>0</v>
      </c>
      <c r="F70" s="510">
        <f t="shared" si="14"/>
        <v>0</v>
      </c>
      <c r="G70" s="523">
        <f t="shared" si="17"/>
        <v>0</v>
      </c>
      <c r="H70" s="477">
        <f t="shared" si="18"/>
        <v>0</v>
      </c>
      <c r="I70" s="500">
        <f t="shared" si="6"/>
        <v>0</v>
      </c>
      <c r="J70" s="500"/>
      <c r="K70" s="512"/>
      <c r="L70" s="504">
        <f t="shared" si="2"/>
        <v>0</v>
      </c>
      <c r="M70" s="512"/>
      <c r="N70" s="504">
        <f t="shared" si="4"/>
        <v>0</v>
      </c>
      <c r="O70" s="504">
        <f t="shared" si="5"/>
        <v>0</v>
      </c>
      <c r="P70" s="278"/>
    </row>
    <row r="71" spans="2:16">
      <c r="B71" s="145" t="str">
        <f t="shared" si="0"/>
        <v/>
      </c>
      <c r="C71" s="495">
        <f>IF(D11="","-",+C70+1)</f>
        <v>2071</v>
      </c>
      <c r="D71" s="508">
        <f>IF(F70+SUM(E$17:E70)=D$10,F70,D$10-SUM(E$17:E70))</f>
        <v>0</v>
      </c>
      <c r="E71" s="509">
        <f t="shared" si="19"/>
        <v>0</v>
      </c>
      <c r="F71" s="510">
        <f t="shared" si="14"/>
        <v>0</v>
      </c>
      <c r="G71" s="523">
        <f t="shared" si="17"/>
        <v>0</v>
      </c>
      <c r="H71" s="477">
        <f t="shared" si="18"/>
        <v>0</v>
      </c>
      <c r="I71" s="500">
        <f t="shared" si="6"/>
        <v>0</v>
      </c>
      <c r="J71" s="500"/>
      <c r="K71" s="512"/>
      <c r="L71" s="504">
        <f t="shared" si="2"/>
        <v>0</v>
      </c>
      <c r="M71" s="512"/>
      <c r="N71" s="504">
        <f t="shared" si="4"/>
        <v>0</v>
      </c>
      <c r="O71" s="504">
        <f t="shared" si="5"/>
        <v>0</v>
      </c>
      <c r="P71" s="278"/>
    </row>
    <row r="72" spans="2:16">
      <c r="C72" s="495">
        <f>IF(D12="","-",+C71+1)</f>
        <v>2072</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5" thickBot="1">
      <c r="B73" s="145" t="str">
        <f>IF(D73=F71,"","IU")</f>
        <v/>
      </c>
      <c r="C73" s="524">
        <f>IF(D13="","-",+C72+1)</f>
        <v>2073</v>
      </c>
      <c r="D73" s="508">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c r="C74" s="349" t="s">
        <v>75</v>
      </c>
      <c r="D74" s="294"/>
      <c r="E74" s="294">
        <f>SUM(E17:E73)</f>
        <v>9653726.4199999981</v>
      </c>
      <c r="F74" s="294"/>
      <c r="G74" s="294">
        <f>SUM(G17:G73)</f>
        <v>27079656.731389385</v>
      </c>
      <c r="H74" s="294">
        <f>SUM(H17:H73)</f>
        <v>27079656.731389385</v>
      </c>
      <c r="I74" s="294">
        <f>SUM(I17:I73)</f>
        <v>0</v>
      </c>
      <c r="J74" s="294"/>
      <c r="K74" s="294"/>
      <c r="L74" s="294"/>
      <c r="M74" s="294"/>
      <c r="N74" s="294"/>
      <c r="O74" s="278"/>
      <c r="P74" s="278"/>
    </row>
    <row r="75" spans="2:16">
      <c r="D75" s="292"/>
      <c r="E75" s="243"/>
      <c r="F75" s="243"/>
      <c r="G75" s="243"/>
      <c r="H75" s="325"/>
      <c r="I75" s="325"/>
      <c r="J75" s="294"/>
      <c r="K75" s="325"/>
      <c r="L75" s="325"/>
      <c r="M75" s="325"/>
      <c r="N75" s="325"/>
      <c r="O75" s="243"/>
      <c r="P75" s="243"/>
    </row>
    <row r="76" spans="2:16">
      <c r="C76" s="532" t="s">
        <v>95</v>
      </c>
      <c r="D76" s="292"/>
      <c r="E76" s="243"/>
      <c r="F76" s="243"/>
      <c r="G76" s="243"/>
      <c r="H76" s="325"/>
      <c r="I76" s="325"/>
      <c r="J76" s="294"/>
      <c r="K76" s="325"/>
      <c r="L76" s="325"/>
      <c r="M76" s="325"/>
      <c r="N76" s="325"/>
      <c r="O76" s="243"/>
      <c r="P76" s="243"/>
    </row>
    <row r="77" spans="2:16">
      <c r="C77" s="454" t="s">
        <v>76</v>
      </c>
      <c r="D77" s="292"/>
      <c r="E77" s="243"/>
      <c r="F77" s="243"/>
      <c r="G77" s="243"/>
      <c r="H77" s="325"/>
      <c r="I77" s="325"/>
      <c r="J77" s="294"/>
      <c r="K77" s="325"/>
      <c r="L77" s="325"/>
      <c r="M77" s="325"/>
      <c r="N77" s="325"/>
      <c r="O77" s="278"/>
      <c r="P77" s="278"/>
    </row>
    <row r="78" spans="2:16">
      <c r="C78" s="454" t="s">
        <v>77</v>
      </c>
      <c r="D78" s="349"/>
      <c r="E78" s="349"/>
      <c r="F78" s="349"/>
      <c r="G78" s="294"/>
      <c r="H78" s="294"/>
      <c r="I78" s="350"/>
      <c r="J78" s="350"/>
      <c r="K78" s="350"/>
      <c r="L78" s="350"/>
      <c r="M78" s="350"/>
      <c r="N78" s="350"/>
      <c r="O78" s="278"/>
      <c r="P78" s="278"/>
    </row>
    <row r="79" spans="2:16">
      <c r="C79" s="454"/>
      <c r="D79" s="349"/>
      <c r="E79" s="349"/>
      <c r="F79" s="349"/>
      <c r="G79" s="294"/>
      <c r="H79" s="294"/>
      <c r="I79" s="350"/>
      <c r="J79" s="350"/>
      <c r="K79" s="350"/>
      <c r="L79" s="350"/>
      <c r="M79" s="350"/>
      <c r="N79" s="350"/>
      <c r="O79" s="278"/>
      <c r="P79" s="243"/>
    </row>
    <row r="80" spans="2:16">
      <c r="B80" s="243"/>
      <c r="C80" s="248"/>
      <c r="D80" s="292"/>
      <c r="E80" s="243"/>
      <c r="F80" s="347"/>
      <c r="G80" s="243"/>
      <c r="H80" s="325"/>
      <c r="I80" s="243"/>
      <c r="J80" s="278"/>
      <c r="K80" s="243"/>
      <c r="L80" s="243"/>
      <c r="M80" s="243"/>
      <c r="N80" s="243"/>
      <c r="O80" s="243"/>
      <c r="P80" s="243"/>
    </row>
    <row r="81" spans="1:16" ht="18">
      <c r="B81" s="243"/>
      <c r="C81" s="535"/>
      <c r="D81" s="292"/>
      <c r="E81" s="243"/>
      <c r="F81" s="347"/>
      <c r="G81" s="243"/>
      <c r="H81" s="325"/>
      <c r="I81" s="243"/>
      <c r="J81" s="278"/>
      <c r="K81" s="243"/>
      <c r="L81" s="243"/>
      <c r="M81" s="243"/>
      <c r="N81" s="243"/>
      <c r="P81" s="536" t="s">
        <v>128</v>
      </c>
    </row>
    <row r="82" spans="1:16">
      <c r="B82" s="243"/>
      <c r="C82" s="248"/>
      <c r="D82" s="292"/>
      <c r="E82" s="243"/>
      <c r="F82" s="347"/>
      <c r="G82" s="243"/>
      <c r="H82" s="325"/>
      <c r="I82" s="243"/>
      <c r="J82" s="278"/>
      <c r="K82" s="243"/>
      <c r="L82" s="243"/>
      <c r="M82" s="243"/>
      <c r="N82" s="243"/>
      <c r="O82" s="243"/>
      <c r="P82" s="243"/>
    </row>
    <row r="83" spans="1:16">
      <c r="B83" s="243"/>
      <c r="C83" s="248"/>
      <c r="D83" s="292"/>
      <c r="E83" s="243"/>
      <c r="F83" s="347"/>
      <c r="G83" s="243"/>
      <c r="H83" s="325"/>
      <c r="I83" s="243"/>
      <c r="J83" s="278"/>
      <c r="K83" s="243"/>
      <c r="L83" s="243"/>
      <c r="M83" s="243"/>
      <c r="N83" s="243"/>
      <c r="O83" s="243"/>
      <c r="P83" s="243"/>
    </row>
    <row r="84" spans="1:16" ht="20.25">
      <c r="A84" s="437" t="s">
        <v>190</v>
      </c>
      <c r="B84" s="243"/>
      <c r="C84" s="248"/>
      <c r="D84" s="292"/>
      <c r="E84" s="243"/>
      <c r="F84" s="339"/>
      <c r="G84" s="339"/>
      <c r="H84" s="243"/>
      <c r="I84" s="325"/>
      <c r="K84" s="220"/>
      <c r="L84" s="438"/>
      <c r="M84" s="438"/>
      <c r="P84" s="438" t="str">
        <f ca="1">P1</f>
        <v>OKT Project 16 of 24</v>
      </c>
    </row>
    <row r="85" spans="1:16" ht="18">
      <c r="B85" s="243"/>
      <c r="C85" s="243"/>
      <c r="D85" s="292"/>
      <c r="E85" s="243"/>
      <c r="F85" s="243"/>
      <c r="G85" s="243"/>
      <c r="H85" s="243"/>
      <c r="I85" s="325"/>
      <c r="J85" s="243"/>
      <c r="K85" s="278"/>
      <c r="L85" s="243"/>
      <c r="M85" s="243"/>
      <c r="P85" s="441" t="s">
        <v>132</v>
      </c>
    </row>
    <row r="86" spans="1:16" ht="18.75" thickBot="1">
      <c r="B86" s="233" t="s">
        <v>42</v>
      </c>
      <c r="C86" s="537" t="s">
        <v>81</v>
      </c>
      <c r="D86" s="292"/>
      <c r="E86" s="243"/>
      <c r="F86" s="243"/>
      <c r="G86" s="243"/>
      <c r="H86" s="243"/>
      <c r="I86" s="325"/>
      <c r="J86" s="325"/>
      <c r="K86" s="294"/>
      <c r="L86" s="325"/>
      <c r="M86" s="325"/>
      <c r="N86" s="325"/>
      <c r="O86" s="294"/>
      <c r="P86" s="243"/>
    </row>
    <row r="87" spans="1:16" ht="15.75" thickBot="1">
      <c r="C87" s="304"/>
      <c r="D87" s="292"/>
      <c r="E87" s="243"/>
      <c r="F87" s="243"/>
      <c r="G87" s="243"/>
      <c r="H87" s="243"/>
      <c r="I87" s="325"/>
      <c r="J87" s="325"/>
      <c r="K87" s="294"/>
      <c r="L87" s="538">
        <f>+J93</f>
        <v>2021</v>
      </c>
      <c r="M87" s="539" t="s">
        <v>9</v>
      </c>
      <c r="N87" s="540" t="s">
        <v>134</v>
      </c>
      <c r="O87" s="541" t="s">
        <v>11</v>
      </c>
      <c r="P87" s="243"/>
    </row>
    <row r="88" spans="1:16" ht="15">
      <c r="C88" s="232" t="s">
        <v>44</v>
      </c>
      <c r="D88" s="292"/>
      <c r="E88" s="243"/>
      <c r="F88" s="243"/>
      <c r="G88" s="243"/>
      <c r="H88" s="444"/>
      <c r="I88" s="243" t="s">
        <v>45</v>
      </c>
      <c r="J88" s="243"/>
      <c r="K88" s="542"/>
      <c r="L88" s="543" t="s">
        <v>253</v>
      </c>
      <c r="M88" s="544">
        <f>IF(J93&lt;D11,0,VLOOKUP(J93,C17:O73,9))</f>
        <v>1249589.4972268606</v>
      </c>
      <c r="N88" s="544">
        <f>IF(J93&lt;D11,0,VLOOKUP(J93,C17:O73,11))</f>
        <v>1249589.4972268606</v>
      </c>
      <c r="O88" s="545">
        <f>+N88-M88</f>
        <v>0</v>
      </c>
      <c r="P88" s="243"/>
    </row>
    <row r="89" spans="1:16" ht="15.75">
      <c r="C89" s="235"/>
      <c r="D89" s="292"/>
      <c r="E89" s="243"/>
      <c r="F89" s="243"/>
      <c r="G89" s="243"/>
      <c r="H89" s="243"/>
      <c r="I89" s="449"/>
      <c r="J89" s="449"/>
      <c r="K89" s="546"/>
      <c r="L89" s="547" t="s">
        <v>254</v>
      </c>
      <c r="M89" s="548">
        <f>IF(J93&lt;D11,0,VLOOKUP(J93,C100:P155,6))</f>
        <v>1386953.616675766</v>
      </c>
      <c r="N89" s="548">
        <f>IF(J93&lt;D11,0,VLOOKUP(J93,C100:P155,7))</f>
        <v>1386953.616675766</v>
      </c>
      <c r="O89" s="549">
        <f>+N89-M89</f>
        <v>0</v>
      </c>
      <c r="P89" s="243"/>
    </row>
    <row r="90" spans="1:16" ht="13.5" thickBot="1">
      <c r="C90" s="454" t="s">
        <v>82</v>
      </c>
      <c r="D90" s="550" t="str">
        <f>+D7</f>
        <v>Carnegie South-Southwestern 123 kv line rebuild</v>
      </c>
      <c r="E90" s="243"/>
      <c r="F90" s="243"/>
      <c r="G90" s="243"/>
      <c r="H90" s="243"/>
      <c r="I90" s="325"/>
      <c r="J90" s="325"/>
      <c r="K90" s="551"/>
      <c r="L90" s="552" t="s">
        <v>135</v>
      </c>
      <c r="M90" s="553">
        <f>+M89-M88</f>
        <v>137364.11944890535</v>
      </c>
      <c r="N90" s="553">
        <f>+N89-N88</f>
        <v>137364.11944890535</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2014207</v>
      </c>
      <c r="E92" s="558"/>
      <c r="F92" s="558"/>
      <c r="G92" s="558"/>
      <c r="H92" s="558"/>
      <c r="I92" s="558"/>
      <c r="J92" s="558"/>
      <c r="K92" s="560"/>
      <c r="P92" s="468"/>
    </row>
    <row r="93" spans="1:16">
      <c r="C93" s="472" t="s">
        <v>49</v>
      </c>
      <c r="D93" s="470">
        <v>9653726</v>
      </c>
      <c r="E93" s="248" t="s">
        <v>84</v>
      </c>
      <c r="H93" s="408"/>
      <c r="I93" s="408"/>
      <c r="J93" s="471">
        <f>+'OKT.WS.G.BPU.ATRR.True-up'!M16</f>
        <v>2021</v>
      </c>
      <c r="K93" s="467"/>
      <c r="L93" s="294" t="s">
        <v>85</v>
      </c>
      <c r="P93" s="278"/>
    </row>
    <row r="94" spans="1:16">
      <c r="C94" s="472" t="s">
        <v>52</v>
      </c>
      <c r="D94" s="473">
        <f>IF(D11=I10,"",D11)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c r="C95" s="472" t="s">
        <v>54</v>
      </c>
      <c r="D95" s="470">
        <f>IF(D11=I10,"",D12)</f>
        <v>7</v>
      </c>
      <c r="E95" s="472" t="s">
        <v>55</v>
      </c>
      <c r="F95" s="408"/>
      <c r="G95" s="408"/>
      <c r="J95" s="476">
        <f>'OKT.WS.G.BPU.ATRR.True-up'!$F$81</f>
        <v>0.11796201313639214</v>
      </c>
      <c r="K95" s="413"/>
      <c r="L95" s="145" t="s">
        <v>86</v>
      </c>
      <c r="P95" s="278"/>
    </row>
    <row r="96" spans="1:16">
      <c r="C96" s="472" t="s">
        <v>57</v>
      </c>
      <c r="D96" s="474">
        <f>'OKT.WS.G.BPU.ATRR.True-up'!F$93</f>
        <v>25</v>
      </c>
      <c r="E96" s="472" t="s">
        <v>58</v>
      </c>
      <c r="F96" s="408"/>
      <c r="G96" s="408"/>
      <c r="J96" s="476">
        <f>IF(H88="",J95,'OKT.WS.G.BPU.ATRR.True-up'!$F$80)</f>
        <v>0.11796201313639214</v>
      </c>
      <c r="K96" s="291"/>
      <c r="L96" s="294" t="s">
        <v>59</v>
      </c>
      <c r="M96" s="291"/>
      <c r="N96" s="291"/>
      <c r="O96" s="291"/>
      <c r="P96" s="278"/>
    </row>
    <row r="97" spans="1:16" ht="13.5" thickBot="1">
      <c r="C97" s="472" t="s">
        <v>60</v>
      </c>
      <c r="D97" s="473" t="str">
        <f>+D14</f>
        <v>No</v>
      </c>
      <c r="E97" s="563" t="s">
        <v>62</v>
      </c>
      <c r="F97" s="564"/>
      <c r="G97" s="564"/>
      <c r="H97" s="565"/>
      <c r="I97" s="565"/>
      <c r="J97" s="458">
        <f>IF(D93=0,0,D93/D96)</f>
        <v>386149.04</v>
      </c>
      <c r="K97" s="294"/>
      <c r="L97" s="294"/>
      <c r="M97" s="294"/>
      <c r="N97" s="294"/>
      <c r="O97" s="294"/>
      <c r="P97" s="278"/>
    </row>
    <row r="98" spans="1:16"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c r="B100" s="145" t="str">
        <f t="shared" ref="B100:B155" si="20">IF(D100=F99,"","IU")</f>
        <v>IU</v>
      </c>
      <c r="C100" s="495">
        <f>IF(D94= "","-",D94)</f>
        <v>2017</v>
      </c>
      <c r="D100" s="496">
        <v>0</v>
      </c>
      <c r="E100" s="498">
        <v>99561.5625</v>
      </c>
      <c r="F100" s="505">
        <v>9458348.4375</v>
      </c>
      <c r="G100" s="505">
        <v>4729174.21875</v>
      </c>
      <c r="H100" s="498">
        <v>654463.30646394705</v>
      </c>
      <c r="I100" s="499">
        <v>654463.30646394705</v>
      </c>
      <c r="J100" s="504">
        <f t="shared" ref="J100:J131" si="21">+I100-H100</f>
        <v>0</v>
      </c>
      <c r="K100" s="504"/>
      <c r="L100" s="506">
        <f>+H100</f>
        <v>654463.30646394705</v>
      </c>
      <c r="M100" s="504">
        <f t="shared" ref="M100:M131" si="22">IF(L100&lt;&gt;0,+H100-L100,0)</f>
        <v>0</v>
      </c>
      <c r="N100" s="506">
        <f>+I100</f>
        <v>654463.30646394705</v>
      </c>
      <c r="O100" s="586">
        <f t="shared" ref="O100:O131" si="23">IF(N100&lt;&gt;0,+I100-N100,0)</f>
        <v>0</v>
      </c>
      <c r="P100" s="504">
        <f t="shared" ref="P100:P131" si="24">+O100-M100</f>
        <v>0</v>
      </c>
    </row>
    <row r="101" spans="1:16">
      <c r="B101" s="145" t="str">
        <f t="shared" si="20"/>
        <v/>
      </c>
      <c r="C101" s="495">
        <f>IF(D94="","-",+C100+1)</f>
        <v>2018</v>
      </c>
      <c r="D101" s="496">
        <v>9458348.4375</v>
      </c>
      <c r="E101" s="498">
        <v>265497.5</v>
      </c>
      <c r="F101" s="505">
        <v>9192850.9375</v>
      </c>
      <c r="G101" s="505">
        <v>9325599.6875</v>
      </c>
      <c r="H101" s="498">
        <v>1249930.642330141</v>
      </c>
      <c r="I101" s="499">
        <v>1249930.642330141</v>
      </c>
      <c r="J101" s="504">
        <f t="shared" si="21"/>
        <v>0</v>
      </c>
      <c r="K101" s="504"/>
      <c r="L101" s="506">
        <f>H101</f>
        <v>1249930.642330141</v>
      </c>
      <c r="M101" s="504">
        <f>IF(L101&lt;&gt;0,+H101-L101,0)</f>
        <v>0</v>
      </c>
      <c r="N101" s="506">
        <f>I101</f>
        <v>1249930.642330141</v>
      </c>
      <c r="O101" s="504">
        <f>IF(N101&lt;&gt;0,+I101-N101,0)</f>
        <v>0</v>
      </c>
      <c r="P101" s="504">
        <f>+O101-M101</f>
        <v>0</v>
      </c>
    </row>
    <row r="102" spans="1:16">
      <c r="B102" s="145" t="str">
        <f t="shared" si="20"/>
        <v>IU</v>
      </c>
      <c r="C102" s="495">
        <f>IF(D94="","-",+C101+1)</f>
        <v>2019</v>
      </c>
      <c r="D102" s="496">
        <v>9224210.9375</v>
      </c>
      <c r="E102" s="498">
        <v>266368.61111111112</v>
      </c>
      <c r="F102" s="505">
        <v>8957842.3263888881</v>
      </c>
      <c r="G102" s="505">
        <v>9091026.631944444</v>
      </c>
      <c r="H102" s="498">
        <v>1226039.6472041525</v>
      </c>
      <c r="I102" s="499">
        <v>1226039.6472041525</v>
      </c>
      <c r="J102" s="504">
        <f t="shared" si="21"/>
        <v>0</v>
      </c>
      <c r="K102" s="504"/>
      <c r="L102" s="506">
        <f>H102</f>
        <v>1226039.6472041525</v>
      </c>
      <c r="M102" s="504">
        <f>IF(L102&lt;&gt;0,+H102-L102,0)</f>
        <v>0</v>
      </c>
      <c r="N102" s="506">
        <f>I102</f>
        <v>1226039.6472041525</v>
      </c>
      <c r="O102" s="504">
        <f t="shared" si="23"/>
        <v>0</v>
      </c>
      <c r="P102" s="504">
        <f t="shared" si="24"/>
        <v>0</v>
      </c>
    </row>
    <row r="103" spans="1:16">
      <c r="B103" s="145" t="str">
        <f t="shared" si="20"/>
        <v>IU</v>
      </c>
      <c r="C103" s="495">
        <f>IF(D94="","-",+C102+1)</f>
        <v>2020</v>
      </c>
      <c r="D103" s="496">
        <v>9031312.3263888881</v>
      </c>
      <c r="E103" s="498">
        <v>345097.85714285716</v>
      </c>
      <c r="F103" s="505">
        <v>8686214.4692460317</v>
      </c>
      <c r="G103" s="505">
        <v>8858763.397817459</v>
      </c>
      <c r="H103" s="498">
        <v>1287789.8668546416</v>
      </c>
      <c r="I103" s="499">
        <v>1287789.8668546416</v>
      </c>
      <c r="J103" s="504">
        <f t="shared" si="21"/>
        <v>0</v>
      </c>
      <c r="K103" s="504"/>
      <c r="L103" s="506">
        <f>H103</f>
        <v>1287789.8668546416</v>
      </c>
      <c r="M103" s="504">
        <f>IF(L103&lt;&gt;0,+H103-L103,0)</f>
        <v>0</v>
      </c>
      <c r="N103" s="506">
        <f>I103</f>
        <v>1287789.8668546416</v>
      </c>
      <c r="O103" s="504">
        <f t="shared" si="23"/>
        <v>0</v>
      </c>
      <c r="P103" s="504">
        <f t="shared" si="24"/>
        <v>0</v>
      </c>
    </row>
    <row r="104" spans="1:16">
      <c r="B104" s="145" t="str">
        <f t="shared" si="20"/>
        <v>IU</v>
      </c>
      <c r="C104" s="495">
        <f>IF(D94="","-",+C103+1)</f>
        <v>2021</v>
      </c>
      <c r="D104" s="349">
        <f>IF(F103+SUM(E$100:E103)=D$93,F103,D$93-SUM(E$100:E103))</f>
        <v>8677200.4692460317</v>
      </c>
      <c r="E104" s="509">
        <f t="shared" ref="E104:E132" si="25">IF(+J$97&lt;F103,J$97,D104)</f>
        <v>386149.04</v>
      </c>
      <c r="F104" s="510">
        <f t="shared" ref="F104:F131" si="26">+D104-E104</f>
        <v>8291051.4292460317</v>
      </c>
      <c r="G104" s="510">
        <f t="shared" ref="G104:G131" si="27">+(F104+D104)/2</f>
        <v>8484125.9492460322</v>
      </c>
      <c r="H104" s="627">
        <f t="shared" ref="H104:H155" si="28">+J$95*G104+E104</f>
        <v>1386953.616675766</v>
      </c>
      <c r="I104" s="628">
        <f t="shared" ref="I104:I155" si="29">+J$96*G104+E104</f>
        <v>1386953.616675766</v>
      </c>
      <c r="J104" s="504">
        <f t="shared" si="21"/>
        <v>0</v>
      </c>
      <c r="K104" s="504"/>
      <c r="L104" s="512"/>
      <c r="M104" s="504">
        <f t="shared" si="22"/>
        <v>0</v>
      </c>
      <c r="N104" s="512"/>
      <c r="O104" s="504">
        <f t="shared" si="23"/>
        <v>0</v>
      </c>
      <c r="P104" s="504">
        <f t="shared" si="24"/>
        <v>0</v>
      </c>
    </row>
    <row r="105" spans="1:16">
      <c r="B105" s="145" t="str">
        <f t="shared" si="20"/>
        <v/>
      </c>
      <c r="C105" s="495">
        <f>IF(D94="","-",+C104+1)</f>
        <v>2022</v>
      </c>
      <c r="D105" s="349">
        <f>IF(F104+SUM(E$100:E104)=D$93,F104,D$93-SUM(E$100:E104))</f>
        <v>8291051.4292460317</v>
      </c>
      <c r="E105" s="509">
        <f t="shared" si="25"/>
        <v>386149.04</v>
      </c>
      <c r="F105" s="510">
        <f t="shared" si="26"/>
        <v>7904902.3892460316</v>
      </c>
      <c r="G105" s="510">
        <f t="shared" si="27"/>
        <v>8097976.9092460312</v>
      </c>
      <c r="H105" s="627">
        <f t="shared" si="28"/>
        <v>1341402.6985466806</v>
      </c>
      <c r="I105" s="628">
        <f t="shared" si="29"/>
        <v>1341402.6985466806</v>
      </c>
      <c r="J105" s="504">
        <f t="shared" si="21"/>
        <v>0</v>
      </c>
      <c r="K105" s="504"/>
      <c r="L105" s="512"/>
      <c r="M105" s="504">
        <f t="shared" si="22"/>
        <v>0</v>
      </c>
      <c r="N105" s="512"/>
      <c r="O105" s="504">
        <f t="shared" si="23"/>
        <v>0</v>
      </c>
      <c r="P105" s="504">
        <f t="shared" si="24"/>
        <v>0</v>
      </c>
    </row>
    <row r="106" spans="1:16">
      <c r="B106" s="145" t="str">
        <f t="shared" si="20"/>
        <v/>
      </c>
      <c r="C106" s="495">
        <f>IF(D94="","-",+C105+1)</f>
        <v>2023</v>
      </c>
      <c r="D106" s="349">
        <f>IF(F105+SUM(E$100:E105)=D$93,F105,D$93-SUM(E$100:E105))</f>
        <v>7904902.3892460316</v>
      </c>
      <c r="E106" s="509">
        <f t="shared" si="25"/>
        <v>386149.04</v>
      </c>
      <c r="F106" s="510">
        <f t="shared" si="26"/>
        <v>7518753.3492460316</v>
      </c>
      <c r="G106" s="510">
        <f t="shared" si="27"/>
        <v>7711827.8692460321</v>
      </c>
      <c r="H106" s="627">
        <f t="shared" si="28"/>
        <v>1295851.7804175955</v>
      </c>
      <c r="I106" s="628">
        <f t="shared" si="29"/>
        <v>1295851.7804175955</v>
      </c>
      <c r="J106" s="504">
        <f t="shared" si="21"/>
        <v>0</v>
      </c>
      <c r="K106" s="504"/>
      <c r="L106" s="512"/>
      <c r="M106" s="504">
        <f t="shared" si="22"/>
        <v>0</v>
      </c>
      <c r="N106" s="512"/>
      <c r="O106" s="504">
        <f t="shared" si="23"/>
        <v>0</v>
      </c>
      <c r="P106" s="504">
        <f t="shared" si="24"/>
        <v>0</v>
      </c>
    </row>
    <row r="107" spans="1:16">
      <c r="B107" s="145" t="str">
        <f t="shared" si="20"/>
        <v/>
      </c>
      <c r="C107" s="495">
        <f>IF(D94="","-",+C106+1)</f>
        <v>2024</v>
      </c>
      <c r="D107" s="349">
        <f>IF(F106+SUM(E$100:E106)=D$93,F106,D$93-SUM(E$100:E106))</f>
        <v>7518753.3492460316</v>
      </c>
      <c r="E107" s="509">
        <f t="shared" si="25"/>
        <v>386149.04</v>
      </c>
      <c r="F107" s="510">
        <f t="shared" si="26"/>
        <v>7132604.3092460316</v>
      </c>
      <c r="G107" s="510">
        <f t="shared" si="27"/>
        <v>7325678.8292460311</v>
      </c>
      <c r="H107" s="627">
        <f t="shared" si="28"/>
        <v>1250300.8622885102</v>
      </c>
      <c r="I107" s="628">
        <f t="shared" si="29"/>
        <v>1250300.8622885102</v>
      </c>
      <c r="J107" s="504">
        <f t="shared" si="21"/>
        <v>0</v>
      </c>
      <c r="K107" s="504"/>
      <c r="L107" s="512"/>
      <c r="M107" s="504">
        <f t="shared" si="22"/>
        <v>0</v>
      </c>
      <c r="N107" s="512"/>
      <c r="O107" s="504">
        <f t="shared" si="23"/>
        <v>0</v>
      </c>
      <c r="P107" s="504">
        <f t="shared" si="24"/>
        <v>0</v>
      </c>
    </row>
    <row r="108" spans="1:16">
      <c r="B108" s="145" t="str">
        <f t="shared" si="20"/>
        <v/>
      </c>
      <c r="C108" s="495">
        <f>IF(D94="","-",+C107+1)</f>
        <v>2025</v>
      </c>
      <c r="D108" s="349">
        <f>IF(F107+SUM(E$100:E107)=D$93,F107,D$93-SUM(E$100:E107))</f>
        <v>7132604.3092460316</v>
      </c>
      <c r="E108" s="509">
        <f t="shared" si="25"/>
        <v>386149.04</v>
      </c>
      <c r="F108" s="510">
        <f t="shared" si="26"/>
        <v>6746455.2692460315</v>
      </c>
      <c r="G108" s="510">
        <f t="shared" si="27"/>
        <v>6939529.789246032</v>
      </c>
      <c r="H108" s="627">
        <f t="shared" si="28"/>
        <v>1204749.9441594249</v>
      </c>
      <c r="I108" s="628">
        <f t="shared" si="29"/>
        <v>1204749.9441594249</v>
      </c>
      <c r="J108" s="504">
        <f t="shared" si="21"/>
        <v>0</v>
      </c>
      <c r="K108" s="504"/>
      <c r="L108" s="512"/>
      <c r="M108" s="504">
        <f t="shared" si="22"/>
        <v>0</v>
      </c>
      <c r="N108" s="512"/>
      <c r="O108" s="504">
        <f t="shared" si="23"/>
        <v>0</v>
      </c>
      <c r="P108" s="504">
        <f t="shared" si="24"/>
        <v>0</v>
      </c>
    </row>
    <row r="109" spans="1:16">
      <c r="B109" s="145" t="str">
        <f t="shared" si="20"/>
        <v/>
      </c>
      <c r="C109" s="495">
        <f>IF(D94="","-",+C108+1)</f>
        <v>2026</v>
      </c>
      <c r="D109" s="349">
        <f>IF(F108+SUM(E$100:E108)=D$93,F108,D$93-SUM(E$100:E108))</f>
        <v>6746455.2692460315</v>
      </c>
      <c r="E109" s="509">
        <f t="shared" si="25"/>
        <v>386149.04</v>
      </c>
      <c r="F109" s="510">
        <f t="shared" si="26"/>
        <v>6360306.2292460315</v>
      </c>
      <c r="G109" s="510">
        <f t="shared" si="27"/>
        <v>6553380.749246031</v>
      </c>
      <c r="H109" s="627">
        <f t="shared" si="28"/>
        <v>1159199.0260303395</v>
      </c>
      <c r="I109" s="628">
        <f t="shared" si="29"/>
        <v>1159199.0260303395</v>
      </c>
      <c r="J109" s="504">
        <f t="shared" si="21"/>
        <v>0</v>
      </c>
      <c r="K109" s="504"/>
      <c r="L109" s="512"/>
      <c r="M109" s="504">
        <f t="shared" si="22"/>
        <v>0</v>
      </c>
      <c r="N109" s="512"/>
      <c r="O109" s="504">
        <f t="shared" si="23"/>
        <v>0</v>
      </c>
      <c r="P109" s="504">
        <f t="shared" si="24"/>
        <v>0</v>
      </c>
    </row>
    <row r="110" spans="1:16">
      <c r="B110" s="145" t="str">
        <f t="shared" si="20"/>
        <v/>
      </c>
      <c r="C110" s="495">
        <f>IF(D94="","-",+C109+1)</f>
        <v>2027</v>
      </c>
      <c r="D110" s="349">
        <f>IF(F109+SUM(E$100:E109)=D$93,F109,D$93-SUM(E$100:E109))</f>
        <v>6360306.2292460315</v>
      </c>
      <c r="E110" s="509">
        <f t="shared" si="25"/>
        <v>386149.04</v>
      </c>
      <c r="F110" s="510">
        <f t="shared" si="26"/>
        <v>5974157.1892460315</v>
      </c>
      <c r="G110" s="510">
        <f t="shared" si="27"/>
        <v>6167231.7092460319</v>
      </c>
      <c r="H110" s="627">
        <f t="shared" si="28"/>
        <v>1113648.1079012544</v>
      </c>
      <c r="I110" s="628">
        <f t="shared" si="29"/>
        <v>1113648.1079012544</v>
      </c>
      <c r="J110" s="504">
        <f t="shared" si="21"/>
        <v>0</v>
      </c>
      <c r="K110" s="504"/>
      <c r="L110" s="512"/>
      <c r="M110" s="504">
        <f t="shared" si="22"/>
        <v>0</v>
      </c>
      <c r="N110" s="512"/>
      <c r="O110" s="504">
        <f t="shared" si="23"/>
        <v>0</v>
      </c>
      <c r="P110" s="504">
        <f t="shared" si="24"/>
        <v>0</v>
      </c>
    </row>
    <row r="111" spans="1:16">
      <c r="B111" s="145" t="str">
        <f t="shared" si="20"/>
        <v/>
      </c>
      <c r="C111" s="495">
        <f>IF(D94="","-",+C110+1)</f>
        <v>2028</v>
      </c>
      <c r="D111" s="349">
        <f>IF(F110+SUM(E$100:E110)=D$93,F110,D$93-SUM(E$100:E110))</f>
        <v>5974157.1892460315</v>
      </c>
      <c r="E111" s="509">
        <f t="shared" si="25"/>
        <v>386149.04</v>
      </c>
      <c r="F111" s="510">
        <f t="shared" si="26"/>
        <v>5588008.1492460314</v>
      </c>
      <c r="G111" s="510">
        <f t="shared" si="27"/>
        <v>5781082.669246031</v>
      </c>
      <c r="H111" s="627">
        <f t="shared" si="28"/>
        <v>1068097.1897721691</v>
      </c>
      <c r="I111" s="628">
        <f t="shared" si="29"/>
        <v>1068097.1897721691</v>
      </c>
      <c r="J111" s="504">
        <f t="shared" si="21"/>
        <v>0</v>
      </c>
      <c r="K111" s="504"/>
      <c r="L111" s="512"/>
      <c r="M111" s="504">
        <f t="shared" si="22"/>
        <v>0</v>
      </c>
      <c r="N111" s="512"/>
      <c r="O111" s="504">
        <f t="shared" si="23"/>
        <v>0</v>
      </c>
      <c r="P111" s="504">
        <f t="shared" si="24"/>
        <v>0</v>
      </c>
    </row>
    <row r="112" spans="1:16">
      <c r="B112" s="145" t="str">
        <f t="shared" si="20"/>
        <v/>
      </c>
      <c r="C112" s="495">
        <f>IF(D94="","-",+C111+1)</f>
        <v>2029</v>
      </c>
      <c r="D112" s="349">
        <f>IF(F111+SUM(E$100:E111)=D$93,F111,D$93-SUM(E$100:E111))</f>
        <v>5588008.1492460314</v>
      </c>
      <c r="E112" s="509">
        <f t="shared" si="25"/>
        <v>386149.04</v>
      </c>
      <c r="F112" s="510">
        <f t="shared" si="26"/>
        <v>5201859.1092460314</v>
      </c>
      <c r="G112" s="510">
        <f t="shared" si="27"/>
        <v>5394933.6292460319</v>
      </c>
      <c r="H112" s="627">
        <f t="shared" si="28"/>
        <v>1022546.271643084</v>
      </c>
      <c r="I112" s="628">
        <f t="shared" si="29"/>
        <v>1022546.271643084</v>
      </c>
      <c r="J112" s="504">
        <f t="shared" si="21"/>
        <v>0</v>
      </c>
      <c r="K112" s="504"/>
      <c r="L112" s="512"/>
      <c r="M112" s="504">
        <f t="shared" si="22"/>
        <v>0</v>
      </c>
      <c r="N112" s="512"/>
      <c r="O112" s="504">
        <f t="shared" si="23"/>
        <v>0</v>
      </c>
      <c r="P112" s="504">
        <f t="shared" si="24"/>
        <v>0</v>
      </c>
    </row>
    <row r="113" spans="2:16">
      <c r="B113" s="145" t="str">
        <f t="shared" si="20"/>
        <v/>
      </c>
      <c r="C113" s="495">
        <f>IF(D94="","-",+C112+1)</f>
        <v>2030</v>
      </c>
      <c r="D113" s="349">
        <f>IF(F112+SUM(E$100:E112)=D$93,F112,D$93-SUM(E$100:E112))</f>
        <v>5201859.1092460314</v>
      </c>
      <c r="E113" s="509">
        <f t="shared" si="25"/>
        <v>386149.04</v>
      </c>
      <c r="F113" s="510">
        <f t="shared" si="26"/>
        <v>4815710.0692460313</v>
      </c>
      <c r="G113" s="510">
        <f t="shared" si="27"/>
        <v>5008784.5892460309</v>
      </c>
      <c r="H113" s="627">
        <f t="shared" si="28"/>
        <v>976995.35351399868</v>
      </c>
      <c r="I113" s="628">
        <f t="shared" si="29"/>
        <v>976995.35351399868</v>
      </c>
      <c r="J113" s="504">
        <f t="shared" si="21"/>
        <v>0</v>
      </c>
      <c r="K113" s="504"/>
      <c r="L113" s="512"/>
      <c r="M113" s="504">
        <f t="shared" si="22"/>
        <v>0</v>
      </c>
      <c r="N113" s="512"/>
      <c r="O113" s="504">
        <f t="shared" si="23"/>
        <v>0</v>
      </c>
      <c r="P113" s="504">
        <f t="shared" si="24"/>
        <v>0</v>
      </c>
    </row>
    <row r="114" spans="2:16">
      <c r="B114" s="145" t="str">
        <f t="shared" si="20"/>
        <v/>
      </c>
      <c r="C114" s="495">
        <f>IF(D94="","-",+C113+1)</f>
        <v>2031</v>
      </c>
      <c r="D114" s="349">
        <f>IF(F113+SUM(E$100:E113)=D$93,F113,D$93-SUM(E$100:E113))</f>
        <v>4815710.0692460313</v>
      </c>
      <c r="E114" s="509">
        <f t="shared" si="25"/>
        <v>386149.04</v>
      </c>
      <c r="F114" s="510">
        <f t="shared" si="26"/>
        <v>4429561.0292460313</v>
      </c>
      <c r="G114" s="510">
        <f t="shared" si="27"/>
        <v>4622635.5492460318</v>
      </c>
      <c r="H114" s="627">
        <f t="shared" si="28"/>
        <v>931444.43538491358</v>
      </c>
      <c r="I114" s="628">
        <f t="shared" si="29"/>
        <v>931444.43538491358</v>
      </c>
      <c r="J114" s="504">
        <f t="shared" si="21"/>
        <v>0</v>
      </c>
      <c r="K114" s="504"/>
      <c r="L114" s="512"/>
      <c r="M114" s="504">
        <f t="shared" si="22"/>
        <v>0</v>
      </c>
      <c r="N114" s="512"/>
      <c r="O114" s="504">
        <f t="shared" si="23"/>
        <v>0</v>
      </c>
      <c r="P114" s="504">
        <f t="shared" si="24"/>
        <v>0</v>
      </c>
    </row>
    <row r="115" spans="2:16">
      <c r="B115" s="145" t="str">
        <f t="shared" si="20"/>
        <v/>
      </c>
      <c r="C115" s="495">
        <f>IF(D94="","-",+C114+1)</f>
        <v>2032</v>
      </c>
      <c r="D115" s="349">
        <f>IF(F114+SUM(E$100:E114)=D$93,F114,D$93-SUM(E$100:E114))</f>
        <v>4429561.0292460313</v>
      </c>
      <c r="E115" s="509">
        <f t="shared" si="25"/>
        <v>386149.04</v>
      </c>
      <c r="F115" s="510">
        <f t="shared" si="26"/>
        <v>4043411.9892460313</v>
      </c>
      <c r="G115" s="510">
        <f t="shared" si="27"/>
        <v>4236486.5092460308</v>
      </c>
      <c r="H115" s="627">
        <f t="shared" si="28"/>
        <v>885893.51725582837</v>
      </c>
      <c r="I115" s="628">
        <f t="shared" si="29"/>
        <v>885893.51725582837</v>
      </c>
      <c r="J115" s="504">
        <f t="shared" si="21"/>
        <v>0</v>
      </c>
      <c r="K115" s="504"/>
      <c r="L115" s="512"/>
      <c r="M115" s="504">
        <f t="shared" si="22"/>
        <v>0</v>
      </c>
      <c r="N115" s="512"/>
      <c r="O115" s="504">
        <f t="shared" si="23"/>
        <v>0</v>
      </c>
      <c r="P115" s="504">
        <f t="shared" si="24"/>
        <v>0</v>
      </c>
    </row>
    <row r="116" spans="2:16">
      <c r="B116" s="145" t="str">
        <f t="shared" si="20"/>
        <v/>
      </c>
      <c r="C116" s="495">
        <f>IF(D94="","-",+C115+1)</f>
        <v>2033</v>
      </c>
      <c r="D116" s="349">
        <f>IF(F115+SUM(E$100:E115)=D$93,F115,D$93-SUM(E$100:E115))</f>
        <v>4043411.9892460313</v>
      </c>
      <c r="E116" s="509">
        <f t="shared" si="25"/>
        <v>386149.04</v>
      </c>
      <c r="F116" s="510">
        <f t="shared" si="26"/>
        <v>3657262.9492460312</v>
      </c>
      <c r="G116" s="510">
        <f t="shared" si="27"/>
        <v>3850337.4692460313</v>
      </c>
      <c r="H116" s="627">
        <f t="shared" si="28"/>
        <v>840342.59912674315</v>
      </c>
      <c r="I116" s="628">
        <f t="shared" si="29"/>
        <v>840342.59912674315</v>
      </c>
      <c r="J116" s="504">
        <f t="shared" si="21"/>
        <v>0</v>
      </c>
      <c r="K116" s="504"/>
      <c r="L116" s="512"/>
      <c r="M116" s="504">
        <f t="shared" si="22"/>
        <v>0</v>
      </c>
      <c r="N116" s="512"/>
      <c r="O116" s="504">
        <f t="shared" si="23"/>
        <v>0</v>
      </c>
      <c r="P116" s="504">
        <f t="shared" si="24"/>
        <v>0</v>
      </c>
    </row>
    <row r="117" spans="2:16">
      <c r="B117" s="145" t="str">
        <f t="shared" si="20"/>
        <v/>
      </c>
      <c r="C117" s="495">
        <f>IF(D94="","-",+C116+1)</f>
        <v>2034</v>
      </c>
      <c r="D117" s="349">
        <f>IF(F116+SUM(E$100:E116)=D$93,F116,D$93-SUM(E$100:E116))</f>
        <v>3657262.9492460312</v>
      </c>
      <c r="E117" s="509">
        <f t="shared" si="25"/>
        <v>386149.04</v>
      </c>
      <c r="F117" s="510">
        <f t="shared" si="26"/>
        <v>3271113.9092460312</v>
      </c>
      <c r="G117" s="510">
        <f t="shared" si="27"/>
        <v>3464188.4292460312</v>
      </c>
      <c r="H117" s="627">
        <f t="shared" si="28"/>
        <v>794791.68099765794</v>
      </c>
      <c r="I117" s="628">
        <f t="shared" si="29"/>
        <v>794791.68099765794</v>
      </c>
      <c r="J117" s="504">
        <f t="shared" si="21"/>
        <v>0</v>
      </c>
      <c r="K117" s="504"/>
      <c r="L117" s="512"/>
      <c r="M117" s="504">
        <f t="shared" si="22"/>
        <v>0</v>
      </c>
      <c r="N117" s="512"/>
      <c r="O117" s="504">
        <f t="shared" si="23"/>
        <v>0</v>
      </c>
      <c r="P117" s="504">
        <f t="shared" si="24"/>
        <v>0</v>
      </c>
    </row>
    <row r="118" spans="2:16">
      <c r="B118" s="145" t="str">
        <f t="shared" si="20"/>
        <v/>
      </c>
      <c r="C118" s="495">
        <f>IF(D94="","-",+C117+1)</f>
        <v>2035</v>
      </c>
      <c r="D118" s="349">
        <f>IF(F117+SUM(E$100:E117)=D$93,F117,D$93-SUM(E$100:E117))</f>
        <v>3271113.9092460312</v>
      </c>
      <c r="E118" s="509">
        <f t="shared" si="25"/>
        <v>386149.04</v>
      </c>
      <c r="F118" s="510">
        <f t="shared" si="26"/>
        <v>2884964.8692460312</v>
      </c>
      <c r="G118" s="510">
        <f t="shared" si="27"/>
        <v>3078039.3892460312</v>
      </c>
      <c r="H118" s="627">
        <f t="shared" si="28"/>
        <v>749240.76286857272</v>
      </c>
      <c r="I118" s="628">
        <f t="shared" si="29"/>
        <v>749240.76286857272</v>
      </c>
      <c r="J118" s="504">
        <f t="shared" si="21"/>
        <v>0</v>
      </c>
      <c r="K118" s="504"/>
      <c r="L118" s="512"/>
      <c r="M118" s="504">
        <f t="shared" si="22"/>
        <v>0</v>
      </c>
      <c r="N118" s="512"/>
      <c r="O118" s="504">
        <f t="shared" si="23"/>
        <v>0</v>
      </c>
      <c r="P118" s="504">
        <f t="shared" si="24"/>
        <v>0</v>
      </c>
    </row>
    <row r="119" spans="2:16">
      <c r="B119" s="145" t="str">
        <f t="shared" si="20"/>
        <v/>
      </c>
      <c r="C119" s="495">
        <f>IF(D94="","-",+C118+1)</f>
        <v>2036</v>
      </c>
      <c r="D119" s="349">
        <f>IF(F118+SUM(E$100:E118)=D$93,F118,D$93-SUM(E$100:E118))</f>
        <v>2884964.8692460312</v>
      </c>
      <c r="E119" s="509">
        <f t="shared" si="25"/>
        <v>386149.04</v>
      </c>
      <c r="F119" s="510">
        <f t="shared" si="26"/>
        <v>2498815.8292460311</v>
      </c>
      <c r="G119" s="510">
        <f t="shared" si="27"/>
        <v>2691890.3492460311</v>
      </c>
      <c r="H119" s="627">
        <f t="shared" si="28"/>
        <v>703689.84473948751</v>
      </c>
      <c r="I119" s="628">
        <f t="shared" si="29"/>
        <v>703689.84473948751</v>
      </c>
      <c r="J119" s="504">
        <f t="shared" si="21"/>
        <v>0</v>
      </c>
      <c r="K119" s="504"/>
      <c r="L119" s="512"/>
      <c r="M119" s="504">
        <f t="shared" si="22"/>
        <v>0</v>
      </c>
      <c r="N119" s="512"/>
      <c r="O119" s="504">
        <f t="shared" si="23"/>
        <v>0</v>
      </c>
      <c r="P119" s="504">
        <f t="shared" si="24"/>
        <v>0</v>
      </c>
    </row>
    <row r="120" spans="2:16">
      <c r="B120" s="145" t="str">
        <f t="shared" si="20"/>
        <v/>
      </c>
      <c r="C120" s="495">
        <f>IF(D94="","-",+C119+1)</f>
        <v>2037</v>
      </c>
      <c r="D120" s="349">
        <f>IF(F119+SUM(E$100:E119)=D$93,F119,D$93-SUM(E$100:E119))</f>
        <v>2498815.8292460311</v>
      </c>
      <c r="E120" s="509">
        <f t="shared" si="25"/>
        <v>386149.04</v>
      </c>
      <c r="F120" s="510">
        <f t="shared" si="26"/>
        <v>2112666.7892460311</v>
      </c>
      <c r="G120" s="510">
        <f t="shared" si="27"/>
        <v>2305741.3092460311</v>
      </c>
      <c r="H120" s="627">
        <f t="shared" si="28"/>
        <v>658138.9266104023</v>
      </c>
      <c r="I120" s="628">
        <f t="shared" si="29"/>
        <v>658138.9266104023</v>
      </c>
      <c r="J120" s="504">
        <f t="shared" si="21"/>
        <v>0</v>
      </c>
      <c r="K120" s="504"/>
      <c r="L120" s="512"/>
      <c r="M120" s="504">
        <f t="shared" si="22"/>
        <v>0</v>
      </c>
      <c r="N120" s="512"/>
      <c r="O120" s="504">
        <f t="shared" si="23"/>
        <v>0</v>
      </c>
      <c r="P120" s="504">
        <f t="shared" si="24"/>
        <v>0</v>
      </c>
    </row>
    <row r="121" spans="2:16">
      <c r="B121" s="145" t="str">
        <f t="shared" si="20"/>
        <v/>
      </c>
      <c r="C121" s="495">
        <f>IF(D94="","-",+C120+1)</f>
        <v>2038</v>
      </c>
      <c r="D121" s="349">
        <f>IF(F120+SUM(E$100:E120)=D$93,F120,D$93-SUM(E$100:E120))</f>
        <v>2112666.7892460311</v>
      </c>
      <c r="E121" s="509">
        <f t="shared" si="25"/>
        <v>386149.04</v>
      </c>
      <c r="F121" s="510">
        <f t="shared" si="26"/>
        <v>1726517.749246031</v>
      </c>
      <c r="G121" s="510">
        <f t="shared" si="27"/>
        <v>1919592.2692460311</v>
      </c>
      <c r="H121" s="627">
        <f t="shared" si="28"/>
        <v>612588.00848131708</v>
      </c>
      <c r="I121" s="628">
        <f t="shared" si="29"/>
        <v>612588.00848131708</v>
      </c>
      <c r="J121" s="504">
        <f t="shared" si="21"/>
        <v>0</v>
      </c>
      <c r="K121" s="504"/>
      <c r="L121" s="512"/>
      <c r="M121" s="504">
        <f t="shared" si="22"/>
        <v>0</v>
      </c>
      <c r="N121" s="512"/>
      <c r="O121" s="504">
        <f t="shared" si="23"/>
        <v>0</v>
      </c>
      <c r="P121" s="504">
        <f t="shared" si="24"/>
        <v>0</v>
      </c>
    </row>
    <row r="122" spans="2:16">
      <c r="B122" s="145" t="str">
        <f t="shared" si="20"/>
        <v/>
      </c>
      <c r="C122" s="495">
        <f>IF(D94="","-",+C121+1)</f>
        <v>2039</v>
      </c>
      <c r="D122" s="349">
        <f>IF(F121+SUM(E$100:E121)=D$93,F121,D$93-SUM(E$100:E121))</f>
        <v>1726517.749246031</v>
      </c>
      <c r="E122" s="509">
        <f t="shared" si="25"/>
        <v>386149.04</v>
      </c>
      <c r="F122" s="510">
        <f t="shared" si="26"/>
        <v>1340368.709246031</v>
      </c>
      <c r="G122" s="510">
        <f t="shared" si="27"/>
        <v>1533443.229246031</v>
      </c>
      <c r="H122" s="627">
        <f t="shared" si="28"/>
        <v>567037.09035223187</v>
      </c>
      <c r="I122" s="628">
        <f t="shared" si="29"/>
        <v>567037.09035223187</v>
      </c>
      <c r="J122" s="504">
        <f t="shared" si="21"/>
        <v>0</v>
      </c>
      <c r="K122" s="504"/>
      <c r="L122" s="512"/>
      <c r="M122" s="504">
        <f t="shared" si="22"/>
        <v>0</v>
      </c>
      <c r="N122" s="512"/>
      <c r="O122" s="504">
        <f t="shared" si="23"/>
        <v>0</v>
      </c>
      <c r="P122" s="504">
        <f t="shared" si="24"/>
        <v>0</v>
      </c>
    </row>
    <row r="123" spans="2:16">
      <c r="B123" s="145" t="str">
        <f t="shared" si="20"/>
        <v/>
      </c>
      <c r="C123" s="495">
        <f>IF(D94="","-",+C122+1)</f>
        <v>2040</v>
      </c>
      <c r="D123" s="349">
        <f>IF(F122+SUM(E$100:E122)=D$93,F122,D$93-SUM(E$100:E122))</f>
        <v>1340368.709246031</v>
      </c>
      <c r="E123" s="509">
        <f t="shared" si="25"/>
        <v>386149.04</v>
      </c>
      <c r="F123" s="510">
        <f t="shared" si="26"/>
        <v>954219.66924603097</v>
      </c>
      <c r="G123" s="510">
        <f t="shared" si="27"/>
        <v>1147294.189246031</v>
      </c>
      <c r="H123" s="627">
        <f t="shared" si="28"/>
        <v>521486.17222314666</v>
      </c>
      <c r="I123" s="628">
        <f t="shared" si="29"/>
        <v>521486.17222314666</v>
      </c>
      <c r="J123" s="504">
        <f t="shared" si="21"/>
        <v>0</v>
      </c>
      <c r="K123" s="504"/>
      <c r="L123" s="512"/>
      <c r="M123" s="504">
        <f t="shared" si="22"/>
        <v>0</v>
      </c>
      <c r="N123" s="512"/>
      <c r="O123" s="504">
        <f t="shared" si="23"/>
        <v>0</v>
      </c>
      <c r="P123" s="504">
        <f t="shared" si="24"/>
        <v>0</v>
      </c>
    </row>
    <row r="124" spans="2:16">
      <c r="B124" s="145" t="str">
        <f t="shared" si="20"/>
        <v/>
      </c>
      <c r="C124" s="495">
        <f>IF(D94="","-",+C123+1)</f>
        <v>2041</v>
      </c>
      <c r="D124" s="349">
        <f>IF(F123+SUM(E$100:E123)=D$93,F123,D$93-SUM(E$100:E123))</f>
        <v>954219.66924603097</v>
      </c>
      <c r="E124" s="509">
        <f t="shared" si="25"/>
        <v>386149.04</v>
      </c>
      <c r="F124" s="510">
        <f t="shared" si="26"/>
        <v>568070.62924603093</v>
      </c>
      <c r="G124" s="510">
        <f t="shared" si="27"/>
        <v>761145.14924603095</v>
      </c>
      <c r="H124" s="627">
        <f t="shared" si="28"/>
        <v>475935.25409406144</v>
      </c>
      <c r="I124" s="628">
        <f t="shared" si="29"/>
        <v>475935.25409406144</v>
      </c>
      <c r="J124" s="504">
        <f t="shared" si="21"/>
        <v>0</v>
      </c>
      <c r="K124" s="504"/>
      <c r="L124" s="512"/>
      <c r="M124" s="504">
        <f t="shared" si="22"/>
        <v>0</v>
      </c>
      <c r="N124" s="512"/>
      <c r="O124" s="504">
        <f t="shared" si="23"/>
        <v>0</v>
      </c>
      <c r="P124" s="504">
        <f t="shared" si="24"/>
        <v>0</v>
      </c>
    </row>
    <row r="125" spans="2:16">
      <c r="B125" s="145" t="str">
        <f t="shared" si="20"/>
        <v/>
      </c>
      <c r="C125" s="495">
        <f>IF(D94="","-",+C124+1)</f>
        <v>2042</v>
      </c>
      <c r="D125" s="349">
        <f>IF(F124+SUM(E$100:E124)=D$93,F124,D$93-SUM(E$100:E124))</f>
        <v>568070.62924603093</v>
      </c>
      <c r="E125" s="509">
        <f t="shared" si="25"/>
        <v>386149.04</v>
      </c>
      <c r="F125" s="510">
        <f t="shared" si="26"/>
        <v>181921.58924603096</v>
      </c>
      <c r="G125" s="510">
        <f t="shared" si="27"/>
        <v>374996.10924603092</v>
      </c>
      <c r="H125" s="627">
        <f t="shared" si="28"/>
        <v>430384.33596497623</v>
      </c>
      <c r="I125" s="628">
        <f t="shared" si="29"/>
        <v>430384.33596497623</v>
      </c>
      <c r="J125" s="504">
        <f t="shared" si="21"/>
        <v>0</v>
      </c>
      <c r="K125" s="504"/>
      <c r="L125" s="512"/>
      <c r="M125" s="504">
        <f t="shared" si="22"/>
        <v>0</v>
      </c>
      <c r="N125" s="512"/>
      <c r="O125" s="504">
        <f t="shared" si="23"/>
        <v>0</v>
      </c>
      <c r="P125" s="504">
        <f t="shared" si="24"/>
        <v>0</v>
      </c>
    </row>
    <row r="126" spans="2:16">
      <c r="B126" s="145" t="str">
        <f t="shared" si="20"/>
        <v/>
      </c>
      <c r="C126" s="495">
        <f>IF(D94="","-",+C125+1)</f>
        <v>2043</v>
      </c>
      <c r="D126" s="349">
        <f>IF(F125+SUM(E$100:E125)=D$93,F125,D$93-SUM(E$100:E125))</f>
        <v>181921.58924603096</v>
      </c>
      <c r="E126" s="509">
        <f t="shared" si="25"/>
        <v>181921.58924603096</v>
      </c>
      <c r="F126" s="510">
        <f t="shared" si="26"/>
        <v>0</v>
      </c>
      <c r="G126" s="510">
        <f t="shared" si="27"/>
        <v>90960.794623015478</v>
      </c>
      <c r="H126" s="627">
        <f t="shared" si="28"/>
        <v>192651.50769624778</v>
      </c>
      <c r="I126" s="628">
        <f t="shared" si="29"/>
        <v>192651.50769624778</v>
      </c>
      <c r="J126" s="504">
        <f t="shared" si="21"/>
        <v>0</v>
      </c>
      <c r="K126" s="504"/>
      <c r="L126" s="512"/>
      <c r="M126" s="504">
        <f t="shared" si="22"/>
        <v>0</v>
      </c>
      <c r="N126" s="512"/>
      <c r="O126" s="504">
        <f t="shared" si="23"/>
        <v>0</v>
      </c>
      <c r="P126" s="504">
        <f t="shared" si="24"/>
        <v>0</v>
      </c>
    </row>
    <row r="127" spans="2:16">
      <c r="B127" s="145" t="str">
        <f t="shared" si="20"/>
        <v/>
      </c>
      <c r="C127" s="495">
        <f>IF(D94="","-",+C126+1)</f>
        <v>2044</v>
      </c>
      <c r="D127" s="349">
        <f>IF(F126+SUM(E$100:E126)=D$93,F126,D$93-SUM(E$100:E126))</f>
        <v>0</v>
      </c>
      <c r="E127" s="509">
        <f t="shared" si="25"/>
        <v>0</v>
      </c>
      <c r="F127" s="510">
        <f t="shared" si="26"/>
        <v>0</v>
      </c>
      <c r="G127" s="510">
        <f t="shared" si="27"/>
        <v>0</v>
      </c>
      <c r="H127" s="627">
        <f t="shared" si="28"/>
        <v>0</v>
      </c>
      <c r="I127" s="628">
        <f t="shared" si="29"/>
        <v>0</v>
      </c>
      <c r="J127" s="504">
        <f t="shared" si="21"/>
        <v>0</v>
      </c>
      <c r="K127" s="504"/>
      <c r="L127" s="512"/>
      <c r="M127" s="504">
        <f t="shared" si="22"/>
        <v>0</v>
      </c>
      <c r="N127" s="512"/>
      <c r="O127" s="504">
        <f t="shared" si="23"/>
        <v>0</v>
      </c>
      <c r="P127" s="504">
        <f t="shared" si="24"/>
        <v>0</v>
      </c>
    </row>
    <row r="128" spans="2:16">
      <c r="B128" s="145" t="str">
        <f t="shared" si="20"/>
        <v/>
      </c>
      <c r="C128" s="495">
        <f>IF(D94="","-",+C127+1)</f>
        <v>2045</v>
      </c>
      <c r="D128" s="349">
        <f>IF(F127+SUM(E$100:E127)=D$93,F127,D$93-SUM(E$100:E127))</f>
        <v>0</v>
      </c>
      <c r="E128" s="509">
        <f t="shared" si="25"/>
        <v>0</v>
      </c>
      <c r="F128" s="510">
        <f t="shared" si="26"/>
        <v>0</v>
      </c>
      <c r="G128" s="510">
        <f t="shared" si="27"/>
        <v>0</v>
      </c>
      <c r="H128" s="627">
        <f t="shared" si="28"/>
        <v>0</v>
      </c>
      <c r="I128" s="628">
        <f t="shared" si="29"/>
        <v>0</v>
      </c>
      <c r="J128" s="504">
        <f t="shared" si="21"/>
        <v>0</v>
      </c>
      <c r="K128" s="504"/>
      <c r="L128" s="512"/>
      <c r="M128" s="504">
        <f t="shared" si="22"/>
        <v>0</v>
      </c>
      <c r="N128" s="512"/>
      <c r="O128" s="504">
        <f t="shared" si="23"/>
        <v>0</v>
      </c>
      <c r="P128" s="504">
        <f t="shared" si="24"/>
        <v>0</v>
      </c>
    </row>
    <row r="129" spans="2:16">
      <c r="B129" s="145" t="str">
        <f t="shared" si="20"/>
        <v/>
      </c>
      <c r="C129" s="495">
        <f>IF(D94="","-",+C128+1)</f>
        <v>2046</v>
      </c>
      <c r="D129" s="349">
        <f>IF(F128+SUM(E$100:E128)=D$93,F128,D$93-SUM(E$100:E128))</f>
        <v>0</v>
      </c>
      <c r="E129" s="509">
        <f t="shared" si="25"/>
        <v>0</v>
      </c>
      <c r="F129" s="510">
        <f t="shared" si="26"/>
        <v>0</v>
      </c>
      <c r="G129" s="510">
        <f t="shared" si="27"/>
        <v>0</v>
      </c>
      <c r="H129" s="627">
        <f t="shared" si="28"/>
        <v>0</v>
      </c>
      <c r="I129" s="628">
        <f t="shared" si="29"/>
        <v>0</v>
      </c>
      <c r="J129" s="504">
        <f t="shared" si="21"/>
        <v>0</v>
      </c>
      <c r="K129" s="504"/>
      <c r="L129" s="512"/>
      <c r="M129" s="504">
        <f t="shared" si="22"/>
        <v>0</v>
      </c>
      <c r="N129" s="512"/>
      <c r="O129" s="504">
        <f t="shared" si="23"/>
        <v>0</v>
      </c>
      <c r="P129" s="504">
        <f t="shared" si="24"/>
        <v>0</v>
      </c>
    </row>
    <row r="130" spans="2:16">
      <c r="B130" s="145" t="str">
        <f t="shared" si="20"/>
        <v/>
      </c>
      <c r="C130" s="495">
        <f>IF(D94="","-",+C129+1)</f>
        <v>2047</v>
      </c>
      <c r="D130" s="349">
        <f>IF(F129+SUM(E$100:E129)=D$93,F129,D$93-SUM(E$100:E129))</f>
        <v>0</v>
      </c>
      <c r="E130" s="509">
        <f t="shared" si="25"/>
        <v>0</v>
      </c>
      <c r="F130" s="510">
        <f t="shared" si="26"/>
        <v>0</v>
      </c>
      <c r="G130" s="510">
        <f t="shared" si="27"/>
        <v>0</v>
      </c>
      <c r="H130" s="627">
        <f t="shared" si="28"/>
        <v>0</v>
      </c>
      <c r="I130" s="628">
        <f t="shared" si="29"/>
        <v>0</v>
      </c>
      <c r="J130" s="504">
        <f t="shared" si="21"/>
        <v>0</v>
      </c>
      <c r="K130" s="504"/>
      <c r="L130" s="512"/>
      <c r="M130" s="504">
        <f t="shared" si="22"/>
        <v>0</v>
      </c>
      <c r="N130" s="512"/>
      <c r="O130" s="504">
        <f t="shared" si="23"/>
        <v>0</v>
      </c>
      <c r="P130" s="504">
        <f t="shared" si="24"/>
        <v>0</v>
      </c>
    </row>
    <row r="131" spans="2:16">
      <c r="B131" s="145" t="str">
        <f t="shared" si="20"/>
        <v/>
      </c>
      <c r="C131" s="495">
        <f>IF(D94="","-",+C130+1)</f>
        <v>2048</v>
      </c>
      <c r="D131" s="349">
        <f>IF(F130+SUM(E$100:E130)=D$93,F130,D$93-SUM(E$100:E130))</f>
        <v>0</v>
      </c>
      <c r="E131" s="509">
        <f t="shared" si="25"/>
        <v>0</v>
      </c>
      <c r="F131" s="510">
        <f t="shared" si="26"/>
        <v>0</v>
      </c>
      <c r="G131" s="510">
        <f t="shared" si="27"/>
        <v>0</v>
      </c>
      <c r="H131" s="627">
        <f t="shared" si="28"/>
        <v>0</v>
      </c>
      <c r="I131" s="628">
        <f t="shared" si="29"/>
        <v>0</v>
      </c>
      <c r="J131" s="504">
        <f t="shared" si="21"/>
        <v>0</v>
      </c>
      <c r="K131" s="504"/>
      <c r="L131" s="512"/>
      <c r="M131" s="504">
        <f t="shared" si="22"/>
        <v>0</v>
      </c>
      <c r="N131" s="512"/>
      <c r="O131" s="504">
        <f t="shared" si="23"/>
        <v>0</v>
      </c>
      <c r="P131" s="504">
        <f t="shared" si="24"/>
        <v>0</v>
      </c>
    </row>
    <row r="132" spans="2:16">
      <c r="B132" s="145" t="str">
        <f t="shared" si="20"/>
        <v/>
      </c>
      <c r="C132" s="495">
        <f>IF(D94="","-",+C131+1)</f>
        <v>2049</v>
      </c>
      <c r="D132" s="349">
        <f>IF(F131+SUM(E$100:E131)=D$93,F131,D$93-SUM(E$100:E131))</f>
        <v>0</v>
      </c>
      <c r="E132" s="509">
        <f t="shared" si="25"/>
        <v>0</v>
      </c>
      <c r="F132" s="510">
        <f t="shared" ref="F132:F155" si="30">+D132-E132</f>
        <v>0</v>
      </c>
      <c r="G132" s="510">
        <f t="shared" ref="G132:G155" si="31">+(F132+D132)/2</f>
        <v>0</v>
      </c>
      <c r="H132" s="627">
        <f t="shared" si="28"/>
        <v>0</v>
      </c>
      <c r="I132" s="628">
        <f t="shared" si="29"/>
        <v>0</v>
      </c>
      <c r="J132" s="504">
        <f t="shared" ref="J132:J155" si="32">+I542-H542</f>
        <v>0</v>
      </c>
      <c r="K132" s="504"/>
      <c r="L132" s="512"/>
      <c r="M132" s="504">
        <f t="shared" ref="M132:M155" si="33">IF(L542&lt;&gt;0,+H542-L542,0)</f>
        <v>0</v>
      </c>
      <c r="N132" s="512"/>
      <c r="O132" s="504">
        <f t="shared" ref="O132:O155" si="34">IF(N542&lt;&gt;0,+I542-N542,0)</f>
        <v>0</v>
      </c>
      <c r="P132" s="504">
        <f t="shared" ref="P132:P155" si="35">+O542-M542</f>
        <v>0</v>
      </c>
    </row>
    <row r="133" spans="2:16">
      <c r="B133" s="145" t="str">
        <f t="shared" si="20"/>
        <v/>
      </c>
      <c r="C133" s="495">
        <f>IF(D94="","-",+C132+1)</f>
        <v>2050</v>
      </c>
      <c r="D133" s="349">
        <f>IF(F132+SUM(E$100:E132)=D$93,F132,D$93-SUM(E$100:E132))</f>
        <v>0</v>
      </c>
      <c r="E133" s="509">
        <f t="shared" ref="E133:E155" si="36">IF(+J$97&lt;F132,J$97,D133)</f>
        <v>0</v>
      </c>
      <c r="F133" s="510">
        <f t="shared" si="30"/>
        <v>0</v>
      </c>
      <c r="G133" s="510">
        <f t="shared" si="31"/>
        <v>0</v>
      </c>
      <c r="H133" s="627">
        <f t="shared" si="28"/>
        <v>0</v>
      </c>
      <c r="I133" s="628">
        <f t="shared" si="29"/>
        <v>0</v>
      </c>
      <c r="J133" s="504">
        <f t="shared" si="32"/>
        <v>0</v>
      </c>
      <c r="K133" s="504"/>
      <c r="L133" s="512"/>
      <c r="M133" s="504">
        <f t="shared" si="33"/>
        <v>0</v>
      </c>
      <c r="N133" s="512"/>
      <c r="O133" s="504">
        <f t="shared" si="34"/>
        <v>0</v>
      </c>
      <c r="P133" s="504">
        <f t="shared" si="35"/>
        <v>0</v>
      </c>
    </row>
    <row r="134" spans="2:16">
      <c r="B134" s="145" t="str">
        <f t="shared" si="20"/>
        <v/>
      </c>
      <c r="C134" s="495">
        <f>IF(D94="","-",+C133+1)</f>
        <v>2051</v>
      </c>
      <c r="D134" s="349">
        <f>IF(F133+SUM(E$100:E133)=D$93,F133,D$93-SUM(E$100:E133))</f>
        <v>0</v>
      </c>
      <c r="E134" s="509">
        <f t="shared" si="36"/>
        <v>0</v>
      </c>
      <c r="F134" s="510">
        <f t="shared" si="30"/>
        <v>0</v>
      </c>
      <c r="G134" s="510">
        <f t="shared" si="31"/>
        <v>0</v>
      </c>
      <c r="H134" s="627">
        <f t="shared" si="28"/>
        <v>0</v>
      </c>
      <c r="I134" s="628">
        <f t="shared" si="29"/>
        <v>0</v>
      </c>
      <c r="J134" s="504">
        <f t="shared" si="32"/>
        <v>0</v>
      </c>
      <c r="K134" s="504"/>
      <c r="L134" s="512"/>
      <c r="M134" s="504">
        <f t="shared" si="33"/>
        <v>0</v>
      </c>
      <c r="N134" s="512"/>
      <c r="O134" s="504">
        <f t="shared" si="34"/>
        <v>0</v>
      </c>
      <c r="P134" s="504">
        <f t="shared" si="35"/>
        <v>0</v>
      </c>
    </row>
    <row r="135" spans="2:16">
      <c r="B135" s="145" t="str">
        <f t="shared" si="20"/>
        <v/>
      </c>
      <c r="C135" s="495">
        <f>IF(D94="","-",+C134+1)</f>
        <v>2052</v>
      </c>
      <c r="D135" s="349">
        <f>IF(F134+SUM(E$100:E134)=D$93,F134,D$93-SUM(E$100:E134))</f>
        <v>0</v>
      </c>
      <c r="E135" s="509">
        <f t="shared" si="36"/>
        <v>0</v>
      </c>
      <c r="F135" s="510">
        <f t="shared" si="30"/>
        <v>0</v>
      </c>
      <c r="G135" s="510">
        <f t="shared" si="31"/>
        <v>0</v>
      </c>
      <c r="H135" s="627">
        <f t="shared" si="28"/>
        <v>0</v>
      </c>
      <c r="I135" s="628">
        <f t="shared" si="29"/>
        <v>0</v>
      </c>
      <c r="J135" s="504">
        <f t="shared" si="32"/>
        <v>0</v>
      </c>
      <c r="K135" s="504"/>
      <c r="L135" s="512"/>
      <c r="M135" s="504">
        <f t="shared" si="33"/>
        <v>0</v>
      </c>
      <c r="N135" s="512"/>
      <c r="O135" s="504">
        <f t="shared" si="34"/>
        <v>0</v>
      </c>
      <c r="P135" s="504">
        <f t="shared" si="35"/>
        <v>0</v>
      </c>
    </row>
    <row r="136" spans="2:16">
      <c r="B136" s="145" t="str">
        <f t="shared" si="20"/>
        <v/>
      </c>
      <c r="C136" s="495">
        <f>IF(D94="","-",+C135+1)</f>
        <v>2053</v>
      </c>
      <c r="D136" s="349">
        <f>IF(F135+SUM(E$100:E135)=D$93,F135,D$93-SUM(E$100:E135))</f>
        <v>0</v>
      </c>
      <c r="E136" s="509">
        <f t="shared" si="36"/>
        <v>0</v>
      </c>
      <c r="F136" s="510">
        <f t="shared" si="30"/>
        <v>0</v>
      </c>
      <c r="G136" s="510">
        <f t="shared" si="31"/>
        <v>0</v>
      </c>
      <c r="H136" s="627">
        <f t="shared" si="28"/>
        <v>0</v>
      </c>
      <c r="I136" s="628">
        <f t="shared" si="29"/>
        <v>0</v>
      </c>
      <c r="J136" s="504">
        <f t="shared" si="32"/>
        <v>0</v>
      </c>
      <c r="K136" s="504"/>
      <c r="L136" s="512"/>
      <c r="M136" s="504">
        <f t="shared" si="33"/>
        <v>0</v>
      </c>
      <c r="N136" s="512"/>
      <c r="O136" s="504">
        <f t="shared" si="34"/>
        <v>0</v>
      </c>
      <c r="P136" s="504">
        <f t="shared" si="35"/>
        <v>0</v>
      </c>
    </row>
    <row r="137" spans="2:16">
      <c r="B137" s="145" t="str">
        <f t="shared" si="20"/>
        <v/>
      </c>
      <c r="C137" s="495">
        <f>IF(D94="","-",+C136+1)</f>
        <v>2054</v>
      </c>
      <c r="D137" s="349">
        <f>IF(F136+SUM(E$100:E136)=D$93,F136,D$93-SUM(E$100:E136))</f>
        <v>0</v>
      </c>
      <c r="E137" s="509">
        <f t="shared" si="36"/>
        <v>0</v>
      </c>
      <c r="F137" s="510">
        <f t="shared" si="30"/>
        <v>0</v>
      </c>
      <c r="G137" s="510">
        <f t="shared" si="31"/>
        <v>0</v>
      </c>
      <c r="H137" s="627">
        <f t="shared" si="28"/>
        <v>0</v>
      </c>
      <c r="I137" s="628">
        <f t="shared" si="29"/>
        <v>0</v>
      </c>
      <c r="J137" s="504">
        <f t="shared" si="32"/>
        <v>0</v>
      </c>
      <c r="K137" s="504"/>
      <c r="L137" s="512"/>
      <c r="M137" s="504">
        <f t="shared" si="33"/>
        <v>0</v>
      </c>
      <c r="N137" s="512"/>
      <c r="O137" s="504">
        <f t="shared" si="34"/>
        <v>0</v>
      </c>
      <c r="P137" s="504">
        <f t="shared" si="35"/>
        <v>0</v>
      </c>
    </row>
    <row r="138" spans="2:16">
      <c r="B138" s="145" t="str">
        <f t="shared" si="20"/>
        <v/>
      </c>
      <c r="C138" s="495">
        <f>IF(D94="","-",+C137+1)</f>
        <v>2055</v>
      </c>
      <c r="D138" s="349">
        <f>IF(F137+SUM(E$100:E137)=D$93,F137,D$93-SUM(E$100:E137))</f>
        <v>0</v>
      </c>
      <c r="E138" s="509">
        <f t="shared" si="36"/>
        <v>0</v>
      </c>
      <c r="F138" s="510">
        <f t="shared" si="30"/>
        <v>0</v>
      </c>
      <c r="G138" s="510">
        <f t="shared" si="31"/>
        <v>0</v>
      </c>
      <c r="H138" s="627">
        <f t="shared" si="28"/>
        <v>0</v>
      </c>
      <c r="I138" s="628">
        <f t="shared" si="29"/>
        <v>0</v>
      </c>
      <c r="J138" s="504">
        <f t="shared" si="32"/>
        <v>0</v>
      </c>
      <c r="K138" s="504"/>
      <c r="L138" s="512"/>
      <c r="M138" s="504">
        <f t="shared" si="33"/>
        <v>0</v>
      </c>
      <c r="N138" s="512"/>
      <c r="O138" s="504">
        <f t="shared" si="34"/>
        <v>0</v>
      </c>
      <c r="P138" s="504">
        <f t="shared" si="35"/>
        <v>0</v>
      </c>
    </row>
    <row r="139" spans="2:16">
      <c r="B139" s="145" t="str">
        <f t="shared" si="20"/>
        <v/>
      </c>
      <c r="C139" s="495">
        <f>IF(D94="","-",+C138+1)</f>
        <v>2056</v>
      </c>
      <c r="D139" s="349">
        <f>IF(F138+SUM(E$100:E138)=D$93,F138,D$93-SUM(E$100:E138))</f>
        <v>0</v>
      </c>
      <c r="E139" s="509">
        <f t="shared" si="36"/>
        <v>0</v>
      </c>
      <c r="F139" s="510">
        <f t="shared" si="30"/>
        <v>0</v>
      </c>
      <c r="G139" s="510">
        <f t="shared" si="31"/>
        <v>0</v>
      </c>
      <c r="H139" s="627">
        <f t="shared" si="28"/>
        <v>0</v>
      </c>
      <c r="I139" s="628">
        <f t="shared" si="29"/>
        <v>0</v>
      </c>
      <c r="J139" s="504">
        <f t="shared" si="32"/>
        <v>0</v>
      </c>
      <c r="K139" s="504"/>
      <c r="L139" s="512"/>
      <c r="M139" s="504">
        <f t="shared" si="33"/>
        <v>0</v>
      </c>
      <c r="N139" s="512"/>
      <c r="O139" s="504">
        <f t="shared" si="34"/>
        <v>0</v>
      </c>
      <c r="P139" s="504">
        <f t="shared" si="35"/>
        <v>0</v>
      </c>
    </row>
    <row r="140" spans="2:16">
      <c r="B140" s="145" t="str">
        <f t="shared" si="20"/>
        <v/>
      </c>
      <c r="C140" s="495">
        <f>IF(D94="","-",+C139+1)</f>
        <v>2057</v>
      </c>
      <c r="D140" s="349">
        <f>IF(F139+SUM(E$100:E139)=D$93,F139,D$93-SUM(E$100:E139))</f>
        <v>0</v>
      </c>
      <c r="E140" s="509">
        <f t="shared" si="36"/>
        <v>0</v>
      </c>
      <c r="F140" s="510">
        <f t="shared" si="30"/>
        <v>0</v>
      </c>
      <c r="G140" s="510">
        <f t="shared" si="31"/>
        <v>0</v>
      </c>
      <c r="H140" s="627">
        <f t="shared" si="28"/>
        <v>0</v>
      </c>
      <c r="I140" s="628">
        <f t="shared" si="29"/>
        <v>0</v>
      </c>
      <c r="J140" s="504">
        <f t="shared" si="32"/>
        <v>0</v>
      </c>
      <c r="K140" s="504"/>
      <c r="L140" s="512"/>
      <c r="M140" s="504">
        <f t="shared" si="33"/>
        <v>0</v>
      </c>
      <c r="N140" s="512"/>
      <c r="O140" s="504">
        <f t="shared" si="34"/>
        <v>0</v>
      </c>
      <c r="P140" s="504">
        <f t="shared" si="35"/>
        <v>0</v>
      </c>
    </row>
    <row r="141" spans="2:16">
      <c r="B141" s="145" t="str">
        <f t="shared" si="20"/>
        <v/>
      </c>
      <c r="C141" s="495">
        <f>IF(D94="","-",+C140+1)</f>
        <v>2058</v>
      </c>
      <c r="D141" s="349">
        <f>IF(F140+SUM(E$100:E140)=D$93,F140,D$93-SUM(E$100:E140))</f>
        <v>0</v>
      </c>
      <c r="E141" s="509">
        <f t="shared" si="36"/>
        <v>0</v>
      </c>
      <c r="F141" s="510">
        <f t="shared" si="30"/>
        <v>0</v>
      </c>
      <c r="G141" s="510">
        <f t="shared" si="31"/>
        <v>0</v>
      </c>
      <c r="H141" s="627">
        <f t="shared" si="28"/>
        <v>0</v>
      </c>
      <c r="I141" s="628">
        <f t="shared" si="29"/>
        <v>0</v>
      </c>
      <c r="J141" s="504">
        <f t="shared" si="32"/>
        <v>0</v>
      </c>
      <c r="K141" s="504"/>
      <c r="L141" s="512"/>
      <c r="M141" s="504">
        <f t="shared" si="33"/>
        <v>0</v>
      </c>
      <c r="N141" s="512"/>
      <c r="O141" s="504">
        <f t="shared" si="34"/>
        <v>0</v>
      </c>
      <c r="P141" s="504">
        <f t="shared" si="35"/>
        <v>0</v>
      </c>
    </row>
    <row r="142" spans="2:16">
      <c r="B142" s="145" t="str">
        <f t="shared" si="20"/>
        <v/>
      </c>
      <c r="C142" s="495">
        <f>IF(D94="","-",+C141+1)</f>
        <v>2059</v>
      </c>
      <c r="D142" s="349">
        <f>IF(F141+SUM(E$100:E141)=D$93,F141,D$93-SUM(E$100:E141))</f>
        <v>0</v>
      </c>
      <c r="E142" s="509">
        <f t="shared" si="36"/>
        <v>0</v>
      </c>
      <c r="F142" s="510">
        <f t="shared" si="30"/>
        <v>0</v>
      </c>
      <c r="G142" s="510">
        <f t="shared" si="31"/>
        <v>0</v>
      </c>
      <c r="H142" s="627">
        <f t="shared" si="28"/>
        <v>0</v>
      </c>
      <c r="I142" s="628">
        <f t="shared" si="29"/>
        <v>0</v>
      </c>
      <c r="J142" s="504">
        <f t="shared" si="32"/>
        <v>0</v>
      </c>
      <c r="K142" s="504"/>
      <c r="L142" s="512"/>
      <c r="M142" s="504">
        <f t="shared" si="33"/>
        <v>0</v>
      </c>
      <c r="N142" s="512"/>
      <c r="O142" s="504">
        <f t="shared" si="34"/>
        <v>0</v>
      </c>
      <c r="P142" s="504">
        <f t="shared" si="35"/>
        <v>0</v>
      </c>
    </row>
    <row r="143" spans="2:16">
      <c r="B143" s="145" t="str">
        <f t="shared" si="20"/>
        <v/>
      </c>
      <c r="C143" s="495">
        <f>IF(D94="","-",+C142+1)</f>
        <v>2060</v>
      </c>
      <c r="D143" s="349">
        <f>IF(F142+SUM(E$100:E142)=D$93,F142,D$93-SUM(E$100:E142))</f>
        <v>0</v>
      </c>
      <c r="E143" s="509">
        <f t="shared" si="36"/>
        <v>0</v>
      </c>
      <c r="F143" s="510">
        <f t="shared" si="30"/>
        <v>0</v>
      </c>
      <c r="G143" s="510">
        <f t="shared" si="31"/>
        <v>0</v>
      </c>
      <c r="H143" s="627">
        <f t="shared" si="28"/>
        <v>0</v>
      </c>
      <c r="I143" s="628">
        <f t="shared" si="29"/>
        <v>0</v>
      </c>
      <c r="J143" s="504">
        <f t="shared" si="32"/>
        <v>0</v>
      </c>
      <c r="K143" s="504"/>
      <c r="L143" s="512"/>
      <c r="M143" s="504">
        <f t="shared" si="33"/>
        <v>0</v>
      </c>
      <c r="N143" s="512"/>
      <c r="O143" s="504">
        <f t="shared" si="34"/>
        <v>0</v>
      </c>
      <c r="P143" s="504">
        <f t="shared" si="35"/>
        <v>0</v>
      </c>
    </row>
    <row r="144" spans="2:16">
      <c r="B144" s="145" t="str">
        <f t="shared" si="20"/>
        <v/>
      </c>
      <c r="C144" s="495">
        <f>IF(D94="","-",+C143+1)</f>
        <v>2061</v>
      </c>
      <c r="D144" s="349">
        <f>IF(F143+SUM(E$100:E143)=D$93,F143,D$93-SUM(E$100:E143))</f>
        <v>0</v>
      </c>
      <c r="E144" s="509">
        <f t="shared" si="36"/>
        <v>0</v>
      </c>
      <c r="F144" s="510">
        <f t="shared" si="30"/>
        <v>0</v>
      </c>
      <c r="G144" s="510">
        <f t="shared" si="31"/>
        <v>0</v>
      </c>
      <c r="H144" s="627">
        <f t="shared" si="28"/>
        <v>0</v>
      </c>
      <c r="I144" s="628">
        <f t="shared" si="29"/>
        <v>0</v>
      </c>
      <c r="J144" s="504">
        <f t="shared" si="32"/>
        <v>0</v>
      </c>
      <c r="K144" s="504"/>
      <c r="L144" s="512"/>
      <c r="M144" s="504">
        <f t="shared" si="33"/>
        <v>0</v>
      </c>
      <c r="N144" s="512"/>
      <c r="O144" s="504">
        <f t="shared" si="34"/>
        <v>0</v>
      </c>
      <c r="P144" s="504">
        <f t="shared" si="35"/>
        <v>0</v>
      </c>
    </row>
    <row r="145" spans="2:16">
      <c r="B145" s="145" t="str">
        <f t="shared" si="20"/>
        <v/>
      </c>
      <c r="C145" s="495">
        <f>IF(D94="","-",+C144+1)</f>
        <v>2062</v>
      </c>
      <c r="D145" s="349">
        <f>IF(F144+SUM(E$100:E144)=D$93,F144,D$93-SUM(E$100:E144))</f>
        <v>0</v>
      </c>
      <c r="E145" s="509">
        <f t="shared" si="36"/>
        <v>0</v>
      </c>
      <c r="F145" s="510">
        <f t="shared" si="30"/>
        <v>0</v>
      </c>
      <c r="G145" s="510">
        <f t="shared" si="31"/>
        <v>0</v>
      </c>
      <c r="H145" s="627">
        <f t="shared" si="28"/>
        <v>0</v>
      </c>
      <c r="I145" s="628">
        <f t="shared" si="29"/>
        <v>0</v>
      </c>
      <c r="J145" s="504">
        <f t="shared" si="32"/>
        <v>0</v>
      </c>
      <c r="K145" s="504"/>
      <c r="L145" s="512"/>
      <c r="M145" s="504">
        <f t="shared" si="33"/>
        <v>0</v>
      </c>
      <c r="N145" s="512"/>
      <c r="O145" s="504">
        <f t="shared" si="34"/>
        <v>0</v>
      </c>
      <c r="P145" s="504">
        <f t="shared" si="35"/>
        <v>0</v>
      </c>
    </row>
    <row r="146" spans="2:16">
      <c r="B146" s="145" t="str">
        <f t="shared" si="20"/>
        <v/>
      </c>
      <c r="C146" s="495">
        <f>IF(D94="","-",+C145+1)</f>
        <v>2063</v>
      </c>
      <c r="D146" s="349">
        <f>IF(F145+SUM(E$100:E145)=D$93,F145,D$93-SUM(E$100:E145))</f>
        <v>0</v>
      </c>
      <c r="E146" s="509">
        <f t="shared" si="36"/>
        <v>0</v>
      </c>
      <c r="F146" s="510">
        <f t="shared" si="30"/>
        <v>0</v>
      </c>
      <c r="G146" s="510">
        <f t="shared" si="31"/>
        <v>0</v>
      </c>
      <c r="H146" s="627">
        <f t="shared" si="28"/>
        <v>0</v>
      </c>
      <c r="I146" s="628">
        <f t="shared" si="29"/>
        <v>0</v>
      </c>
      <c r="J146" s="504">
        <f t="shared" si="32"/>
        <v>0</v>
      </c>
      <c r="K146" s="504"/>
      <c r="L146" s="512"/>
      <c r="M146" s="504">
        <f t="shared" si="33"/>
        <v>0</v>
      </c>
      <c r="N146" s="512"/>
      <c r="O146" s="504">
        <f t="shared" si="34"/>
        <v>0</v>
      </c>
      <c r="P146" s="504">
        <f t="shared" si="35"/>
        <v>0</v>
      </c>
    </row>
    <row r="147" spans="2:16">
      <c r="B147" s="145" t="str">
        <f t="shared" si="20"/>
        <v/>
      </c>
      <c r="C147" s="495">
        <f>IF(D94="","-",+C146+1)</f>
        <v>2064</v>
      </c>
      <c r="D147" s="349">
        <f>IF(F146+SUM(E$100:E146)=D$93,F146,D$93-SUM(E$100:E146))</f>
        <v>0</v>
      </c>
      <c r="E147" s="509">
        <f t="shared" si="36"/>
        <v>0</v>
      </c>
      <c r="F147" s="510">
        <f t="shared" si="30"/>
        <v>0</v>
      </c>
      <c r="G147" s="510">
        <f t="shared" si="31"/>
        <v>0</v>
      </c>
      <c r="H147" s="627">
        <f t="shared" si="28"/>
        <v>0</v>
      </c>
      <c r="I147" s="628">
        <f t="shared" si="29"/>
        <v>0</v>
      </c>
      <c r="J147" s="504">
        <f t="shared" si="32"/>
        <v>0</v>
      </c>
      <c r="K147" s="504"/>
      <c r="L147" s="512"/>
      <c r="M147" s="504">
        <f t="shared" si="33"/>
        <v>0</v>
      </c>
      <c r="N147" s="512"/>
      <c r="O147" s="504">
        <f t="shared" si="34"/>
        <v>0</v>
      </c>
      <c r="P147" s="504">
        <f t="shared" si="35"/>
        <v>0</v>
      </c>
    </row>
    <row r="148" spans="2:16">
      <c r="B148" s="145" t="str">
        <f t="shared" si="20"/>
        <v/>
      </c>
      <c r="C148" s="495">
        <f>IF(D94="","-",+C147+1)</f>
        <v>2065</v>
      </c>
      <c r="D148" s="349">
        <f>IF(F147+SUM(E$100:E147)=D$93,F147,D$93-SUM(E$100:E147))</f>
        <v>0</v>
      </c>
      <c r="E148" s="509">
        <f t="shared" si="36"/>
        <v>0</v>
      </c>
      <c r="F148" s="510">
        <f t="shared" si="30"/>
        <v>0</v>
      </c>
      <c r="G148" s="510">
        <f t="shared" si="31"/>
        <v>0</v>
      </c>
      <c r="H148" s="627">
        <f t="shared" si="28"/>
        <v>0</v>
      </c>
      <c r="I148" s="628">
        <f t="shared" si="29"/>
        <v>0</v>
      </c>
      <c r="J148" s="504">
        <f t="shared" si="32"/>
        <v>0</v>
      </c>
      <c r="K148" s="504"/>
      <c r="L148" s="512"/>
      <c r="M148" s="504">
        <f t="shared" si="33"/>
        <v>0</v>
      </c>
      <c r="N148" s="512"/>
      <c r="O148" s="504">
        <f t="shared" si="34"/>
        <v>0</v>
      </c>
      <c r="P148" s="504">
        <f t="shared" si="35"/>
        <v>0</v>
      </c>
    </row>
    <row r="149" spans="2:16">
      <c r="B149" s="145" t="str">
        <f t="shared" si="20"/>
        <v/>
      </c>
      <c r="C149" s="495">
        <f>IF(D94="","-",+C148+1)</f>
        <v>2066</v>
      </c>
      <c r="D149" s="349">
        <f>IF(F148+SUM(E$100:E148)=D$93,F148,D$93-SUM(E$100:E148))</f>
        <v>0</v>
      </c>
      <c r="E149" s="509">
        <f t="shared" si="36"/>
        <v>0</v>
      </c>
      <c r="F149" s="510">
        <f t="shared" si="30"/>
        <v>0</v>
      </c>
      <c r="G149" s="510">
        <f t="shared" si="31"/>
        <v>0</v>
      </c>
      <c r="H149" s="627">
        <f t="shared" si="28"/>
        <v>0</v>
      </c>
      <c r="I149" s="628">
        <f t="shared" si="29"/>
        <v>0</v>
      </c>
      <c r="J149" s="504">
        <f t="shared" si="32"/>
        <v>0</v>
      </c>
      <c r="K149" s="504"/>
      <c r="L149" s="512"/>
      <c r="M149" s="504">
        <f t="shared" si="33"/>
        <v>0</v>
      </c>
      <c r="N149" s="512"/>
      <c r="O149" s="504">
        <f t="shared" si="34"/>
        <v>0</v>
      </c>
      <c r="P149" s="504">
        <f t="shared" si="35"/>
        <v>0</v>
      </c>
    </row>
    <row r="150" spans="2:16">
      <c r="B150" s="145" t="str">
        <f t="shared" si="20"/>
        <v/>
      </c>
      <c r="C150" s="495">
        <f>IF(D94="","-",+C149+1)</f>
        <v>2067</v>
      </c>
      <c r="D150" s="349">
        <f>IF(F149+SUM(E$100:E149)=D$93,F149,D$93-SUM(E$100:E149))</f>
        <v>0</v>
      </c>
      <c r="E150" s="509">
        <f t="shared" si="36"/>
        <v>0</v>
      </c>
      <c r="F150" s="510">
        <f t="shared" si="30"/>
        <v>0</v>
      </c>
      <c r="G150" s="510">
        <f t="shared" si="31"/>
        <v>0</v>
      </c>
      <c r="H150" s="627">
        <f t="shared" si="28"/>
        <v>0</v>
      </c>
      <c r="I150" s="628">
        <f t="shared" si="29"/>
        <v>0</v>
      </c>
      <c r="J150" s="504">
        <f t="shared" si="32"/>
        <v>0</v>
      </c>
      <c r="K150" s="504"/>
      <c r="L150" s="512"/>
      <c r="M150" s="504">
        <f t="shared" si="33"/>
        <v>0</v>
      </c>
      <c r="N150" s="512"/>
      <c r="O150" s="504">
        <f t="shared" si="34"/>
        <v>0</v>
      </c>
      <c r="P150" s="504">
        <f t="shared" si="35"/>
        <v>0</v>
      </c>
    </row>
    <row r="151" spans="2:16">
      <c r="B151" s="145" t="str">
        <f t="shared" si="20"/>
        <v/>
      </c>
      <c r="C151" s="495">
        <f>IF(D94="","-",+C150+1)</f>
        <v>2068</v>
      </c>
      <c r="D151" s="349">
        <f>IF(F150+SUM(E$100:E150)=D$93,F150,D$93-SUM(E$100:E150))</f>
        <v>0</v>
      </c>
      <c r="E151" s="509">
        <f t="shared" si="36"/>
        <v>0</v>
      </c>
      <c r="F151" s="510">
        <f t="shared" si="30"/>
        <v>0</v>
      </c>
      <c r="G151" s="510">
        <f t="shared" si="31"/>
        <v>0</v>
      </c>
      <c r="H151" s="627">
        <f t="shared" si="28"/>
        <v>0</v>
      </c>
      <c r="I151" s="628">
        <f t="shared" si="29"/>
        <v>0</v>
      </c>
      <c r="J151" s="504">
        <f t="shared" si="32"/>
        <v>0</v>
      </c>
      <c r="K151" s="504"/>
      <c r="L151" s="512"/>
      <c r="M151" s="504">
        <f t="shared" si="33"/>
        <v>0</v>
      </c>
      <c r="N151" s="512"/>
      <c r="O151" s="504">
        <f t="shared" si="34"/>
        <v>0</v>
      </c>
      <c r="P151" s="504">
        <f t="shared" si="35"/>
        <v>0</v>
      </c>
    </row>
    <row r="152" spans="2:16">
      <c r="B152" s="145" t="str">
        <f t="shared" si="20"/>
        <v/>
      </c>
      <c r="C152" s="495">
        <f>IF(D94="","-",+C151+1)</f>
        <v>2069</v>
      </c>
      <c r="D152" s="349">
        <f>IF(F151+SUM(E$100:E151)=D$93,F151,D$93-SUM(E$100:E151))</f>
        <v>0</v>
      </c>
      <c r="E152" s="509">
        <f t="shared" si="36"/>
        <v>0</v>
      </c>
      <c r="F152" s="510">
        <f t="shared" si="30"/>
        <v>0</v>
      </c>
      <c r="G152" s="510">
        <f t="shared" si="31"/>
        <v>0</v>
      </c>
      <c r="H152" s="627">
        <f t="shared" si="28"/>
        <v>0</v>
      </c>
      <c r="I152" s="628">
        <f t="shared" si="29"/>
        <v>0</v>
      </c>
      <c r="J152" s="504">
        <f t="shared" si="32"/>
        <v>0</v>
      </c>
      <c r="K152" s="504"/>
      <c r="L152" s="512"/>
      <c r="M152" s="504">
        <f t="shared" si="33"/>
        <v>0</v>
      </c>
      <c r="N152" s="512"/>
      <c r="O152" s="504">
        <f t="shared" si="34"/>
        <v>0</v>
      </c>
      <c r="P152" s="504">
        <f t="shared" si="35"/>
        <v>0</v>
      </c>
    </row>
    <row r="153" spans="2:16">
      <c r="B153" s="145" t="str">
        <f t="shared" si="20"/>
        <v/>
      </c>
      <c r="C153" s="495">
        <f>IF(D94="","-",+C152+1)</f>
        <v>2070</v>
      </c>
      <c r="D153" s="349">
        <f>IF(F152+SUM(E$100:E152)=D$93,F152,D$93-SUM(E$100:E152))</f>
        <v>0</v>
      </c>
      <c r="E153" s="509">
        <f t="shared" si="36"/>
        <v>0</v>
      </c>
      <c r="F153" s="510">
        <f t="shared" si="30"/>
        <v>0</v>
      </c>
      <c r="G153" s="510">
        <f t="shared" si="31"/>
        <v>0</v>
      </c>
      <c r="H153" s="627">
        <f t="shared" si="28"/>
        <v>0</v>
      </c>
      <c r="I153" s="628">
        <f t="shared" si="29"/>
        <v>0</v>
      </c>
      <c r="J153" s="504">
        <f t="shared" si="32"/>
        <v>0</v>
      </c>
      <c r="K153" s="504"/>
      <c r="L153" s="512"/>
      <c r="M153" s="504">
        <f t="shared" si="33"/>
        <v>0</v>
      </c>
      <c r="N153" s="512"/>
      <c r="O153" s="504">
        <f t="shared" si="34"/>
        <v>0</v>
      </c>
      <c r="P153" s="504">
        <f t="shared" si="35"/>
        <v>0</v>
      </c>
    </row>
    <row r="154" spans="2:16">
      <c r="B154" s="145" t="str">
        <f t="shared" si="20"/>
        <v/>
      </c>
      <c r="C154" s="495">
        <f>IF(D94="","-",+C153+1)</f>
        <v>2071</v>
      </c>
      <c r="D154" s="349">
        <f>IF(F153+SUM(E$100:E153)=D$93,F153,D$93-SUM(E$100:E153))</f>
        <v>0</v>
      </c>
      <c r="E154" s="509">
        <f t="shared" si="36"/>
        <v>0</v>
      </c>
      <c r="F154" s="510">
        <f t="shared" si="30"/>
        <v>0</v>
      </c>
      <c r="G154" s="510">
        <f t="shared" si="31"/>
        <v>0</v>
      </c>
      <c r="H154" s="627">
        <f t="shared" si="28"/>
        <v>0</v>
      </c>
      <c r="I154" s="628">
        <f t="shared" si="29"/>
        <v>0</v>
      </c>
      <c r="J154" s="504">
        <f t="shared" si="32"/>
        <v>0</v>
      </c>
      <c r="K154" s="504"/>
      <c r="L154" s="512"/>
      <c r="M154" s="504">
        <f t="shared" si="33"/>
        <v>0</v>
      </c>
      <c r="N154" s="512"/>
      <c r="O154" s="504">
        <f t="shared" si="34"/>
        <v>0</v>
      </c>
      <c r="P154" s="504">
        <f t="shared" si="35"/>
        <v>0</v>
      </c>
    </row>
    <row r="155" spans="2:16" ht="13.5" thickBot="1">
      <c r="B155" s="145" t="str">
        <f t="shared" si="20"/>
        <v/>
      </c>
      <c r="C155" s="524">
        <f>IF(D94="","-",+C154+1)</f>
        <v>2072</v>
      </c>
      <c r="D155" s="638">
        <f>IF(F154+SUM(E$100:E154)=D$93,F154,D$93-SUM(E$100:E154))</f>
        <v>0</v>
      </c>
      <c r="E155" s="526">
        <f t="shared" si="36"/>
        <v>0</v>
      </c>
      <c r="F155" s="527">
        <f t="shared" si="30"/>
        <v>0</v>
      </c>
      <c r="G155" s="527">
        <f t="shared" si="31"/>
        <v>0</v>
      </c>
      <c r="H155" s="623">
        <f t="shared" si="28"/>
        <v>0</v>
      </c>
      <c r="I155" s="624">
        <f t="shared" si="29"/>
        <v>0</v>
      </c>
      <c r="J155" s="531">
        <f t="shared" si="32"/>
        <v>0</v>
      </c>
      <c r="K155" s="504"/>
      <c r="L155" s="530"/>
      <c r="M155" s="531">
        <f t="shared" si="33"/>
        <v>0</v>
      </c>
      <c r="N155" s="530"/>
      <c r="O155" s="531">
        <f t="shared" si="34"/>
        <v>0</v>
      </c>
      <c r="P155" s="531">
        <f t="shared" si="35"/>
        <v>0</v>
      </c>
    </row>
    <row r="156" spans="2:16">
      <c r="C156" s="349" t="s">
        <v>75</v>
      </c>
      <c r="D156" s="294"/>
      <c r="E156" s="294">
        <f>SUM(E100:E155)</f>
        <v>9653725.9999999981</v>
      </c>
      <c r="F156" s="294"/>
      <c r="G156" s="294"/>
      <c r="H156" s="294">
        <f>SUM(H100:H155)</f>
        <v>24601592.449597295</v>
      </c>
      <c r="I156" s="294">
        <f>SUM(I100:I155)</f>
        <v>24601592.449597295</v>
      </c>
      <c r="J156" s="294">
        <f>SUM(J100:J155)</f>
        <v>0</v>
      </c>
      <c r="K156" s="294"/>
      <c r="L156" s="294"/>
      <c r="M156" s="294"/>
      <c r="N156" s="294"/>
      <c r="O156" s="294"/>
      <c r="P156" s="243"/>
    </row>
    <row r="157" spans="2:16">
      <c r="C157" s="145" t="s">
        <v>90</v>
      </c>
      <c r="D157" s="292"/>
      <c r="E157" s="243"/>
      <c r="F157" s="243"/>
      <c r="G157" s="243"/>
      <c r="H157" s="243"/>
      <c r="I157" s="325"/>
      <c r="J157" s="325"/>
      <c r="K157" s="294"/>
      <c r="L157" s="325"/>
      <c r="M157" s="325"/>
      <c r="N157" s="325"/>
      <c r="O157" s="325"/>
      <c r="P157" s="243"/>
    </row>
    <row r="158" spans="2:16">
      <c r="C158" s="574"/>
      <c r="D158" s="292"/>
      <c r="E158" s="243"/>
      <c r="F158" s="243"/>
      <c r="G158" s="243"/>
      <c r="H158" s="243"/>
      <c r="I158" s="325"/>
      <c r="J158" s="325"/>
      <c r="K158" s="294"/>
      <c r="L158" s="325"/>
      <c r="M158" s="325"/>
      <c r="N158" s="325"/>
      <c r="O158" s="325"/>
      <c r="P158" s="243"/>
    </row>
    <row r="159" spans="2:16">
      <c r="C159" s="619" t="s">
        <v>130</v>
      </c>
      <c r="D159" s="292"/>
      <c r="E159" s="243"/>
      <c r="F159" s="243"/>
      <c r="G159" s="243"/>
      <c r="H159" s="243"/>
      <c r="I159" s="325"/>
      <c r="J159" s="325"/>
      <c r="K159" s="294"/>
      <c r="L159" s="325"/>
      <c r="M159" s="325"/>
      <c r="N159" s="325"/>
      <c r="O159" s="325"/>
      <c r="P159" s="243"/>
    </row>
    <row r="160" spans="2:16">
      <c r="C160" s="454" t="s">
        <v>76</v>
      </c>
      <c r="D160" s="349"/>
      <c r="E160" s="349"/>
      <c r="F160" s="349"/>
      <c r="G160" s="349"/>
      <c r="H160" s="294"/>
      <c r="I160" s="294"/>
      <c r="J160" s="350"/>
      <c r="K160" s="350"/>
      <c r="L160" s="350"/>
      <c r="M160" s="350"/>
      <c r="N160" s="350"/>
      <c r="O160" s="350"/>
      <c r="P160" s="243"/>
    </row>
    <row r="161" spans="3:16">
      <c r="C161" s="575" t="s">
        <v>77</v>
      </c>
      <c r="D161" s="349"/>
      <c r="E161" s="349"/>
      <c r="F161" s="349"/>
      <c r="G161" s="349"/>
      <c r="H161" s="294"/>
      <c r="I161" s="294"/>
      <c r="J161" s="350"/>
      <c r="K161" s="350"/>
      <c r="L161" s="350"/>
      <c r="M161" s="350"/>
      <c r="N161" s="350"/>
      <c r="O161" s="350"/>
      <c r="P161" s="243"/>
    </row>
    <row r="162" spans="3:16">
      <c r="C162" s="575"/>
      <c r="D162" s="349"/>
      <c r="E162" s="349"/>
      <c r="F162" s="349"/>
      <c r="G162" s="349"/>
      <c r="H162" s="294"/>
      <c r="I162" s="294"/>
      <c r="J162" s="350"/>
      <c r="K162" s="350"/>
      <c r="L162" s="350"/>
      <c r="M162" s="350"/>
      <c r="N162" s="350"/>
      <c r="O162" s="350"/>
      <c r="P162" s="243"/>
    </row>
    <row r="163" spans="3:16" ht="18">
      <c r="C163" s="575"/>
      <c r="D163" s="349"/>
      <c r="E163" s="349"/>
      <c r="F163" s="349"/>
      <c r="G163" s="349"/>
      <c r="H163" s="294"/>
      <c r="I163" s="294"/>
      <c r="J163" s="350"/>
      <c r="K163" s="350"/>
      <c r="L163" s="350"/>
      <c r="M163" s="350"/>
      <c r="N163" s="350"/>
      <c r="P163" s="583" t="s">
        <v>129</v>
      </c>
    </row>
  </sheetData>
  <conditionalFormatting sqref="C17:C71 C73">
    <cfRule type="cellIs" dxfId="29" priority="2" stopIfTrue="1" operator="equal">
      <formula>$I$10</formula>
    </cfRule>
  </conditionalFormatting>
  <conditionalFormatting sqref="C100:C155">
    <cfRule type="cellIs" dxfId="28" priority="3" stopIfTrue="1" operator="equal">
      <formula>$J$93</formula>
    </cfRule>
  </conditionalFormatting>
  <conditionalFormatting sqref="C72">
    <cfRule type="cellIs" dxfId="27"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8"/>
  <dimension ref="A1:U134"/>
  <sheetViews>
    <sheetView topLeftCell="G108" zoomScale="80" zoomScaleNormal="80" zoomScaleSheetLayoutView="90" workbookViewId="0">
      <selection activeCell="R129" sqref="R129:R131"/>
    </sheetView>
  </sheetViews>
  <sheetFormatPr defaultColWidth="8.7109375" defaultRowHeight="12.75" customHeight="1"/>
  <cols>
    <col min="1" max="1" width="8.140625" style="145" customWidth="1"/>
    <col min="2" max="2" width="6.7109375" style="145" customWidth="1"/>
    <col min="3" max="3" width="23.28515625" style="145" customWidth="1"/>
    <col min="4" max="8" width="17.7109375" style="145" customWidth="1"/>
    <col min="9" max="9" width="16.140625" style="145" customWidth="1"/>
    <col min="10" max="10" width="2.140625" style="145" customWidth="1"/>
    <col min="11" max="11" width="17.7109375" style="145" customWidth="1"/>
    <col min="12" max="12" width="16.140625" style="145" customWidth="1"/>
    <col min="13" max="13" width="17.7109375" style="145" customWidth="1"/>
    <col min="14" max="14" width="16.7109375" style="145" customWidth="1"/>
    <col min="15" max="15" width="22.42578125" style="145" customWidth="1"/>
    <col min="16" max="16" width="3.5703125" style="145" bestFit="1" customWidth="1"/>
    <col min="17" max="17" width="4.7109375" style="145" customWidth="1"/>
    <col min="18" max="18" width="15.42578125" style="145" customWidth="1"/>
    <col min="19" max="19" width="81.85546875" style="145" bestFit="1" customWidth="1"/>
    <col min="20" max="22" width="8.7109375" style="145"/>
    <col min="23" max="23" width="9.140625" style="145" customWidth="1"/>
    <col min="24" max="16384" width="8.7109375" style="145"/>
  </cols>
  <sheetData>
    <row r="1" spans="1:21" ht="18">
      <c r="A1" s="680" t="s">
        <v>109</v>
      </c>
      <c r="B1" s="681"/>
      <c r="C1" s="681"/>
      <c r="D1" s="681"/>
      <c r="E1" s="681"/>
      <c r="F1" s="681"/>
      <c r="G1" s="681"/>
      <c r="H1" s="681"/>
      <c r="I1" s="681"/>
      <c r="J1" s="681"/>
    </row>
    <row r="2" spans="1:21" ht="18">
      <c r="A2" s="683" t="str">
        <f>L19&amp;" Cost of Service Formula Rate Projected on "&amp;L19-1&amp;" FF1 Balances"</f>
        <v>2024 Cost of Service Formula Rate Projected on 2023 FF1 Balances</v>
      </c>
      <c r="B2" s="683"/>
      <c r="C2" s="683"/>
      <c r="D2" s="683"/>
      <c r="E2" s="683"/>
      <c r="F2" s="683"/>
      <c r="G2" s="683"/>
      <c r="H2" s="683"/>
      <c r="I2" s="683"/>
      <c r="J2" s="683"/>
    </row>
    <row r="3" spans="1:21" ht="18">
      <c r="A3" s="682" t="s">
        <v>124</v>
      </c>
      <c r="B3" s="683"/>
      <c r="C3" s="683"/>
      <c r="D3" s="683"/>
      <c r="E3" s="683"/>
      <c r="F3" s="683"/>
      <c r="G3" s="683"/>
      <c r="H3" s="683"/>
      <c r="I3" s="683"/>
      <c r="J3" s="683"/>
      <c r="Q3" s="232" t="s">
        <v>110</v>
      </c>
    </row>
    <row r="4" spans="1:21" ht="18">
      <c r="A4" s="683" t="str">
        <f>"Based on a Carrying Charge Derived from ""Historic"" "&amp;L19-1&amp;" Data"</f>
        <v>Based on a Carrying Charge Derived from "Historic" 2023 Data</v>
      </c>
      <c r="B4" s="683"/>
      <c r="C4" s="683"/>
      <c r="D4" s="683"/>
      <c r="E4" s="683"/>
      <c r="F4" s="683"/>
      <c r="G4" s="683"/>
      <c r="H4" s="683"/>
      <c r="I4" s="683"/>
      <c r="J4" s="683"/>
      <c r="K4" s="683"/>
    </row>
    <row r="5" spans="1:21" ht="18">
      <c r="A5" s="684" t="s">
        <v>188</v>
      </c>
      <c r="B5" s="684"/>
      <c r="C5" s="684"/>
      <c r="D5" s="684"/>
      <c r="E5" s="684"/>
      <c r="F5" s="684"/>
      <c r="G5" s="684"/>
      <c r="H5" s="684"/>
      <c r="I5" s="684"/>
      <c r="J5" s="684"/>
    </row>
    <row r="6" spans="1:21" ht="18">
      <c r="A6" s="151"/>
      <c r="B6" s="151"/>
      <c r="C6" s="151"/>
      <c r="D6" s="151"/>
      <c r="E6" s="151"/>
      <c r="F6" s="151"/>
      <c r="G6" s="151"/>
      <c r="H6" s="151"/>
      <c r="I6" s="151"/>
      <c r="J6" s="151"/>
    </row>
    <row r="7" spans="1:21">
      <c r="D7" s="157"/>
      <c r="H7" s="212"/>
      <c r="J7" s="220"/>
    </row>
    <row r="8" spans="1:21" ht="33.75" customHeight="1">
      <c r="B8" s="233" t="s">
        <v>0</v>
      </c>
      <c r="C8" s="677" t="str">
        <f>"Calculate Return and Income Taxes with "&amp;F13&amp;" basis point ROE increase for Projects Qualified for Incentive."</f>
        <v>Calculate Return and Income Taxes with 0 basis point ROE increase for Projects Qualified for Incentive.</v>
      </c>
      <c r="D8" s="678"/>
      <c r="E8" s="678"/>
      <c r="F8" s="678"/>
      <c r="G8" s="678"/>
      <c r="H8" s="678"/>
      <c r="J8" s="220"/>
      <c r="R8" s="234"/>
    </row>
    <row r="9" spans="1:21">
      <c r="D9" s="157"/>
      <c r="H9" s="212"/>
      <c r="J9" s="220"/>
    </row>
    <row r="10" spans="1:21" ht="15.75">
      <c r="C10" s="235" t="str">
        <f>"A.   Determine 'R' with hypothetical "&amp;F13&amp;" basis point increase in ROE for Identified Projects"</f>
        <v>A.   Determine 'R' with hypothetical 0 basis point increase in ROE for Identified Projects</v>
      </c>
      <c r="D10" s="157"/>
      <c r="H10" s="212"/>
      <c r="J10" s="220"/>
    </row>
    <row r="11" spans="1:21">
      <c r="D11" s="157"/>
      <c r="H11" s="212"/>
      <c r="J11" s="220"/>
    </row>
    <row r="12" spans="1:21">
      <c r="C12" s="236" t="str">
        <f>S102</f>
        <v xml:space="preserve">   ROE w/o incentives  (TCOS, ln 143)</v>
      </c>
      <c r="D12" s="157"/>
      <c r="E12" s="237"/>
      <c r="F12" s="238">
        <f>+R102</f>
        <v>0.105</v>
      </c>
      <c r="G12" s="239"/>
      <c r="H12" s="240"/>
      <c r="I12" s="241"/>
      <c r="J12" s="242"/>
      <c r="K12" s="241"/>
      <c r="L12" s="241"/>
      <c r="M12" s="241"/>
      <c r="N12" s="241"/>
      <c r="O12" s="237"/>
      <c r="P12" s="241"/>
      <c r="Q12" s="243"/>
      <c r="U12" s="244"/>
    </row>
    <row r="13" spans="1:21">
      <c r="C13" s="236" t="s">
        <v>1</v>
      </c>
      <c r="D13" s="157"/>
      <c r="E13" s="237"/>
      <c r="F13" s="245">
        <f>+R103</f>
        <v>0</v>
      </c>
      <c r="G13" s="145" t="s">
        <v>133</v>
      </c>
      <c r="K13" s="241"/>
      <c r="L13" s="241"/>
      <c r="M13" s="241"/>
      <c r="N13" s="241"/>
      <c r="O13" s="237"/>
      <c r="P13" s="241"/>
      <c r="Q13" s="243"/>
      <c r="U13" s="244"/>
    </row>
    <row r="14" spans="1:21" ht="13.5" thickBot="1">
      <c r="C14" s="236" t="str">
        <f>"   ROE with additional "&amp;F13&amp;" basis point incentive"</f>
        <v xml:space="preserve">   ROE with additional 0 basis point incentive</v>
      </c>
      <c r="D14" s="237"/>
      <c r="E14" s="237"/>
      <c r="F14" s="246">
        <f>IF((F12+(F13/10000)&gt;0.1245),"ERROR",F12+(F13/10000))</f>
        <v>0.105</v>
      </c>
      <c r="G14" s="247" t="s">
        <v>2</v>
      </c>
      <c r="H14" s="241"/>
      <c r="I14" s="241"/>
      <c r="J14" s="242"/>
      <c r="K14" s="241"/>
      <c r="L14" s="241"/>
      <c r="M14" s="241"/>
      <c r="N14" s="241"/>
      <c r="O14" s="237"/>
      <c r="P14" s="241"/>
      <c r="Q14" s="243"/>
      <c r="U14" s="248"/>
    </row>
    <row r="15" spans="1:21">
      <c r="C15" s="236" t="s">
        <v>3</v>
      </c>
      <c r="D15" s="157"/>
      <c r="E15" s="237"/>
      <c r="F15" s="246"/>
      <c r="G15" s="237"/>
      <c r="H15" s="241"/>
      <c r="I15" s="241"/>
      <c r="J15" s="242"/>
      <c r="K15" s="671" t="s">
        <v>4</v>
      </c>
      <c r="L15" s="672"/>
      <c r="M15" s="672"/>
      <c r="N15" s="672"/>
      <c r="O15" s="673"/>
      <c r="P15" s="241"/>
      <c r="Q15" s="243"/>
      <c r="U15" s="248"/>
    </row>
    <row r="16" spans="1:21">
      <c r="C16" s="242"/>
      <c r="D16" s="249" t="s">
        <v>5</v>
      </c>
      <c r="E16" s="249" t="s">
        <v>6</v>
      </c>
      <c r="F16" s="250" t="s">
        <v>7</v>
      </c>
      <c r="G16" s="237"/>
      <c r="H16" s="241"/>
      <c r="I16" s="241"/>
      <c r="J16" s="242"/>
      <c r="K16" s="674"/>
      <c r="L16" s="675"/>
      <c r="M16" s="675"/>
      <c r="N16" s="675"/>
      <c r="O16" s="676"/>
      <c r="P16" s="241"/>
      <c r="Q16" s="243"/>
    </row>
    <row r="17" spans="3:21">
      <c r="C17" s="251" t="s">
        <v>8</v>
      </c>
      <c r="D17" s="252">
        <f>+R104</f>
        <v>0.45519469284092023</v>
      </c>
      <c r="E17" s="253">
        <f>+R105</f>
        <v>4.4706801132216041E-2</v>
      </c>
      <c r="F17" s="254">
        <f>E17*D17</f>
        <v>2.0350298609279185E-2</v>
      </c>
      <c r="G17" s="237"/>
      <c r="H17" s="241"/>
      <c r="I17" s="255"/>
      <c r="J17" s="256"/>
      <c r="K17" s="257"/>
      <c r="L17" s="258"/>
      <c r="M17" s="242" t="s">
        <v>9</v>
      </c>
      <c r="N17" s="242" t="s">
        <v>10</v>
      </c>
      <c r="O17" s="259" t="s">
        <v>11</v>
      </c>
      <c r="P17" s="241"/>
      <c r="Q17" s="243"/>
      <c r="U17" s="241"/>
    </row>
    <row r="18" spans="3:21">
      <c r="C18" s="251" t="s">
        <v>12</v>
      </c>
      <c r="D18" s="252">
        <f>+R106</f>
        <v>0</v>
      </c>
      <c r="E18" s="253">
        <f>+R107</f>
        <v>0</v>
      </c>
      <c r="F18" s="254">
        <f>E18*D18</f>
        <v>0</v>
      </c>
      <c r="G18" s="260"/>
      <c r="H18" s="260"/>
      <c r="I18" s="261"/>
      <c r="J18" s="262"/>
      <c r="K18" s="263"/>
      <c r="L18" s="220"/>
      <c r="M18" s="220"/>
      <c r="N18" s="220"/>
      <c r="O18" s="264"/>
      <c r="P18" s="260"/>
      <c r="Q18" s="243"/>
      <c r="U18" s="248"/>
    </row>
    <row r="19" spans="3:21" ht="13.5" thickBot="1">
      <c r="C19" s="265" t="s">
        <v>13</v>
      </c>
      <c r="D19" s="252">
        <f>+R108</f>
        <v>0.54480530715907971</v>
      </c>
      <c r="E19" s="253">
        <f>+F14</f>
        <v>0.105</v>
      </c>
      <c r="F19" s="266">
        <f>E19*D19</f>
        <v>5.720455725170337E-2</v>
      </c>
      <c r="G19" s="260"/>
      <c r="H19" s="260"/>
      <c r="I19" s="246"/>
      <c r="J19" s="262"/>
      <c r="K19" s="267" t="s">
        <v>14</v>
      </c>
      <c r="L19" s="268">
        <v>2024</v>
      </c>
      <c r="M19" s="269">
        <f>SUM('OKT.001:OKT.xyz - blank'!N5)</f>
        <v>40054011.42980317</v>
      </c>
      <c r="N19" s="269">
        <f>SUM('OKT.001:OKT.xyz - blank'!N6)</f>
        <v>40054011.42980317</v>
      </c>
      <c r="O19" s="270">
        <f>+N19-M19</f>
        <v>0</v>
      </c>
      <c r="P19" s="261"/>
      <c r="Q19" s="243"/>
      <c r="U19" s="248"/>
    </row>
    <row r="20" spans="3:21">
      <c r="C20" s="236"/>
      <c r="D20" s="237"/>
      <c r="E20" s="271" t="s">
        <v>15</v>
      </c>
      <c r="F20" s="254">
        <f>SUM(F17:F19)</f>
        <v>7.7554855860982555E-2</v>
      </c>
      <c r="G20" s="260"/>
      <c r="H20" s="260"/>
      <c r="I20" s="261"/>
      <c r="J20" s="262"/>
      <c r="M20" s="272" t="str">
        <f>IF(M19=SUM('OKT.001:OKT.xyz - blank'!N5),"","ERROR")</f>
        <v/>
      </c>
      <c r="N20" s="272" t="str">
        <f>IF(N19=SUM('OKT.001:OKT.xyz - blank'!N6),"","ERROR")</f>
        <v/>
      </c>
      <c r="O20" s="272" t="str">
        <f>IF(O19=SUM('OKT.001:OKT.xyz - blank'!N7),"","ERROR")</f>
        <v/>
      </c>
      <c r="P20" s="260"/>
      <c r="Q20" s="243"/>
      <c r="U20" s="248"/>
    </row>
    <row r="21" spans="3:21">
      <c r="D21" s="273"/>
      <c r="E21" s="273"/>
      <c r="F21" s="260"/>
      <c r="G21" s="260"/>
      <c r="H21" s="260"/>
      <c r="I21" s="260"/>
      <c r="J21" s="274"/>
      <c r="K21" s="175" t="s">
        <v>16</v>
      </c>
      <c r="P21" s="260"/>
      <c r="Q21" s="243"/>
      <c r="U21" s="248"/>
    </row>
    <row r="22" spans="3:21" ht="15.75">
      <c r="C22" s="235" t="str">
        <f>"B.   Determine Return using 'R' with hypothetical "&amp;F13&amp;" basis point ROE increase for Identified Projects."</f>
        <v>B.   Determine Return using 'R' with hypothetical 0 basis point ROE increase for Identified Projects.</v>
      </c>
      <c r="D22" s="273"/>
      <c r="E22" s="273"/>
      <c r="F22" s="275"/>
      <c r="G22" s="260"/>
      <c r="H22" s="237"/>
      <c r="I22" s="260"/>
      <c r="J22" s="274"/>
      <c r="K22" s="145" t="s">
        <v>17</v>
      </c>
      <c r="P22" s="260"/>
      <c r="Q22" s="243"/>
      <c r="U22" s="248"/>
    </row>
    <row r="23" spans="3:21">
      <c r="C23" s="242"/>
      <c r="D23" s="273"/>
      <c r="E23" s="273"/>
      <c r="F23" s="274"/>
      <c r="G23" s="274"/>
      <c r="H23" s="274"/>
      <c r="I23" s="274"/>
      <c r="J23" s="274"/>
      <c r="K23" s="261"/>
      <c r="L23" s="276"/>
      <c r="M23" s="277"/>
      <c r="N23" s="261"/>
      <c r="O23" s="260"/>
      <c r="P23" s="274"/>
      <c r="Q23" s="278"/>
      <c r="U23" s="248"/>
    </row>
    <row r="24" spans="3:21">
      <c r="C24" s="236" t="str">
        <f>+S109</f>
        <v xml:space="preserve">   Rate Base  (TCOS, ln 63)</v>
      </c>
      <c r="D24" s="237"/>
      <c r="E24" s="279">
        <f>+R109</f>
        <v>1290998174.0295737</v>
      </c>
      <c r="F24" s="280"/>
      <c r="G24" s="274"/>
      <c r="H24" s="274"/>
      <c r="I24" s="274"/>
      <c r="J24" s="274"/>
      <c r="K24" s="274"/>
      <c r="L24" s="274"/>
      <c r="M24" s="274"/>
      <c r="N24" s="274"/>
      <c r="O24" s="274"/>
      <c r="P24" s="280"/>
      <c r="Q24" s="278"/>
      <c r="U24" s="248"/>
    </row>
    <row r="25" spans="3:21">
      <c r="C25" s="242" t="s">
        <v>18</v>
      </c>
      <c r="D25" s="239"/>
      <c r="E25" s="281">
        <f>F20</f>
        <v>7.7554855860982555E-2</v>
      </c>
      <c r="F25" s="274"/>
      <c r="G25" s="274"/>
      <c r="H25" s="274"/>
      <c r="I25" s="274"/>
      <c r="J25" s="274"/>
      <c r="K25" s="274"/>
      <c r="L25" s="274"/>
      <c r="M25" s="282"/>
      <c r="N25" s="274"/>
      <c r="O25" s="274"/>
      <c r="P25" s="274"/>
      <c r="Q25" s="278"/>
      <c r="U25" s="248"/>
    </row>
    <row r="26" spans="3:21">
      <c r="C26" s="283" t="s">
        <v>19</v>
      </c>
      <c r="D26" s="283"/>
      <c r="E26" s="261">
        <f>E24*E25</f>
        <v>100123177.30365525</v>
      </c>
      <c r="F26" s="274"/>
      <c r="G26" s="274"/>
      <c r="H26" s="274"/>
      <c r="I26" s="262"/>
      <c r="J26" s="262"/>
      <c r="K26" s="262"/>
      <c r="L26" s="262"/>
      <c r="M26" s="262"/>
      <c r="N26" s="262"/>
      <c r="O26" s="274"/>
      <c r="P26" s="274"/>
      <c r="Q26" s="278"/>
      <c r="U26" s="248"/>
    </row>
    <row r="27" spans="3:21">
      <c r="C27" s="284"/>
      <c r="D27" s="241"/>
      <c r="E27" s="241"/>
      <c r="F27" s="274"/>
      <c r="G27" s="274"/>
      <c r="H27" s="274"/>
      <c r="I27" s="262"/>
      <c r="J27" s="262"/>
      <c r="K27" s="262"/>
      <c r="L27" s="262"/>
      <c r="M27" s="262"/>
      <c r="N27" s="262"/>
      <c r="O27" s="274"/>
      <c r="P27" s="274"/>
      <c r="Q27" s="278"/>
      <c r="U27" s="248"/>
    </row>
    <row r="28" spans="3:21" ht="15.75">
      <c r="C28" s="235" t="str">
        <f>"C.   Determine Income Taxes using Return with hypothetical "&amp;F13&amp;" basis point ROE increase for Identified Projects."</f>
        <v>C.   Determine Income Taxes using Return with hypothetical 0 basis point ROE increase for Identified Projects.</v>
      </c>
      <c r="D28" s="285"/>
      <c r="E28" s="285"/>
      <c r="F28" s="286"/>
      <c r="G28" s="286"/>
      <c r="H28" s="286"/>
      <c r="I28" s="287"/>
      <c r="J28" s="287"/>
      <c r="K28" s="287"/>
      <c r="L28" s="287"/>
      <c r="M28" s="287"/>
      <c r="N28" s="287"/>
      <c r="O28" s="286"/>
      <c r="P28" s="286"/>
      <c r="Q28" s="278"/>
      <c r="U28" s="248"/>
    </row>
    <row r="29" spans="3:21">
      <c r="C29" s="236"/>
      <c r="D29" s="241"/>
      <c r="E29" s="241"/>
      <c r="F29" s="274"/>
      <c r="G29" s="274"/>
      <c r="H29" s="274"/>
      <c r="I29" s="262"/>
      <c r="J29" s="262"/>
      <c r="K29" s="262"/>
      <c r="L29" s="262"/>
      <c r="M29" s="262"/>
      <c r="N29" s="262"/>
      <c r="O29" s="274"/>
      <c r="P29" s="274"/>
      <c r="Q29" s="278"/>
      <c r="U29" s="288"/>
    </row>
    <row r="30" spans="3:21">
      <c r="C30" s="242" t="s">
        <v>20</v>
      </c>
      <c r="D30" s="289"/>
      <c r="E30" s="290">
        <f>E26</f>
        <v>100123177.30365525</v>
      </c>
      <c r="F30" s="274"/>
      <c r="G30" s="274"/>
      <c r="H30" s="274"/>
      <c r="I30" s="274"/>
      <c r="J30" s="274"/>
      <c r="K30" s="274"/>
      <c r="L30" s="274"/>
      <c r="M30" s="274"/>
      <c r="N30" s="274"/>
      <c r="O30" s="274"/>
      <c r="P30" s="274"/>
      <c r="Q30" s="278"/>
      <c r="U30" s="248"/>
    </row>
    <row r="31" spans="3:21">
      <c r="C31" s="236" t="str">
        <f>+S110</f>
        <v xml:space="preserve">   Tax Rate  (TCOS, ln 99)</v>
      </c>
      <c r="D31" s="289"/>
      <c r="E31" s="291">
        <f>+R110</f>
        <v>0.24041499999999993</v>
      </c>
      <c r="F31" s="274"/>
      <c r="G31" s="274"/>
      <c r="H31" s="274"/>
      <c r="I31" s="274"/>
      <c r="J31" s="274"/>
      <c r="K31" s="274"/>
      <c r="L31" s="274"/>
      <c r="M31" s="274"/>
      <c r="N31" s="274"/>
      <c r="O31" s="274"/>
      <c r="P31" s="274"/>
      <c r="Q31" s="278"/>
      <c r="R31" s="220"/>
      <c r="S31" s="220"/>
      <c r="T31" s="220"/>
      <c r="U31" s="248"/>
    </row>
    <row r="32" spans="3:21">
      <c r="C32" s="242" t="s">
        <v>21</v>
      </c>
      <c r="D32" s="292"/>
      <c r="E32" s="246">
        <f>IF(F17&gt;0,($E31/(1-$E31))*(1-$F17/$F20),0)</f>
        <v>0.23345695380578241</v>
      </c>
      <c r="F32" s="278"/>
      <c r="G32" s="293"/>
      <c r="H32" s="294"/>
      <c r="I32" s="278"/>
      <c r="J32" s="278"/>
      <c r="K32" s="278"/>
      <c r="L32" s="278"/>
      <c r="M32" s="278"/>
      <c r="N32" s="278"/>
      <c r="O32" s="278"/>
      <c r="P32" s="278"/>
      <c r="Q32" s="278"/>
      <c r="R32" s="220"/>
      <c r="S32" s="220"/>
      <c r="T32" s="220"/>
      <c r="U32" s="248"/>
    </row>
    <row r="33" spans="2:21">
      <c r="C33" s="295" t="s">
        <v>22</v>
      </c>
      <c r="D33" s="296"/>
      <c r="E33" s="297">
        <f>E30*E32</f>
        <v>23374451.978667606</v>
      </c>
      <c r="F33" s="298"/>
      <c r="G33" s="278"/>
      <c r="H33" s="294"/>
      <c r="I33" s="278"/>
      <c r="J33" s="278"/>
      <c r="K33" s="278"/>
      <c r="L33" s="278"/>
      <c r="M33" s="278"/>
      <c r="N33" s="278"/>
      <c r="O33" s="278"/>
      <c r="P33" s="278"/>
      <c r="Q33" s="278"/>
      <c r="R33" s="220"/>
      <c r="S33" s="220"/>
      <c r="T33" s="220"/>
      <c r="U33" s="299"/>
    </row>
    <row r="34" spans="2:21">
      <c r="C34" s="283" t="s">
        <v>274</v>
      </c>
      <c r="D34" s="321"/>
      <c r="E34" s="298">
        <f>+R112</f>
        <v>80522.998206826509</v>
      </c>
      <c r="F34" s="298"/>
      <c r="G34" s="278"/>
      <c r="H34" s="294"/>
      <c r="I34" s="278"/>
      <c r="J34" s="278"/>
      <c r="K34" s="278"/>
      <c r="L34" s="278"/>
      <c r="M34" s="278"/>
      <c r="N34" s="278"/>
      <c r="O34" s="278"/>
      <c r="P34" s="278"/>
      <c r="Q34" s="278"/>
      <c r="R34" s="220"/>
      <c r="S34" s="220"/>
      <c r="T34" s="220"/>
      <c r="U34" s="299"/>
    </row>
    <row r="35" spans="2:21" ht="15">
      <c r="C35" s="236" t="s">
        <v>286</v>
      </c>
      <c r="D35" s="300"/>
      <c r="E35" s="298">
        <f>+R113</f>
        <v>287955.05993404292</v>
      </c>
      <c r="F35" s="300"/>
      <c r="G35" s="300"/>
      <c r="H35" s="300"/>
      <c r="I35" s="300"/>
      <c r="J35" s="300"/>
      <c r="K35" s="300"/>
      <c r="L35" s="300"/>
      <c r="M35" s="300"/>
      <c r="N35" s="300"/>
      <c r="O35" s="300"/>
      <c r="P35" s="302"/>
      <c r="Q35" s="300"/>
      <c r="R35" s="220"/>
      <c r="S35" s="220"/>
      <c r="T35" s="220"/>
      <c r="U35" s="288"/>
    </row>
    <row r="36" spans="2:21" ht="15">
      <c r="C36" s="284" t="s">
        <v>23</v>
      </c>
      <c r="D36" s="300"/>
      <c r="E36" s="301">
        <f>SUM(E33:E35)</f>
        <v>23742930.036808476</v>
      </c>
      <c r="F36" s="300"/>
      <c r="G36" s="300"/>
      <c r="H36" s="300"/>
      <c r="I36" s="300"/>
      <c r="J36" s="300"/>
      <c r="K36" s="300"/>
      <c r="L36" s="300"/>
      <c r="M36" s="300"/>
      <c r="N36" s="300"/>
      <c r="O36" s="300"/>
      <c r="P36" s="303"/>
      <c r="Q36" s="300"/>
      <c r="U36" s="243"/>
    </row>
    <row r="37" spans="2:21" ht="12.75" customHeight="1">
      <c r="C37" s="304"/>
      <c r="D37" s="300"/>
      <c r="E37" s="300"/>
      <c r="F37" s="300"/>
      <c r="G37" s="300"/>
      <c r="H37" s="300"/>
      <c r="I37" s="300"/>
      <c r="J37" s="300"/>
      <c r="K37" s="300"/>
      <c r="L37" s="300"/>
      <c r="M37" s="300"/>
      <c r="N37" s="300"/>
      <c r="O37" s="300"/>
      <c r="P37" s="303"/>
      <c r="Q37" s="300"/>
      <c r="R37" s="243"/>
      <c r="S37" s="243"/>
      <c r="T37" s="243"/>
      <c r="U37" s="243"/>
    </row>
    <row r="38" spans="2:21" ht="18.75">
      <c r="B38" s="233" t="s">
        <v>24</v>
      </c>
      <c r="C38" s="305" t="str">
        <f>"Calculate Net Plant Carrying Charge Rate (Fixed Charge Rate or FCR) with hypothetical "&amp;F13&amp;" basis point"</f>
        <v>Calculate Net Plant Carrying Charge Rate (Fixed Charge Rate or FCR) with hypothetical 0 basis point</v>
      </c>
      <c r="D38" s="300"/>
      <c r="E38" s="300"/>
      <c r="F38" s="300"/>
      <c r="G38" s="300"/>
      <c r="H38" s="300"/>
      <c r="I38" s="300"/>
      <c r="J38" s="300"/>
      <c r="K38" s="300"/>
      <c r="L38" s="300"/>
      <c r="M38" s="300"/>
      <c r="N38" s="300"/>
      <c r="O38" s="300"/>
      <c r="P38" s="303"/>
      <c r="Q38" s="300"/>
      <c r="R38" s="243"/>
      <c r="S38" s="243"/>
      <c r="T38" s="243"/>
      <c r="U38" s="243"/>
    </row>
    <row r="39" spans="2:21" ht="15.75" customHeight="1">
      <c r="B39" s="233"/>
      <c r="C39" s="305" t="str">
        <f>"ROE increase."</f>
        <v>ROE increase.</v>
      </c>
      <c r="D39" s="300"/>
      <c r="E39" s="300"/>
      <c r="F39" s="300"/>
      <c r="G39" s="300"/>
      <c r="H39" s="300"/>
      <c r="I39" s="300"/>
      <c r="J39" s="300"/>
      <c r="K39" s="300"/>
      <c r="L39" s="300"/>
      <c r="M39" s="300"/>
      <c r="N39" s="300"/>
      <c r="O39" s="300"/>
      <c r="P39" s="303"/>
      <c r="Q39" s="300"/>
      <c r="R39" s="243"/>
      <c r="S39" s="243"/>
      <c r="T39" s="243"/>
      <c r="U39" s="243"/>
    </row>
    <row r="40" spans="2:21" ht="12.75" customHeight="1">
      <c r="C40" s="304"/>
      <c r="D40" s="300"/>
      <c r="E40" s="300"/>
      <c r="F40" s="300"/>
      <c r="G40" s="300"/>
      <c r="H40" s="300"/>
      <c r="I40" s="300"/>
      <c r="J40" s="300"/>
      <c r="K40" s="300"/>
      <c r="L40" s="300"/>
      <c r="M40" s="300"/>
      <c r="N40" s="300"/>
      <c r="O40" s="300"/>
      <c r="P40" s="303"/>
      <c r="Q40" s="300"/>
      <c r="R40" s="243"/>
      <c r="S40" s="243"/>
      <c r="T40" s="243"/>
      <c r="U40" s="243"/>
    </row>
    <row r="41" spans="2:21" ht="15.75">
      <c r="B41" s="243"/>
      <c r="C41" s="306" t="s">
        <v>240</v>
      </c>
      <c r="D41" s="307"/>
      <c r="E41" s="307"/>
      <c r="F41" s="307"/>
      <c r="G41" s="307"/>
      <c r="H41" s="307"/>
      <c r="I41" s="307"/>
      <c r="J41" s="307"/>
      <c r="K41" s="307"/>
      <c r="L41" s="307"/>
      <c r="M41" s="307"/>
      <c r="N41" s="307"/>
      <c r="O41" s="307"/>
      <c r="P41" s="301"/>
      <c r="Q41" s="307"/>
      <c r="R41" s="243"/>
      <c r="S41" s="243"/>
      <c r="T41" s="243"/>
      <c r="U41" s="243"/>
    </row>
    <row r="42" spans="2:21" ht="15.75">
      <c r="B42" s="243"/>
      <c r="C42" s="306"/>
      <c r="D42" s="307"/>
      <c r="E42" s="307"/>
      <c r="F42" s="307"/>
      <c r="G42" s="307"/>
      <c r="H42" s="307"/>
      <c r="I42" s="307"/>
      <c r="J42" s="307"/>
      <c r="K42" s="307"/>
      <c r="L42" s="307"/>
      <c r="M42" s="307"/>
      <c r="N42" s="307"/>
      <c r="O42" s="307"/>
      <c r="P42" s="301"/>
      <c r="Q42" s="307"/>
      <c r="R42" s="243"/>
      <c r="S42" s="243"/>
      <c r="T42" s="243"/>
      <c r="U42" s="243"/>
    </row>
    <row r="43" spans="2:21" ht="12.75" customHeight="1">
      <c r="B43" s="243"/>
      <c r="C43" s="236" t="str">
        <f>+S114</f>
        <v xml:space="preserve">   Net Revenue Requirement  (TCOS, ln 117)</v>
      </c>
      <c r="D43" s="307"/>
      <c r="E43" s="307"/>
      <c r="F43" s="301">
        <f>+R114</f>
        <v>219278890.64161724</v>
      </c>
      <c r="G43" s="307"/>
      <c r="H43" s="307"/>
      <c r="I43" s="307"/>
      <c r="J43" s="307"/>
      <c r="K43" s="307"/>
      <c r="L43" s="307"/>
      <c r="M43" s="307"/>
      <c r="N43" s="307"/>
      <c r="O43" s="307"/>
      <c r="P43" s="301"/>
      <c r="Q43" s="307"/>
      <c r="R43" s="243"/>
      <c r="S43" s="243"/>
      <c r="T43" s="243"/>
      <c r="U43" s="243"/>
    </row>
    <row r="44" spans="2:21">
      <c r="B44" s="243"/>
      <c r="C44" s="236" t="str">
        <f>+S115</f>
        <v xml:space="preserve">   Return  (TCOS, ln 112)</v>
      </c>
      <c r="D44" s="307"/>
      <c r="E44" s="307"/>
      <c r="F44" s="308">
        <f>+R115</f>
        <v>100123177.30365525</v>
      </c>
      <c r="G44" s="309"/>
      <c r="H44" s="309"/>
      <c r="I44" s="309"/>
      <c r="J44" s="309"/>
      <c r="K44" s="309"/>
      <c r="L44" s="309"/>
      <c r="M44" s="309"/>
      <c r="N44" s="309"/>
      <c r="O44" s="309"/>
      <c r="P44" s="301"/>
      <c r="Q44" s="307"/>
      <c r="R44" s="243"/>
      <c r="S44" s="243"/>
      <c r="T44" s="243"/>
      <c r="U44" s="243"/>
    </row>
    <row r="45" spans="2:21">
      <c r="B45" s="243"/>
      <c r="C45" s="236" t="str">
        <f>+S116</f>
        <v xml:space="preserve">   Income Taxes  (TCOS, ln 111)</v>
      </c>
      <c r="D45" s="307"/>
      <c r="E45" s="307"/>
      <c r="F45" s="301">
        <f>+R116</f>
        <v>23742930.036808476</v>
      </c>
      <c r="G45" s="307"/>
      <c r="H45" s="307"/>
      <c r="I45" s="310"/>
      <c r="J45" s="310"/>
      <c r="K45" s="310"/>
      <c r="L45" s="310"/>
      <c r="M45" s="310"/>
      <c r="N45" s="310"/>
      <c r="O45" s="307"/>
      <c r="P45" s="307"/>
      <c r="Q45" s="307"/>
      <c r="R45" s="243"/>
      <c r="S45" s="243"/>
      <c r="T45" s="243"/>
      <c r="U45" s="243"/>
    </row>
    <row r="46" spans="2:21">
      <c r="B46" s="243"/>
      <c r="C46" s="311" t="str">
        <f>+S117</f>
        <v xml:space="preserve">  Gross Margin Taxes  (TCOS, ln 116)</v>
      </c>
      <c r="D46" s="307"/>
      <c r="E46" s="307"/>
      <c r="F46" s="312">
        <f>+R117</f>
        <v>0</v>
      </c>
      <c r="G46" s="307"/>
      <c r="H46" s="307"/>
      <c r="I46" s="310"/>
      <c r="J46" s="310"/>
      <c r="K46" s="310"/>
      <c r="L46" s="310"/>
      <c r="M46" s="310"/>
      <c r="N46" s="310"/>
      <c r="O46" s="307"/>
      <c r="P46" s="307"/>
      <c r="Q46" s="307"/>
      <c r="R46" s="243"/>
      <c r="S46" s="243"/>
      <c r="T46" s="243"/>
      <c r="U46" s="243"/>
    </row>
    <row r="47" spans="2:21">
      <c r="B47" s="243"/>
      <c r="C47" s="248" t="s">
        <v>25</v>
      </c>
      <c r="D47" s="307"/>
      <c r="E47" s="307"/>
      <c r="F47" s="308">
        <f>F43-F44-F45-F46</f>
        <v>95412783.301153511</v>
      </c>
      <c r="G47" s="313"/>
      <c r="H47" s="307"/>
      <c r="I47" s="313"/>
      <c r="J47" s="313"/>
      <c r="K47" s="313"/>
      <c r="L47" s="313"/>
      <c r="M47" s="313"/>
      <c r="N47" s="313"/>
      <c r="O47" s="307"/>
      <c r="P47" s="313"/>
      <c r="Q47" s="307"/>
      <c r="R47" s="243"/>
      <c r="S47" s="243"/>
      <c r="T47" s="243"/>
      <c r="U47" s="243"/>
    </row>
    <row r="48" spans="2:21">
      <c r="B48" s="243"/>
      <c r="C48" s="311"/>
      <c r="D48" s="307"/>
      <c r="E48" s="307"/>
      <c r="F48" s="301"/>
      <c r="G48" s="314"/>
      <c r="H48" s="315"/>
      <c r="I48" s="315"/>
      <c r="J48" s="315"/>
      <c r="K48" s="315"/>
      <c r="L48" s="315"/>
      <c r="M48" s="315"/>
      <c r="N48" s="315"/>
      <c r="O48" s="316"/>
      <c r="P48" s="315"/>
      <c r="Q48" s="317"/>
      <c r="R48" s="243"/>
      <c r="S48" s="243"/>
      <c r="T48" s="243"/>
      <c r="U48" s="243"/>
    </row>
    <row r="49" spans="2:21" ht="15.75">
      <c r="B49" s="243"/>
      <c r="C49" s="235" t="str">
        <f>"B.   Determine Net Revenue Requirement with hypothetical "&amp;F13&amp;" basis point increase in ROE."</f>
        <v>B.   Determine Net Revenue Requirement with hypothetical 0 basis point increase in ROE.</v>
      </c>
      <c r="D49" s="316"/>
      <c r="E49" s="316"/>
      <c r="F49" s="301"/>
      <c r="G49" s="314"/>
      <c r="H49" s="315"/>
      <c r="I49" s="315"/>
      <c r="J49" s="315"/>
      <c r="K49" s="315"/>
      <c r="L49" s="315"/>
      <c r="M49" s="315"/>
      <c r="N49" s="315"/>
      <c r="O49" s="316"/>
      <c r="P49" s="315"/>
      <c r="Q49" s="307"/>
      <c r="T49" s="243"/>
      <c r="U49" s="243"/>
    </row>
    <row r="50" spans="2:21" ht="15.75">
      <c r="B50" s="243"/>
      <c r="C50" s="235"/>
      <c r="D50" s="316"/>
      <c r="E50" s="316"/>
      <c r="F50" s="301"/>
      <c r="G50" s="314"/>
      <c r="H50" s="315"/>
      <c r="I50" s="315"/>
      <c r="J50" s="315"/>
      <c r="K50" s="315"/>
      <c r="L50" s="315"/>
      <c r="M50" s="315"/>
      <c r="N50" s="315"/>
      <c r="O50" s="316"/>
      <c r="P50" s="315"/>
      <c r="Q50" s="307"/>
      <c r="T50" s="243"/>
      <c r="U50" s="243"/>
    </row>
    <row r="51" spans="2:21">
      <c r="B51" s="243"/>
      <c r="C51" s="311" t="str">
        <f>C47</f>
        <v xml:space="preserve">   Net Revenue Requirement, Less Return and Taxes</v>
      </c>
      <c r="D51" s="316"/>
      <c r="E51" s="316"/>
      <c r="F51" s="301">
        <f>F47</f>
        <v>95412783.301153511</v>
      </c>
      <c r="G51" s="307"/>
      <c r="H51" s="307"/>
      <c r="I51" s="307"/>
      <c r="J51" s="307"/>
      <c r="K51" s="307"/>
      <c r="L51" s="307"/>
      <c r="M51" s="307"/>
      <c r="N51" s="307"/>
      <c r="O51" s="318"/>
      <c r="P51" s="319"/>
      <c r="Q51" s="320"/>
      <c r="T51" s="243"/>
      <c r="U51" s="243"/>
    </row>
    <row r="52" spans="2:21">
      <c r="B52" s="243"/>
      <c r="C52" s="242" t="s">
        <v>92</v>
      </c>
      <c r="D52" s="321"/>
      <c r="E52" s="248"/>
      <c r="F52" s="322">
        <f>E26</f>
        <v>100123177.30365525</v>
      </c>
      <c r="G52" s="248"/>
      <c r="H52" s="323"/>
      <c r="I52" s="248"/>
      <c r="J52" s="248"/>
      <c r="K52" s="248"/>
      <c r="L52" s="248"/>
      <c r="M52" s="248"/>
      <c r="N52" s="248"/>
      <c r="O52" s="248"/>
      <c r="P52" s="248"/>
      <c r="Q52" s="248"/>
      <c r="T52" s="243"/>
      <c r="U52" s="243"/>
    </row>
    <row r="53" spans="2:21" ht="12.75" customHeight="1">
      <c r="B53" s="243"/>
      <c r="C53" s="236" t="s">
        <v>26</v>
      </c>
      <c r="D53" s="307"/>
      <c r="E53" s="307"/>
      <c r="F53" s="324">
        <f>E36</f>
        <v>23742930.036808476</v>
      </c>
      <c r="G53" s="243"/>
      <c r="H53" s="325"/>
      <c r="I53" s="243"/>
      <c r="J53" s="278"/>
      <c r="K53" s="243"/>
      <c r="L53" s="243"/>
      <c r="M53" s="243"/>
      <c r="N53" s="243"/>
      <c r="O53" s="243"/>
      <c r="P53" s="243"/>
      <c r="Q53" s="243"/>
      <c r="T53" s="243"/>
      <c r="U53" s="243"/>
    </row>
    <row r="54" spans="2:21">
      <c r="B54" s="243"/>
      <c r="C54" s="248" t="str">
        <f>"   Net Revenue Requirement, with "&amp;F13&amp;" Basis Point ROE increase"</f>
        <v xml:space="preserve">   Net Revenue Requirement, with 0 Basis Point ROE increase</v>
      </c>
      <c r="D54" s="292"/>
      <c r="E54" s="243"/>
      <c r="F54" s="326">
        <f>SUM(F51:F53)</f>
        <v>219278890.64161724</v>
      </c>
      <c r="G54" s="243"/>
      <c r="H54" s="325"/>
      <c r="I54" s="243"/>
      <c r="J54" s="278"/>
      <c r="K54" s="243"/>
      <c r="L54" s="243"/>
      <c r="M54" s="243"/>
      <c r="N54" s="243"/>
      <c r="O54" s="243"/>
      <c r="P54" s="243"/>
      <c r="Q54" s="243"/>
      <c r="R54" s="243"/>
      <c r="S54" s="243"/>
      <c r="T54" s="243"/>
      <c r="U54" s="243"/>
    </row>
    <row r="55" spans="2:21">
      <c r="B55" s="243"/>
      <c r="C55" s="299" t="str">
        <f>"   Gross Margin Tax with "&amp;F13&amp;" Basis Point ROE Increase (II C. below)"</f>
        <v xml:space="preserve">   Gross Margin Tax with 0 Basis Point ROE Increase (II C. below)</v>
      </c>
      <c r="D55" s="327"/>
      <c r="E55" s="327"/>
      <c r="F55" s="328">
        <f>+F70</f>
        <v>0</v>
      </c>
      <c r="G55" s="243"/>
      <c r="H55" s="325"/>
      <c r="I55" s="243"/>
      <c r="J55" s="278"/>
      <c r="K55" s="243"/>
      <c r="L55" s="243"/>
      <c r="M55" s="243"/>
      <c r="N55" s="243"/>
      <c r="O55" s="243"/>
      <c r="P55" s="243"/>
      <c r="Q55" s="243"/>
      <c r="R55" s="243"/>
      <c r="S55" s="243"/>
      <c r="T55" s="243"/>
      <c r="U55" s="243"/>
    </row>
    <row r="56" spans="2:21">
      <c r="B56" s="243"/>
      <c r="C56" s="248" t="s">
        <v>27</v>
      </c>
      <c r="D56" s="292"/>
      <c r="E56" s="243"/>
      <c r="F56" s="298">
        <f>+F54+F55</f>
        <v>219278890.64161724</v>
      </c>
      <c r="G56" s="243"/>
      <c r="H56" s="325"/>
      <c r="I56" s="243"/>
      <c r="J56" s="278"/>
      <c r="K56" s="243"/>
      <c r="L56" s="243"/>
      <c r="M56" s="243"/>
      <c r="N56" s="243"/>
      <c r="O56" s="243"/>
      <c r="P56" s="243"/>
      <c r="Q56" s="243"/>
      <c r="R56" s="243"/>
      <c r="S56" s="243"/>
      <c r="T56" s="243"/>
      <c r="U56" s="243"/>
    </row>
    <row r="57" spans="2:21">
      <c r="B57" s="243"/>
      <c r="C57" s="236" t="str">
        <f>+S118</f>
        <v xml:space="preserve">   Less: Depreciation  (TCOS, ln 86)</v>
      </c>
      <c r="D57" s="292"/>
      <c r="E57" s="243"/>
      <c r="F57" s="329">
        <f>+R118</f>
        <v>56419974.384473599</v>
      </c>
      <c r="G57" s="243"/>
      <c r="H57" s="325"/>
      <c r="I57" s="243"/>
      <c r="J57" s="278"/>
      <c r="K57" s="243"/>
      <c r="L57" s="243"/>
      <c r="M57" s="243"/>
      <c r="N57" s="243"/>
      <c r="O57" s="243"/>
      <c r="P57" s="243"/>
      <c r="Q57" s="243"/>
      <c r="R57" s="243"/>
      <c r="S57" s="243"/>
      <c r="T57" s="243"/>
      <c r="U57" s="243"/>
    </row>
    <row r="58" spans="2:21">
      <c r="B58" s="243"/>
      <c r="C58" s="248" t="str">
        <f>"   Net Rev. Req, w/"&amp;F13&amp;" Basis Point ROE increase, less Depreciation"</f>
        <v xml:space="preserve">   Net Rev. Req, w/0 Basis Point ROE increase, less Depreciation</v>
      </c>
      <c r="D58" s="292"/>
      <c r="E58" s="243"/>
      <c r="F58" s="326">
        <f>F56-F57</f>
        <v>162858916.25714365</v>
      </c>
      <c r="G58" s="243"/>
      <c r="H58" s="325"/>
      <c r="I58" s="243"/>
      <c r="J58" s="278"/>
      <c r="K58" s="243"/>
      <c r="L58" s="243"/>
      <c r="M58" s="243"/>
      <c r="N58" s="243"/>
      <c r="O58" s="243"/>
      <c r="P58" s="243"/>
      <c r="Q58" s="243"/>
      <c r="R58" s="243"/>
      <c r="S58" s="243"/>
      <c r="T58" s="243"/>
      <c r="U58" s="243"/>
    </row>
    <row r="59" spans="2:21">
      <c r="B59" s="243"/>
      <c r="C59" s="243"/>
      <c r="D59" s="292"/>
      <c r="E59" s="243"/>
      <c r="F59" s="243"/>
      <c r="G59" s="243"/>
      <c r="H59" s="325"/>
      <c r="I59" s="243"/>
      <c r="J59" s="278"/>
      <c r="K59" s="243"/>
      <c r="L59" s="243"/>
      <c r="M59" s="243"/>
      <c r="N59" s="243"/>
      <c r="O59" s="243"/>
      <c r="P59" s="243"/>
      <c r="Q59" s="243"/>
      <c r="R59" s="243"/>
      <c r="S59" s="243"/>
      <c r="T59" s="243"/>
      <c r="U59" s="243"/>
    </row>
    <row r="60" spans="2:21" ht="15.75">
      <c r="B60" s="244"/>
      <c r="C60" s="306" t="str">
        <f>"C.   Determine Gross Margin Tax with hypothetical "&amp;F13&amp;" basis point increase in ROE."</f>
        <v>C.   Determine Gross Margin Tax with hypothetical 0 basis point increase in ROE.</v>
      </c>
      <c r="D60" s="330"/>
      <c r="E60" s="330"/>
      <c r="F60" s="331"/>
      <c r="G60" s="244"/>
      <c r="H60" s="332"/>
      <c r="I60" s="244"/>
      <c r="J60" s="278"/>
      <c r="K60" s="243"/>
      <c r="L60" s="243"/>
      <c r="M60" s="243"/>
      <c r="N60" s="243"/>
      <c r="O60" s="243"/>
      <c r="P60" s="243"/>
      <c r="Q60" s="243"/>
      <c r="R60" s="243"/>
      <c r="S60" s="243"/>
      <c r="T60" s="243"/>
      <c r="U60" s="243"/>
    </row>
    <row r="61" spans="2:21">
      <c r="B61" s="244"/>
      <c r="C61" s="299" t="str">
        <f>"   Net Revenue Requirement before Gross Margin Taxes, with "&amp;F13&amp;" "</f>
        <v xml:space="preserve">   Net Revenue Requirement before Gross Margin Taxes, with 0 </v>
      </c>
      <c r="D61" s="330"/>
      <c r="E61" s="330"/>
      <c r="F61" s="331">
        <f>+F54</f>
        <v>219278890.64161724</v>
      </c>
      <c r="G61" s="244"/>
      <c r="H61" s="332"/>
      <c r="I61" s="244"/>
      <c r="J61" s="278"/>
      <c r="K61" s="243"/>
      <c r="L61" s="243"/>
      <c r="M61" s="243"/>
      <c r="N61" s="243"/>
      <c r="O61" s="243"/>
      <c r="P61" s="243"/>
      <c r="Q61" s="243"/>
      <c r="R61" s="243"/>
      <c r="S61" s="243"/>
      <c r="T61" s="243"/>
      <c r="U61" s="243"/>
    </row>
    <row r="62" spans="2:21">
      <c r="B62" s="244"/>
      <c r="C62" s="299" t="s">
        <v>28</v>
      </c>
      <c r="D62" s="330"/>
      <c r="E62" s="330"/>
      <c r="F62" s="331"/>
      <c r="G62" s="244"/>
      <c r="H62" s="332"/>
      <c r="I62" s="244"/>
      <c r="J62" s="278"/>
      <c r="K62" s="243"/>
      <c r="L62" s="243"/>
      <c r="M62" s="243"/>
      <c r="N62" s="243"/>
      <c r="O62" s="243"/>
      <c r="P62" s="243"/>
      <c r="Q62" s="243"/>
      <c r="R62" s="243"/>
      <c r="S62" s="243"/>
      <c r="T62" s="243"/>
      <c r="U62" s="243"/>
    </row>
    <row r="63" spans="2:21">
      <c r="B63" s="244"/>
      <c r="C63" s="248" t="str">
        <f>+S119</f>
        <v xml:space="preserve">       Apportionment Factor to Texas (Worksheet K, ln 12)</v>
      </c>
      <c r="D63" s="333"/>
      <c r="E63" s="244"/>
      <c r="F63" s="334">
        <f>+R119</f>
        <v>0</v>
      </c>
      <c r="G63" s="244"/>
      <c r="H63" s="332"/>
      <c r="I63" s="244"/>
      <c r="J63" s="278"/>
      <c r="K63" s="243"/>
      <c r="L63" s="243"/>
      <c r="M63" s="243"/>
      <c r="N63" s="243"/>
      <c r="O63" s="243"/>
      <c r="P63" s="243"/>
      <c r="Q63" s="243"/>
      <c r="R63" s="243"/>
      <c r="S63" s="243"/>
      <c r="T63" s="243"/>
      <c r="U63" s="243"/>
    </row>
    <row r="64" spans="2:21">
      <c r="B64" s="244"/>
      <c r="C64" s="248" t="s">
        <v>29</v>
      </c>
      <c r="D64" s="333"/>
      <c r="E64" s="244"/>
      <c r="F64" s="331">
        <f>+F61*F63</f>
        <v>0</v>
      </c>
      <c r="G64" s="244"/>
      <c r="H64" s="332"/>
      <c r="I64" s="244"/>
      <c r="J64" s="278"/>
      <c r="K64" s="243"/>
      <c r="L64" s="243"/>
      <c r="M64" s="243"/>
      <c r="N64" s="243"/>
      <c r="O64" s="243"/>
      <c r="P64" s="243"/>
      <c r="Q64" s="243"/>
      <c r="R64" s="243"/>
      <c r="S64" s="243"/>
      <c r="T64" s="243"/>
      <c r="U64" s="243"/>
    </row>
    <row r="65" spans="2:21">
      <c r="B65" s="244"/>
      <c r="C65" s="248" t="s">
        <v>257</v>
      </c>
      <c r="D65" s="333"/>
      <c r="E65" s="244"/>
      <c r="F65" s="335">
        <v>0.22</v>
      </c>
      <c r="G65" s="244"/>
      <c r="H65" s="332"/>
      <c r="I65" s="244"/>
      <c r="J65" s="278"/>
      <c r="K65" s="243"/>
      <c r="L65" s="243"/>
      <c r="M65" s="243"/>
      <c r="N65" s="243"/>
      <c r="O65" s="243"/>
      <c r="P65" s="243"/>
      <c r="Q65" s="243"/>
      <c r="R65" s="243"/>
      <c r="S65" s="243"/>
      <c r="T65" s="243"/>
      <c r="U65" s="243"/>
    </row>
    <row r="66" spans="2:21">
      <c r="B66" s="244"/>
      <c r="C66" s="248" t="s">
        <v>30</v>
      </c>
      <c r="D66" s="333"/>
      <c r="E66" s="244"/>
      <c r="F66" s="331">
        <f>+F64*F65</f>
        <v>0</v>
      </c>
      <c r="G66" s="244"/>
      <c r="H66" s="332"/>
      <c r="I66" s="244"/>
      <c r="J66" s="278"/>
      <c r="K66" s="243"/>
      <c r="L66" s="243"/>
      <c r="M66" s="243"/>
      <c r="N66" s="243"/>
      <c r="O66" s="243"/>
      <c r="P66" s="243"/>
      <c r="Q66" s="243"/>
      <c r="R66" s="243"/>
      <c r="S66" s="243"/>
      <c r="T66" s="243"/>
      <c r="U66" s="243"/>
    </row>
    <row r="67" spans="2:21">
      <c r="B67" s="244"/>
      <c r="C67" s="248" t="s">
        <v>31</v>
      </c>
      <c r="D67" s="333"/>
      <c r="E67" s="244"/>
      <c r="F67" s="335">
        <v>0.01</v>
      </c>
      <c r="G67" s="244"/>
      <c r="H67" s="332"/>
      <c r="I67" s="244"/>
      <c r="J67" s="278"/>
      <c r="K67" s="243"/>
      <c r="L67" s="243"/>
      <c r="M67" s="243"/>
      <c r="N67" s="243"/>
      <c r="O67" s="243"/>
      <c r="P67" s="243"/>
      <c r="Q67" s="243"/>
      <c r="R67" s="243"/>
      <c r="S67" s="243"/>
      <c r="T67" s="243"/>
      <c r="U67" s="243"/>
    </row>
    <row r="68" spans="2:21">
      <c r="B68" s="244"/>
      <c r="C68" s="248" t="s">
        <v>32</v>
      </c>
      <c r="D68" s="333"/>
      <c r="E68" s="244"/>
      <c r="F68" s="331">
        <f>+F66*F67</f>
        <v>0</v>
      </c>
      <c r="G68" s="244"/>
      <c r="H68" s="332"/>
      <c r="I68" s="244"/>
      <c r="J68" s="278"/>
      <c r="K68" s="243"/>
      <c r="L68" s="243"/>
      <c r="M68" s="243"/>
      <c r="N68" s="243"/>
      <c r="O68" s="243"/>
      <c r="P68" s="243"/>
      <c r="Q68" s="243"/>
      <c r="R68" s="243"/>
      <c r="S68" s="243"/>
      <c r="T68" s="243"/>
      <c r="U68" s="243"/>
    </row>
    <row r="69" spans="2:21">
      <c r="B69" s="244"/>
      <c r="C69" s="248" t="s">
        <v>33</v>
      </c>
      <c r="D69" s="333"/>
      <c r="E69" s="244"/>
      <c r="F69" s="336">
        <f>+ROUND((F68*F65*F63)/(1-F67)*F67,0)</f>
        <v>0</v>
      </c>
      <c r="G69" s="244"/>
      <c r="H69" s="332"/>
      <c r="I69" s="244"/>
      <c r="J69" s="278"/>
      <c r="K69" s="243"/>
      <c r="L69" s="243"/>
      <c r="M69" s="243"/>
      <c r="N69" s="243"/>
      <c r="O69" s="243"/>
      <c r="P69" s="243"/>
      <c r="Q69" s="243"/>
      <c r="R69" s="243"/>
      <c r="S69" s="243"/>
      <c r="T69" s="243"/>
      <c r="U69" s="243"/>
    </row>
    <row r="70" spans="2:21">
      <c r="B70" s="244"/>
      <c r="C70" s="248" t="s">
        <v>34</v>
      </c>
      <c r="D70" s="333"/>
      <c r="E70" s="244"/>
      <c r="F70" s="331">
        <f>+F68+F69</f>
        <v>0</v>
      </c>
      <c r="G70" s="244"/>
      <c r="H70" s="332"/>
      <c r="I70" s="244"/>
      <c r="J70" s="278"/>
      <c r="K70" s="243"/>
      <c r="L70" s="243"/>
      <c r="M70" s="243"/>
      <c r="N70" s="243"/>
      <c r="O70" s="243"/>
      <c r="P70" s="243"/>
      <c r="Q70" s="243"/>
      <c r="R70" s="243"/>
      <c r="S70" s="243"/>
      <c r="T70" s="243"/>
      <c r="U70" s="243"/>
    </row>
    <row r="71" spans="2:21">
      <c r="B71" s="243"/>
      <c r="C71" s="243"/>
      <c r="D71" s="292"/>
      <c r="E71" s="243"/>
      <c r="F71" s="243"/>
      <c r="G71" s="243"/>
      <c r="H71" s="325"/>
      <c r="I71" s="243"/>
      <c r="J71" s="278"/>
      <c r="K71" s="243"/>
      <c r="L71" s="243"/>
      <c r="M71" s="243"/>
      <c r="N71" s="243"/>
      <c r="O71" s="243"/>
      <c r="P71" s="243"/>
      <c r="Q71" s="243"/>
      <c r="R71" s="243"/>
      <c r="S71" s="243"/>
      <c r="T71" s="243"/>
      <c r="U71" s="243"/>
    </row>
    <row r="72" spans="2:21" ht="15.75">
      <c r="B72" s="243"/>
      <c r="C72" s="235" t="str">
        <f>"D.   Determine FCR with hypothetical "&amp;F13&amp;" basis point ROE increase."</f>
        <v>D.   Determine FCR with hypothetical 0 basis point ROE increase.</v>
      </c>
      <c r="D72" s="292"/>
      <c r="E72" s="243"/>
      <c r="F72" s="243"/>
      <c r="G72" s="243"/>
      <c r="H72" s="325"/>
      <c r="I72" s="243"/>
      <c r="J72" s="278"/>
      <c r="K72" s="243"/>
      <c r="L72" s="243"/>
      <c r="M72" s="243"/>
      <c r="N72" s="243"/>
      <c r="O72" s="243"/>
      <c r="P72" s="243"/>
      <c r="Q72" s="243"/>
      <c r="R72" s="243"/>
      <c r="S72" s="243"/>
      <c r="T72" s="243"/>
      <c r="U72" s="243"/>
    </row>
    <row r="73" spans="2:21">
      <c r="B73" s="243"/>
      <c r="C73" s="236" t="str">
        <f>+S120</f>
        <v xml:space="preserve">   Net Transmission Plant  (TCOS, ln 37)</v>
      </c>
      <c r="D73" s="292"/>
      <c r="E73" s="243"/>
      <c r="F73" s="326">
        <f>+R120</f>
        <v>1429444235.5539079</v>
      </c>
      <c r="G73" s="337"/>
      <c r="H73" s="212"/>
      <c r="J73" s="220"/>
      <c r="P73" s="243"/>
      <c r="Q73" s="243"/>
      <c r="R73" s="243"/>
      <c r="S73" s="243"/>
      <c r="T73" s="243"/>
      <c r="U73" s="325"/>
    </row>
    <row r="74" spans="2:21">
      <c r="B74" s="243"/>
      <c r="C74" s="248" t="str">
        <f>"   Net Revenue Requirement, with "&amp;F13&amp;" Basis Point ROE increase"</f>
        <v xml:space="preserve">   Net Revenue Requirement, with 0 Basis Point ROE increase</v>
      </c>
      <c r="D74" s="292"/>
      <c r="E74" s="243"/>
      <c r="F74" s="338">
        <f>F54</f>
        <v>219278890.64161724</v>
      </c>
      <c r="H74" s="212"/>
      <c r="J74" s="220"/>
      <c r="P74" s="243"/>
      <c r="Q74" s="243"/>
      <c r="R74" s="243"/>
      <c r="S74" s="243"/>
      <c r="T74" s="243"/>
      <c r="U74" s="325"/>
    </row>
    <row r="75" spans="2:21">
      <c r="B75" s="243"/>
      <c r="C75" s="248" t="str">
        <f>"   FCR with "&amp;F13&amp;" Basis Point increase in ROE"</f>
        <v xml:space="preserve">   FCR with 0 Basis Point increase in ROE</v>
      </c>
      <c r="D75" s="292"/>
      <c r="E75" s="243"/>
      <c r="F75" s="339">
        <f>IF(F73=0,0,F74/F73)</f>
        <v>0.15340150051858928</v>
      </c>
      <c r="H75" s="212"/>
      <c r="J75" s="220"/>
      <c r="P75" s="243"/>
      <c r="Q75" s="243"/>
      <c r="R75" s="243"/>
      <c r="S75" s="243"/>
      <c r="T75" s="243"/>
      <c r="U75" s="325"/>
    </row>
    <row r="76" spans="2:21">
      <c r="B76" s="243"/>
      <c r="D76" s="292"/>
      <c r="E76" s="243"/>
      <c r="F76" s="244"/>
      <c r="H76" s="212"/>
      <c r="J76" s="220"/>
      <c r="P76" s="243"/>
      <c r="Q76" s="243"/>
      <c r="R76" s="243"/>
      <c r="S76" s="243"/>
      <c r="T76" s="243"/>
      <c r="U76" s="325"/>
    </row>
    <row r="77" spans="2:21">
      <c r="B77" s="243"/>
      <c r="C77" s="248" t="str">
        <f>"   Net Rev. Req, w / "&amp;F13&amp;" Basis Point ROE increase, less Dep."</f>
        <v xml:space="preserve">   Net Rev. Req, w / 0 Basis Point ROE increase, less Dep.</v>
      </c>
      <c r="D77" s="292"/>
      <c r="E77" s="243"/>
      <c r="F77" s="326">
        <f>F58</f>
        <v>162858916.25714365</v>
      </c>
      <c r="G77" s="337"/>
      <c r="H77" s="212"/>
      <c r="J77" s="220"/>
      <c r="P77" s="243"/>
      <c r="Q77" s="243"/>
      <c r="R77" s="243"/>
      <c r="S77" s="243"/>
      <c r="T77" s="243"/>
      <c r="U77" s="325"/>
    </row>
    <row r="78" spans="2:21">
      <c r="B78" s="243"/>
      <c r="C78" s="248" t="str">
        <f>"   FCR with "&amp;F13&amp;" Basis Point ROE increase, less Depreciation"</f>
        <v xml:space="preserve">   FCR with 0 Basis Point ROE increase, less Depreciation</v>
      </c>
      <c r="D78" s="292"/>
      <c r="E78" s="243"/>
      <c r="F78" s="339">
        <f>IF(F73=0,0,F77/F73)</f>
        <v>0.11393163315254198</v>
      </c>
      <c r="G78" s="339"/>
      <c r="H78" s="212"/>
      <c r="J78" s="220"/>
      <c r="P78" s="243"/>
      <c r="Q78" s="243"/>
      <c r="R78" s="243"/>
      <c r="S78" s="243"/>
      <c r="T78" s="243"/>
      <c r="U78" s="325"/>
    </row>
    <row r="79" spans="2:21">
      <c r="B79" s="243"/>
      <c r="C79" s="236" t="str">
        <f>+S121</f>
        <v xml:space="preserve">   FCR less Depreciation  (TCOS, ln 10)</v>
      </c>
      <c r="D79" s="292"/>
      <c r="E79" s="243"/>
      <c r="F79" s="340">
        <f>+R121</f>
        <v>0.11393163315254198</v>
      </c>
      <c r="H79" s="212"/>
      <c r="J79" s="220"/>
      <c r="P79" s="243"/>
      <c r="Q79" s="243"/>
      <c r="R79" s="243"/>
      <c r="S79" s="243"/>
      <c r="T79" s="243"/>
      <c r="U79" s="325"/>
    </row>
    <row r="80" spans="2:21">
      <c r="B80" s="243"/>
      <c r="C80" s="679" t="str">
        <f>"   Incremental FCR with "&amp;F13&amp;" Basis Point ROE increase, less Depreciation"</f>
        <v xml:space="preserve">   Incremental FCR with 0 Basis Point ROE increase, less Depreciation</v>
      </c>
      <c r="D80" s="678"/>
      <c r="E80" s="678"/>
      <c r="F80" s="339">
        <f>F78-F79</f>
        <v>0</v>
      </c>
      <c r="H80" s="212"/>
      <c r="J80" s="220"/>
      <c r="P80" s="243"/>
      <c r="Q80" s="243"/>
      <c r="R80" s="243"/>
      <c r="S80" s="243"/>
      <c r="T80" s="243"/>
      <c r="U80" s="325"/>
    </row>
    <row r="81" spans="2:21">
      <c r="B81" s="243"/>
      <c r="C81" s="678"/>
      <c r="D81" s="678"/>
      <c r="E81" s="678"/>
      <c r="F81" s="339"/>
      <c r="G81" s="243"/>
      <c r="H81" s="325"/>
      <c r="I81" s="243"/>
      <c r="J81" s="278"/>
      <c r="K81" s="243"/>
      <c r="L81" s="243"/>
      <c r="M81" s="243"/>
      <c r="N81" s="243"/>
      <c r="O81" s="243"/>
      <c r="P81" s="243"/>
      <c r="Q81" s="243"/>
      <c r="R81" s="243"/>
      <c r="S81" s="243"/>
      <c r="T81" s="243"/>
      <c r="U81" s="243"/>
    </row>
    <row r="82" spans="2:21" ht="18.75">
      <c r="B82" s="233" t="s">
        <v>35</v>
      </c>
      <c r="C82" s="305" t="s">
        <v>36</v>
      </c>
      <c r="D82" s="292"/>
      <c r="E82" s="243"/>
      <c r="F82" s="339"/>
      <c r="G82" s="243"/>
      <c r="H82" s="325"/>
      <c r="I82" s="243"/>
      <c r="J82" s="278"/>
      <c r="K82" s="243"/>
      <c r="L82" s="243"/>
      <c r="M82" s="243"/>
      <c r="N82" s="243"/>
      <c r="O82" s="243"/>
      <c r="P82" s="243"/>
      <c r="Q82" s="243"/>
      <c r="R82" s="243"/>
      <c r="S82" s="243"/>
      <c r="T82" s="243"/>
      <c r="U82" s="243"/>
    </row>
    <row r="83" spans="2:21" ht="12.75" customHeight="1">
      <c r="B83" s="233"/>
      <c r="C83" s="248" t="s">
        <v>37</v>
      </c>
      <c r="D83" s="292"/>
      <c r="F83" s="332">
        <f>R122</f>
        <v>1642262449.28018</v>
      </c>
      <c r="G83" s="243" t="s">
        <v>241</v>
      </c>
      <c r="H83" s="325"/>
      <c r="I83" s="670" t="s">
        <v>259</v>
      </c>
      <c r="J83" s="670"/>
      <c r="K83" s="670"/>
      <c r="L83" s="670"/>
      <c r="M83" s="670"/>
      <c r="N83" s="670"/>
      <c r="O83" s="243"/>
      <c r="P83" s="243"/>
      <c r="Q83" s="243"/>
      <c r="R83" s="243"/>
      <c r="S83" s="243"/>
      <c r="T83" s="243"/>
      <c r="U83" s="243"/>
    </row>
    <row r="84" spans="2:21" ht="12.75" customHeight="1">
      <c r="B84" s="233"/>
      <c r="C84" s="248" t="s">
        <v>38</v>
      </c>
      <c r="D84" s="292"/>
      <c r="F84" s="341">
        <f>R123</f>
        <v>1822633576.34266</v>
      </c>
      <c r="G84" s="243" t="s">
        <v>241</v>
      </c>
      <c r="H84" s="325"/>
      <c r="I84" s="670"/>
      <c r="J84" s="670"/>
      <c r="K84" s="670"/>
      <c r="L84" s="670"/>
      <c r="M84" s="670"/>
      <c r="N84" s="670"/>
      <c r="O84" s="243"/>
      <c r="P84" s="243"/>
      <c r="Q84" s="243"/>
      <c r="R84" s="243"/>
      <c r="S84" s="243"/>
      <c r="T84" s="243"/>
      <c r="U84" s="243"/>
    </row>
    <row r="85" spans="2:21">
      <c r="B85" s="243"/>
      <c r="C85" s="248"/>
      <c r="D85" s="292"/>
      <c r="F85" s="325">
        <f>SUM(F83:F84)</f>
        <v>3464896025.6228399</v>
      </c>
      <c r="G85" s="326"/>
      <c r="H85" s="325"/>
      <c r="I85" s="670"/>
      <c r="J85" s="670"/>
      <c r="K85" s="670"/>
      <c r="L85" s="670"/>
      <c r="M85" s="670"/>
      <c r="N85" s="670"/>
      <c r="O85" s="243"/>
      <c r="P85" s="243"/>
      <c r="Q85" s="243"/>
      <c r="R85" s="243"/>
      <c r="S85" s="243"/>
      <c r="T85" s="243"/>
      <c r="U85" s="243"/>
    </row>
    <row r="86" spans="2:21">
      <c r="B86" s="243"/>
      <c r="C86" s="248" t="str">
        <f>S124</f>
        <v>Transmission Plant Average Balance for 2022</v>
      </c>
      <c r="D86" s="333"/>
      <c r="E86" s="152"/>
      <c r="F86" s="342">
        <f>+F85/2</f>
        <v>1732448012.81142</v>
      </c>
      <c r="G86" s="343"/>
      <c r="H86" s="325"/>
      <c r="I86" s="670"/>
      <c r="J86" s="670"/>
      <c r="K86" s="670"/>
      <c r="L86" s="670"/>
      <c r="M86" s="670"/>
      <c r="N86" s="670"/>
      <c r="O86" s="243"/>
      <c r="P86" s="243"/>
      <c r="Q86" s="243"/>
      <c r="R86" s="243"/>
      <c r="S86" s="243"/>
      <c r="T86" s="243"/>
      <c r="U86" s="243"/>
    </row>
    <row r="87" spans="2:21">
      <c r="B87" s="243"/>
      <c r="C87" s="236" t="str">
        <f>S125</f>
        <v>Annual Depreciation Expense  (Historic TCOS, ln 259)</v>
      </c>
      <c r="D87" s="333"/>
      <c r="E87" s="244"/>
      <c r="F87" s="342">
        <f>R125</f>
        <v>56419974.384473599</v>
      </c>
      <c r="G87" s="243"/>
      <c r="H87" s="325"/>
      <c r="I87" s="670"/>
      <c r="J87" s="670"/>
      <c r="K87" s="670"/>
      <c r="L87" s="670"/>
      <c r="M87" s="670"/>
      <c r="N87" s="670"/>
      <c r="O87" s="243"/>
      <c r="P87" s="243"/>
      <c r="Q87" s="243"/>
      <c r="R87" s="243"/>
      <c r="S87" s="243"/>
      <c r="T87" s="243"/>
      <c r="U87" s="243"/>
    </row>
    <row r="88" spans="2:21">
      <c r="B88" s="243"/>
      <c r="C88" s="248" t="s">
        <v>39</v>
      </c>
      <c r="D88" s="292"/>
      <c r="E88" s="243"/>
      <c r="F88" s="344">
        <f>F87/F86</f>
        <v>3.2566619008044667E-2</v>
      </c>
      <c r="G88" s="243"/>
      <c r="H88" s="345"/>
      <c r="I88" s="670"/>
      <c r="J88" s="670"/>
      <c r="K88" s="670"/>
      <c r="L88" s="670"/>
      <c r="M88" s="670"/>
      <c r="N88" s="670"/>
      <c r="O88" s="243"/>
      <c r="P88" s="243"/>
      <c r="Q88" s="243"/>
      <c r="R88" s="243"/>
      <c r="S88" s="243"/>
      <c r="T88" s="243"/>
      <c r="U88" s="243"/>
    </row>
    <row r="89" spans="2:21">
      <c r="B89" s="243"/>
      <c r="C89" s="248" t="s">
        <v>40</v>
      </c>
      <c r="D89" s="292"/>
      <c r="E89" s="243"/>
      <c r="F89" s="346">
        <f>IF(F88=0,0,1/F88)</f>
        <v>30.706288538978459</v>
      </c>
      <c r="H89" s="325"/>
      <c r="I89" s="243"/>
      <c r="J89" s="278"/>
      <c r="K89" s="243"/>
      <c r="L89" s="243"/>
      <c r="M89" s="243"/>
      <c r="N89" s="243"/>
      <c r="O89" s="243"/>
      <c r="P89" s="243"/>
      <c r="Q89" s="243"/>
      <c r="R89" s="243"/>
      <c r="S89" s="243"/>
      <c r="T89" s="243"/>
      <c r="U89" s="243"/>
    </row>
    <row r="90" spans="2:21">
      <c r="B90" s="243"/>
      <c r="C90" s="248" t="s">
        <v>41</v>
      </c>
      <c r="D90" s="292"/>
      <c r="E90" s="243"/>
      <c r="F90" s="347">
        <f>ROUND(F89,0)</f>
        <v>31</v>
      </c>
      <c r="G90" s="243"/>
      <c r="H90" s="325"/>
      <c r="I90" s="243"/>
      <c r="J90" s="278"/>
      <c r="K90" s="243"/>
      <c r="L90" s="243"/>
      <c r="M90" s="243"/>
      <c r="N90" s="243"/>
      <c r="O90" s="243"/>
      <c r="P90" s="243"/>
      <c r="Q90" s="243"/>
      <c r="R90" s="243"/>
      <c r="S90" s="243"/>
      <c r="T90" s="243"/>
      <c r="U90" s="243"/>
    </row>
    <row r="91" spans="2:21">
      <c r="C91" s="348"/>
      <c r="D91" s="349"/>
      <c r="E91" s="349"/>
      <c r="F91" s="349"/>
      <c r="G91" s="294"/>
      <c r="H91" s="294"/>
      <c r="I91" s="350"/>
      <c r="J91" s="350"/>
      <c r="K91" s="350"/>
      <c r="L91" s="350"/>
      <c r="M91" s="350"/>
      <c r="N91" s="350"/>
      <c r="O91" s="278"/>
      <c r="P91" s="278"/>
      <c r="Q91" s="243"/>
      <c r="R91" s="243"/>
      <c r="S91" s="243"/>
      <c r="T91" s="243"/>
      <c r="U91" s="243"/>
    </row>
    <row r="92" spans="2:21">
      <c r="C92" s="348"/>
      <c r="D92" s="349"/>
      <c r="E92" s="349"/>
      <c r="F92" s="349"/>
      <c r="G92" s="294"/>
      <c r="H92" s="294"/>
      <c r="I92" s="350"/>
      <c r="J92" s="350"/>
      <c r="K92" s="350"/>
      <c r="L92" s="350"/>
      <c r="M92" s="350"/>
      <c r="N92" s="350"/>
      <c r="O92" s="278"/>
      <c r="P92" s="278"/>
      <c r="Q92" s="243"/>
      <c r="R92" s="243"/>
      <c r="S92" s="243"/>
      <c r="T92" s="243"/>
      <c r="U92" s="243"/>
    </row>
    <row r="93" spans="2:21">
      <c r="J93" s="220"/>
      <c r="P93" s="243"/>
      <c r="Q93" s="243"/>
      <c r="R93" s="243"/>
      <c r="S93" s="243"/>
      <c r="T93" s="243"/>
      <c r="U93" s="243"/>
    </row>
    <row r="94" spans="2:21">
      <c r="J94" s="220"/>
      <c r="P94" s="243"/>
      <c r="Q94" s="243"/>
      <c r="R94" s="351" t="s">
        <v>111</v>
      </c>
      <c r="S94" s="145" t="s">
        <v>112</v>
      </c>
      <c r="U94" s="243"/>
    </row>
    <row r="95" spans="2:21">
      <c r="J95" s="220"/>
      <c r="P95" s="243"/>
      <c r="Q95" s="243"/>
      <c r="U95" s="243"/>
    </row>
    <row r="96" spans="2:21">
      <c r="C96" s="232" t="s">
        <v>108</v>
      </c>
      <c r="J96" s="220"/>
      <c r="L96" s="232" t="s">
        <v>107</v>
      </c>
      <c r="P96" s="243"/>
      <c r="Q96" s="243"/>
      <c r="U96" s="243"/>
    </row>
    <row r="97" spans="10:21">
      <c r="J97" s="220"/>
      <c r="P97" s="243"/>
      <c r="Q97" s="243"/>
      <c r="R97" s="351" t="s">
        <v>102</v>
      </c>
      <c r="S97" s="352" t="s">
        <v>250</v>
      </c>
      <c r="U97" s="243"/>
    </row>
    <row r="98" spans="10:21">
      <c r="J98" s="220"/>
      <c r="P98" s="243"/>
      <c r="Q98" s="243"/>
      <c r="R98" s="351"/>
      <c r="S98" s="200" t="s">
        <v>106</v>
      </c>
      <c r="U98" s="243"/>
    </row>
    <row r="99" spans="10:21" ht="13.5" thickBot="1">
      <c r="J99" s="220"/>
      <c r="P99" s="243"/>
      <c r="Q99" s="243"/>
      <c r="R99" s="353" t="s">
        <v>184</v>
      </c>
      <c r="U99" s="243"/>
    </row>
    <row r="100" spans="10:21">
      <c r="J100" s="220"/>
      <c r="P100" s="243"/>
      <c r="Q100" s="243"/>
      <c r="R100" s="354" t="s">
        <v>126</v>
      </c>
      <c r="S100" s="355" t="s">
        <v>127</v>
      </c>
      <c r="U100" s="243"/>
    </row>
    <row r="101" spans="10:21">
      <c r="J101" s="220"/>
      <c r="P101" s="243"/>
      <c r="Q101" s="243"/>
      <c r="R101" s="356">
        <v>2024</v>
      </c>
      <c r="S101" s="357" t="s">
        <v>285</v>
      </c>
      <c r="T101" s="243"/>
      <c r="U101" s="243"/>
    </row>
    <row r="102" spans="10:21">
      <c r="J102" s="220"/>
      <c r="P102" s="243"/>
      <c r="Q102" s="243"/>
      <c r="R102" s="358">
        <v>0.105</v>
      </c>
      <c r="S102" s="357" t="s">
        <v>270</v>
      </c>
      <c r="T102" s="243"/>
      <c r="U102" s="243"/>
    </row>
    <row r="103" spans="10:21">
      <c r="J103" s="220"/>
      <c r="P103" s="243"/>
      <c r="Q103" s="243"/>
      <c r="R103" s="359">
        <v>0</v>
      </c>
      <c r="S103" s="357" t="s">
        <v>1</v>
      </c>
      <c r="T103" s="243"/>
      <c r="U103" s="243"/>
    </row>
    <row r="104" spans="10:21">
      <c r="J104" s="220"/>
      <c r="P104" s="243"/>
      <c r="Q104" s="243"/>
      <c r="R104" s="360">
        <v>0.45519469284092023</v>
      </c>
      <c r="S104" s="361" t="s">
        <v>97</v>
      </c>
      <c r="T104" s="243"/>
      <c r="U104" s="243"/>
    </row>
    <row r="105" spans="10:21">
      <c r="J105" s="220"/>
      <c r="P105" s="243"/>
      <c r="Q105" s="243"/>
      <c r="R105" s="360">
        <v>4.4706801132216041E-2</v>
      </c>
      <c r="S105" s="361" t="s">
        <v>98</v>
      </c>
      <c r="T105" s="243"/>
      <c r="U105" s="243"/>
    </row>
    <row r="106" spans="10:21">
      <c r="J106" s="220"/>
      <c r="P106" s="243"/>
      <c r="Q106" s="243"/>
      <c r="R106" s="360">
        <v>0</v>
      </c>
      <c r="S106" s="361" t="s">
        <v>99</v>
      </c>
      <c r="T106" s="243"/>
      <c r="U106" s="243"/>
    </row>
    <row r="107" spans="10:21">
      <c r="J107" s="220"/>
      <c r="P107" s="243"/>
      <c r="Q107" s="243"/>
      <c r="R107" s="360">
        <v>0</v>
      </c>
      <c r="S107" s="361" t="s">
        <v>100</v>
      </c>
      <c r="T107" s="243"/>
      <c r="U107" s="243"/>
    </row>
    <row r="108" spans="10:21">
      <c r="J108" s="220"/>
      <c r="P108" s="243"/>
      <c r="Q108" s="243"/>
      <c r="R108" s="360">
        <v>0.54480530715907971</v>
      </c>
      <c r="S108" s="362" t="s">
        <v>101</v>
      </c>
      <c r="T108" s="243"/>
      <c r="U108" s="243"/>
    </row>
    <row r="109" spans="10:21">
      <c r="J109" s="220"/>
      <c r="P109" s="243"/>
      <c r="Q109" s="243"/>
      <c r="R109" s="363">
        <v>1290998174.0295737</v>
      </c>
      <c r="S109" s="364" t="s">
        <v>271</v>
      </c>
      <c r="T109" s="243"/>
      <c r="U109" s="243"/>
    </row>
    <row r="110" spans="10:21">
      <c r="J110" s="220"/>
      <c r="P110" s="243"/>
      <c r="Q110" s="243"/>
      <c r="R110" s="365">
        <v>0.24041499999999993</v>
      </c>
      <c r="S110" s="366" t="s">
        <v>272</v>
      </c>
      <c r="T110" s="243"/>
      <c r="U110" s="243"/>
    </row>
    <row r="111" spans="10:21">
      <c r="J111" s="220"/>
      <c r="P111" s="243"/>
      <c r="Q111" s="243"/>
      <c r="R111" s="367">
        <v>0</v>
      </c>
      <c r="S111" s="366" t="s">
        <v>273</v>
      </c>
      <c r="T111" s="243"/>
      <c r="U111" s="243"/>
    </row>
    <row r="112" spans="10:21">
      <c r="J112" s="220"/>
      <c r="P112" s="243"/>
      <c r="Q112" s="243"/>
      <c r="R112" s="367">
        <v>80522.998206826509</v>
      </c>
      <c r="S112" s="366" t="s">
        <v>274</v>
      </c>
      <c r="T112" s="243"/>
      <c r="U112" s="243"/>
    </row>
    <row r="113" spans="3:21">
      <c r="J113" s="220"/>
      <c r="P113" s="243"/>
      <c r="Q113" s="243"/>
      <c r="R113" s="367">
        <v>287955.05993404292</v>
      </c>
      <c r="S113" s="366" t="s">
        <v>286</v>
      </c>
      <c r="T113" s="243"/>
      <c r="U113" s="243"/>
    </row>
    <row r="114" spans="3:21">
      <c r="C114" s="243"/>
      <c r="D114" s="292"/>
      <c r="E114" s="243"/>
      <c r="F114" s="243"/>
      <c r="G114" s="243"/>
      <c r="H114" s="325"/>
      <c r="I114" s="243"/>
      <c r="J114" s="278"/>
      <c r="K114" s="243"/>
      <c r="L114" s="243"/>
      <c r="M114" s="243"/>
      <c r="P114" s="243"/>
      <c r="Q114" s="243"/>
      <c r="R114" s="367">
        <v>219278890.64161724</v>
      </c>
      <c r="S114" s="366" t="s">
        <v>276</v>
      </c>
      <c r="T114" s="243"/>
      <c r="U114" s="243"/>
    </row>
    <row r="115" spans="3:21">
      <c r="C115" s="243"/>
      <c r="D115" s="292"/>
      <c r="E115" s="243"/>
      <c r="F115" s="243"/>
      <c r="G115" s="243"/>
      <c r="H115" s="325"/>
      <c r="I115" s="243"/>
      <c r="J115" s="278"/>
      <c r="K115" s="243"/>
      <c r="L115" s="243"/>
      <c r="M115" s="243"/>
      <c r="P115" s="243"/>
      <c r="Q115" s="243"/>
      <c r="R115" s="367">
        <v>100123177.30365525</v>
      </c>
      <c r="S115" s="366" t="s">
        <v>277</v>
      </c>
      <c r="T115" s="243"/>
      <c r="U115" s="243"/>
    </row>
    <row r="116" spans="3:21">
      <c r="C116" s="243"/>
      <c r="D116" s="292"/>
      <c r="E116" s="243"/>
      <c r="F116" s="243"/>
      <c r="G116" s="243"/>
      <c r="H116" s="325"/>
      <c r="I116" s="243"/>
      <c r="J116" s="278"/>
      <c r="K116" s="243"/>
      <c r="L116" s="243"/>
      <c r="M116" s="243"/>
      <c r="P116" s="243"/>
      <c r="Q116" s="243"/>
      <c r="R116" s="367">
        <v>23742930.036808476</v>
      </c>
      <c r="S116" s="366" t="s">
        <v>278</v>
      </c>
      <c r="T116" s="243"/>
      <c r="U116" s="243"/>
    </row>
    <row r="117" spans="3:21">
      <c r="C117" s="243"/>
      <c r="D117" s="292"/>
      <c r="E117" s="243"/>
      <c r="F117" s="243"/>
      <c r="G117" s="243"/>
      <c r="H117" s="325"/>
      <c r="I117" s="243"/>
      <c r="J117" s="278"/>
      <c r="K117" s="243"/>
      <c r="L117" s="243"/>
      <c r="M117" s="243"/>
      <c r="P117" s="243"/>
      <c r="Q117" s="243"/>
      <c r="R117" s="367">
        <v>0</v>
      </c>
      <c r="S117" s="366" t="s">
        <v>279</v>
      </c>
      <c r="T117" s="243"/>
      <c r="U117" s="243"/>
    </row>
    <row r="118" spans="3:21">
      <c r="C118" s="243"/>
      <c r="D118" s="292"/>
      <c r="E118" s="243"/>
      <c r="F118" s="243"/>
      <c r="G118" s="243"/>
      <c r="H118" s="325"/>
      <c r="I118" s="243"/>
      <c r="J118" s="278"/>
      <c r="K118" s="243"/>
      <c r="L118" s="243"/>
      <c r="M118" s="243"/>
      <c r="P118" s="243"/>
      <c r="Q118" s="243"/>
      <c r="R118" s="367">
        <v>56419974.384473599</v>
      </c>
      <c r="S118" s="366" t="s">
        <v>280</v>
      </c>
      <c r="T118" s="243"/>
      <c r="U118" s="243"/>
    </row>
    <row r="119" spans="3:21">
      <c r="C119" s="243"/>
      <c r="D119" s="292"/>
      <c r="E119" s="243"/>
      <c r="F119" s="243"/>
      <c r="G119" s="243"/>
      <c r="H119" s="325"/>
      <c r="I119" s="243"/>
      <c r="J119" s="278"/>
      <c r="K119" s="243"/>
      <c r="L119" s="243"/>
      <c r="M119" s="243"/>
      <c r="P119" s="243"/>
      <c r="Q119" s="243"/>
      <c r="R119" s="368">
        <v>0</v>
      </c>
      <c r="S119" s="366" t="s">
        <v>104</v>
      </c>
      <c r="T119" s="243"/>
      <c r="U119" s="243"/>
    </row>
    <row r="120" spans="3:21">
      <c r="C120" s="243"/>
      <c r="D120" s="292"/>
      <c r="E120" s="243"/>
      <c r="F120" s="243"/>
      <c r="G120" s="243"/>
      <c r="H120" s="325"/>
      <c r="I120" s="243"/>
      <c r="J120" s="278"/>
      <c r="K120" s="243"/>
      <c r="L120" s="243"/>
      <c r="M120" s="243"/>
      <c r="P120" s="243"/>
      <c r="Q120" s="243"/>
      <c r="R120" s="367">
        <v>1429444235.5539079</v>
      </c>
      <c r="S120" s="366" t="s">
        <v>281</v>
      </c>
      <c r="T120" s="243"/>
      <c r="U120" s="243"/>
    </row>
    <row r="121" spans="3:21">
      <c r="C121" s="243"/>
      <c r="D121" s="292"/>
      <c r="E121" s="243"/>
      <c r="F121" s="243"/>
      <c r="G121" s="243"/>
      <c r="H121" s="325"/>
      <c r="I121" s="243"/>
      <c r="J121" s="278"/>
      <c r="K121" s="243"/>
      <c r="L121" s="243"/>
      <c r="M121" s="243"/>
      <c r="P121" s="243"/>
      <c r="Q121" s="243"/>
      <c r="R121" s="368">
        <v>0.11393163315254198</v>
      </c>
      <c r="S121" s="369" t="s">
        <v>282</v>
      </c>
      <c r="T121" s="243"/>
      <c r="U121" s="243"/>
    </row>
    <row r="122" spans="3:21">
      <c r="C122" s="243"/>
      <c r="D122" s="292"/>
      <c r="E122" s="243"/>
      <c r="F122" s="243"/>
      <c r="G122" s="243"/>
      <c r="H122" s="325"/>
      <c r="I122" s="243"/>
      <c r="J122" s="278"/>
      <c r="K122" s="243"/>
      <c r="L122" s="243"/>
      <c r="M122" s="243"/>
      <c r="P122" s="243"/>
      <c r="Q122" s="243"/>
      <c r="R122" s="370">
        <v>1642262449.28018</v>
      </c>
      <c r="S122" s="361" t="s">
        <v>37</v>
      </c>
      <c r="T122" s="243"/>
      <c r="U122" s="243"/>
    </row>
    <row r="123" spans="3:21">
      <c r="C123" s="243"/>
      <c r="D123" s="292"/>
      <c r="E123" s="243"/>
      <c r="F123" s="243"/>
      <c r="G123" s="243"/>
      <c r="H123" s="325"/>
      <c r="I123" s="243"/>
      <c r="J123" s="278"/>
      <c r="K123" s="243"/>
      <c r="L123" s="243"/>
      <c r="M123" s="243"/>
      <c r="P123" s="243"/>
      <c r="Q123" s="243"/>
      <c r="R123" s="371">
        <v>1822633576.34266</v>
      </c>
      <c r="S123" s="362" t="s">
        <v>38</v>
      </c>
      <c r="T123" s="243"/>
      <c r="U123" s="243"/>
    </row>
    <row r="124" spans="3:21">
      <c r="C124" s="243"/>
      <c r="D124" s="292"/>
      <c r="E124" s="243"/>
      <c r="F124" s="243"/>
      <c r="G124" s="243"/>
      <c r="H124" s="325"/>
      <c r="I124" s="243"/>
      <c r="J124" s="278"/>
      <c r="K124" s="243"/>
      <c r="L124" s="243"/>
      <c r="M124" s="243"/>
      <c r="N124" s="243"/>
      <c r="P124" s="243"/>
      <c r="Q124" s="243"/>
      <c r="R124" s="371">
        <v>1707663954.5173135</v>
      </c>
      <c r="S124" s="372" t="s">
        <v>319</v>
      </c>
      <c r="T124" s="373"/>
      <c r="U124" s="243"/>
    </row>
    <row r="125" spans="3:21" ht="13.5" thickBot="1">
      <c r="C125" s="243"/>
      <c r="D125" s="292"/>
      <c r="E125" s="243"/>
      <c r="F125" s="243"/>
      <c r="G125" s="243"/>
      <c r="H125" s="325"/>
      <c r="I125" s="243"/>
      <c r="J125" s="278"/>
      <c r="K125" s="243"/>
      <c r="L125" s="243"/>
      <c r="M125" s="243"/>
      <c r="N125" s="243"/>
      <c r="P125" s="243"/>
      <c r="Q125" s="243"/>
      <c r="R125" s="374">
        <v>56419974.384473599</v>
      </c>
      <c r="S125" s="375" t="s">
        <v>258</v>
      </c>
      <c r="T125" s="243"/>
      <c r="U125" s="243"/>
    </row>
    <row r="126" spans="3:21">
      <c r="C126" s="243"/>
      <c r="D126" s="292"/>
      <c r="E126" s="243"/>
      <c r="F126" s="243"/>
      <c r="G126" s="243"/>
      <c r="H126" s="325"/>
      <c r="I126" s="243"/>
      <c r="J126" s="278"/>
      <c r="K126" s="243"/>
      <c r="L126" s="243"/>
      <c r="M126" s="243"/>
      <c r="N126" s="243"/>
      <c r="P126" s="243"/>
      <c r="Q126" s="243"/>
      <c r="R126" s="243"/>
      <c r="S126" s="243"/>
      <c r="T126" s="243"/>
      <c r="U126" s="243"/>
    </row>
    <row r="127" spans="3:21">
      <c r="C127" s="243"/>
      <c r="D127" s="292"/>
      <c r="E127" s="243"/>
      <c r="F127" s="243"/>
      <c r="G127" s="243"/>
      <c r="H127" s="325"/>
      <c r="I127" s="243"/>
      <c r="J127" s="278"/>
      <c r="K127" s="243"/>
      <c r="L127" s="243"/>
      <c r="M127" s="243"/>
      <c r="N127" s="243"/>
      <c r="P127" s="243"/>
      <c r="Q127" s="243"/>
      <c r="R127" s="351" t="s">
        <v>103</v>
      </c>
      <c r="S127" s="243" t="s">
        <v>115</v>
      </c>
      <c r="T127" s="376"/>
      <c r="U127" s="343"/>
    </row>
    <row r="128" spans="3:21" ht="13.5" thickBot="1">
      <c r="C128" s="248"/>
      <c r="D128" s="321"/>
      <c r="E128" s="248"/>
      <c r="F128" s="248"/>
      <c r="G128" s="248"/>
      <c r="H128" s="323"/>
      <c r="I128" s="243"/>
      <c r="J128" s="278"/>
      <c r="K128" s="243"/>
      <c r="L128" s="243"/>
      <c r="M128" s="243"/>
      <c r="N128" s="243"/>
      <c r="P128" s="243"/>
      <c r="Q128" s="243"/>
      <c r="R128" s="353" t="s">
        <v>185</v>
      </c>
      <c r="S128" s="243"/>
      <c r="T128" s="376"/>
      <c r="U128" s="343"/>
    </row>
    <row r="129" spans="3:21">
      <c r="C129" s="248"/>
      <c r="D129" s="321"/>
      <c r="E129" s="248"/>
      <c r="F129" s="248"/>
      <c r="G129" s="248"/>
      <c r="H129" s="323"/>
      <c r="I129" s="243"/>
      <c r="J129" s="278"/>
      <c r="K129" s="243"/>
      <c r="L129" s="243"/>
      <c r="M129" s="243"/>
      <c r="N129" s="243"/>
      <c r="P129" s="243"/>
      <c r="Q129" s="243"/>
      <c r="R129" s="377">
        <f>+M19</f>
        <v>40054011.42980317</v>
      </c>
      <c r="S129" s="243" t="str">
        <f>+K19&amp;" "&amp;M17</f>
        <v>PROJECTED YEAR Rev Require</v>
      </c>
      <c r="T129" s="376"/>
      <c r="U129" s="343"/>
    </row>
    <row r="130" spans="3:21">
      <c r="C130" s="248"/>
      <c r="D130" s="321"/>
      <c r="E130" s="248"/>
      <c r="F130" s="248"/>
      <c r="G130" s="248"/>
      <c r="H130" s="323"/>
      <c r="I130" s="243"/>
      <c r="J130" s="278"/>
      <c r="K130" s="243"/>
      <c r="L130" s="243"/>
      <c r="M130" s="243"/>
      <c r="N130" s="243"/>
      <c r="O130" s="243"/>
      <c r="P130" s="243"/>
      <c r="Q130" s="243"/>
      <c r="R130" s="378">
        <f>+N19</f>
        <v>40054011.42980317</v>
      </c>
      <c r="S130" s="243" t="str">
        <f>K19&amp;" "&amp;N17</f>
        <v>PROJECTED YEAR  W Incentives</v>
      </c>
      <c r="T130" s="243"/>
      <c r="U130" s="243"/>
    </row>
    <row r="131" spans="3:21" ht="13.5" thickBot="1">
      <c r="C131" s="248"/>
      <c r="D131" s="321"/>
      <c r="E131" s="248"/>
      <c r="F131" s="248"/>
      <c r="G131" s="248"/>
      <c r="H131" s="323"/>
      <c r="I131" s="243"/>
      <c r="J131" s="278"/>
      <c r="K131" s="243"/>
      <c r="L131" s="243"/>
      <c r="M131" s="243"/>
      <c r="N131" s="243"/>
      <c r="O131" s="243"/>
      <c r="P131" s="243"/>
      <c r="Q131" s="243"/>
      <c r="R131" s="379">
        <f>+O19</f>
        <v>0</v>
      </c>
      <c r="S131" s="243" t="str">
        <f>K19&amp;" "&amp;O17</f>
        <v>PROJECTED YEAR Incentive Amounts</v>
      </c>
      <c r="T131" s="243"/>
      <c r="U131" s="243"/>
    </row>
    <row r="132" spans="3:21">
      <c r="C132" s="248"/>
      <c r="D132" s="321"/>
      <c r="E132" s="248"/>
      <c r="F132" s="248"/>
      <c r="G132" s="248"/>
      <c r="H132" s="323"/>
      <c r="I132" s="243"/>
      <c r="J132" s="278"/>
      <c r="K132" s="243"/>
      <c r="L132" s="243"/>
      <c r="M132" s="243"/>
      <c r="N132" s="243"/>
      <c r="O132" s="243"/>
      <c r="P132" s="243"/>
      <c r="Q132" s="243"/>
      <c r="R132" s="243"/>
      <c r="S132" s="243"/>
      <c r="T132" s="243"/>
      <c r="U132" s="243"/>
    </row>
    <row r="133" spans="3:21" ht="12.75" customHeight="1">
      <c r="R133" s="243"/>
      <c r="S133" s="243"/>
    </row>
    <row r="134" spans="3:21" ht="12.75" customHeight="1">
      <c r="R134" s="351" t="s">
        <v>113</v>
      </c>
      <c r="S134" s="352" t="s">
        <v>114</v>
      </c>
    </row>
  </sheetData>
  <mergeCells count="9">
    <mergeCell ref="I83:N88"/>
    <mergeCell ref="K15:O16"/>
    <mergeCell ref="C8:H8"/>
    <mergeCell ref="C80:E81"/>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horizontalDpi="1200" verticalDpi="1200"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8"/>
  <dimension ref="A1:P163"/>
  <sheetViews>
    <sheetView zoomScale="85" zoomScaleNormal="85"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17 of 24</v>
      </c>
    </row>
    <row r="2" spans="1:16" ht="18">
      <c r="B2" s="243"/>
      <c r="C2" s="243"/>
      <c r="D2" s="292"/>
      <c r="E2" s="243"/>
      <c r="F2" s="243"/>
      <c r="G2" s="243"/>
      <c r="H2" s="325"/>
      <c r="I2" s="243"/>
      <c r="J2" s="278"/>
      <c r="K2" s="243"/>
      <c r="L2" s="243"/>
      <c r="M2" s="243"/>
      <c r="N2" s="243"/>
      <c r="P2" s="441" t="s">
        <v>131</v>
      </c>
    </row>
    <row r="3" spans="1:16" ht="18.75">
      <c r="B3" s="233" t="s">
        <v>42</v>
      </c>
      <c r="C3" s="305" t="s">
        <v>43</v>
      </c>
      <c r="D3" s="292"/>
      <c r="E3" s="243"/>
      <c r="F3" s="243"/>
      <c r="G3" s="243"/>
      <c r="H3" s="325"/>
      <c r="I3" s="325"/>
      <c r="J3" s="294"/>
      <c r="K3" s="325"/>
      <c r="L3" s="325"/>
      <c r="M3" s="325"/>
      <c r="N3" s="325"/>
      <c r="O3" s="243"/>
      <c r="P3" s="577">
        <v>1</v>
      </c>
    </row>
    <row r="4" spans="1:16" ht="15.75" thickBot="1">
      <c r="C4" s="304"/>
      <c r="D4" s="292"/>
      <c r="E4" s="243"/>
      <c r="F4" s="243"/>
      <c r="G4" s="243"/>
      <c r="H4" s="325"/>
      <c r="I4" s="325"/>
      <c r="J4" s="294"/>
      <c r="K4" s="325"/>
      <c r="L4" s="325"/>
      <c r="M4" s="325"/>
      <c r="N4" s="325"/>
      <c r="O4" s="243"/>
      <c r="P4" s="243"/>
    </row>
    <row r="5" spans="1:16" ht="15">
      <c r="C5" s="443" t="s">
        <v>44</v>
      </c>
      <c r="D5" s="292"/>
      <c r="E5" s="243"/>
      <c r="F5" s="243"/>
      <c r="G5" s="444"/>
      <c r="H5" s="243" t="s">
        <v>45</v>
      </c>
      <c r="I5" s="243"/>
      <c r="J5" s="278"/>
      <c r="K5" s="445" t="s">
        <v>242</v>
      </c>
      <c r="L5" s="446"/>
      <c r="M5" s="447"/>
      <c r="N5" s="448">
        <f>VLOOKUP(I10,C17:I73,5)</f>
        <v>10973662.187251475</v>
      </c>
      <c r="P5" s="243"/>
    </row>
    <row r="6" spans="1:16" ht="15.75">
      <c r="C6" s="235"/>
      <c r="D6" s="292"/>
      <c r="E6" s="243"/>
      <c r="F6" s="243"/>
      <c r="G6" s="243"/>
      <c r="H6" s="449"/>
      <c r="I6" s="449"/>
      <c r="J6" s="450"/>
      <c r="K6" s="451" t="s">
        <v>243</v>
      </c>
      <c r="L6" s="452"/>
      <c r="M6" s="278"/>
      <c r="N6" s="453">
        <f>VLOOKUP(I10,C17:I73,6)</f>
        <v>10973662.187251475</v>
      </c>
      <c r="O6" s="243"/>
      <c r="P6" s="243"/>
    </row>
    <row r="7" spans="1:16" ht="13.5" thickBot="1">
      <c r="C7" s="454" t="s">
        <v>46</v>
      </c>
      <c r="D7" s="637" t="s">
        <v>247</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262</v>
      </c>
      <c r="E9" s="646" t="s">
        <v>296</v>
      </c>
      <c r="F9" s="465"/>
      <c r="G9" s="465"/>
      <c r="H9" s="465"/>
      <c r="I9" s="466"/>
      <c r="J9" s="467"/>
      <c r="O9" s="468"/>
      <c r="P9" s="278"/>
    </row>
    <row r="10" spans="1:16">
      <c r="C10" s="469" t="s">
        <v>49</v>
      </c>
      <c r="D10" s="470">
        <v>88160625.260000005</v>
      </c>
      <c r="E10" s="299" t="s">
        <v>50</v>
      </c>
      <c r="F10" s="468"/>
      <c r="G10" s="408"/>
      <c r="H10" s="408"/>
      <c r="I10" s="471">
        <f>+'OKT.WS.F.BPU.ATRR.Projected'!R101</f>
        <v>2024</v>
      </c>
      <c r="J10" s="467"/>
      <c r="K10" s="294" t="s">
        <v>51</v>
      </c>
      <c r="O10" s="278"/>
      <c r="P10" s="278"/>
    </row>
    <row r="11" spans="1:16">
      <c r="C11" s="472" t="s">
        <v>52</v>
      </c>
      <c r="D11" s="473">
        <v>2017</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c r="C12" s="472" t="s">
        <v>54</v>
      </c>
      <c r="D12" s="470">
        <v>12</v>
      </c>
      <c r="E12" s="472" t="s">
        <v>55</v>
      </c>
      <c r="F12" s="408"/>
      <c r="G12" s="220"/>
      <c r="H12" s="220"/>
      <c r="I12" s="476">
        <f>'OKT.WS.F.BPU.ATRR.Projected'!$F$79</f>
        <v>0.11393163315254198</v>
      </c>
      <c r="J12" s="413"/>
      <c r="K12" s="145" t="s">
        <v>56</v>
      </c>
      <c r="O12" s="278"/>
      <c r="P12" s="278"/>
    </row>
    <row r="13" spans="1:16">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row>
    <row r="14" spans="1:16" ht="13.5" thickBot="1">
      <c r="C14" s="472" t="s">
        <v>60</v>
      </c>
      <c r="D14" s="473" t="s">
        <v>61</v>
      </c>
      <c r="E14" s="278" t="s">
        <v>62</v>
      </c>
      <c r="F14" s="408"/>
      <c r="G14" s="220"/>
      <c r="H14" s="220"/>
      <c r="I14" s="477">
        <f>IF(D10=0,0,D10/D13)</f>
        <v>2843891.1374193551</v>
      </c>
      <c r="J14" s="294"/>
      <c r="K14" s="294"/>
      <c r="L14" s="294"/>
      <c r="M14" s="294"/>
      <c r="N14" s="294"/>
      <c r="O14" s="278"/>
      <c r="P14" s="278"/>
    </row>
    <row r="15" spans="1:16"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c r="B17" s="145" t="str">
        <f t="shared" ref="B17:B71" si="0">IF(D17=F16,"","IU")</f>
        <v>IU</v>
      </c>
      <c r="C17" s="495">
        <f>IF(D11= "","-",D11)</f>
        <v>2017</v>
      </c>
      <c r="D17" s="612">
        <v>0</v>
      </c>
      <c r="E17" s="620">
        <v>0</v>
      </c>
      <c r="F17" s="612">
        <v>82823000</v>
      </c>
      <c r="G17" s="620">
        <v>4552779.1652027937</v>
      </c>
      <c r="H17" s="617">
        <v>4552779.1652027937</v>
      </c>
      <c r="I17" s="500">
        <f t="shared" ref="I17:I71" si="1">H17-G17</f>
        <v>0</v>
      </c>
      <c r="J17" s="500"/>
      <c r="K17" s="501">
        <f t="shared" ref="K17:K22" si="2">+G17</f>
        <v>4552779.1652027937</v>
      </c>
      <c r="L17" s="503">
        <f t="shared" ref="L17:L71" si="3">IF(K17&lt;&gt;0,+G17-K17,0)</f>
        <v>0</v>
      </c>
      <c r="M17" s="501">
        <f t="shared" ref="M17:M22" si="4">+H17</f>
        <v>4552779.1652027937</v>
      </c>
      <c r="N17" s="503">
        <f t="shared" ref="N17:N71" si="5">IF(M17&lt;&gt;0,+H17-M17,0)</f>
        <v>0</v>
      </c>
      <c r="O17" s="504">
        <f t="shared" ref="O17:O71" si="6">+N17-L17</f>
        <v>0</v>
      </c>
      <c r="P17" s="278"/>
    </row>
    <row r="18" spans="2:16">
      <c r="B18" s="145" t="str">
        <f t="shared" si="0"/>
        <v/>
      </c>
      <c r="C18" s="495">
        <f>IF(D11="","-",+C17+1)</f>
        <v>2018</v>
      </c>
      <c r="D18" s="614">
        <v>82823000</v>
      </c>
      <c r="E18" s="613">
        <v>2031199.4497102054</v>
      </c>
      <c r="F18" s="614">
        <v>80791800.550289795</v>
      </c>
      <c r="G18" s="613">
        <v>10344766.031909464</v>
      </c>
      <c r="H18" s="617">
        <v>10344766.031909464</v>
      </c>
      <c r="I18" s="500">
        <f t="shared" si="1"/>
        <v>0</v>
      </c>
      <c r="J18" s="500"/>
      <c r="K18" s="592">
        <f t="shared" si="2"/>
        <v>10344766.031909464</v>
      </c>
      <c r="L18" s="596">
        <f t="shared" si="3"/>
        <v>0</v>
      </c>
      <c r="M18" s="592">
        <f t="shared" si="4"/>
        <v>10344766.031909464</v>
      </c>
      <c r="N18" s="504">
        <f t="shared" si="5"/>
        <v>0</v>
      </c>
      <c r="O18" s="504">
        <f t="shared" si="6"/>
        <v>0</v>
      </c>
      <c r="P18" s="278"/>
    </row>
    <row r="19" spans="2:16">
      <c r="B19" s="145" t="str">
        <f t="shared" si="0"/>
        <v/>
      </c>
      <c r="C19" s="495">
        <f>IF(D11="","-",+C18+1)</f>
        <v>2019</v>
      </c>
      <c r="D19" s="614">
        <v>80791800.550289795</v>
      </c>
      <c r="E19" s="613">
        <v>2456434.6786346282</v>
      </c>
      <c r="F19" s="614">
        <v>78335365.871655166</v>
      </c>
      <c r="G19" s="613">
        <v>10725952.439931182</v>
      </c>
      <c r="H19" s="617">
        <v>10725952.439931182</v>
      </c>
      <c r="I19" s="500">
        <f t="shared" si="1"/>
        <v>0</v>
      </c>
      <c r="J19" s="500"/>
      <c r="K19" s="592">
        <f t="shared" si="2"/>
        <v>10725952.439931182</v>
      </c>
      <c r="L19" s="596">
        <f t="shared" ref="L19" si="7">IF(K19&lt;&gt;0,+G19-K19,0)</f>
        <v>0</v>
      </c>
      <c r="M19" s="592">
        <f t="shared" si="4"/>
        <v>10725952.439931182</v>
      </c>
      <c r="N19" s="504">
        <f t="shared" ref="N19" si="8">IF(M19&lt;&gt;0,+H19-M19,0)</f>
        <v>0</v>
      </c>
      <c r="O19" s="504">
        <f t="shared" ref="O19" si="9">+N19-L19</f>
        <v>0</v>
      </c>
      <c r="P19" s="278"/>
    </row>
    <row r="20" spans="2:16">
      <c r="B20" s="145" t="str">
        <f t="shared" si="0"/>
        <v>IU</v>
      </c>
      <c r="C20" s="495">
        <f>IF(D11="","-",+C19+1)</f>
        <v>2020</v>
      </c>
      <c r="D20" s="614">
        <v>84194797.10057959</v>
      </c>
      <c r="E20" s="613">
        <v>2584327.8381604804</v>
      </c>
      <c r="F20" s="614">
        <v>81610469.262419105</v>
      </c>
      <c r="G20" s="613">
        <v>11283505.602105767</v>
      </c>
      <c r="H20" s="617">
        <v>11283505.602105767</v>
      </c>
      <c r="I20" s="500">
        <f t="shared" si="1"/>
        <v>0</v>
      </c>
      <c r="J20" s="500"/>
      <c r="K20" s="592">
        <f t="shared" si="2"/>
        <v>11283505.602105767</v>
      </c>
      <c r="L20" s="596">
        <f t="shared" ref="L20" si="10">IF(K20&lt;&gt;0,+G20-K20,0)</f>
        <v>0</v>
      </c>
      <c r="M20" s="592">
        <f t="shared" si="4"/>
        <v>11283505.602105767</v>
      </c>
      <c r="N20" s="504">
        <f t="shared" si="5"/>
        <v>0</v>
      </c>
      <c r="O20" s="504">
        <f t="shared" si="6"/>
        <v>0</v>
      </c>
      <c r="P20" s="278"/>
    </row>
    <row r="21" spans="2:16">
      <c r="B21" s="145" t="str">
        <f t="shared" si="0"/>
        <v>IU</v>
      </c>
      <c r="C21" s="495">
        <f>IF(D11="","-",+C20+1)</f>
        <v>2021</v>
      </c>
      <c r="D21" s="614">
        <v>80497433.033494681</v>
      </c>
      <c r="E21" s="613">
        <v>2824819.1935483869</v>
      </c>
      <c r="F21" s="614">
        <v>77672613.8399463</v>
      </c>
      <c r="G21" s="613">
        <v>11380637.767430846</v>
      </c>
      <c r="H21" s="617">
        <v>11380637.767430846</v>
      </c>
      <c r="I21" s="500">
        <f t="shared" si="1"/>
        <v>0</v>
      </c>
      <c r="J21" s="500"/>
      <c r="K21" s="592">
        <f t="shared" si="2"/>
        <v>11380637.767430846</v>
      </c>
      <c r="L21" s="596">
        <f t="shared" ref="L21" si="11">IF(K21&lt;&gt;0,+G21-K21,0)</f>
        <v>0</v>
      </c>
      <c r="M21" s="592">
        <f t="shared" si="4"/>
        <v>11380637.767430846</v>
      </c>
      <c r="N21" s="504">
        <f t="shared" si="5"/>
        <v>0</v>
      </c>
      <c r="O21" s="504">
        <f t="shared" si="6"/>
        <v>0</v>
      </c>
      <c r="P21" s="278"/>
    </row>
    <row r="22" spans="2:16">
      <c r="B22" s="145" t="str">
        <f t="shared" si="0"/>
        <v>IU</v>
      </c>
      <c r="C22" s="580">
        <f>IF(D11="","-",+C21+1)</f>
        <v>2022</v>
      </c>
      <c r="D22" s="614">
        <v>77782697.8399463</v>
      </c>
      <c r="E22" s="613">
        <v>2656953.9090909092</v>
      </c>
      <c r="F22" s="614">
        <v>75125743.930855393</v>
      </c>
      <c r="G22" s="613">
        <v>11430746.557201277</v>
      </c>
      <c r="H22" s="617">
        <v>11430746.557201277</v>
      </c>
      <c r="I22" s="500">
        <f t="shared" si="1"/>
        <v>0</v>
      </c>
      <c r="J22" s="500"/>
      <c r="K22" s="592">
        <f t="shared" si="2"/>
        <v>11430746.557201277</v>
      </c>
      <c r="L22" s="596">
        <f t="shared" ref="L22" si="12">IF(K22&lt;&gt;0,+G22-K22,0)</f>
        <v>0</v>
      </c>
      <c r="M22" s="592">
        <f t="shared" si="4"/>
        <v>11430746.557201277</v>
      </c>
      <c r="N22" s="504">
        <f t="shared" si="5"/>
        <v>0</v>
      </c>
      <c r="O22" s="504">
        <f t="shared" si="6"/>
        <v>0</v>
      </c>
      <c r="P22" s="278"/>
    </row>
    <row r="23" spans="2:16">
      <c r="B23" s="145" t="str">
        <f t="shared" si="0"/>
        <v>IU</v>
      </c>
      <c r="C23" s="495">
        <f>IF(D11="","-",+C22+1)</f>
        <v>2023</v>
      </c>
      <c r="D23" s="614">
        <v>75125743.920855403</v>
      </c>
      <c r="E23" s="613">
        <v>2828370.2900000005</v>
      </c>
      <c r="F23" s="614">
        <v>72297373.630855396</v>
      </c>
      <c r="G23" s="613">
        <v>11160198.227597371</v>
      </c>
      <c r="H23" s="617">
        <v>11160198.227597371</v>
      </c>
      <c r="I23" s="500">
        <f t="shared" si="1"/>
        <v>0</v>
      </c>
      <c r="J23" s="500"/>
      <c r="K23" s="512"/>
      <c r="L23" s="504">
        <f t="shared" si="3"/>
        <v>0</v>
      </c>
      <c r="M23" s="512"/>
      <c r="N23" s="504">
        <f t="shared" si="5"/>
        <v>0</v>
      </c>
      <c r="O23" s="504">
        <f t="shared" si="6"/>
        <v>0</v>
      </c>
      <c r="P23" s="278"/>
    </row>
    <row r="24" spans="2:16">
      <c r="B24" s="145" t="str">
        <f t="shared" si="0"/>
        <v>IU</v>
      </c>
      <c r="C24" s="495">
        <f>IF(D11="","-",+C23+1)</f>
        <v>2024</v>
      </c>
      <c r="D24" s="508">
        <f>IF(F23+SUM(E$17:E23)=D$10,F23,D$10-SUM(E$17:E23))</f>
        <v>72778519.900855392</v>
      </c>
      <c r="E24" s="509">
        <f t="shared" ref="E24:E49" si="13">IF(+I$14&lt;F23,I$14,D24)</f>
        <v>2843891.1374193551</v>
      </c>
      <c r="F24" s="510">
        <f t="shared" ref="F24:F71" si="14">+D24-E24</f>
        <v>69934628.763436034</v>
      </c>
      <c r="G24" s="511">
        <f t="shared" ref="G24:G71" si="15">(D24+F24)/2*I$12+E24</f>
        <v>10973662.187251475</v>
      </c>
      <c r="H24" s="477">
        <f t="shared" ref="H24:H71" si="16">+(D24+F24)/2*I$13+E24</f>
        <v>10973662.187251475</v>
      </c>
      <c r="I24" s="500">
        <f t="shared" si="1"/>
        <v>0</v>
      </c>
      <c r="J24" s="500"/>
      <c r="K24" s="512"/>
      <c r="L24" s="504">
        <f t="shared" si="3"/>
        <v>0</v>
      </c>
      <c r="M24" s="512"/>
      <c r="N24" s="504">
        <f t="shared" si="5"/>
        <v>0</v>
      </c>
      <c r="O24" s="504">
        <f t="shared" si="6"/>
        <v>0</v>
      </c>
      <c r="P24" s="278"/>
    </row>
    <row r="25" spans="2:16">
      <c r="B25" s="145" t="str">
        <f t="shared" si="0"/>
        <v/>
      </c>
      <c r="C25" s="495">
        <f>IF(D11="","-",+C24+1)</f>
        <v>2025</v>
      </c>
      <c r="D25" s="508">
        <f>IF(F24+SUM(E$17:E24)=D$10,F24,D$10-SUM(E$17:E24))</f>
        <v>69934628.763436034</v>
      </c>
      <c r="E25" s="509">
        <f t="shared" si="13"/>
        <v>2843891.1374193551</v>
      </c>
      <c r="F25" s="510">
        <f t="shared" si="14"/>
        <v>67090737.626016676</v>
      </c>
      <c r="G25" s="511">
        <f t="shared" si="15"/>
        <v>10649653.025457244</v>
      </c>
      <c r="H25" s="477">
        <f t="shared" si="16"/>
        <v>10649653.025457244</v>
      </c>
      <c r="I25" s="500">
        <f t="shared" si="1"/>
        <v>0</v>
      </c>
      <c r="J25" s="500"/>
      <c r="K25" s="512"/>
      <c r="L25" s="504">
        <f t="shared" si="3"/>
        <v>0</v>
      </c>
      <c r="M25" s="512"/>
      <c r="N25" s="504">
        <f t="shared" si="5"/>
        <v>0</v>
      </c>
      <c r="O25" s="504">
        <f t="shared" si="6"/>
        <v>0</v>
      </c>
      <c r="P25" s="278"/>
    </row>
    <row r="26" spans="2:16">
      <c r="B26" s="145" t="str">
        <f t="shared" si="0"/>
        <v/>
      </c>
      <c r="C26" s="495">
        <f>IF(D11="","-",+C25+1)</f>
        <v>2026</v>
      </c>
      <c r="D26" s="508">
        <f>IF(F25+SUM(E$17:E25)=D$10,F25,D$10-SUM(E$17:E25))</f>
        <v>67090737.626016676</v>
      </c>
      <c r="E26" s="509">
        <f t="shared" si="13"/>
        <v>2843891.1374193551</v>
      </c>
      <c r="F26" s="510">
        <f t="shared" si="14"/>
        <v>64246846.488597319</v>
      </c>
      <c r="G26" s="511">
        <f t="shared" si="15"/>
        <v>10325643.863663018</v>
      </c>
      <c r="H26" s="477">
        <f t="shared" si="16"/>
        <v>10325643.863663018</v>
      </c>
      <c r="I26" s="500">
        <f t="shared" si="1"/>
        <v>0</v>
      </c>
      <c r="J26" s="500"/>
      <c r="K26" s="512"/>
      <c r="L26" s="504">
        <f t="shared" si="3"/>
        <v>0</v>
      </c>
      <c r="M26" s="512"/>
      <c r="N26" s="504">
        <f t="shared" si="5"/>
        <v>0</v>
      </c>
      <c r="O26" s="504">
        <f t="shared" si="6"/>
        <v>0</v>
      </c>
      <c r="P26" s="278"/>
    </row>
    <row r="27" spans="2:16">
      <c r="B27" s="145" t="str">
        <f t="shared" si="0"/>
        <v/>
      </c>
      <c r="C27" s="495">
        <f>IF(D11="","-",+C26+1)</f>
        <v>2027</v>
      </c>
      <c r="D27" s="508">
        <f>IF(F26+SUM(E$17:E26)=D$10,F26,D$10-SUM(E$17:E26))</f>
        <v>64246846.488597319</v>
      </c>
      <c r="E27" s="509">
        <f t="shared" si="13"/>
        <v>2843891.1374193551</v>
      </c>
      <c r="F27" s="510">
        <f t="shared" si="14"/>
        <v>61402955.351177961</v>
      </c>
      <c r="G27" s="511">
        <f t="shared" si="15"/>
        <v>10001634.701868791</v>
      </c>
      <c r="H27" s="477">
        <f t="shared" si="16"/>
        <v>10001634.701868791</v>
      </c>
      <c r="I27" s="500">
        <f t="shared" si="1"/>
        <v>0</v>
      </c>
      <c r="J27" s="500"/>
      <c r="K27" s="512"/>
      <c r="L27" s="504">
        <f t="shared" si="3"/>
        <v>0</v>
      </c>
      <c r="M27" s="512"/>
      <c r="N27" s="504">
        <f t="shared" si="5"/>
        <v>0</v>
      </c>
      <c r="O27" s="504">
        <f t="shared" si="6"/>
        <v>0</v>
      </c>
      <c r="P27" s="278"/>
    </row>
    <row r="28" spans="2:16">
      <c r="B28" s="145" t="str">
        <f t="shared" si="0"/>
        <v/>
      </c>
      <c r="C28" s="495">
        <f>IF(D11="","-",+C27+1)</f>
        <v>2028</v>
      </c>
      <c r="D28" s="508">
        <f>IF(F27+SUM(E$17:E27)=D$10,F27,D$10-SUM(E$17:E27))</f>
        <v>61402955.351177961</v>
      </c>
      <c r="E28" s="509">
        <f t="shared" si="13"/>
        <v>2843891.1374193551</v>
      </c>
      <c r="F28" s="510">
        <f t="shared" si="14"/>
        <v>58559064.213758603</v>
      </c>
      <c r="G28" s="511">
        <f t="shared" si="15"/>
        <v>9677625.5400745645</v>
      </c>
      <c r="H28" s="477">
        <f t="shared" si="16"/>
        <v>9677625.5400745645</v>
      </c>
      <c r="I28" s="500">
        <f t="shared" si="1"/>
        <v>0</v>
      </c>
      <c r="J28" s="500"/>
      <c r="K28" s="512"/>
      <c r="L28" s="504">
        <f t="shared" si="3"/>
        <v>0</v>
      </c>
      <c r="M28" s="512"/>
      <c r="N28" s="504">
        <f t="shared" si="5"/>
        <v>0</v>
      </c>
      <c r="O28" s="504">
        <f t="shared" si="6"/>
        <v>0</v>
      </c>
      <c r="P28" s="278"/>
    </row>
    <row r="29" spans="2:16">
      <c r="B29" s="145" t="str">
        <f t="shared" si="0"/>
        <v/>
      </c>
      <c r="C29" s="495">
        <f>IF(D11="","-",+C28+1)</f>
        <v>2029</v>
      </c>
      <c r="D29" s="508">
        <f>IF(F28+SUM(E$17:E28)=D$10,F28,D$10-SUM(E$17:E28))</f>
        <v>58559064.213758603</v>
      </c>
      <c r="E29" s="509">
        <f t="shared" si="13"/>
        <v>2843891.1374193551</v>
      </c>
      <c r="F29" s="510">
        <f t="shared" si="14"/>
        <v>55715173.076339245</v>
      </c>
      <c r="G29" s="511">
        <f t="shared" si="15"/>
        <v>9353616.378280336</v>
      </c>
      <c r="H29" s="477">
        <f t="shared" si="16"/>
        <v>9353616.378280336</v>
      </c>
      <c r="I29" s="500">
        <f t="shared" si="1"/>
        <v>0</v>
      </c>
      <c r="J29" s="500"/>
      <c r="K29" s="512"/>
      <c r="L29" s="504">
        <f t="shared" si="3"/>
        <v>0</v>
      </c>
      <c r="M29" s="512"/>
      <c r="N29" s="504">
        <f t="shared" si="5"/>
        <v>0</v>
      </c>
      <c r="O29" s="504">
        <f t="shared" si="6"/>
        <v>0</v>
      </c>
      <c r="P29" s="278"/>
    </row>
    <row r="30" spans="2:16">
      <c r="B30" s="145" t="str">
        <f t="shared" si="0"/>
        <v/>
      </c>
      <c r="C30" s="495">
        <f>IF(D11="","-",+C29+1)</f>
        <v>2030</v>
      </c>
      <c r="D30" s="508">
        <f>IF(F29+SUM(E$17:E29)=D$10,F29,D$10-SUM(E$17:E29))</f>
        <v>55715173.076339245</v>
      </c>
      <c r="E30" s="509">
        <f t="shared" si="13"/>
        <v>2843891.1374193551</v>
      </c>
      <c r="F30" s="510">
        <f t="shared" si="14"/>
        <v>52871281.938919887</v>
      </c>
      <c r="G30" s="511">
        <f t="shared" si="15"/>
        <v>9029607.2164861076</v>
      </c>
      <c r="H30" s="477">
        <f t="shared" si="16"/>
        <v>9029607.2164861076</v>
      </c>
      <c r="I30" s="500">
        <f t="shared" si="1"/>
        <v>0</v>
      </c>
      <c r="J30" s="500"/>
      <c r="K30" s="512"/>
      <c r="L30" s="504">
        <f t="shared" si="3"/>
        <v>0</v>
      </c>
      <c r="M30" s="512"/>
      <c r="N30" s="504">
        <f t="shared" si="5"/>
        <v>0</v>
      </c>
      <c r="O30" s="504">
        <f t="shared" si="6"/>
        <v>0</v>
      </c>
      <c r="P30" s="278"/>
    </row>
    <row r="31" spans="2:16">
      <c r="B31" s="145" t="str">
        <f t="shared" si="0"/>
        <v/>
      </c>
      <c r="C31" s="495">
        <f>IF(D11="","-",+C30+1)</f>
        <v>2031</v>
      </c>
      <c r="D31" s="508">
        <f>IF(F30+SUM(E$17:E30)=D$10,F30,D$10-SUM(E$17:E30))</f>
        <v>52871281.938919887</v>
      </c>
      <c r="E31" s="509">
        <f t="shared" si="13"/>
        <v>2843891.1374193551</v>
      </c>
      <c r="F31" s="510">
        <f t="shared" si="14"/>
        <v>50027390.801500529</v>
      </c>
      <c r="G31" s="511">
        <f t="shared" si="15"/>
        <v>8705598.0546918809</v>
      </c>
      <c r="H31" s="477">
        <f t="shared" si="16"/>
        <v>8705598.0546918809</v>
      </c>
      <c r="I31" s="500">
        <f t="shared" si="1"/>
        <v>0</v>
      </c>
      <c r="J31" s="500"/>
      <c r="K31" s="512"/>
      <c r="L31" s="504">
        <f t="shared" si="3"/>
        <v>0</v>
      </c>
      <c r="M31" s="512"/>
      <c r="N31" s="504">
        <f t="shared" si="5"/>
        <v>0</v>
      </c>
      <c r="O31" s="504">
        <f t="shared" si="6"/>
        <v>0</v>
      </c>
      <c r="P31" s="278"/>
    </row>
    <row r="32" spans="2:16">
      <c r="B32" s="145" t="str">
        <f t="shared" si="0"/>
        <v/>
      </c>
      <c r="C32" s="495">
        <f>IF(D11="","-",+C31+1)</f>
        <v>2032</v>
      </c>
      <c r="D32" s="508">
        <f>IF(F31+SUM(E$17:E31)=D$10,F31,D$10-SUM(E$17:E31))</f>
        <v>50027390.801500529</v>
      </c>
      <c r="E32" s="509">
        <f t="shared" si="13"/>
        <v>2843891.1374193551</v>
      </c>
      <c r="F32" s="510">
        <f t="shared" si="14"/>
        <v>47183499.664081171</v>
      </c>
      <c r="G32" s="511">
        <f t="shared" si="15"/>
        <v>8381588.8928976525</v>
      </c>
      <c r="H32" s="477">
        <f t="shared" si="16"/>
        <v>8381588.8928976525</v>
      </c>
      <c r="I32" s="500">
        <f t="shared" si="1"/>
        <v>0</v>
      </c>
      <c r="J32" s="500"/>
      <c r="K32" s="512"/>
      <c r="L32" s="504">
        <f t="shared" si="3"/>
        <v>0</v>
      </c>
      <c r="M32" s="512"/>
      <c r="N32" s="504">
        <f t="shared" si="5"/>
        <v>0</v>
      </c>
      <c r="O32" s="504">
        <f t="shared" si="6"/>
        <v>0</v>
      </c>
      <c r="P32" s="278"/>
    </row>
    <row r="33" spans="2:16">
      <c r="B33" s="145" t="str">
        <f t="shared" si="0"/>
        <v/>
      </c>
      <c r="C33" s="495">
        <f>IF(D11="","-",+C32+1)</f>
        <v>2033</v>
      </c>
      <c r="D33" s="508">
        <f>IF(F32+SUM(E$17:E32)=D$10,F32,D$10-SUM(E$17:E32))</f>
        <v>47183499.664081171</v>
      </c>
      <c r="E33" s="509">
        <f t="shared" si="13"/>
        <v>2843891.1374193551</v>
      </c>
      <c r="F33" s="510">
        <f t="shared" si="14"/>
        <v>44339608.526661813</v>
      </c>
      <c r="G33" s="511">
        <f t="shared" si="15"/>
        <v>8057579.7311034249</v>
      </c>
      <c r="H33" s="477">
        <f t="shared" si="16"/>
        <v>8057579.7311034249</v>
      </c>
      <c r="I33" s="500">
        <f t="shared" si="1"/>
        <v>0</v>
      </c>
      <c r="J33" s="500"/>
      <c r="K33" s="512"/>
      <c r="L33" s="504">
        <f t="shared" si="3"/>
        <v>0</v>
      </c>
      <c r="M33" s="512"/>
      <c r="N33" s="504">
        <f t="shared" si="5"/>
        <v>0</v>
      </c>
      <c r="O33" s="504">
        <f t="shared" si="6"/>
        <v>0</v>
      </c>
      <c r="P33" s="278"/>
    </row>
    <row r="34" spans="2:16">
      <c r="B34" s="145" t="str">
        <f t="shared" si="0"/>
        <v/>
      </c>
      <c r="C34" s="495">
        <f>IF(D11="","-",+C33+1)</f>
        <v>2034</v>
      </c>
      <c r="D34" s="508">
        <f>IF(F33+SUM(E$17:E33)=D$10,F33,D$10-SUM(E$17:E33))</f>
        <v>44339608.526661813</v>
      </c>
      <c r="E34" s="509">
        <f t="shared" si="13"/>
        <v>2843891.1374193551</v>
      </c>
      <c r="F34" s="510">
        <f t="shared" si="14"/>
        <v>41495717.389242455</v>
      </c>
      <c r="G34" s="511">
        <f t="shared" si="15"/>
        <v>7733570.5693091974</v>
      </c>
      <c r="H34" s="477">
        <f t="shared" si="16"/>
        <v>7733570.5693091974</v>
      </c>
      <c r="I34" s="500">
        <f t="shared" si="1"/>
        <v>0</v>
      </c>
      <c r="J34" s="500"/>
      <c r="K34" s="512"/>
      <c r="L34" s="504">
        <f t="shared" si="3"/>
        <v>0</v>
      </c>
      <c r="M34" s="512"/>
      <c r="N34" s="504">
        <f t="shared" si="5"/>
        <v>0</v>
      </c>
      <c r="O34" s="504">
        <f t="shared" si="6"/>
        <v>0</v>
      </c>
      <c r="P34" s="278"/>
    </row>
    <row r="35" spans="2:16">
      <c r="B35" s="145" t="str">
        <f t="shared" si="0"/>
        <v/>
      </c>
      <c r="C35" s="495">
        <f>IF(D11="","-",+C34+1)</f>
        <v>2035</v>
      </c>
      <c r="D35" s="508">
        <f>IF(F34+SUM(E$17:E34)=D$10,F34,D$10-SUM(E$17:E34))</f>
        <v>41495717.389242455</v>
      </c>
      <c r="E35" s="509">
        <f t="shared" si="13"/>
        <v>2843891.1374193551</v>
      </c>
      <c r="F35" s="510">
        <f t="shared" si="14"/>
        <v>38651826.251823097</v>
      </c>
      <c r="G35" s="511">
        <f t="shared" si="15"/>
        <v>7409561.4075149698</v>
      </c>
      <c r="H35" s="477">
        <f t="shared" si="16"/>
        <v>7409561.4075149698</v>
      </c>
      <c r="I35" s="500">
        <f t="shared" si="1"/>
        <v>0</v>
      </c>
      <c r="J35" s="500"/>
      <c r="K35" s="512"/>
      <c r="L35" s="504">
        <f t="shared" si="3"/>
        <v>0</v>
      </c>
      <c r="M35" s="512"/>
      <c r="N35" s="504">
        <f t="shared" si="5"/>
        <v>0</v>
      </c>
      <c r="O35" s="504">
        <f t="shared" si="6"/>
        <v>0</v>
      </c>
      <c r="P35" s="278"/>
    </row>
    <row r="36" spans="2:16">
      <c r="B36" s="145" t="str">
        <f t="shared" si="0"/>
        <v/>
      </c>
      <c r="C36" s="495">
        <f>IF(D11="","-",+C35+1)</f>
        <v>2036</v>
      </c>
      <c r="D36" s="508">
        <f>IF(F35+SUM(E$17:E35)=D$10,F35,D$10-SUM(E$17:E35))</f>
        <v>38651826.251823097</v>
      </c>
      <c r="E36" s="509">
        <f t="shared" si="13"/>
        <v>2843891.1374193551</v>
      </c>
      <c r="F36" s="510">
        <f t="shared" si="14"/>
        <v>35807935.11440374</v>
      </c>
      <c r="G36" s="511">
        <f t="shared" si="15"/>
        <v>7085552.2457207423</v>
      </c>
      <c r="H36" s="477">
        <f t="shared" si="16"/>
        <v>7085552.2457207423</v>
      </c>
      <c r="I36" s="500">
        <f t="shared" si="1"/>
        <v>0</v>
      </c>
      <c r="J36" s="500"/>
      <c r="K36" s="512"/>
      <c r="L36" s="504">
        <f t="shared" si="3"/>
        <v>0</v>
      </c>
      <c r="M36" s="512"/>
      <c r="N36" s="504">
        <f t="shared" si="5"/>
        <v>0</v>
      </c>
      <c r="O36" s="504">
        <f t="shared" si="6"/>
        <v>0</v>
      </c>
      <c r="P36" s="278"/>
    </row>
    <row r="37" spans="2:16">
      <c r="B37" s="145" t="str">
        <f t="shared" si="0"/>
        <v/>
      </c>
      <c r="C37" s="495">
        <f>IF(D11="","-",+C36+1)</f>
        <v>2037</v>
      </c>
      <c r="D37" s="508">
        <f>IF(F36+SUM(E$17:E36)=D$10,F36,D$10-SUM(E$17:E36))</f>
        <v>35807935.11440374</v>
      </c>
      <c r="E37" s="509">
        <f t="shared" si="13"/>
        <v>2843891.1374193551</v>
      </c>
      <c r="F37" s="510">
        <f t="shared" si="14"/>
        <v>32964043.976984385</v>
      </c>
      <c r="G37" s="511">
        <f t="shared" si="15"/>
        <v>6761543.0839265147</v>
      </c>
      <c r="H37" s="477">
        <f t="shared" si="16"/>
        <v>6761543.0839265147</v>
      </c>
      <c r="I37" s="500">
        <f t="shared" si="1"/>
        <v>0</v>
      </c>
      <c r="J37" s="500"/>
      <c r="K37" s="512"/>
      <c r="L37" s="504">
        <f t="shared" si="3"/>
        <v>0</v>
      </c>
      <c r="M37" s="512"/>
      <c r="N37" s="504">
        <f t="shared" si="5"/>
        <v>0</v>
      </c>
      <c r="O37" s="504">
        <f t="shared" si="6"/>
        <v>0</v>
      </c>
      <c r="P37" s="278"/>
    </row>
    <row r="38" spans="2:16">
      <c r="B38" s="145" t="str">
        <f t="shared" si="0"/>
        <v/>
      </c>
      <c r="C38" s="495">
        <f>IF(D11="","-",+C37+1)</f>
        <v>2038</v>
      </c>
      <c r="D38" s="508">
        <f>IF(F37+SUM(E$17:E37)=D$10,F37,D$10-SUM(E$17:E37))</f>
        <v>32964043.976984385</v>
      </c>
      <c r="E38" s="509">
        <f t="shared" si="13"/>
        <v>2843891.1374193551</v>
      </c>
      <c r="F38" s="510">
        <f t="shared" si="14"/>
        <v>30120152.839565031</v>
      </c>
      <c r="G38" s="511">
        <f t="shared" si="15"/>
        <v>6437533.9221322872</v>
      </c>
      <c r="H38" s="477">
        <f t="shared" si="16"/>
        <v>6437533.9221322872</v>
      </c>
      <c r="I38" s="500">
        <f t="shared" si="1"/>
        <v>0</v>
      </c>
      <c r="J38" s="500"/>
      <c r="K38" s="512"/>
      <c r="L38" s="504">
        <f t="shared" si="3"/>
        <v>0</v>
      </c>
      <c r="M38" s="512"/>
      <c r="N38" s="504">
        <f t="shared" si="5"/>
        <v>0</v>
      </c>
      <c r="O38" s="504">
        <f t="shared" si="6"/>
        <v>0</v>
      </c>
      <c r="P38" s="278"/>
    </row>
    <row r="39" spans="2:16">
      <c r="B39" s="145" t="str">
        <f t="shared" si="0"/>
        <v/>
      </c>
      <c r="C39" s="495">
        <f>IF(D11="","-",+C38+1)</f>
        <v>2039</v>
      </c>
      <c r="D39" s="508">
        <f>IF(F38+SUM(E$17:E38)=D$10,F38,D$10-SUM(E$17:E38))</f>
        <v>30120152.839565031</v>
      </c>
      <c r="E39" s="509">
        <f t="shared" si="13"/>
        <v>2843891.1374193551</v>
      </c>
      <c r="F39" s="510">
        <f t="shared" si="14"/>
        <v>27276261.702145677</v>
      </c>
      <c r="G39" s="511">
        <f t="shared" si="15"/>
        <v>6113524.7603380606</v>
      </c>
      <c r="H39" s="477">
        <f t="shared" si="16"/>
        <v>6113524.7603380606</v>
      </c>
      <c r="I39" s="500">
        <f t="shared" si="1"/>
        <v>0</v>
      </c>
      <c r="J39" s="500"/>
      <c r="K39" s="512"/>
      <c r="L39" s="504">
        <f t="shared" si="3"/>
        <v>0</v>
      </c>
      <c r="M39" s="512"/>
      <c r="N39" s="504">
        <f t="shared" si="5"/>
        <v>0</v>
      </c>
      <c r="O39" s="504">
        <f t="shared" si="6"/>
        <v>0</v>
      </c>
      <c r="P39" s="278"/>
    </row>
    <row r="40" spans="2:16">
      <c r="B40" s="145" t="str">
        <f t="shared" si="0"/>
        <v/>
      </c>
      <c r="C40" s="495">
        <f>IF(D11="","-",+C39+1)</f>
        <v>2040</v>
      </c>
      <c r="D40" s="508">
        <f>IF(F39+SUM(E$17:E39)=D$10,F39,D$10-SUM(E$17:E39))</f>
        <v>27276261.702145677</v>
      </c>
      <c r="E40" s="509">
        <f t="shared" si="13"/>
        <v>2843891.1374193551</v>
      </c>
      <c r="F40" s="510">
        <f t="shared" si="14"/>
        <v>24432370.564726323</v>
      </c>
      <c r="G40" s="511">
        <f t="shared" si="15"/>
        <v>5789515.5985438339</v>
      </c>
      <c r="H40" s="477">
        <f t="shared" si="16"/>
        <v>5789515.5985438339</v>
      </c>
      <c r="I40" s="500">
        <f t="shared" si="1"/>
        <v>0</v>
      </c>
      <c r="J40" s="500"/>
      <c r="K40" s="512"/>
      <c r="L40" s="504">
        <f t="shared" si="3"/>
        <v>0</v>
      </c>
      <c r="M40" s="512"/>
      <c r="N40" s="504">
        <f t="shared" si="5"/>
        <v>0</v>
      </c>
      <c r="O40" s="504">
        <f t="shared" si="6"/>
        <v>0</v>
      </c>
      <c r="P40" s="278"/>
    </row>
    <row r="41" spans="2:16">
      <c r="B41" s="145" t="str">
        <f t="shared" si="0"/>
        <v/>
      </c>
      <c r="C41" s="495">
        <f>IF(D11="","-",+C40+1)</f>
        <v>2041</v>
      </c>
      <c r="D41" s="508">
        <f>IF(F40+SUM(E$17:E40)=D$10,F40,D$10-SUM(E$17:E40))</f>
        <v>24432370.564726323</v>
      </c>
      <c r="E41" s="509">
        <f t="shared" si="13"/>
        <v>2843891.1374193551</v>
      </c>
      <c r="F41" s="510">
        <f t="shared" si="14"/>
        <v>21588479.427306969</v>
      </c>
      <c r="G41" s="511">
        <f t="shared" si="15"/>
        <v>5465506.4367496055</v>
      </c>
      <c r="H41" s="477">
        <f t="shared" si="16"/>
        <v>5465506.4367496055</v>
      </c>
      <c r="I41" s="500">
        <f t="shared" si="1"/>
        <v>0</v>
      </c>
      <c r="J41" s="500"/>
      <c r="K41" s="512"/>
      <c r="L41" s="504">
        <f t="shared" si="3"/>
        <v>0</v>
      </c>
      <c r="M41" s="512"/>
      <c r="N41" s="504">
        <f t="shared" si="5"/>
        <v>0</v>
      </c>
      <c r="O41" s="504">
        <f t="shared" si="6"/>
        <v>0</v>
      </c>
      <c r="P41" s="278"/>
    </row>
    <row r="42" spans="2:16">
      <c r="B42" s="145" t="str">
        <f t="shared" si="0"/>
        <v/>
      </c>
      <c r="C42" s="495">
        <f>IF(D11="","-",+C41+1)</f>
        <v>2042</v>
      </c>
      <c r="D42" s="508">
        <f>IF(F41+SUM(E$17:E41)=D$10,F41,D$10-SUM(E$17:E41))</f>
        <v>21588479.427306969</v>
      </c>
      <c r="E42" s="509">
        <f t="shared" si="13"/>
        <v>2843891.1374193551</v>
      </c>
      <c r="F42" s="510">
        <f t="shared" si="14"/>
        <v>18744588.289887615</v>
      </c>
      <c r="G42" s="511">
        <f t="shared" si="15"/>
        <v>5141497.2749553788</v>
      </c>
      <c r="H42" s="477">
        <f t="shared" si="16"/>
        <v>5141497.2749553788</v>
      </c>
      <c r="I42" s="500">
        <f t="shared" si="1"/>
        <v>0</v>
      </c>
      <c r="J42" s="500"/>
      <c r="K42" s="512"/>
      <c r="L42" s="504">
        <f t="shared" si="3"/>
        <v>0</v>
      </c>
      <c r="M42" s="512"/>
      <c r="N42" s="504">
        <f t="shared" si="5"/>
        <v>0</v>
      </c>
      <c r="O42" s="504">
        <f t="shared" si="6"/>
        <v>0</v>
      </c>
      <c r="P42" s="278"/>
    </row>
    <row r="43" spans="2:16">
      <c r="B43" s="145" t="str">
        <f t="shared" si="0"/>
        <v/>
      </c>
      <c r="C43" s="495">
        <f>IF(D11="","-",+C42+1)</f>
        <v>2043</v>
      </c>
      <c r="D43" s="508">
        <f>IF(F42+SUM(E$17:E42)=D$10,F42,D$10-SUM(E$17:E42))</f>
        <v>18744588.289887615</v>
      </c>
      <c r="E43" s="509">
        <f t="shared" si="13"/>
        <v>2843891.1374193551</v>
      </c>
      <c r="F43" s="510">
        <f t="shared" si="14"/>
        <v>15900697.15246826</v>
      </c>
      <c r="G43" s="511">
        <f t="shared" si="15"/>
        <v>4817488.1131611513</v>
      </c>
      <c r="H43" s="477">
        <f t="shared" si="16"/>
        <v>4817488.1131611513</v>
      </c>
      <c r="I43" s="500">
        <f t="shared" si="1"/>
        <v>0</v>
      </c>
      <c r="J43" s="500"/>
      <c r="K43" s="512"/>
      <c r="L43" s="504">
        <f t="shared" si="3"/>
        <v>0</v>
      </c>
      <c r="M43" s="512"/>
      <c r="N43" s="504">
        <f t="shared" si="5"/>
        <v>0</v>
      </c>
      <c r="O43" s="504">
        <f t="shared" si="6"/>
        <v>0</v>
      </c>
      <c r="P43" s="278"/>
    </row>
    <row r="44" spans="2:16">
      <c r="B44" s="145" t="str">
        <f t="shared" si="0"/>
        <v/>
      </c>
      <c r="C44" s="495">
        <f>IF(D11="","-",+C43+1)</f>
        <v>2044</v>
      </c>
      <c r="D44" s="508">
        <f>IF(F43+SUM(E$17:E43)=D$10,F43,D$10-SUM(E$17:E43))</f>
        <v>15900697.15246826</v>
      </c>
      <c r="E44" s="509">
        <f t="shared" si="13"/>
        <v>2843891.1374193551</v>
      </c>
      <c r="F44" s="510">
        <f t="shared" si="14"/>
        <v>13056806.015048906</v>
      </c>
      <c r="G44" s="511">
        <f t="shared" si="15"/>
        <v>4493478.9513669237</v>
      </c>
      <c r="H44" s="477">
        <f t="shared" si="16"/>
        <v>4493478.9513669237</v>
      </c>
      <c r="I44" s="500">
        <f t="shared" si="1"/>
        <v>0</v>
      </c>
      <c r="J44" s="500"/>
      <c r="K44" s="512"/>
      <c r="L44" s="504">
        <f t="shared" si="3"/>
        <v>0</v>
      </c>
      <c r="M44" s="512"/>
      <c r="N44" s="504">
        <f t="shared" si="5"/>
        <v>0</v>
      </c>
      <c r="O44" s="504">
        <f t="shared" si="6"/>
        <v>0</v>
      </c>
      <c r="P44" s="278"/>
    </row>
    <row r="45" spans="2:16">
      <c r="B45" s="145" t="str">
        <f t="shared" si="0"/>
        <v/>
      </c>
      <c r="C45" s="495">
        <f>IF(D11="","-",+C44+1)</f>
        <v>2045</v>
      </c>
      <c r="D45" s="508">
        <f>IF(F44+SUM(E$17:E44)=D$10,F44,D$10-SUM(E$17:E44))</f>
        <v>13056806.015048906</v>
      </c>
      <c r="E45" s="509">
        <f t="shared" si="13"/>
        <v>2843891.1374193551</v>
      </c>
      <c r="F45" s="510">
        <f t="shared" si="14"/>
        <v>10212914.877629552</v>
      </c>
      <c r="G45" s="511">
        <f t="shared" si="15"/>
        <v>4169469.7895726971</v>
      </c>
      <c r="H45" s="477">
        <f t="shared" si="16"/>
        <v>4169469.7895726971</v>
      </c>
      <c r="I45" s="500">
        <f t="shared" si="1"/>
        <v>0</v>
      </c>
      <c r="J45" s="500"/>
      <c r="K45" s="512"/>
      <c r="L45" s="504">
        <f t="shared" si="3"/>
        <v>0</v>
      </c>
      <c r="M45" s="512"/>
      <c r="N45" s="504">
        <f t="shared" si="5"/>
        <v>0</v>
      </c>
      <c r="O45" s="504">
        <f t="shared" si="6"/>
        <v>0</v>
      </c>
      <c r="P45" s="278"/>
    </row>
    <row r="46" spans="2:16">
      <c r="B46" s="145" t="str">
        <f t="shared" si="0"/>
        <v/>
      </c>
      <c r="C46" s="495">
        <f>IF(D11="","-",+C45+1)</f>
        <v>2046</v>
      </c>
      <c r="D46" s="508">
        <f>IF(F45+SUM(E$17:E45)=D$10,F45,D$10-SUM(E$17:E45))</f>
        <v>10212914.877629552</v>
      </c>
      <c r="E46" s="509">
        <f t="shared" si="13"/>
        <v>2843891.1374193551</v>
      </c>
      <c r="F46" s="510">
        <f t="shared" si="14"/>
        <v>7369023.7402101969</v>
      </c>
      <c r="G46" s="511">
        <f t="shared" si="15"/>
        <v>3845460.6277784696</v>
      </c>
      <c r="H46" s="477">
        <f t="shared" si="16"/>
        <v>3845460.6277784696</v>
      </c>
      <c r="I46" s="500">
        <f t="shared" si="1"/>
        <v>0</v>
      </c>
      <c r="J46" s="500"/>
      <c r="K46" s="512"/>
      <c r="L46" s="504">
        <f t="shared" si="3"/>
        <v>0</v>
      </c>
      <c r="M46" s="512"/>
      <c r="N46" s="504">
        <f t="shared" si="5"/>
        <v>0</v>
      </c>
      <c r="O46" s="504">
        <f t="shared" si="6"/>
        <v>0</v>
      </c>
      <c r="P46" s="278"/>
    </row>
    <row r="47" spans="2:16">
      <c r="B47" s="145" t="str">
        <f t="shared" si="0"/>
        <v/>
      </c>
      <c r="C47" s="495">
        <f>IF(D11="","-",+C46+1)</f>
        <v>2047</v>
      </c>
      <c r="D47" s="508">
        <f>IF(F46+SUM(E$17:E46)=D$10,F46,D$10-SUM(E$17:E46))</f>
        <v>7369023.7402101969</v>
      </c>
      <c r="E47" s="509">
        <f t="shared" si="13"/>
        <v>2843891.1374193551</v>
      </c>
      <c r="F47" s="510">
        <f t="shared" si="14"/>
        <v>4525132.6027908418</v>
      </c>
      <c r="G47" s="511">
        <f t="shared" si="15"/>
        <v>3521451.4659842425</v>
      </c>
      <c r="H47" s="477">
        <f t="shared" si="16"/>
        <v>3521451.4659842425</v>
      </c>
      <c r="I47" s="500">
        <f t="shared" si="1"/>
        <v>0</v>
      </c>
      <c r="J47" s="500"/>
      <c r="K47" s="512"/>
      <c r="L47" s="504">
        <f t="shared" si="3"/>
        <v>0</v>
      </c>
      <c r="M47" s="512"/>
      <c r="N47" s="504">
        <f t="shared" si="5"/>
        <v>0</v>
      </c>
      <c r="O47" s="504">
        <f t="shared" si="6"/>
        <v>0</v>
      </c>
      <c r="P47" s="278"/>
    </row>
    <row r="48" spans="2:16">
      <c r="B48" s="145" t="str">
        <f t="shared" si="0"/>
        <v/>
      </c>
      <c r="C48" s="495">
        <f>IF(D11="","-",+C47+1)</f>
        <v>2048</v>
      </c>
      <c r="D48" s="508">
        <f>IF(F47+SUM(E$17:E47)=D$10,F47,D$10-SUM(E$17:E47))</f>
        <v>4525132.6027908418</v>
      </c>
      <c r="E48" s="509">
        <f t="shared" si="13"/>
        <v>2843891.1374193551</v>
      </c>
      <c r="F48" s="510">
        <f t="shared" si="14"/>
        <v>1681241.4653714867</v>
      </c>
      <c r="G48" s="511">
        <f t="shared" si="15"/>
        <v>3197442.304190015</v>
      </c>
      <c r="H48" s="477">
        <f t="shared" si="16"/>
        <v>3197442.304190015</v>
      </c>
      <c r="I48" s="500">
        <f t="shared" si="1"/>
        <v>0</v>
      </c>
      <c r="J48" s="500"/>
      <c r="K48" s="512"/>
      <c r="L48" s="504">
        <f t="shared" si="3"/>
        <v>0</v>
      </c>
      <c r="M48" s="512"/>
      <c r="N48" s="504">
        <f t="shared" si="5"/>
        <v>0</v>
      </c>
      <c r="O48" s="504">
        <f t="shared" si="6"/>
        <v>0</v>
      </c>
      <c r="P48" s="278"/>
    </row>
    <row r="49" spans="2:16">
      <c r="B49" s="145" t="str">
        <f t="shared" si="0"/>
        <v/>
      </c>
      <c r="C49" s="495">
        <f>IF(D11="","-",+C48+1)</f>
        <v>2049</v>
      </c>
      <c r="D49" s="508">
        <f>IF(F48+SUM(E$17:E48)=D$10,F48,D$10-SUM(E$17:E48))</f>
        <v>1681241.4653714867</v>
      </c>
      <c r="E49" s="509">
        <f t="shared" si="13"/>
        <v>1681241.4653714867</v>
      </c>
      <c r="F49" s="510">
        <f t="shared" si="14"/>
        <v>0</v>
      </c>
      <c r="G49" s="511">
        <f t="shared" si="15"/>
        <v>1777014.75830826</v>
      </c>
      <c r="H49" s="477">
        <f t="shared" si="16"/>
        <v>1777014.75830826</v>
      </c>
      <c r="I49" s="500">
        <f t="shared" si="1"/>
        <v>0</v>
      </c>
      <c r="J49" s="500"/>
      <c r="K49" s="512"/>
      <c r="L49" s="504">
        <f t="shared" si="3"/>
        <v>0</v>
      </c>
      <c r="M49" s="512"/>
      <c r="N49" s="504">
        <f t="shared" si="5"/>
        <v>0</v>
      </c>
      <c r="O49" s="504">
        <f t="shared" si="6"/>
        <v>0</v>
      </c>
      <c r="P49" s="278"/>
    </row>
    <row r="50" spans="2:16">
      <c r="B50" s="145" t="str">
        <f t="shared" si="0"/>
        <v/>
      </c>
      <c r="C50" s="495">
        <f>IF(D11="","-",+C49+1)</f>
        <v>2050</v>
      </c>
      <c r="D50" s="508">
        <f>IF(F49+SUM(E$17:E49)=D$10,F49,D$10-SUM(E$17:E49))</f>
        <v>0</v>
      </c>
      <c r="E50" s="509">
        <f t="shared" ref="E50:E71" si="17">IF(+I$14&lt;F49,I$14,D50)</f>
        <v>0</v>
      </c>
      <c r="F50" s="510">
        <f t="shared" si="14"/>
        <v>0</v>
      </c>
      <c r="G50" s="511">
        <f t="shared" si="15"/>
        <v>0</v>
      </c>
      <c r="H50" s="477">
        <f t="shared" si="16"/>
        <v>0</v>
      </c>
      <c r="I50" s="500">
        <f t="shared" si="1"/>
        <v>0</v>
      </c>
      <c r="J50" s="500"/>
      <c r="K50" s="512"/>
      <c r="L50" s="504">
        <f t="shared" si="3"/>
        <v>0</v>
      </c>
      <c r="M50" s="512"/>
      <c r="N50" s="504">
        <f t="shared" si="5"/>
        <v>0</v>
      </c>
      <c r="O50" s="504">
        <f t="shared" si="6"/>
        <v>0</v>
      </c>
      <c r="P50" s="278"/>
    </row>
    <row r="51" spans="2:16">
      <c r="B51" s="145" t="str">
        <f t="shared" si="0"/>
        <v/>
      </c>
      <c r="C51" s="495">
        <f>IF(D11="","-",+C50+1)</f>
        <v>2051</v>
      </c>
      <c r="D51" s="508">
        <f>IF(F50+SUM(E$17:E50)=D$10,F50,D$10-SUM(E$17:E50))</f>
        <v>0</v>
      </c>
      <c r="E51" s="509">
        <f t="shared" si="17"/>
        <v>0</v>
      </c>
      <c r="F51" s="510">
        <f t="shared" si="14"/>
        <v>0</v>
      </c>
      <c r="G51" s="511">
        <f t="shared" si="15"/>
        <v>0</v>
      </c>
      <c r="H51" s="477">
        <f t="shared" si="16"/>
        <v>0</v>
      </c>
      <c r="I51" s="500">
        <f t="shared" si="1"/>
        <v>0</v>
      </c>
      <c r="J51" s="500"/>
      <c r="K51" s="512"/>
      <c r="L51" s="504">
        <f t="shared" si="3"/>
        <v>0</v>
      </c>
      <c r="M51" s="512"/>
      <c r="N51" s="504">
        <f t="shared" si="5"/>
        <v>0</v>
      </c>
      <c r="O51" s="504">
        <f t="shared" si="6"/>
        <v>0</v>
      </c>
      <c r="P51" s="278"/>
    </row>
    <row r="52" spans="2:16">
      <c r="B52" s="145" t="str">
        <f t="shared" si="0"/>
        <v/>
      </c>
      <c r="C52" s="495">
        <f>IF(D11="","-",+C51+1)</f>
        <v>2052</v>
      </c>
      <c r="D52" s="508">
        <f>IF(F51+SUM(E$17:E51)=D$10,F51,D$10-SUM(E$17:E51))</f>
        <v>0</v>
      </c>
      <c r="E52" s="509">
        <f t="shared" si="17"/>
        <v>0</v>
      </c>
      <c r="F52" s="510">
        <f t="shared" si="14"/>
        <v>0</v>
      </c>
      <c r="G52" s="511">
        <f t="shared" si="15"/>
        <v>0</v>
      </c>
      <c r="H52" s="477">
        <f t="shared" si="16"/>
        <v>0</v>
      </c>
      <c r="I52" s="500">
        <f t="shared" si="1"/>
        <v>0</v>
      </c>
      <c r="J52" s="500"/>
      <c r="K52" s="512"/>
      <c r="L52" s="504">
        <f t="shared" si="3"/>
        <v>0</v>
      </c>
      <c r="M52" s="512"/>
      <c r="N52" s="504">
        <f t="shared" si="5"/>
        <v>0</v>
      </c>
      <c r="O52" s="504">
        <f t="shared" si="6"/>
        <v>0</v>
      </c>
      <c r="P52" s="278"/>
    </row>
    <row r="53" spans="2:16">
      <c r="B53" s="145" t="str">
        <f t="shared" si="0"/>
        <v/>
      </c>
      <c r="C53" s="495">
        <f>IF(D11="","-",+C52+1)</f>
        <v>2053</v>
      </c>
      <c r="D53" s="508">
        <f>IF(F52+SUM(E$17:E52)=D$10,F52,D$10-SUM(E$17:E52))</f>
        <v>0</v>
      </c>
      <c r="E53" s="509">
        <f t="shared" si="17"/>
        <v>0</v>
      </c>
      <c r="F53" s="510">
        <f t="shared" si="14"/>
        <v>0</v>
      </c>
      <c r="G53" s="511">
        <f t="shared" si="15"/>
        <v>0</v>
      </c>
      <c r="H53" s="477">
        <f t="shared" si="16"/>
        <v>0</v>
      </c>
      <c r="I53" s="500">
        <f t="shared" si="1"/>
        <v>0</v>
      </c>
      <c r="J53" s="500"/>
      <c r="K53" s="512"/>
      <c r="L53" s="504">
        <f t="shared" si="3"/>
        <v>0</v>
      </c>
      <c r="M53" s="512"/>
      <c r="N53" s="504">
        <f t="shared" si="5"/>
        <v>0</v>
      </c>
      <c r="O53" s="504">
        <f t="shared" si="6"/>
        <v>0</v>
      </c>
      <c r="P53" s="278"/>
    </row>
    <row r="54" spans="2:16">
      <c r="B54" s="145" t="str">
        <f t="shared" si="0"/>
        <v/>
      </c>
      <c r="C54" s="495">
        <f>IF(D11="","-",+C53+1)</f>
        <v>2054</v>
      </c>
      <c r="D54" s="508">
        <f>IF(F53+SUM(E$17:E53)=D$10,F53,D$10-SUM(E$17:E53))</f>
        <v>0</v>
      </c>
      <c r="E54" s="509">
        <f t="shared" si="17"/>
        <v>0</v>
      </c>
      <c r="F54" s="510">
        <f t="shared" si="14"/>
        <v>0</v>
      </c>
      <c r="G54" s="511">
        <f t="shared" si="15"/>
        <v>0</v>
      </c>
      <c r="H54" s="477">
        <f t="shared" si="16"/>
        <v>0</v>
      </c>
      <c r="I54" s="500">
        <f t="shared" si="1"/>
        <v>0</v>
      </c>
      <c r="J54" s="500"/>
      <c r="K54" s="512"/>
      <c r="L54" s="504">
        <f t="shared" si="3"/>
        <v>0</v>
      </c>
      <c r="M54" s="512"/>
      <c r="N54" s="504">
        <f t="shared" si="5"/>
        <v>0</v>
      </c>
      <c r="O54" s="504">
        <f t="shared" si="6"/>
        <v>0</v>
      </c>
      <c r="P54" s="278"/>
    </row>
    <row r="55" spans="2:16">
      <c r="B55" s="145" t="str">
        <f t="shared" si="0"/>
        <v/>
      </c>
      <c r="C55" s="495">
        <f>IF(D11="","-",+C54+1)</f>
        <v>2055</v>
      </c>
      <c r="D55" s="508">
        <f>IF(F54+SUM(E$17:E54)=D$10,F54,D$10-SUM(E$17:E54))</f>
        <v>0</v>
      </c>
      <c r="E55" s="509">
        <f t="shared" si="17"/>
        <v>0</v>
      </c>
      <c r="F55" s="510">
        <f t="shared" si="14"/>
        <v>0</v>
      </c>
      <c r="G55" s="511">
        <f t="shared" si="15"/>
        <v>0</v>
      </c>
      <c r="H55" s="477">
        <f t="shared" si="16"/>
        <v>0</v>
      </c>
      <c r="I55" s="500">
        <f t="shared" si="1"/>
        <v>0</v>
      </c>
      <c r="J55" s="500"/>
      <c r="K55" s="512"/>
      <c r="L55" s="504">
        <f t="shared" si="3"/>
        <v>0</v>
      </c>
      <c r="M55" s="512"/>
      <c r="N55" s="504">
        <f t="shared" si="5"/>
        <v>0</v>
      </c>
      <c r="O55" s="504">
        <f t="shared" si="6"/>
        <v>0</v>
      </c>
      <c r="P55" s="278"/>
    </row>
    <row r="56" spans="2:16">
      <c r="B56" s="145" t="str">
        <f t="shared" si="0"/>
        <v/>
      </c>
      <c r="C56" s="495">
        <f>IF(D11="","-",+C55+1)</f>
        <v>2056</v>
      </c>
      <c r="D56" s="508">
        <f>IF(F55+SUM(E$17:E55)=D$10,F55,D$10-SUM(E$17:E55))</f>
        <v>0</v>
      </c>
      <c r="E56" s="509">
        <f t="shared" si="17"/>
        <v>0</v>
      </c>
      <c r="F56" s="510">
        <f t="shared" si="14"/>
        <v>0</v>
      </c>
      <c r="G56" s="511">
        <f t="shared" si="15"/>
        <v>0</v>
      </c>
      <c r="H56" s="477">
        <f t="shared" si="16"/>
        <v>0</v>
      </c>
      <c r="I56" s="500">
        <f t="shared" si="1"/>
        <v>0</v>
      </c>
      <c r="J56" s="500"/>
      <c r="K56" s="512"/>
      <c r="L56" s="504">
        <f t="shared" si="3"/>
        <v>0</v>
      </c>
      <c r="M56" s="512"/>
      <c r="N56" s="504">
        <f t="shared" si="5"/>
        <v>0</v>
      </c>
      <c r="O56" s="504">
        <f t="shared" si="6"/>
        <v>0</v>
      </c>
      <c r="P56" s="278"/>
    </row>
    <row r="57" spans="2:16">
      <c r="B57" s="145" t="str">
        <f t="shared" si="0"/>
        <v/>
      </c>
      <c r="C57" s="495">
        <f>IF(D11="","-",+C56+1)</f>
        <v>2057</v>
      </c>
      <c r="D57" s="508">
        <f>IF(F56+SUM(E$17:E56)=D$10,F56,D$10-SUM(E$17:E56))</f>
        <v>0</v>
      </c>
      <c r="E57" s="509">
        <f t="shared" si="17"/>
        <v>0</v>
      </c>
      <c r="F57" s="510">
        <f t="shared" si="14"/>
        <v>0</v>
      </c>
      <c r="G57" s="511">
        <f t="shared" si="15"/>
        <v>0</v>
      </c>
      <c r="H57" s="477">
        <f t="shared" si="16"/>
        <v>0</v>
      </c>
      <c r="I57" s="500">
        <f t="shared" si="1"/>
        <v>0</v>
      </c>
      <c r="J57" s="500"/>
      <c r="K57" s="512"/>
      <c r="L57" s="504">
        <f t="shared" si="3"/>
        <v>0</v>
      </c>
      <c r="M57" s="512"/>
      <c r="N57" s="504">
        <f t="shared" si="5"/>
        <v>0</v>
      </c>
      <c r="O57" s="504">
        <f t="shared" si="6"/>
        <v>0</v>
      </c>
      <c r="P57" s="278"/>
    </row>
    <row r="58" spans="2:16">
      <c r="B58" s="145" t="str">
        <f t="shared" si="0"/>
        <v/>
      </c>
      <c r="C58" s="495">
        <f>IF(D11="","-",+C57+1)</f>
        <v>2058</v>
      </c>
      <c r="D58" s="508">
        <f>IF(F57+SUM(E$17:E57)=D$10,F57,D$10-SUM(E$17:E57))</f>
        <v>0</v>
      </c>
      <c r="E58" s="509">
        <f t="shared" si="17"/>
        <v>0</v>
      </c>
      <c r="F58" s="510">
        <f t="shared" si="14"/>
        <v>0</v>
      </c>
      <c r="G58" s="511">
        <f t="shared" si="15"/>
        <v>0</v>
      </c>
      <c r="H58" s="477">
        <f t="shared" si="16"/>
        <v>0</v>
      </c>
      <c r="I58" s="500">
        <f t="shared" si="1"/>
        <v>0</v>
      </c>
      <c r="J58" s="500"/>
      <c r="K58" s="512"/>
      <c r="L58" s="504">
        <f t="shared" si="3"/>
        <v>0</v>
      </c>
      <c r="M58" s="512"/>
      <c r="N58" s="504">
        <f t="shared" si="5"/>
        <v>0</v>
      </c>
      <c r="O58" s="504">
        <f t="shared" si="6"/>
        <v>0</v>
      </c>
      <c r="P58" s="278"/>
    </row>
    <row r="59" spans="2:16">
      <c r="B59" s="145" t="str">
        <f t="shared" si="0"/>
        <v/>
      </c>
      <c r="C59" s="495">
        <f>IF(D11="","-",+C58+1)</f>
        <v>2059</v>
      </c>
      <c r="D59" s="508">
        <f>IF(F58+SUM(E$17:E58)=D$10,F58,D$10-SUM(E$17:E58))</f>
        <v>0</v>
      </c>
      <c r="E59" s="509">
        <f t="shared" si="17"/>
        <v>0</v>
      </c>
      <c r="F59" s="510">
        <f t="shared" si="14"/>
        <v>0</v>
      </c>
      <c r="G59" s="511">
        <f t="shared" si="15"/>
        <v>0</v>
      </c>
      <c r="H59" s="477">
        <f t="shared" si="16"/>
        <v>0</v>
      </c>
      <c r="I59" s="500">
        <f t="shared" si="1"/>
        <v>0</v>
      </c>
      <c r="J59" s="500"/>
      <c r="K59" s="512"/>
      <c r="L59" s="504">
        <f t="shared" si="3"/>
        <v>0</v>
      </c>
      <c r="M59" s="512"/>
      <c r="N59" s="504">
        <f t="shared" si="5"/>
        <v>0</v>
      </c>
      <c r="O59" s="504">
        <f t="shared" si="6"/>
        <v>0</v>
      </c>
      <c r="P59" s="278"/>
    </row>
    <row r="60" spans="2:16">
      <c r="B60" s="145" t="str">
        <f t="shared" si="0"/>
        <v/>
      </c>
      <c r="C60" s="495">
        <f>IF(D11="","-",+C59+1)</f>
        <v>2060</v>
      </c>
      <c r="D60" s="508">
        <f>IF(F59+SUM(E$17:E59)=D$10,F59,D$10-SUM(E$17:E59))</f>
        <v>0</v>
      </c>
      <c r="E60" s="509">
        <f t="shared" si="17"/>
        <v>0</v>
      </c>
      <c r="F60" s="510">
        <f t="shared" si="14"/>
        <v>0</v>
      </c>
      <c r="G60" s="511">
        <f t="shared" si="15"/>
        <v>0</v>
      </c>
      <c r="H60" s="477">
        <f t="shared" si="16"/>
        <v>0</v>
      </c>
      <c r="I60" s="500">
        <f t="shared" si="1"/>
        <v>0</v>
      </c>
      <c r="J60" s="500"/>
      <c r="K60" s="512"/>
      <c r="L60" s="504">
        <f t="shared" si="3"/>
        <v>0</v>
      </c>
      <c r="M60" s="512"/>
      <c r="N60" s="504">
        <f t="shared" si="5"/>
        <v>0</v>
      </c>
      <c r="O60" s="504">
        <f t="shared" si="6"/>
        <v>0</v>
      </c>
      <c r="P60" s="278"/>
    </row>
    <row r="61" spans="2:16">
      <c r="B61" s="145" t="str">
        <f t="shared" si="0"/>
        <v/>
      </c>
      <c r="C61" s="495">
        <f>IF(D11="","-",+C60+1)</f>
        <v>2061</v>
      </c>
      <c r="D61" s="508">
        <f>IF(F60+SUM(E$17:E60)=D$10,F60,D$10-SUM(E$17:E60))</f>
        <v>0</v>
      </c>
      <c r="E61" s="509">
        <f t="shared" si="17"/>
        <v>0</v>
      </c>
      <c r="F61" s="510">
        <f t="shared" si="14"/>
        <v>0</v>
      </c>
      <c r="G61" s="523">
        <f t="shared" si="15"/>
        <v>0</v>
      </c>
      <c r="H61" s="477">
        <f t="shared" si="16"/>
        <v>0</v>
      </c>
      <c r="I61" s="500">
        <f t="shared" si="1"/>
        <v>0</v>
      </c>
      <c r="J61" s="500"/>
      <c r="K61" s="512"/>
      <c r="L61" s="504">
        <f t="shared" si="3"/>
        <v>0</v>
      </c>
      <c r="M61" s="512"/>
      <c r="N61" s="504">
        <f t="shared" si="5"/>
        <v>0</v>
      </c>
      <c r="O61" s="504">
        <f t="shared" si="6"/>
        <v>0</v>
      </c>
      <c r="P61" s="278"/>
    </row>
    <row r="62" spans="2:16">
      <c r="B62" s="145" t="str">
        <f t="shared" si="0"/>
        <v/>
      </c>
      <c r="C62" s="495">
        <f>IF(D11="","-",+C61+1)</f>
        <v>2062</v>
      </c>
      <c r="D62" s="508">
        <f>IF(F61+SUM(E$17:E61)=D$10,F61,D$10-SUM(E$17:E61))</f>
        <v>0</v>
      </c>
      <c r="E62" s="509">
        <f t="shared" si="17"/>
        <v>0</v>
      </c>
      <c r="F62" s="510">
        <f t="shared" si="14"/>
        <v>0</v>
      </c>
      <c r="G62" s="523">
        <f t="shared" si="15"/>
        <v>0</v>
      </c>
      <c r="H62" s="477">
        <f t="shared" si="16"/>
        <v>0</v>
      </c>
      <c r="I62" s="500">
        <f t="shared" si="1"/>
        <v>0</v>
      </c>
      <c r="J62" s="500"/>
      <c r="K62" s="512"/>
      <c r="L62" s="504">
        <f t="shared" si="3"/>
        <v>0</v>
      </c>
      <c r="M62" s="512"/>
      <c r="N62" s="504">
        <f t="shared" si="5"/>
        <v>0</v>
      </c>
      <c r="O62" s="504">
        <f t="shared" si="6"/>
        <v>0</v>
      </c>
      <c r="P62" s="278"/>
    </row>
    <row r="63" spans="2:16">
      <c r="B63" s="145" t="str">
        <f t="shared" si="0"/>
        <v/>
      </c>
      <c r="C63" s="495">
        <f>IF(D11="","-",+C62+1)</f>
        <v>2063</v>
      </c>
      <c r="D63" s="508">
        <f>IF(F62+SUM(E$17:E62)=D$10,F62,D$10-SUM(E$17:E62))</f>
        <v>0</v>
      </c>
      <c r="E63" s="509">
        <f t="shared" si="17"/>
        <v>0</v>
      </c>
      <c r="F63" s="510">
        <f t="shared" si="14"/>
        <v>0</v>
      </c>
      <c r="G63" s="523">
        <f t="shared" si="15"/>
        <v>0</v>
      </c>
      <c r="H63" s="477">
        <f t="shared" si="16"/>
        <v>0</v>
      </c>
      <c r="I63" s="500">
        <f t="shared" si="1"/>
        <v>0</v>
      </c>
      <c r="J63" s="500"/>
      <c r="K63" s="512"/>
      <c r="L63" s="504">
        <f t="shared" si="3"/>
        <v>0</v>
      </c>
      <c r="M63" s="512"/>
      <c r="N63" s="504">
        <f t="shared" si="5"/>
        <v>0</v>
      </c>
      <c r="O63" s="504">
        <f t="shared" si="6"/>
        <v>0</v>
      </c>
      <c r="P63" s="278"/>
    </row>
    <row r="64" spans="2:16">
      <c r="B64" s="145" t="str">
        <f t="shared" si="0"/>
        <v/>
      </c>
      <c r="C64" s="495">
        <f>IF(D11="","-",+C63+1)</f>
        <v>2064</v>
      </c>
      <c r="D64" s="508">
        <f>IF(F63+SUM(E$17:E63)=D$10,F63,D$10-SUM(E$17:E63))</f>
        <v>0</v>
      </c>
      <c r="E64" s="509">
        <f t="shared" si="17"/>
        <v>0</v>
      </c>
      <c r="F64" s="510">
        <f t="shared" si="14"/>
        <v>0</v>
      </c>
      <c r="G64" s="523">
        <f t="shared" si="15"/>
        <v>0</v>
      </c>
      <c r="H64" s="477">
        <f t="shared" si="16"/>
        <v>0</v>
      </c>
      <c r="I64" s="500">
        <f t="shared" si="1"/>
        <v>0</v>
      </c>
      <c r="J64" s="500"/>
      <c r="K64" s="512"/>
      <c r="L64" s="504">
        <f t="shared" si="3"/>
        <v>0</v>
      </c>
      <c r="M64" s="512"/>
      <c r="N64" s="504">
        <f t="shared" si="5"/>
        <v>0</v>
      </c>
      <c r="O64" s="504">
        <f t="shared" si="6"/>
        <v>0</v>
      </c>
      <c r="P64" s="278"/>
    </row>
    <row r="65" spans="2:16">
      <c r="B65" s="145" t="str">
        <f t="shared" si="0"/>
        <v/>
      </c>
      <c r="C65" s="495">
        <f>IF(D11="","-",+C64+1)</f>
        <v>2065</v>
      </c>
      <c r="D65" s="508">
        <f>IF(F64+SUM(E$17:E64)=D$10,F64,D$10-SUM(E$17:E64))</f>
        <v>0</v>
      </c>
      <c r="E65" s="509">
        <f t="shared" si="17"/>
        <v>0</v>
      </c>
      <c r="F65" s="510">
        <f t="shared" si="14"/>
        <v>0</v>
      </c>
      <c r="G65" s="523">
        <f t="shared" si="15"/>
        <v>0</v>
      </c>
      <c r="H65" s="477">
        <f t="shared" si="16"/>
        <v>0</v>
      </c>
      <c r="I65" s="500">
        <f t="shared" si="1"/>
        <v>0</v>
      </c>
      <c r="J65" s="500"/>
      <c r="K65" s="512"/>
      <c r="L65" s="504">
        <f t="shared" si="3"/>
        <v>0</v>
      </c>
      <c r="M65" s="512"/>
      <c r="N65" s="504">
        <f t="shared" si="5"/>
        <v>0</v>
      </c>
      <c r="O65" s="504">
        <f t="shared" si="6"/>
        <v>0</v>
      </c>
      <c r="P65" s="278"/>
    </row>
    <row r="66" spans="2:16">
      <c r="B66" s="145" t="str">
        <f t="shared" si="0"/>
        <v/>
      </c>
      <c r="C66" s="495">
        <f>IF(D11="","-",+C65+1)</f>
        <v>2066</v>
      </c>
      <c r="D66" s="508">
        <f>IF(F65+SUM(E$17:E65)=D$10,F65,D$10-SUM(E$17:E65))</f>
        <v>0</v>
      </c>
      <c r="E66" s="509">
        <f t="shared" si="17"/>
        <v>0</v>
      </c>
      <c r="F66" s="510">
        <f t="shared" si="14"/>
        <v>0</v>
      </c>
      <c r="G66" s="523">
        <f t="shared" si="15"/>
        <v>0</v>
      </c>
      <c r="H66" s="477">
        <f t="shared" si="16"/>
        <v>0</v>
      </c>
      <c r="I66" s="500">
        <f t="shared" si="1"/>
        <v>0</v>
      </c>
      <c r="J66" s="500"/>
      <c r="K66" s="512"/>
      <c r="L66" s="504">
        <f t="shared" si="3"/>
        <v>0</v>
      </c>
      <c r="M66" s="512"/>
      <c r="N66" s="504">
        <f t="shared" si="5"/>
        <v>0</v>
      </c>
      <c r="O66" s="504">
        <f t="shared" si="6"/>
        <v>0</v>
      </c>
      <c r="P66" s="278"/>
    </row>
    <row r="67" spans="2:16">
      <c r="B67" s="145" t="str">
        <f t="shared" si="0"/>
        <v/>
      </c>
      <c r="C67" s="495">
        <f>IF(D11="","-",+C66+1)</f>
        <v>2067</v>
      </c>
      <c r="D67" s="508">
        <f>IF(F66+SUM(E$17:E66)=D$10,F66,D$10-SUM(E$17:E66))</f>
        <v>0</v>
      </c>
      <c r="E67" s="509">
        <f t="shared" si="17"/>
        <v>0</v>
      </c>
      <c r="F67" s="510">
        <f t="shared" si="14"/>
        <v>0</v>
      </c>
      <c r="G67" s="523">
        <f t="shared" si="15"/>
        <v>0</v>
      </c>
      <c r="H67" s="477">
        <f t="shared" si="16"/>
        <v>0</v>
      </c>
      <c r="I67" s="500">
        <f t="shared" si="1"/>
        <v>0</v>
      </c>
      <c r="J67" s="500"/>
      <c r="K67" s="512"/>
      <c r="L67" s="504">
        <f t="shared" si="3"/>
        <v>0</v>
      </c>
      <c r="M67" s="512"/>
      <c r="N67" s="504">
        <f t="shared" si="5"/>
        <v>0</v>
      </c>
      <c r="O67" s="504">
        <f t="shared" si="6"/>
        <v>0</v>
      </c>
      <c r="P67" s="278"/>
    </row>
    <row r="68" spans="2:16">
      <c r="B68" s="145" t="str">
        <f t="shared" si="0"/>
        <v/>
      </c>
      <c r="C68" s="495">
        <f>IF(D11="","-",+C67+1)</f>
        <v>2068</v>
      </c>
      <c r="D68" s="508">
        <f>IF(F67+SUM(E$17:E67)=D$10,F67,D$10-SUM(E$17:E67))</f>
        <v>0</v>
      </c>
      <c r="E68" s="509">
        <f t="shared" si="17"/>
        <v>0</v>
      </c>
      <c r="F68" s="510">
        <f t="shared" si="14"/>
        <v>0</v>
      </c>
      <c r="G68" s="523">
        <f t="shared" si="15"/>
        <v>0</v>
      </c>
      <c r="H68" s="477">
        <f t="shared" si="16"/>
        <v>0</v>
      </c>
      <c r="I68" s="500">
        <f t="shared" si="1"/>
        <v>0</v>
      </c>
      <c r="J68" s="500"/>
      <c r="K68" s="512"/>
      <c r="L68" s="504">
        <f t="shared" si="3"/>
        <v>0</v>
      </c>
      <c r="M68" s="512"/>
      <c r="N68" s="504">
        <f t="shared" si="5"/>
        <v>0</v>
      </c>
      <c r="O68" s="504">
        <f t="shared" si="6"/>
        <v>0</v>
      </c>
      <c r="P68" s="278"/>
    </row>
    <row r="69" spans="2:16">
      <c r="B69" s="145" t="str">
        <f t="shared" si="0"/>
        <v/>
      </c>
      <c r="C69" s="495">
        <f>IF(D11="","-",+C68+1)</f>
        <v>2069</v>
      </c>
      <c r="D69" s="508">
        <f>IF(F68+SUM(E$17:E68)=D$10,F68,D$10-SUM(E$17:E68))</f>
        <v>0</v>
      </c>
      <c r="E69" s="509">
        <f t="shared" si="17"/>
        <v>0</v>
      </c>
      <c r="F69" s="510">
        <f t="shared" si="14"/>
        <v>0</v>
      </c>
      <c r="G69" s="523">
        <f t="shared" si="15"/>
        <v>0</v>
      </c>
      <c r="H69" s="477">
        <f t="shared" si="16"/>
        <v>0</v>
      </c>
      <c r="I69" s="500">
        <f t="shared" si="1"/>
        <v>0</v>
      </c>
      <c r="J69" s="500"/>
      <c r="K69" s="512"/>
      <c r="L69" s="504">
        <f t="shared" si="3"/>
        <v>0</v>
      </c>
      <c r="M69" s="512"/>
      <c r="N69" s="504">
        <f t="shared" si="5"/>
        <v>0</v>
      </c>
      <c r="O69" s="504">
        <f t="shared" si="6"/>
        <v>0</v>
      </c>
      <c r="P69" s="278"/>
    </row>
    <row r="70" spans="2:16">
      <c r="B70" s="145" t="str">
        <f t="shared" si="0"/>
        <v/>
      </c>
      <c r="C70" s="495">
        <f>IF(D11="","-",+C69+1)</f>
        <v>2070</v>
      </c>
      <c r="D70" s="508">
        <f>IF(F69+SUM(E$17:E69)=D$10,F69,D$10-SUM(E$17:E69))</f>
        <v>0</v>
      </c>
      <c r="E70" s="509">
        <f t="shared" si="17"/>
        <v>0</v>
      </c>
      <c r="F70" s="510">
        <f t="shared" si="14"/>
        <v>0</v>
      </c>
      <c r="G70" s="523">
        <f t="shared" si="15"/>
        <v>0</v>
      </c>
      <c r="H70" s="477">
        <f t="shared" si="16"/>
        <v>0</v>
      </c>
      <c r="I70" s="500">
        <f t="shared" si="1"/>
        <v>0</v>
      </c>
      <c r="J70" s="500"/>
      <c r="K70" s="512"/>
      <c r="L70" s="504">
        <f t="shared" si="3"/>
        <v>0</v>
      </c>
      <c r="M70" s="512"/>
      <c r="N70" s="504">
        <f t="shared" si="5"/>
        <v>0</v>
      </c>
      <c r="O70" s="504">
        <f t="shared" si="6"/>
        <v>0</v>
      </c>
      <c r="P70" s="278"/>
    </row>
    <row r="71" spans="2:16">
      <c r="B71" s="145" t="str">
        <f t="shared" si="0"/>
        <v/>
      </c>
      <c r="C71" s="495">
        <f>IF(D11="","-",+C70+1)</f>
        <v>2071</v>
      </c>
      <c r="D71" s="508">
        <f>IF(F70+SUM(E$17:E70)=D$10,F70,D$10-SUM(E$17:E70))</f>
        <v>0</v>
      </c>
      <c r="E71" s="509">
        <f t="shared" si="17"/>
        <v>0</v>
      </c>
      <c r="F71" s="510">
        <f t="shared" si="14"/>
        <v>0</v>
      </c>
      <c r="G71" s="523">
        <f t="shared" si="15"/>
        <v>0</v>
      </c>
      <c r="H71" s="477">
        <f t="shared" si="16"/>
        <v>0</v>
      </c>
      <c r="I71" s="500">
        <f t="shared" si="1"/>
        <v>0</v>
      </c>
      <c r="J71" s="500"/>
      <c r="K71" s="512"/>
      <c r="L71" s="504">
        <f t="shared" si="3"/>
        <v>0</v>
      </c>
      <c r="M71" s="512"/>
      <c r="N71" s="504">
        <f t="shared" si="5"/>
        <v>0</v>
      </c>
      <c r="O71" s="504">
        <f t="shared" si="6"/>
        <v>0</v>
      </c>
      <c r="P71" s="278"/>
    </row>
    <row r="72" spans="2:16">
      <c r="C72" s="495">
        <f>IF(D12="","-",+C71+1)</f>
        <v>2072</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5" thickBot="1">
      <c r="B73" s="145" t="str">
        <f>IF(D73=F71,"","IU")</f>
        <v/>
      </c>
      <c r="C73" s="524">
        <f>IF(D13="","-",+C72+1)</f>
        <v>2073</v>
      </c>
      <c r="D73" s="508">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c r="C74" s="349" t="s">
        <v>75</v>
      </c>
      <c r="D74" s="294"/>
      <c r="E74" s="294">
        <f>SUM(E17:E73)</f>
        <v>88160625.26000002</v>
      </c>
      <c r="F74" s="294"/>
      <c r="G74" s="294">
        <f>SUM(G17:G73)</f>
        <v>249794406.69270557</v>
      </c>
      <c r="H74" s="294">
        <f>SUM(H17:H73)</f>
        <v>249794406.69270557</v>
      </c>
      <c r="I74" s="294">
        <f>SUM(I17:I73)</f>
        <v>0</v>
      </c>
      <c r="J74" s="294"/>
      <c r="K74" s="294"/>
      <c r="L74" s="294"/>
      <c r="M74" s="294"/>
      <c r="N74" s="294"/>
      <c r="O74" s="278"/>
      <c r="P74" s="278"/>
    </row>
    <row r="75" spans="2:16">
      <c r="D75" s="292"/>
      <c r="E75" s="243"/>
      <c r="F75" s="243"/>
      <c r="G75" s="243"/>
      <c r="H75" s="325"/>
      <c r="I75" s="325"/>
      <c r="J75" s="294"/>
      <c r="K75" s="325"/>
      <c r="L75" s="325"/>
      <c r="M75" s="325"/>
      <c r="N75" s="325"/>
      <c r="O75" s="243"/>
      <c r="P75" s="243"/>
    </row>
    <row r="76" spans="2:16">
      <c r="C76" s="532" t="s">
        <v>95</v>
      </c>
      <c r="D76" s="292"/>
      <c r="E76" s="243"/>
      <c r="F76" s="243"/>
      <c r="G76" s="243"/>
      <c r="H76" s="325"/>
      <c r="I76" s="325"/>
      <c r="J76" s="294"/>
      <c r="K76" s="325"/>
      <c r="L76" s="325"/>
      <c r="M76" s="325"/>
      <c r="N76" s="325"/>
      <c r="O76" s="243"/>
      <c r="P76" s="243"/>
    </row>
    <row r="77" spans="2:16">
      <c r="C77" s="454" t="s">
        <v>76</v>
      </c>
      <c r="D77" s="292"/>
      <c r="E77" s="243"/>
      <c r="F77" s="243"/>
      <c r="G77" s="243"/>
      <c r="H77" s="325"/>
      <c r="I77" s="325"/>
      <c r="J77" s="294"/>
      <c r="K77" s="325"/>
      <c r="L77" s="325"/>
      <c r="M77" s="325"/>
      <c r="N77" s="325"/>
      <c r="O77" s="278"/>
      <c r="P77" s="278"/>
    </row>
    <row r="78" spans="2:16">
      <c r="C78" s="454" t="s">
        <v>77</v>
      </c>
      <c r="D78" s="349"/>
      <c r="E78" s="349"/>
      <c r="F78" s="349"/>
      <c r="G78" s="294"/>
      <c r="H78" s="294"/>
      <c r="I78" s="350"/>
      <c r="J78" s="350"/>
      <c r="K78" s="350"/>
      <c r="L78" s="350"/>
      <c r="M78" s="350"/>
      <c r="N78" s="350"/>
      <c r="O78" s="278"/>
      <c r="P78" s="278"/>
    </row>
    <row r="79" spans="2:16">
      <c r="C79" s="454"/>
      <c r="D79" s="349"/>
      <c r="E79" s="349"/>
      <c r="F79" s="349"/>
      <c r="G79" s="294"/>
      <c r="H79" s="294"/>
      <c r="I79" s="350"/>
      <c r="J79" s="350"/>
      <c r="K79" s="350"/>
      <c r="L79" s="350"/>
      <c r="M79" s="350"/>
      <c r="N79" s="350"/>
      <c r="O79" s="278"/>
      <c r="P79" s="243"/>
    </row>
    <row r="80" spans="2:16">
      <c r="B80" s="243"/>
      <c r="C80" s="248"/>
      <c r="D80" s="292"/>
      <c r="E80" s="243"/>
      <c r="F80" s="347"/>
      <c r="G80" s="243"/>
      <c r="H80" s="325"/>
      <c r="I80" s="243"/>
      <c r="J80" s="278"/>
      <c r="K80" s="243"/>
      <c r="L80" s="243"/>
      <c r="M80" s="243"/>
      <c r="N80" s="243"/>
      <c r="O80" s="243"/>
      <c r="P80" s="243"/>
    </row>
    <row r="81" spans="1:16" ht="18">
      <c r="B81" s="243"/>
      <c r="C81" s="535"/>
      <c r="D81" s="292"/>
      <c r="E81" s="243"/>
      <c r="F81" s="347"/>
      <c r="G81" s="243"/>
      <c r="H81" s="325"/>
      <c r="I81" s="243"/>
      <c r="J81" s="278"/>
      <c r="K81" s="243"/>
      <c r="L81" s="243"/>
      <c r="M81" s="243"/>
      <c r="N81" s="243"/>
      <c r="P81" s="536" t="s">
        <v>128</v>
      </c>
    </row>
    <row r="82" spans="1:16">
      <c r="B82" s="243"/>
      <c r="C82" s="248"/>
      <c r="D82" s="292"/>
      <c r="E82" s="243"/>
      <c r="F82" s="347"/>
      <c r="G82" s="243"/>
      <c r="H82" s="325"/>
      <c r="I82" s="243"/>
      <c r="J82" s="278"/>
      <c r="K82" s="243"/>
      <c r="L82" s="243"/>
      <c r="M82" s="243"/>
      <c r="N82" s="243"/>
      <c r="O82" s="243"/>
      <c r="P82" s="243"/>
    </row>
    <row r="83" spans="1:16">
      <c r="B83" s="243"/>
      <c r="C83" s="248"/>
      <c r="D83" s="292"/>
      <c r="E83" s="243"/>
      <c r="F83" s="347"/>
      <c r="G83" s="243"/>
      <c r="H83" s="325"/>
      <c r="I83" s="243"/>
      <c r="J83" s="278"/>
      <c r="K83" s="243"/>
      <c r="L83" s="243"/>
      <c r="M83" s="243"/>
      <c r="N83" s="243"/>
      <c r="O83" s="243"/>
      <c r="P83" s="243"/>
    </row>
    <row r="84" spans="1:16" ht="20.25">
      <c r="A84" s="437" t="s">
        <v>190</v>
      </c>
      <c r="B84" s="243"/>
      <c r="C84" s="248"/>
      <c r="D84" s="292"/>
      <c r="E84" s="243"/>
      <c r="F84" s="339"/>
      <c r="G84" s="339"/>
      <c r="H84" s="243"/>
      <c r="I84" s="325"/>
      <c r="K84" s="220"/>
      <c r="L84" s="438"/>
      <c r="M84" s="438"/>
      <c r="P84" s="438" t="str">
        <f ca="1">P1</f>
        <v>OKT Project 17 of 24</v>
      </c>
    </row>
    <row r="85" spans="1:16" ht="18">
      <c r="B85" s="243"/>
      <c r="C85" s="243"/>
      <c r="D85" s="292"/>
      <c r="E85" s="243"/>
      <c r="F85" s="243"/>
      <c r="G85" s="243"/>
      <c r="H85" s="243"/>
      <c r="I85" s="325"/>
      <c r="J85" s="243"/>
      <c r="K85" s="278"/>
      <c r="L85" s="243"/>
      <c r="M85" s="243"/>
      <c r="P85" s="441" t="s">
        <v>132</v>
      </c>
    </row>
    <row r="86" spans="1:16" ht="18.75" thickBot="1">
      <c r="B86" s="233" t="s">
        <v>42</v>
      </c>
      <c r="C86" s="537" t="s">
        <v>81</v>
      </c>
      <c r="D86" s="292"/>
      <c r="E86" s="243"/>
      <c r="F86" s="243"/>
      <c r="G86" s="243"/>
      <c r="H86" s="243"/>
      <c r="I86" s="325"/>
      <c r="J86" s="325"/>
      <c r="K86" s="294"/>
      <c r="L86" s="325"/>
      <c r="M86" s="325"/>
      <c r="N86" s="325"/>
      <c r="O86" s="294"/>
      <c r="P86" s="243"/>
    </row>
    <row r="87" spans="1:16" ht="15.75" thickBot="1">
      <c r="C87" s="304"/>
      <c r="D87" s="292"/>
      <c r="E87" s="243"/>
      <c r="F87" s="243"/>
      <c r="G87" s="243"/>
      <c r="H87" s="243"/>
      <c r="I87" s="325"/>
      <c r="J87" s="325"/>
      <c r="K87" s="294"/>
      <c r="L87" s="538">
        <f>+J93</f>
        <v>2021</v>
      </c>
      <c r="M87" s="539" t="s">
        <v>9</v>
      </c>
      <c r="N87" s="540" t="s">
        <v>134</v>
      </c>
      <c r="O87" s="541" t="s">
        <v>11</v>
      </c>
      <c r="P87" s="243"/>
    </row>
    <row r="88" spans="1:16" ht="15">
      <c r="C88" s="232" t="s">
        <v>44</v>
      </c>
      <c r="D88" s="292"/>
      <c r="E88" s="243"/>
      <c r="F88" s="243"/>
      <c r="G88" s="243"/>
      <c r="H88" s="444"/>
      <c r="I88" s="243" t="s">
        <v>45</v>
      </c>
      <c r="J88" s="243"/>
      <c r="K88" s="542"/>
      <c r="L88" s="543" t="s">
        <v>253</v>
      </c>
      <c r="M88" s="544">
        <f>IF(J93&lt;D11,0,VLOOKUP(J93,C17:O73,9))</f>
        <v>11380637.767430846</v>
      </c>
      <c r="N88" s="544">
        <f>IF(J93&lt;D11,0,VLOOKUP(J93,C17:O73,11))</f>
        <v>11380637.767430846</v>
      </c>
      <c r="O88" s="545">
        <f>+N88-M88</f>
        <v>0</v>
      </c>
      <c r="P88" s="243"/>
    </row>
    <row r="89" spans="1:16" ht="15.75">
      <c r="C89" s="235"/>
      <c r="D89" s="292"/>
      <c r="E89" s="243"/>
      <c r="F89" s="243"/>
      <c r="G89" s="243"/>
      <c r="H89" s="243"/>
      <c r="I89" s="449"/>
      <c r="J89" s="449"/>
      <c r="K89" s="546"/>
      <c r="L89" s="547" t="s">
        <v>254</v>
      </c>
      <c r="M89" s="548">
        <f>IF(J93&lt;D11,0,VLOOKUP(J93,C100:P155,6))</f>
        <v>12698244.677714044</v>
      </c>
      <c r="N89" s="548">
        <f>IF(J93&lt;D11,0,VLOOKUP(J93,C100:P155,7))</f>
        <v>12698244.677714044</v>
      </c>
      <c r="O89" s="549">
        <f>+N89-M89</f>
        <v>0</v>
      </c>
      <c r="P89" s="243"/>
    </row>
    <row r="90" spans="1:16" ht="13.5" thickBot="1">
      <c r="C90" s="454" t="s">
        <v>82</v>
      </c>
      <c r="D90" s="550" t="str">
        <f>+D7</f>
        <v>Chisholm - Gracemont 345 kv line and station</v>
      </c>
      <c r="E90" s="243"/>
      <c r="F90" s="243"/>
      <c r="G90" s="243"/>
      <c r="H90" s="243"/>
      <c r="I90" s="325"/>
      <c r="J90" s="325"/>
      <c r="K90" s="551"/>
      <c r="L90" s="552" t="s">
        <v>135</v>
      </c>
      <c r="M90" s="553">
        <f>+M89-M88</f>
        <v>1317606.9102831986</v>
      </c>
      <c r="N90" s="553">
        <f>+N89-N88</f>
        <v>1317606.9102831986</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2011150</v>
      </c>
      <c r="E92" s="558"/>
      <c r="F92" s="558"/>
      <c r="G92" s="558"/>
      <c r="H92" s="558"/>
      <c r="I92" s="558"/>
      <c r="J92" s="558"/>
      <c r="K92" s="560"/>
      <c r="P92" s="468"/>
    </row>
    <row r="93" spans="1:16">
      <c r="C93" s="472" t="s">
        <v>49</v>
      </c>
      <c r="D93" s="470">
        <v>87679479</v>
      </c>
      <c r="E93" s="248" t="s">
        <v>84</v>
      </c>
      <c r="H93" s="408"/>
      <c r="I93" s="408"/>
      <c r="J93" s="471">
        <f>+'OKT.WS.G.BPU.ATRR.True-up'!M16</f>
        <v>2021</v>
      </c>
      <c r="K93" s="467"/>
      <c r="L93" s="294" t="s">
        <v>85</v>
      </c>
      <c r="P93" s="278"/>
    </row>
    <row r="94" spans="1:16">
      <c r="C94" s="472" t="s">
        <v>52</v>
      </c>
      <c r="D94" s="473">
        <f>IF(D11=I10,"",D11)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c r="C95" s="472" t="s">
        <v>54</v>
      </c>
      <c r="D95" s="470">
        <f>IF(D11=I10,"",D12)</f>
        <v>12</v>
      </c>
      <c r="E95" s="472" t="s">
        <v>55</v>
      </c>
      <c r="F95" s="408"/>
      <c r="G95" s="408"/>
      <c r="J95" s="476">
        <f>'OKT.WS.G.BPU.ATRR.True-up'!$F$81</f>
        <v>0.11796201313639214</v>
      </c>
      <c r="K95" s="413"/>
      <c r="L95" s="145" t="s">
        <v>86</v>
      </c>
      <c r="P95" s="278"/>
    </row>
    <row r="96" spans="1:16">
      <c r="C96" s="472" t="s">
        <v>57</v>
      </c>
      <c r="D96" s="474">
        <f>'OKT.WS.G.BPU.ATRR.True-up'!F$93</f>
        <v>25</v>
      </c>
      <c r="E96" s="472" t="s">
        <v>58</v>
      </c>
      <c r="F96" s="408"/>
      <c r="G96" s="408"/>
      <c r="J96" s="476">
        <f>IF(H88="",J95,'OKT.WS.G.BPU.ATRR.True-up'!$F$80)</f>
        <v>0.11796201313639214</v>
      </c>
      <c r="K96" s="291"/>
      <c r="L96" s="294" t="s">
        <v>59</v>
      </c>
      <c r="M96" s="291"/>
      <c r="N96" s="291"/>
      <c r="O96" s="291"/>
      <c r="P96" s="278"/>
    </row>
    <row r="97" spans="1:16" ht="13.5" thickBot="1">
      <c r="C97" s="472" t="s">
        <v>60</v>
      </c>
      <c r="D97" s="640" t="str">
        <f>+D14</f>
        <v>No</v>
      </c>
      <c r="E97" s="563" t="s">
        <v>62</v>
      </c>
      <c r="F97" s="564"/>
      <c r="G97" s="564"/>
      <c r="H97" s="565"/>
      <c r="I97" s="565"/>
      <c r="J97" s="458">
        <f>IF(D93=0,0,D93/D96)</f>
        <v>3507179.16</v>
      </c>
      <c r="K97" s="294"/>
      <c r="L97" s="294"/>
      <c r="M97" s="294"/>
      <c r="N97" s="294"/>
      <c r="O97" s="294"/>
      <c r="P97" s="278"/>
    </row>
    <row r="98" spans="1:16"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row>
    <row r="100" spans="1:16">
      <c r="B100" s="145" t="str">
        <f t="shared" ref="B100:B155" si="18">IF(D100=F99,"","IU")</f>
        <v>IU</v>
      </c>
      <c r="C100" s="495">
        <f>IF(D94= "","-",D94)</f>
        <v>2017</v>
      </c>
      <c r="D100" s="496">
        <v>0</v>
      </c>
      <c r="E100" s="498">
        <v>0</v>
      </c>
      <c r="F100" s="505">
        <v>87396515</v>
      </c>
      <c r="G100" s="505">
        <v>43698257.5</v>
      </c>
      <c r="H100" s="498">
        <v>5127372.8083007364</v>
      </c>
      <c r="I100" s="499">
        <v>5127372.8083007364</v>
      </c>
      <c r="J100" s="504">
        <f t="shared" ref="J100:J131" si="19">+I100-H100</f>
        <v>0</v>
      </c>
      <c r="K100" s="504"/>
      <c r="L100" s="506">
        <f>+H100</f>
        <v>5127372.8083007364</v>
      </c>
      <c r="M100" s="504">
        <f t="shared" ref="M100:M131" si="20">IF(L100&lt;&gt;0,+H100-L100,0)</f>
        <v>0</v>
      </c>
      <c r="N100" s="506">
        <f>+I100</f>
        <v>5127372.8083007364</v>
      </c>
      <c r="O100" s="586">
        <f t="shared" ref="O100:O131" si="21">IF(N100&lt;&gt;0,+I100-N100,0)</f>
        <v>0</v>
      </c>
      <c r="P100" s="504">
        <f t="shared" ref="P100:P131" si="22">+O100-M100</f>
        <v>0</v>
      </c>
    </row>
    <row r="101" spans="1:16">
      <c r="B101" s="145" t="str">
        <f t="shared" si="18"/>
        <v/>
      </c>
      <c r="C101" s="495">
        <f>IF(D94="","-",+C100+1)</f>
        <v>2018</v>
      </c>
      <c r="D101" s="496">
        <v>87396515</v>
      </c>
      <c r="E101" s="498">
        <v>2427680.972222222</v>
      </c>
      <c r="F101" s="505">
        <v>84968834.027777776</v>
      </c>
      <c r="G101" s="505">
        <v>86182674.513888896</v>
      </c>
      <c r="H101" s="498">
        <v>11525335.163817437</v>
      </c>
      <c r="I101" s="499">
        <v>11525335.163817437</v>
      </c>
      <c r="J101" s="504">
        <f t="shared" si="19"/>
        <v>0</v>
      </c>
      <c r="K101" s="504"/>
      <c r="L101" s="506">
        <f>H101</f>
        <v>11525335.163817437</v>
      </c>
      <c r="M101" s="504">
        <f>IF(L101&lt;&gt;0,+H101-L101,0)</f>
        <v>0</v>
      </c>
      <c r="N101" s="506">
        <f>I101</f>
        <v>11525335.163817437</v>
      </c>
      <c r="O101" s="504">
        <f>IF(N101&lt;&gt;0,+I101-N101,0)</f>
        <v>0</v>
      </c>
      <c r="P101" s="504">
        <f>+O101-M101</f>
        <v>0</v>
      </c>
    </row>
    <row r="102" spans="1:16">
      <c r="B102" s="145" t="str">
        <f t="shared" si="18"/>
        <v>IU</v>
      </c>
      <c r="C102" s="495">
        <f>IF(D94="","-",+C101+1)</f>
        <v>2019</v>
      </c>
      <c r="D102" s="496">
        <v>85829515.027777776</v>
      </c>
      <c r="E102" s="498">
        <v>2451588.777777778</v>
      </c>
      <c r="F102" s="505">
        <v>83377926.25</v>
      </c>
      <c r="G102" s="505">
        <v>84603720.638888896</v>
      </c>
      <c r="H102" s="498">
        <v>11382564.731313506</v>
      </c>
      <c r="I102" s="499">
        <v>11382564.731313506</v>
      </c>
      <c r="J102" s="504">
        <f t="shared" si="19"/>
        <v>0</v>
      </c>
      <c r="K102" s="504"/>
      <c r="L102" s="506">
        <f>H102</f>
        <v>11382564.731313506</v>
      </c>
      <c r="M102" s="504">
        <f>IF(L102&lt;&gt;0,+H102-L102,0)</f>
        <v>0</v>
      </c>
      <c r="N102" s="506">
        <f>I102</f>
        <v>11382564.731313506</v>
      </c>
      <c r="O102" s="504">
        <f t="shared" si="21"/>
        <v>0</v>
      </c>
      <c r="P102" s="504">
        <f t="shared" si="22"/>
        <v>0</v>
      </c>
    </row>
    <row r="103" spans="1:16">
      <c r="B103" s="145" t="str">
        <f t="shared" si="18"/>
        <v>IU</v>
      </c>
      <c r="C103" s="495">
        <f>IF(D94="","-",+C102+1)</f>
        <v>2020</v>
      </c>
      <c r="D103" s="496">
        <v>82792963.25</v>
      </c>
      <c r="E103" s="498">
        <v>3131151.1785714286</v>
      </c>
      <c r="F103" s="505">
        <v>79661812.071428567</v>
      </c>
      <c r="G103" s="505">
        <v>81227387.660714284</v>
      </c>
      <c r="H103" s="498">
        <v>11774841.711765051</v>
      </c>
      <c r="I103" s="499">
        <v>11774841.711765051</v>
      </c>
      <c r="J103" s="504">
        <f t="shared" si="19"/>
        <v>0</v>
      </c>
      <c r="K103" s="504"/>
      <c r="L103" s="506">
        <f>H103</f>
        <v>11774841.711765051</v>
      </c>
      <c r="M103" s="504">
        <f>IF(L103&lt;&gt;0,+H103-L103,0)</f>
        <v>0</v>
      </c>
      <c r="N103" s="506">
        <f>I103</f>
        <v>11774841.711765051</v>
      </c>
      <c r="O103" s="504">
        <f t="shared" si="21"/>
        <v>0</v>
      </c>
      <c r="P103" s="504">
        <f t="shared" si="22"/>
        <v>0</v>
      </c>
    </row>
    <row r="104" spans="1:16">
      <c r="B104" s="145" t="str">
        <f t="shared" si="18"/>
        <v>IU</v>
      </c>
      <c r="C104" s="495">
        <f>IF(D94="","-",+C103+1)</f>
        <v>2021</v>
      </c>
      <c r="D104" s="349">
        <f>IF(F103+SUM(E$100:E103)=D$93,F103,D$93-SUM(E$100:E103))</f>
        <v>79669058.071428567</v>
      </c>
      <c r="E104" s="509">
        <f t="shared" ref="E104:E132" si="23">IF(+J$97&lt;F103,J$97,D104)</f>
        <v>3507179.16</v>
      </c>
      <c r="F104" s="510">
        <f t="shared" ref="F104:F131" si="24">+D104-E104</f>
        <v>76161878.911428571</v>
      </c>
      <c r="G104" s="510">
        <f t="shared" ref="G104:G131" si="25">+(F104+D104)/2</f>
        <v>77915468.491428569</v>
      </c>
      <c r="H104" s="627">
        <f t="shared" ref="H104:H155" si="26">+J$95*G104+E104</f>
        <v>12698244.677714044</v>
      </c>
      <c r="I104" s="628">
        <f t="shared" ref="I104:I155" si="27">+J$96*G104+E104</f>
        <v>12698244.677714044</v>
      </c>
      <c r="J104" s="504">
        <f t="shared" si="19"/>
        <v>0</v>
      </c>
      <c r="K104" s="504"/>
      <c r="L104" s="512"/>
      <c r="M104" s="504">
        <f t="shared" si="20"/>
        <v>0</v>
      </c>
      <c r="N104" s="512"/>
      <c r="O104" s="504">
        <f t="shared" si="21"/>
        <v>0</v>
      </c>
      <c r="P104" s="504">
        <f t="shared" si="22"/>
        <v>0</v>
      </c>
    </row>
    <row r="105" spans="1:16">
      <c r="B105" s="145" t="str">
        <f t="shared" si="18"/>
        <v/>
      </c>
      <c r="C105" s="495">
        <f>IF(D94="","-",+C104+1)</f>
        <v>2022</v>
      </c>
      <c r="D105" s="349">
        <f>IF(F104+SUM(E$100:E104)=D$93,F104,D$93-SUM(E$100:E104))</f>
        <v>76161878.911428571</v>
      </c>
      <c r="E105" s="509">
        <f t="shared" si="23"/>
        <v>3507179.16</v>
      </c>
      <c r="F105" s="510">
        <f t="shared" si="24"/>
        <v>72654699.751428574</v>
      </c>
      <c r="G105" s="510">
        <f t="shared" si="25"/>
        <v>74408289.331428573</v>
      </c>
      <c r="H105" s="627">
        <f t="shared" si="26"/>
        <v>12284530.763570445</v>
      </c>
      <c r="I105" s="628">
        <f t="shared" si="27"/>
        <v>12284530.763570445</v>
      </c>
      <c r="J105" s="504">
        <f t="shared" si="19"/>
        <v>0</v>
      </c>
      <c r="K105" s="504"/>
      <c r="L105" s="512"/>
      <c r="M105" s="504">
        <f t="shared" si="20"/>
        <v>0</v>
      </c>
      <c r="N105" s="512"/>
      <c r="O105" s="504">
        <f t="shared" si="21"/>
        <v>0</v>
      </c>
      <c r="P105" s="504">
        <f t="shared" si="22"/>
        <v>0</v>
      </c>
    </row>
    <row r="106" spans="1:16">
      <c r="B106" s="145" t="str">
        <f t="shared" si="18"/>
        <v/>
      </c>
      <c r="C106" s="495">
        <f>IF(D94="","-",+C105+1)</f>
        <v>2023</v>
      </c>
      <c r="D106" s="349">
        <f>IF(F105+SUM(E$100:E105)=D$93,F105,D$93-SUM(E$100:E105))</f>
        <v>72654699.751428574</v>
      </c>
      <c r="E106" s="509">
        <f t="shared" si="23"/>
        <v>3507179.16</v>
      </c>
      <c r="F106" s="510">
        <f t="shared" si="24"/>
        <v>69147520.591428578</v>
      </c>
      <c r="G106" s="510">
        <f t="shared" si="25"/>
        <v>70901110.171428576</v>
      </c>
      <c r="H106" s="627">
        <f t="shared" si="26"/>
        <v>11870816.849426843</v>
      </c>
      <c r="I106" s="628">
        <f t="shared" si="27"/>
        <v>11870816.849426843</v>
      </c>
      <c r="J106" s="504">
        <f t="shared" si="19"/>
        <v>0</v>
      </c>
      <c r="K106" s="504"/>
      <c r="L106" s="512"/>
      <c r="M106" s="504">
        <f t="shared" si="20"/>
        <v>0</v>
      </c>
      <c r="N106" s="512"/>
      <c r="O106" s="504">
        <f t="shared" si="21"/>
        <v>0</v>
      </c>
      <c r="P106" s="504">
        <f t="shared" si="22"/>
        <v>0</v>
      </c>
    </row>
    <row r="107" spans="1:16">
      <c r="B107" s="145" t="str">
        <f t="shared" si="18"/>
        <v/>
      </c>
      <c r="C107" s="495">
        <f>IF(D94="","-",+C106+1)</f>
        <v>2024</v>
      </c>
      <c r="D107" s="349">
        <f>IF(F106+SUM(E$100:E106)=D$93,F106,D$93-SUM(E$100:E106))</f>
        <v>69147520.591428578</v>
      </c>
      <c r="E107" s="509">
        <f t="shared" si="23"/>
        <v>3507179.16</v>
      </c>
      <c r="F107" s="510">
        <f t="shared" si="24"/>
        <v>65640341.431428581</v>
      </c>
      <c r="G107" s="510">
        <f t="shared" si="25"/>
        <v>67393931.01142858</v>
      </c>
      <c r="H107" s="627">
        <f t="shared" si="26"/>
        <v>11457102.935283244</v>
      </c>
      <c r="I107" s="628">
        <f t="shared" si="27"/>
        <v>11457102.935283244</v>
      </c>
      <c r="J107" s="504">
        <f t="shared" si="19"/>
        <v>0</v>
      </c>
      <c r="K107" s="504"/>
      <c r="L107" s="512"/>
      <c r="M107" s="504">
        <f t="shared" si="20"/>
        <v>0</v>
      </c>
      <c r="N107" s="512"/>
      <c r="O107" s="504">
        <f t="shared" si="21"/>
        <v>0</v>
      </c>
      <c r="P107" s="504">
        <f t="shared" si="22"/>
        <v>0</v>
      </c>
    </row>
    <row r="108" spans="1:16">
      <c r="B108" s="145" t="str">
        <f t="shared" si="18"/>
        <v/>
      </c>
      <c r="C108" s="495">
        <f>IF(D94="","-",+C107+1)</f>
        <v>2025</v>
      </c>
      <c r="D108" s="349">
        <f>IF(F107+SUM(E$100:E107)=D$93,F107,D$93-SUM(E$100:E107))</f>
        <v>65640341.431428581</v>
      </c>
      <c r="E108" s="509">
        <f t="shared" si="23"/>
        <v>3507179.16</v>
      </c>
      <c r="F108" s="510">
        <f t="shared" si="24"/>
        <v>62133162.271428585</v>
      </c>
      <c r="G108" s="510">
        <f t="shared" si="25"/>
        <v>63886751.851428583</v>
      </c>
      <c r="H108" s="627">
        <f t="shared" si="26"/>
        <v>11043389.021139644</v>
      </c>
      <c r="I108" s="628">
        <f t="shared" si="27"/>
        <v>11043389.021139644</v>
      </c>
      <c r="J108" s="504">
        <f t="shared" si="19"/>
        <v>0</v>
      </c>
      <c r="K108" s="504"/>
      <c r="L108" s="512"/>
      <c r="M108" s="504">
        <f t="shared" si="20"/>
        <v>0</v>
      </c>
      <c r="N108" s="512"/>
      <c r="O108" s="504">
        <f t="shared" si="21"/>
        <v>0</v>
      </c>
      <c r="P108" s="504">
        <f t="shared" si="22"/>
        <v>0</v>
      </c>
    </row>
    <row r="109" spans="1:16">
      <c r="B109" s="145" t="str">
        <f t="shared" si="18"/>
        <v/>
      </c>
      <c r="C109" s="495">
        <f>IF(D94="","-",+C108+1)</f>
        <v>2026</v>
      </c>
      <c r="D109" s="349">
        <f>IF(F108+SUM(E$100:E108)=D$93,F108,D$93-SUM(E$100:E108))</f>
        <v>62133162.271428585</v>
      </c>
      <c r="E109" s="509">
        <f t="shared" si="23"/>
        <v>3507179.16</v>
      </c>
      <c r="F109" s="510">
        <f t="shared" si="24"/>
        <v>58625983.111428589</v>
      </c>
      <c r="G109" s="510">
        <f t="shared" si="25"/>
        <v>60379572.691428587</v>
      </c>
      <c r="H109" s="627">
        <f t="shared" si="26"/>
        <v>10629675.106996043</v>
      </c>
      <c r="I109" s="628">
        <f t="shared" si="27"/>
        <v>10629675.106996043</v>
      </c>
      <c r="J109" s="504">
        <f t="shared" si="19"/>
        <v>0</v>
      </c>
      <c r="K109" s="504"/>
      <c r="L109" s="512"/>
      <c r="M109" s="504">
        <f t="shared" si="20"/>
        <v>0</v>
      </c>
      <c r="N109" s="512"/>
      <c r="O109" s="504">
        <f t="shared" si="21"/>
        <v>0</v>
      </c>
      <c r="P109" s="504">
        <f t="shared" si="22"/>
        <v>0</v>
      </c>
    </row>
    <row r="110" spans="1:16">
      <c r="B110" s="145" t="str">
        <f t="shared" si="18"/>
        <v/>
      </c>
      <c r="C110" s="495">
        <f>IF(D94="","-",+C109+1)</f>
        <v>2027</v>
      </c>
      <c r="D110" s="349">
        <f>IF(F109+SUM(E$100:E109)=D$93,F109,D$93-SUM(E$100:E109))</f>
        <v>58625983.111428589</v>
      </c>
      <c r="E110" s="509">
        <f t="shared" si="23"/>
        <v>3507179.16</v>
      </c>
      <c r="F110" s="510">
        <f t="shared" si="24"/>
        <v>55118803.951428592</v>
      </c>
      <c r="G110" s="510">
        <f t="shared" si="25"/>
        <v>56872393.53142859</v>
      </c>
      <c r="H110" s="627">
        <f t="shared" si="26"/>
        <v>10215961.192852443</v>
      </c>
      <c r="I110" s="628">
        <f t="shared" si="27"/>
        <v>10215961.192852443</v>
      </c>
      <c r="J110" s="504">
        <f t="shared" si="19"/>
        <v>0</v>
      </c>
      <c r="K110" s="504"/>
      <c r="L110" s="512"/>
      <c r="M110" s="504">
        <f t="shared" si="20"/>
        <v>0</v>
      </c>
      <c r="N110" s="512"/>
      <c r="O110" s="504">
        <f t="shared" si="21"/>
        <v>0</v>
      </c>
      <c r="P110" s="504">
        <f t="shared" si="22"/>
        <v>0</v>
      </c>
    </row>
    <row r="111" spans="1:16">
      <c r="B111" s="145" t="str">
        <f t="shared" si="18"/>
        <v/>
      </c>
      <c r="C111" s="495">
        <f>IF(D94="","-",+C110+1)</f>
        <v>2028</v>
      </c>
      <c r="D111" s="349">
        <f>IF(F110+SUM(E$100:E110)=D$93,F110,D$93-SUM(E$100:E110))</f>
        <v>55118803.951428592</v>
      </c>
      <c r="E111" s="509">
        <f t="shared" si="23"/>
        <v>3507179.16</v>
      </c>
      <c r="F111" s="510">
        <f t="shared" si="24"/>
        <v>51611624.791428596</v>
      </c>
      <c r="G111" s="510">
        <f t="shared" si="25"/>
        <v>53365214.371428594</v>
      </c>
      <c r="H111" s="627">
        <f t="shared" si="26"/>
        <v>9802247.2787088417</v>
      </c>
      <c r="I111" s="628">
        <f t="shared" si="27"/>
        <v>9802247.2787088417</v>
      </c>
      <c r="J111" s="504">
        <f t="shared" si="19"/>
        <v>0</v>
      </c>
      <c r="K111" s="504"/>
      <c r="L111" s="512"/>
      <c r="M111" s="504">
        <f t="shared" si="20"/>
        <v>0</v>
      </c>
      <c r="N111" s="512"/>
      <c r="O111" s="504">
        <f t="shared" si="21"/>
        <v>0</v>
      </c>
      <c r="P111" s="504">
        <f t="shared" si="22"/>
        <v>0</v>
      </c>
    </row>
    <row r="112" spans="1:16">
      <c r="B112" s="145" t="str">
        <f t="shared" si="18"/>
        <v/>
      </c>
      <c r="C112" s="495">
        <f>IF(D94="","-",+C111+1)</f>
        <v>2029</v>
      </c>
      <c r="D112" s="349">
        <f>IF(F111+SUM(E$100:E111)=D$93,F111,D$93-SUM(E$100:E111))</f>
        <v>51611624.791428596</v>
      </c>
      <c r="E112" s="509">
        <f t="shared" si="23"/>
        <v>3507179.16</v>
      </c>
      <c r="F112" s="510">
        <f t="shared" si="24"/>
        <v>48104445.631428599</v>
      </c>
      <c r="G112" s="510">
        <f t="shared" si="25"/>
        <v>49858035.211428598</v>
      </c>
      <c r="H112" s="627">
        <f t="shared" si="26"/>
        <v>9388533.3645652421</v>
      </c>
      <c r="I112" s="628">
        <f t="shared" si="27"/>
        <v>9388533.3645652421</v>
      </c>
      <c r="J112" s="504">
        <f t="shared" si="19"/>
        <v>0</v>
      </c>
      <c r="K112" s="504"/>
      <c r="L112" s="512"/>
      <c r="M112" s="504">
        <f t="shared" si="20"/>
        <v>0</v>
      </c>
      <c r="N112" s="512"/>
      <c r="O112" s="504">
        <f t="shared" si="21"/>
        <v>0</v>
      </c>
      <c r="P112" s="504">
        <f t="shared" si="22"/>
        <v>0</v>
      </c>
    </row>
    <row r="113" spans="2:16">
      <c r="B113" s="145" t="str">
        <f t="shared" si="18"/>
        <v/>
      </c>
      <c r="C113" s="495">
        <f>IF(D94="","-",+C112+1)</f>
        <v>2030</v>
      </c>
      <c r="D113" s="349">
        <f>IF(F112+SUM(E$100:E112)=D$93,F112,D$93-SUM(E$100:E112))</f>
        <v>48104445.631428599</v>
      </c>
      <c r="E113" s="509">
        <f t="shared" si="23"/>
        <v>3507179.16</v>
      </c>
      <c r="F113" s="510">
        <f t="shared" si="24"/>
        <v>44597266.471428603</v>
      </c>
      <c r="G113" s="510">
        <f t="shared" si="25"/>
        <v>46350856.051428601</v>
      </c>
      <c r="H113" s="627">
        <f t="shared" si="26"/>
        <v>8974819.4504216425</v>
      </c>
      <c r="I113" s="628">
        <f t="shared" si="27"/>
        <v>8974819.4504216425</v>
      </c>
      <c r="J113" s="504">
        <f t="shared" si="19"/>
        <v>0</v>
      </c>
      <c r="K113" s="504"/>
      <c r="L113" s="512"/>
      <c r="M113" s="504">
        <f t="shared" si="20"/>
        <v>0</v>
      </c>
      <c r="N113" s="512"/>
      <c r="O113" s="504">
        <f t="shared" si="21"/>
        <v>0</v>
      </c>
      <c r="P113" s="504">
        <f t="shared" si="22"/>
        <v>0</v>
      </c>
    </row>
    <row r="114" spans="2:16">
      <c r="B114" s="145" t="str">
        <f t="shared" si="18"/>
        <v/>
      </c>
      <c r="C114" s="495">
        <f>IF(D94="","-",+C113+1)</f>
        <v>2031</v>
      </c>
      <c r="D114" s="349">
        <f>IF(F113+SUM(E$100:E113)=D$93,F113,D$93-SUM(E$100:E113))</f>
        <v>44597266.471428603</v>
      </c>
      <c r="E114" s="509">
        <f t="shared" si="23"/>
        <v>3507179.16</v>
      </c>
      <c r="F114" s="510">
        <f t="shared" si="24"/>
        <v>41090087.311428607</v>
      </c>
      <c r="G114" s="510">
        <f t="shared" si="25"/>
        <v>42843676.891428605</v>
      </c>
      <c r="H114" s="627">
        <f t="shared" si="26"/>
        <v>8561105.5362780411</v>
      </c>
      <c r="I114" s="628">
        <f t="shared" si="27"/>
        <v>8561105.5362780411</v>
      </c>
      <c r="J114" s="504">
        <f t="shared" si="19"/>
        <v>0</v>
      </c>
      <c r="K114" s="504"/>
      <c r="L114" s="512"/>
      <c r="M114" s="504">
        <f t="shared" si="20"/>
        <v>0</v>
      </c>
      <c r="N114" s="512"/>
      <c r="O114" s="504">
        <f t="shared" si="21"/>
        <v>0</v>
      </c>
      <c r="P114" s="504">
        <f t="shared" si="22"/>
        <v>0</v>
      </c>
    </row>
    <row r="115" spans="2:16">
      <c r="B115" s="145" t="str">
        <f t="shared" si="18"/>
        <v/>
      </c>
      <c r="C115" s="495">
        <f>IF(D94="","-",+C114+1)</f>
        <v>2032</v>
      </c>
      <c r="D115" s="349">
        <f>IF(F114+SUM(E$100:E114)=D$93,F114,D$93-SUM(E$100:E114))</f>
        <v>41090087.311428607</v>
      </c>
      <c r="E115" s="509">
        <f t="shared" si="23"/>
        <v>3507179.16</v>
      </c>
      <c r="F115" s="510">
        <f t="shared" si="24"/>
        <v>37582908.15142861</v>
      </c>
      <c r="G115" s="510">
        <f t="shared" si="25"/>
        <v>39336497.731428608</v>
      </c>
      <c r="H115" s="627">
        <f t="shared" si="26"/>
        <v>8147391.6221344415</v>
      </c>
      <c r="I115" s="628">
        <f t="shared" si="27"/>
        <v>8147391.6221344415</v>
      </c>
      <c r="J115" s="504">
        <f t="shared" si="19"/>
        <v>0</v>
      </c>
      <c r="K115" s="504"/>
      <c r="L115" s="512"/>
      <c r="M115" s="504">
        <f t="shared" si="20"/>
        <v>0</v>
      </c>
      <c r="N115" s="512"/>
      <c r="O115" s="504">
        <f t="shared" si="21"/>
        <v>0</v>
      </c>
      <c r="P115" s="504">
        <f t="shared" si="22"/>
        <v>0</v>
      </c>
    </row>
    <row r="116" spans="2:16">
      <c r="B116" s="145" t="str">
        <f t="shared" si="18"/>
        <v/>
      </c>
      <c r="C116" s="495">
        <f>IF(D94="","-",+C115+1)</f>
        <v>2033</v>
      </c>
      <c r="D116" s="349">
        <f>IF(F115+SUM(E$100:E115)=D$93,F115,D$93-SUM(E$100:E115))</f>
        <v>37582908.15142861</v>
      </c>
      <c r="E116" s="509">
        <f t="shared" si="23"/>
        <v>3507179.16</v>
      </c>
      <c r="F116" s="510">
        <f t="shared" si="24"/>
        <v>34075728.991428614</v>
      </c>
      <c r="G116" s="510">
        <f t="shared" si="25"/>
        <v>35829318.571428612</v>
      </c>
      <c r="H116" s="627">
        <f t="shared" si="26"/>
        <v>7733677.707990841</v>
      </c>
      <c r="I116" s="628">
        <f t="shared" si="27"/>
        <v>7733677.707990841</v>
      </c>
      <c r="J116" s="504">
        <f t="shared" si="19"/>
        <v>0</v>
      </c>
      <c r="K116" s="504"/>
      <c r="L116" s="512"/>
      <c r="M116" s="504">
        <f t="shared" si="20"/>
        <v>0</v>
      </c>
      <c r="N116" s="512"/>
      <c r="O116" s="504">
        <f t="shared" si="21"/>
        <v>0</v>
      </c>
      <c r="P116" s="504">
        <f t="shared" si="22"/>
        <v>0</v>
      </c>
    </row>
    <row r="117" spans="2:16">
      <c r="B117" s="145" t="str">
        <f t="shared" si="18"/>
        <v/>
      </c>
      <c r="C117" s="495">
        <f>IF(D94="","-",+C116+1)</f>
        <v>2034</v>
      </c>
      <c r="D117" s="349">
        <f>IF(F116+SUM(E$100:E116)=D$93,F116,D$93-SUM(E$100:E116))</f>
        <v>34075728.991428614</v>
      </c>
      <c r="E117" s="509">
        <f t="shared" si="23"/>
        <v>3507179.16</v>
      </c>
      <c r="F117" s="510">
        <f t="shared" si="24"/>
        <v>30568549.831428614</v>
      </c>
      <c r="G117" s="510">
        <f t="shared" si="25"/>
        <v>32322139.411428615</v>
      </c>
      <c r="H117" s="627">
        <f t="shared" si="26"/>
        <v>7319963.7938472405</v>
      </c>
      <c r="I117" s="628">
        <f t="shared" si="27"/>
        <v>7319963.7938472405</v>
      </c>
      <c r="J117" s="504">
        <f t="shared" si="19"/>
        <v>0</v>
      </c>
      <c r="K117" s="504"/>
      <c r="L117" s="512"/>
      <c r="M117" s="504">
        <f t="shared" si="20"/>
        <v>0</v>
      </c>
      <c r="N117" s="512"/>
      <c r="O117" s="504">
        <f t="shared" si="21"/>
        <v>0</v>
      </c>
      <c r="P117" s="504">
        <f t="shared" si="22"/>
        <v>0</v>
      </c>
    </row>
    <row r="118" spans="2:16">
      <c r="B118" s="145" t="str">
        <f t="shared" si="18"/>
        <v/>
      </c>
      <c r="C118" s="495">
        <f>IF(D94="","-",+C117+1)</f>
        <v>2035</v>
      </c>
      <c r="D118" s="349">
        <f>IF(F117+SUM(E$100:E117)=D$93,F117,D$93-SUM(E$100:E117))</f>
        <v>30568549.831428614</v>
      </c>
      <c r="E118" s="509">
        <f t="shared" si="23"/>
        <v>3507179.16</v>
      </c>
      <c r="F118" s="510">
        <f t="shared" si="24"/>
        <v>27061370.671428613</v>
      </c>
      <c r="G118" s="510">
        <f t="shared" si="25"/>
        <v>28814960.251428612</v>
      </c>
      <c r="H118" s="627">
        <f t="shared" si="26"/>
        <v>6906249.8797036391</v>
      </c>
      <c r="I118" s="628">
        <f t="shared" si="27"/>
        <v>6906249.8797036391</v>
      </c>
      <c r="J118" s="504">
        <f t="shared" si="19"/>
        <v>0</v>
      </c>
      <c r="K118" s="504"/>
      <c r="L118" s="512"/>
      <c r="M118" s="504">
        <f t="shared" si="20"/>
        <v>0</v>
      </c>
      <c r="N118" s="512"/>
      <c r="O118" s="504">
        <f t="shared" si="21"/>
        <v>0</v>
      </c>
      <c r="P118" s="504">
        <f t="shared" si="22"/>
        <v>0</v>
      </c>
    </row>
    <row r="119" spans="2:16">
      <c r="B119" s="145" t="str">
        <f t="shared" si="18"/>
        <v/>
      </c>
      <c r="C119" s="495">
        <f>IF(D94="","-",+C118+1)</f>
        <v>2036</v>
      </c>
      <c r="D119" s="349">
        <f>IF(F118+SUM(E$100:E118)=D$93,F118,D$93-SUM(E$100:E118))</f>
        <v>27061370.671428613</v>
      </c>
      <c r="E119" s="509">
        <f t="shared" si="23"/>
        <v>3507179.16</v>
      </c>
      <c r="F119" s="510">
        <f t="shared" si="24"/>
        <v>23554191.511428613</v>
      </c>
      <c r="G119" s="510">
        <f t="shared" si="25"/>
        <v>25307781.091428615</v>
      </c>
      <c r="H119" s="627">
        <f t="shared" si="26"/>
        <v>6492535.9655600395</v>
      </c>
      <c r="I119" s="628">
        <f t="shared" si="27"/>
        <v>6492535.9655600395</v>
      </c>
      <c r="J119" s="504">
        <f t="shared" si="19"/>
        <v>0</v>
      </c>
      <c r="K119" s="504"/>
      <c r="L119" s="512"/>
      <c r="M119" s="504">
        <f t="shared" si="20"/>
        <v>0</v>
      </c>
      <c r="N119" s="512"/>
      <c r="O119" s="504">
        <f t="shared" si="21"/>
        <v>0</v>
      </c>
      <c r="P119" s="504">
        <f t="shared" si="22"/>
        <v>0</v>
      </c>
    </row>
    <row r="120" spans="2:16">
      <c r="B120" s="145" t="str">
        <f t="shared" si="18"/>
        <v/>
      </c>
      <c r="C120" s="495">
        <f>IF(D94="","-",+C119+1)</f>
        <v>2037</v>
      </c>
      <c r="D120" s="349">
        <f>IF(F119+SUM(E$100:E119)=D$93,F119,D$93-SUM(E$100:E119))</f>
        <v>23554191.511428613</v>
      </c>
      <c r="E120" s="509">
        <f t="shared" si="23"/>
        <v>3507179.16</v>
      </c>
      <c r="F120" s="510">
        <f t="shared" si="24"/>
        <v>20047012.351428613</v>
      </c>
      <c r="G120" s="510">
        <f t="shared" si="25"/>
        <v>21800601.931428611</v>
      </c>
      <c r="H120" s="627">
        <f t="shared" si="26"/>
        <v>6078822.0514164381</v>
      </c>
      <c r="I120" s="628">
        <f t="shared" si="27"/>
        <v>6078822.0514164381</v>
      </c>
      <c r="J120" s="504">
        <f t="shared" si="19"/>
        <v>0</v>
      </c>
      <c r="K120" s="504"/>
      <c r="L120" s="512"/>
      <c r="M120" s="504">
        <f t="shared" si="20"/>
        <v>0</v>
      </c>
      <c r="N120" s="512"/>
      <c r="O120" s="504">
        <f t="shared" si="21"/>
        <v>0</v>
      </c>
      <c r="P120" s="504">
        <f t="shared" si="22"/>
        <v>0</v>
      </c>
    </row>
    <row r="121" spans="2:16">
      <c r="B121" s="145" t="str">
        <f t="shared" si="18"/>
        <v/>
      </c>
      <c r="C121" s="495">
        <f>IF(D94="","-",+C120+1)</f>
        <v>2038</v>
      </c>
      <c r="D121" s="349">
        <f>IF(F120+SUM(E$100:E120)=D$93,F120,D$93-SUM(E$100:E120))</f>
        <v>20047012.351428613</v>
      </c>
      <c r="E121" s="509">
        <f t="shared" si="23"/>
        <v>3507179.16</v>
      </c>
      <c r="F121" s="510">
        <f t="shared" si="24"/>
        <v>16539833.191428613</v>
      </c>
      <c r="G121" s="510">
        <f t="shared" si="25"/>
        <v>18293422.771428615</v>
      </c>
      <c r="H121" s="627">
        <f t="shared" si="26"/>
        <v>5665108.1372728376</v>
      </c>
      <c r="I121" s="628">
        <f t="shared" si="27"/>
        <v>5665108.1372728376</v>
      </c>
      <c r="J121" s="504">
        <f t="shared" si="19"/>
        <v>0</v>
      </c>
      <c r="K121" s="504"/>
      <c r="L121" s="512"/>
      <c r="M121" s="504">
        <f t="shared" si="20"/>
        <v>0</v>
      </c>
      <c r="N121" s="512"/>
      <c r="O121" s="504">
        <f t="shared" si="21"/>
        <v>0</v>
      </c>
      <c r="P121" s="504">
        <f t="shared" si="22"/>
        <v>0</v>
      </c>
    </row>
    <row r="122" spans="2:16">
      <c r="B122" s="145" t="str">
        <f t="shared" si="18"/>
        <v/>
      </c>
      <c r="C122" s="495">
        <f>IF(D94="","-",+C121+1)</f>
        <v>2039</v>
      </c>
      <c r="D122" s="349">
        <f>IF(F121+SUM(E$100:E121)=D$93,F121,D$93-SUM(E$100:E121))</f>
        <v>16539833.191428613</v>
      </c>
      <c r="E122" s="509">
        <f t="shared" si="23"/>
        <v>3507179.16</v>
      </c>
      <c r="F122" s="510">
        <f t="shared" si="24"/>
        <v>13032654.031428613</v>
      </c>
      <c r="G122" s="510">
        <f t="shared" si="25"/>
        <v>14786243.611428613</v>
      </c>
      <c r="H122" s="627">
        <f t="shared" si="26"/>
        <v>5251394.2231292371</v>
      </c>
      <c r="I122" s="628">
        <f t="shared" si="27"/>
        <v>5251394.2231292371</v>
      </c>
      <c r="J122" s="504">
        <f t="shared" si="19"/>
        <v>0</v>
      </c>
      <c r="K122" s="504"/>
      <c r="L122" s="512"/>
      <c r="M122" s="504">
        <f t="shared" si="20"/>
        <v>0</v>
      </c>
      <c r="N122" s="512"/>
      <c r="O122" s="504">
        <f t="shared" si="21"/>
        <v>0</v>
      </c>
      <c r="P122" s="504">
        <f t="shared" si="22"/>
        <v>0</v>
      </c>
    </row>
    <row r="123" spans="2:16">
      <c r="B123" s="145" t="str">
        <f t="shared" si="18"/>
        <v/>
      </c>
      <c r="C123" s="495">
        <f>IF(D94="","-",+C122+1)</f>
        <v>2040</v>
      </c>
      <c r="D123" s="349">
        <f>IF(F122+SUM(E$100:E122)=D$93,F122,D$93-SUM(E$100:E122))</f>
        <v>13032654.031428613</v>
      </c>
      <c r="E123" s="509">
        <f t="shared" si="23"/>
        <v>3507179.16</v>
      </c>
      <c r="F123" s="510">
        <f t="shared" si="24"/>
        <v>9525474.8714286126</v>
      </c>
      <c r="G123" s="510">
        <f t="shared" si="25"/>
        <v>11279064.451428613</v>
      </c>
      <c r="H123" s="627">
        <f t="shared" si="26"/>
        <v>4837680.3089856356</v>
      </c>
      <c r="I123" s="628">
        <f t="shared" si="27"/>
        <v>4837680.3089856356</v>
      </c>
      <c r="J123" s="504">
        <f t="shared" si="19"/>
        <v>0</v>
      </c>
      <c r="K123" s="504"/>
      <c r="L123" s="512"/>
      <c r="M123" s="504">
        <f t="shared" si="20"/>
        <v>0</v>
      </c>
      <c r="N123" s="512"/>
      <c r="O123" s="504">
        <f t="shared" si="21"/>
        <v>0</v>
      </c>
      <c r="P123" s="504">
        <f t="shared" si="22"/>
        <v>0</v>
      </c>
    </row>
    <row r="124" spans="2:16">
      <c r="B124" s="145" t="str">
        <f t="shared" si="18"/>
        <v/>
      </c>
      <c r="C124" s="495">
        <f>IF(D94="","-",+C123+1)</f>
        <v>2041</v>
      </c>
      <c r="D124" s="349">
        <f>IF(F123+SUM(E$100:E123)=D$93,F123,D$93-SUM(E$100:E123))</f>
        <v>9525474.8714286126</v>
      </c>
      <c r="E124" s="509">
        <f t="shared" si="23"/>
        <v>3507179.16</v>
      </c>
      <c r="F124" s="510">
        <f t="shared" si="24"/>
        <v>6018295.7114286125</v>
      </c>
      <c r="G124" s="510">
        <f t="shared" si="25"/>
        <v>7771885.2914286125</v>
      </c>
      <c r="H124" s="627">
        <f t="shared" si="26"/>
        <v>4423966.3948420351</v>
      </c>
      <c r="I124" s="628">
        <f t="shared" si="27"/>
        <v>4423966.3948420351</v>
      </c>
      <c r="J124" s="504">
        <f t="shared" si="19"/>
        <v>0</v>
      </c>
      <c r="K124" s="504"/>
      <c r="L124" s="512"/>
      <c r="M124" s="504">
        <f t="shared" si="20"/>
        <v>0</v>
      </c>
      <c r="N124" s="512"/>
      <c r="O124" s="504">
        <f t="shared" si="21"/>
        <v>0</v>
      </c>
      <c r="P124" s="504">
        <f t="shared" si="22"/>
        <v>0</v>
      </c>
    </row>
    <row r="125" spans="2:16">
      <c r="B125" s="145" t="str">
        <f t="shared" si="18"/>
        <v/>
      </c>
      <c r="C125" s="495">
        <f>IF(D94="","-",+C124+1)</f>
        <v>2042</v>
      </c>
      <c r="D125" s="349">
        <f>IF(F124+SUM(E$100:E124)=D$93,F124,D$93-SUM(E$100:E124))</f>
        <v>6018295.7114286125</v>
      </c>
      <c r="E125" s="509">
        <f t="shared" si="23"/>
        <v>3507179.16</v>
      </c>
      <c r="F125" s="510">
        <f t="shared" si="24"/>
        <v>2511116.5514286123</v>
      </c>
      <c r="G125" s="510">
        <f t="shared" si="25"/>
        <v>4264706.1314286124</v>
      </c>
      <c r="H125" s="627">
        <f t="shared" si="26"/>
        <v>4010252.4806984342</v>
      </c>
      <c r="I125" s="628">
        <f t="shared" si="27"/>
        <v>4010252.4806984342</v>
      </c>
      <c r="J125" s="504">
        <f t="shared" si="19"/>
        <v>0</v>
      </c>
      <c r="K125" s="504"/>
      <c r="L125" s="512"/>
      <c r="M125" s="504">
        <f t="shared" si="20"/>
        <v>0</v>
      </c>
      <c r="N125" s="512"/>
      <c r="O125" s="504">
        <f t="shared" si="21"/>
        <v>0</v>
      </c>
      <c r="P125" s="504">
        <f t="shared" si="22"/>
        <v>0</v>
      </c>
    </row>
    <row r="126" spans="2:16">
      <c r="B126" s="145" t="str">
        <f t="shared" si="18"/>
        <v/>
      </c>
      <c r="C126" s="495">
        <f>IF(D94="","-",+C125+1)</f>
        <v>2043</v>
      </c>
      <c r="D126" s="349">
        <f>IF(F125+SUM(E$100:E125)=D$93,F125,D$93-SUM(E$100:E125))</f>
        <v>2511116.5514286123</v>
      </c>
      <c r="E126" s="509">
        <f t="shared" si="23"/>
        <v>2511116.5514286123</v>
      </c>
      <c r="F126" s="510">
        <f t="shared" si="24"/>
        <v>0</v>
      </c>
      <c r="G126" s="510">
        <f t="shared" si="25"/>
        <v>1255558.2757143062</v>
      </c>
      <c r="H126" s="627">
        <f t="shared" si="26"/>
        <v>2659224.7332419292</v>
      </c>
      <c r="I126" s="628">
        <f t="shared" si="27"/>
        <v>2659224.7332419292</v>
      </c>
      <c r="J126" s="504">
        <f t="shared" si="19"/>
        <v>0</v>
      </c>
      <c r="K126" s="504"/>
      <c r="L126" s="512"/>
      <c r="M126" s="504">
        <f t="shared" si="20"/>
        <v>0</v>
      </c>
      <c r="N126" s="512"/>
      <c r="O126" s="504">
        <f t="shared" si="21"/>
        <v>0</v>
      </c>
      <c r="P126" s="504">
        <f t="shared" si="22"/>
        <v>0</v>
      </c>
    </row>
    <row r="127" spans="2:16">
      <c r="B127" s="145" t="str">
        <f t="shared" si="18"/>
        <v/>
      </c>
      <c r="C127" s="495">
        <f>IF(D94="","-",+C126+1)</f>
        <v>2044</v>
      </c>
      <c r="D127" s="349">
        <f>IF(F126+SUM(E$100:E126)=D$93,F126,D$93-SUM(E$100:E126))</f>
        <v>0</v>
      </c>
      <c r="E127" s="509">
        <f t="shared" si="23"/>
        <v>0</v>
      </c>
      <c r="F127" s="510">
        <f t="shared" si="24"/>
        <v>0</v>
      </c>
      <c r="G127" s="510">
        <f t="shared" si="25"/>
        <v>0</v>
      </c>
      <c r="H127" s="627">
        <f t="shared" si="26"/>
        <v>0</v>
      </c>
      <c r="I127" s="628">
        <f t="shared" si="27"/>
        <v>0</v>
      </c>
      <c r="J127" s="504">
        <f t="shared" si="19"/>
        <v>0</v>
      </c>
      <c r="K127" s="504"/>
      <c r="L127" s="512"/>
      <c r="M127" s="504">
        <f t="shared" si="20"/>
        <v>0</v>
      </c>
      <c r="N127" s="512"/>
      <c r="O127" s="504">
        <f t="shared" si="21"/>
        <v>0</v>
      </c>
      <c r="P127" s="504">
        <f t="shared" si="22"/>
        <v>0</v>
      </c>
    </row>
    <row r="128" spans="2:16">
      <c r="B128" s="145" t="str">
        <f t="shared" si="18"/>
        <v/>
      </c>
      <c r="C128" s="495">
        <f>IF(D94="","-",+C127+1)</f>
        <v>2045</v>
      </c>
      <c r="D128" s="349">
        <f>IF(F127+SUM(E$100:E127)=D$93,F127,D$93-SUM(E$100:E127))</f>
        <v>0</v>
      </c>
      <c r="E128" s="509">
        <f t="shared" si="23"/>
        <v>0</v>
      </c>
      <c r="F128" s="510">
        <f t="shared" si="24"/>
        <v>0</v>
      </c>
      <c r="G128" s="510">
        <f t="shared" si="25"/>
        <v>0</v>
      </c>
      <c r="H128" s="627">
        <f t="shared" si="26"/>
        <v>0</v>
      </c>
      <c r="I128" s="628">
        <f t="shared" si="27"/>
        <v>0</v>
      </c>
      <c r="J128" s="504">
        <f t="shared" si="19"/>
        <v>0</v>
      </c>
      <c r="K128" s="504"/>
      <c r="L128" s="512"/>
      <c r="M128" s="504">
        <f t="shared" si="20"/>
        <v>0</v>
      </c>
      <c r="N128" s="512"/>
      <c r="O128" s="504">
        <f t="shared" si="21"/>
        <v>0</v>
      </c>
      <c r="P128" s="504">
        <f t="shared" si="22"/>
        <v>0</v>
      </c>
    </row>
    <row r="129" spans="2:16">
      <c r="B129" s="145" t="str">
        <f t="shared" si="18"/>
        <v/>
      </c>
      <c r="C129" s="495">
        <f>IF(D94="","-",+C128+1)</f>
        <v>2046</v>
      </c>
      <c r="D129" s="349">
        <f>IF(F128+SUM(E$100:E128)=D$93,F128,D$93-SUM(E$100:E128))</f>
        <v>0</v>
      </c>
      <c r="E129" s="509">
        <f t="shared" si="23"/>
        <v>0</v>
      </c>
      <c r="F129" s="510">
        <f t="shared" si="24"/>
        <v>0</v>
      </c>
      <c r="G129" s="510">
        <f t="shared" si="25"/>
        <v>0</v>
      </c>
      <c r="H129" s="627">
        <f t="shared" si="26"/>
        <v>0</v>
      </c>
      <c r="I129" s="628">
        <f t="shared" si="27"/>
        <v>0</v>
      </c>
      <c r="J129" s="504">
        <f t="shared" si="19"/>
        <v>0</v>
      </c>
      <c r="K129" s="504"/>
      <c r="L129" s="512"/>
      <c r="M129" s="504">
        <f t="shared" si="20"/>
        <v>0</v>
      </c>
      <c r="N129" s="512"/>
      <c r="O129" s="504">
        <f t="shared" si="21"/>
        <v>0</v>
      </c>
      <c r="P129" s="504">
        <f t="shared" si="22"/>
        <v>0</v>
      </c>
    </row>
    <row r="130" spans="2:16">
      <c r="B130" s="145" t="str">
        <f t="shared" si="18"/>
        <v/>
      </c>
      <c r="C130" s="495">
        <f>IF(D94="","-",+C129+1)</f>
        <v>2047</v>
      </c>
      <c r="D130" s="349">
        <f>IF(F129+SUM(E$100:E129)=D$93,F129,D$93-SUM(E$100:E129))</f>
        <v>0</v>
      </c>
      <c r="E130" s="509">
        <f t="shared" si="23"/>
        <v>0</v>
      </c>
      <c r="F130" s="510">
        <f t="shared" si="24"/>
        <v>0</v>
      </c>
      <c r="G130" s="510">
        <f t="shared" si="25"/>
        <v>0</v>
      </c>
      <c r="H130" s="627">
        <f t="shared" si="26"/>
        <v>0</v>
      </c>
      <c r="I130" s="628">
        <f t="shared" si="27"/>
        <v>0</v>
      </c>
      <c r="J130" s="504">
        <f t="shared" si="19"/>
        <v>0</v>
      </c>
      <c r="K130" s="504"/>
      <c r="L130" s="512"/>
      <c r="M130" s="504">
        <f t="shared" si="20"/>
        <v>0</v>
      </c>
      <c r="N130" s="512"/>
      <c r="O130" s="504">
        <f t="shared" si="21"/>
        <v>0</v>
      </c>
      <c r="P130" s="504">
        <f t="shared" si="22"/>
        <v>0</v>
      </c>
    </row>
    <row r="131" spans="2:16">
      <c r="B131" s="145" t="str">
        <f t="shared" si="18"/>
        <v/>
      </c>
      <c r="C131" s="495">
        <f>IF(D94="","-",+C130+1)</f>
        <v>2048</v>
      </c>
      <c r="D131" s="349">
        <f>IF(F130+SUM(E$100:E130)=D$93,F130,D$93-SUM(E$100:E130))</f>
        <v>0</v>
      </c>
      <c r="E131" s="509">
        <f t="shared" si="23"/>
        <v>0</v>
      </c>
      <c r="F131" s="510">
        <f t="shared" si="24"/>
        <v>0</v>
      </c>
      <c r="G131" s="510">
        <f t="shared" si="25"/>
        <v>0</v>
      </c>
      <c r="H131" s="627">
        <f t="shared" si="26"/>
        <v>0</v>
      </c>
      <c r="I131" s="628">
        <f t="shared" si="27"/>
        <v>0</v>
      </c>
      <c r="J131" s="504">
        <f t="shared" si="19"/>
        <v>0</v>
      </c>
      <c r="K131" s="504"/>
      <c r="L131" s="512"/>
      <c r="M131" s="504">
        <f t="shared" si="20"/>
        <v>0</v>
      </c>
      <c r="N131" s="512"/>
      <c r="O131" s="504">
        <f t="shared" si="21"/>
        <v>0</v>
      </c>
      <c r="P131" s="504">
        <f t="shared" si="22"/>
        <v>0</v>
      </c>
    </row>
    <row r="132" spans="2:16">
      <c r="B132" s="145" t="str">
        <f t="shared" si="18"/>
        <v/>
      </c>
      <c r="C132" s="495">
        <f>IF(D94="","-",+C131+1)</f>
        <v>2049</v>
      </c>
      <c r="D132" s="349">
        <f>IF(F131+SUM(E$100:E131)=D$93,F131,D$93-SUM(E$100:E131))</f>
        <v>0</v>
      </c>
      <c r="E132" s="509">
        <f t="shared" si="23"/>
        <v>0</v>
      </c>
      <c r="F132" s="510">
        <f t="shared" ref="F132:F155" si="28">+D132-E132</f>
        <v>0</v>
      </c>
      <c r="G132" s="510">
        <f t="shared" ref="G132:G155" si="29">+(F132+D132)/2</f>
        <v>0</v>
      </c>
      <c r="H132" s="627">
        <f t="shared" si="26"/>
        <v>0</v>
      </c>
      <c r="I132" s="628">
        <f t="shared" si="27"/>
        <v>0</v>
      </c>
      <c r="J132" s="504">
        <f t="shared" ref="J132:J155" si="30">+I542-H542</f>
        <v>0</v>
      </c>
      <c r="K132" s="504"/>
      <c r="L132" s="512"/>
      <c r="M132" s="504">
        <f t="shared" ref="M132:M155" si="31">IF(L542&lt;&gt;0,+H542-L542,0)</f>
        <v>0</v>
      </c>
      <c r="N132" s="512"/>
      <c r="O132" s="504">
        <f t="shared" ref="O132:O155" si="32">IF(N542&lt;&gt;0,+I542-N542,0)</f>
        <v>0</v>
      </c>
      <c r="P132" s="504">
        <f t="shared" ref="P132:P155" si="33">+O542-M542</f>
        <v>0</v>
      </c>
    </row>
    <row r="133" spans="2:16">
      <c r="B133" s="145" t="str">
        <f t="shared" si="18"/>
        <v/>
      </c>
      <c r="C133" s="495">
        <f>IF(D94="","-",+C132+1)</f>
        <v>2050</v>
      </c>
      <c r="D133" s="349">
        <f>IF(F132+SUM(E$100:E132)=D$93,F132,D$93-SUM(E$100:E132))</f>
        <v>0</v>
      </c>
      <c r="E133" s="509">
        <f t="shared" ref="E133:E155" si="34">IF(+J$97&lt;F132,J$97,D133)</f>
        <v>0</v>
      </c>
      <c r="F133" s="510">
        <f t="shared" si="28"/>
        <v>0</v>
      </c>
      <c r="G133" s="510">
        <f t="shared" si="29"/>
        <v>0</v>
      </c>
      <c r="H133" s="627">
        <f t="shared" si="26"/>
        <v>0</v>
      </c>
      <c r="I133" s="628">
        <f t="shared" si="27"/>
        <v>0</v>
      </c>
      <c r="J133" s="504">
        <f t="shared" si="30"/>
        <v>0</v>
      </c>
      <c r="K133" s="504"/>
      <c r="L133" s="512"/>
      <c r="M133" s="504">
        <f t="shared" si="31"/>
        <v>0</v>
      </c>
      <c r="N133" s="512"/>
      <c r="O133" s="504">
        <f t="shared" si="32"/>
        <v>0</v>
      </c>
      <c r="P133" s="504">
        <f t="shared" si="33"/>
        <v>0</v>
      </c>
    </row>
    <row r="134" spans="2:16">
      <c r="B134" s="145" t="str">
        <f t="shared" si="18"/>
        <v/>
      </c>
      <c r="C134" s="495">
        <f>IF(D94="","-",+C133+1)</f>
        <v>2051</v>
      </c>
      <c r="D134" s="349">
        <f>IF(F133+SUM(E$100:E133)=D$93,F133,D$93-SUM(E$100:E133))</f>
        <v>0</v>
      </c>
      <c r="E134" s="509">
        <f t="shared" si="34"/>
        <v>0</v>
      </c>
      <c r="F134" s="510">
        <f t="shared" si="28"/>
        <v>0</v>
      </c>
      <c r="G134" s="510">
        <f t="shared" si="29"/>
        <v>0</v>
      </c>
      <c r="H134" s="627">
        <f t="shared" si="26"/>
        <v>0</v>
      </c>
      <c r="I134" s="628">
        <f t="shared" si="27"/>
        <v>0</v>
      </c>
      <c r="J134" s="504">
        <f t="shared" si="30"/>
        <v>0</v>
      </c>
      <c r="K134" s="504"/>
      <c r="L134" s="512"/>
      <c r="M134" s="504">
        <f t="shared" si="31"/>
        <v>0</v>
      </c>
      <c r="N134" s="512"/>
      <c r="O134" s="504">
        <f t="shared" si="32"/>
        <v>0</v>
      </c>
      <c r="P134" s="504">
        <f t="shared" si="33"/>
        <v>0</v>
      </c>
    </row>
    <row r="135" spans="2:16">
      <c r="B135" s="145" t="str">
        <f t="shared" si="18"/>
        <v/>
      </c>
      <c r="C135" s="495">
        <f>IF(D94="","-",+C134+1)</f>
        <v>2052</v>
      </c>
      <c r="D135" s="349">
        <f>IF(F134+SUM(E$100:E134)=D$93,F134,D$93-SUM(E$100:E134))</f>
        <v>0</v>
      </c>
      <c r="E135" s="509">
        <f t="shared" si="34"/>
        <v>0</v>
      </c>
      <c r="F135" s="510">
        <f t="shared" si="28"/>
        <v>0</v>
      </c>
      <c r="G135" s="510">
        <f t="shared" si="29"/>
        <v>0</v>
      </c>
      <c r="H135" s="627">
        <f t="shared" si="26"/>
        <v>0</v>
      </c>
      <c r="I135" s="628">
        <f t="shared" si="27"/>
        <v>0</v>
      </c>
      <c r="J135" s="504">
        <f t="shared" si="30"/>
        <v>0</v>
      </c>
      <c r="K135" s="504"/>
      <c r="L135" s="512"/>
      <c r="M135" s="504">
        <f t="shared" si="31"/>
        <v>0</v>
      </c>
      <c r="N135" s="512"/>
      <c r="O135" s="504">
        <f t="shared" si="32"/>
        <v>0</v>
      </c>
      <c r="P135" s="504">
        <f t="shared" si="33"/>
        <v>0</v>
      </c>
    </row>
    <row r="136" spans="2:16">
      <c r="B136" s="145" t="str">
        <f t="shared" si="18"/>
        <v/>
      </c>
      <c r="C136" s="495">
        <f>IF(D94="","-",+C135+1)</f>
        <v>2053</v>
      </c>
      <c r="D136" s="349">
        <f>IF(F135+SUM(E$100:E135)=D$93,F135,D$93-SUM(E$100:E135))</f>
        <v>0</v>
      </c>
      <c r="E136" s="509">
        <f t="shared" si="34"/>
        <v>0</v>
      </c>
      <c r="F136" s="510">
        <f t="shared" si="28"/>
        <v>0</v>
      </c>
      <c r="G136" s="510">
        <f t="shared" si="29"/>
        <v>0</v>
      </c>
      <c r="H136" s="627">
        <f t="shared" si="26"/>
        <v>0</v>
      </c>
      <c r="I136" s="628">
        <f t="shared" si="27"/>
        <v>0</v>
      </c>
      <c r="J136" s="504">
        <f t="shared" si="30"/>
        <v>0</v>
      </c>
      <c r="K136" s="504"/>
      <c r="L136" s="512"/>
      <c r="M136" s="504">
        <f t="shared" si="31"/>
        <v>0</v>
      </c>
      <c r="N136" s="512"/>
      <c r="O136" s="504">
        <f t="shared" si="32"/>
        <v>0</v>
      </c>
      <c r="P136" s="504">
        <f t="shared" si="33"/>
        <v>0</v>
      </c>
    </row>
    <row r="137" spans="2:16">
      <c r="B137" s="145" t="str">
        <f t="shared" si="18"/>
        <v/>
      </c>
      <c r="C137" s="495">
        <f>IF(D94="","-",+C136+1)</f>
        <v>2054</v>
      </c>
      <c r="D137" s="349">
        <f>IF(F136+SUM(E$100:E136)=D$93,F136,D$93-SUM(E$100:E136))</f>
        <v>0</v>
      </c>
      <c r="E137" s="509">
        <f t="shared" si="34"/>
        <v>0</v>
      </c>
      <c r="F137" s="510">
        <f t="shared" si="28"/>
        <v>0</v>
      </c>
      <c r="G137" s="510">
        <f t="shared" si="29"/>
        <v>0</v>
      </c>
      <c r="H137" s="627">
        <f t="shared" si="26"/>
        <v>0</v>
      </c>
      <c r="I137" s="628">
        <f t="shared" si="27"/>
        <v>0</v>
      </c>
      <c r="J137" s="504">
        <f t="shared" si="30"/>
        <v>0</v>
      </c>
      <c r="K137" s="504"/>
      <c r="L137" s="512"/>
      <c r="M137" s="504">
        <f t="shared" si="31"/>
        <v>0</v>
      </c>
      <c r="N137" s="512"/>
      <c r="O137" s="504">
        <f t="shared" si="32"/>
        <v>0</v>
      </c>
      <c r="P137" s="504">
        <f t="shared" si="33"/>
        <v>0</v>
      </c>
    </row>
    <row r="138" spans="2:16">
      <c r="B138" s="145" t="str">
        <f t="shared" si="18"/>
        <v/>
      </c>
      <c r="C138" s="495">
        <f>IF(D94="","-",+C137+1)</f>
        <v>2055</v>
      </c>
      <c r="D138" s="349">
        <f>IF(F137+SUM(E$100:E137)=D$93,F137,D$93-SUM(E$100:E137))</f>
        <v>0</v>
      </c>
      <c r="E138" s="509">
        <f t="shared" si="34"/>
        <v>0</v>
      </c>
      <c r="F138" s="510">
        <f t="shared" si="28"/>
        <v>0</v>
      </c>
      <c r="G138" s="510">
        <f t="shared" si="29"/>
        <v>0</v>
      </c>
      <c r="H138" s="627">
        <f t="shared" si="26"/>
        <v>0</v>
      </c>
      <c r="I138" s="628">
        <f t="shared" si="27"/>
        <v>0</v>
      </c>
      <c r="J138" s="504">
        <f t="shared" si="30"/>
        <v>0</v>
      </c>
      <c r="K138" s="504"/>
      <c r="L138" s="512"/>
      <c r="M138" s="504">
        <f t="shared" si="31"/>
        <v>0</v>
      </c>
      <c r="N138" s="512"/>
      <c r="O138" s="504">
        <f t="shared" si="32"/>
        <v>0</v>
      </c>
      <c r="P138" s="504">
        <f t="shared" si="33"/>
        <v>0</v>
      </c>
    </row>
    <row r="139" spans="2:16">
      <c r="B139" s="145" t="str">
        <f t="shared" si="18"/>
        <v/>
      </c>
      <c r="C139" s="495">
        <f>IF(D94="","-",+C138+1)</f>
        <v>2056</v>
      </c>
      <c r="D139" s="349">
        <f>IF(F138+SUM(E$100:E138)=D$93,F138,D$93-SUM(E$100:E138))</f>
        <v>0</v>
      </c>
      <c r="E139" s="509">
        <f t="shared" si="34"/>
        <v>0</v>
      </c>
      <c r="F139" s="510">
        <f t="shared" si="28"/>
        <v>0</v>
      </c>
      <c r="G139" s="510">
        <f t="shared" si="29"/>
        <v>0</v>
      </c>
      <c r="H139" s="627">
        <f t="shared" si="26"/>
        <v>0</v>
      </c>
      <c r="I139" s="628">
        <f t="shared" si="27"/>
        <v>0</v>
      </c>
      <c r="J139" s="504">
        <f t="shared" si="30"/>
        <v>0</v>
      </c>
      <c r="K139" s="504"/>
      <c r="L139" s="512"/>
      <c r="M139" s="504">
        <f t="shared" si="31"/>
        <v>0</v>
      </c>
      <c r="N139" s="512"/>
      <c r="O139" s="504">
        <f t="shared" si="32"/>
        <v>0</v>
      </c>
      <c r="P139" s="504">
        <f t="shared" si="33"/>
        <v>0</v>
      </c>
    </row>
    <row r="140" spans="2:16">
      <c r="B140" s="145" t="str">
        <f t="shared" si="18"/>
        <v/>
      </c>
      <c r="C140" s="495">
        <f>IF(D94="","-",+C139+1)</f>
        <v>2057</v>
      </c>
      <c r="D140" s="349">
        <f>IF(F139+SUM(E$100:E139)=D$93,F139,D$93-SUM(E$100:E139))</f>
        <v>0</v>
      </c>
      <c r="E140" s="509">
        <f t="shared" si="34"/>
        <v>0</v>
      </c>
      <c r="F140" s="510">
        <f t="shared" si="28"/>
        <v>0</v>
      </c>
      <c r="G140" s="510">
        <f t="shared" si="29"/>
        <v>0</v>
      </c>
      <c r="H140" s="627">
        <f t="shared" si="26"/>
        <v>0</v>
      </c>
      <c r="I140" s="628">
        <f t="shared" si="27"/>
        <v>0</v>
      </c>
      <c r="J140" s="504">
        <f t="shared" si="30"/>
        <v>0</v>
      </c>
      <c r="K140" s="504"/>
      <c r="L140" s="512"/>
      <c r="M140" s="504">
        <f t="shared" si="31"/>
        <v>0</v>
      </c>
      <c r="N140" s="512"/>
      <c r="O140" s="504">
        <f t="shared" si="32"/>
        <v>0</v>
      </c>
      <c r="P140" s="504">
        <f t="shared" si="33"/>
        <v>0</v>
      </c>
    </row>
    <row r="141" spans="2:16">
      <c r="B141" s="145" t="str">
        <f t="shared" si="18"/>
        <v/>
      </c>
      <c r="C141" s="495">
        <f>IF(D94="","-",+C140+1)</f>
        <v>2058</v>
      </c>
      <c r="D141" s="349">
        <f>IF(F140+SUM(E$100:E140)=D$93,F140,D$93-SUM(E$100:E140))</f>
        <v>0</v>
      </c>
      <c r="E141" s="509">
        <f t="shared" si="34"/>
        <v>0</v>
      </c>
      <c r="F141" s="510">
        <f t="shared" si="28"/>
        <v>0</v>
      </c>
      <c r="G141" s="510">
        <f t="shared" si="29"/>
        <v>0</v>
      </c>
      <c r="H141" s="627">
        <f t="shared" si="26"/>
        <v>0</v>
      </c>
      <c r="I141" s="628">
        <f t="shared" si="27"/>
        <v>0</v>
      </c>
      <c r="J141" s="504">
        <f t="shared" si="30"/>
        <v>0</v>
      </c>
      <c r="K141" s="504"/>
      <c r="L141" s="512"/>
      <c r="M141" s="504">
        <f t="shared" si="31"/>
        <v>0</v>
      </c>
      <c r="N141" s="512"/>
      <c r="O141" s="504">
        <f t="shared" si="32"/>
        <v>0</v>
      </c>
      <c r="P141" s="504">
        <f t="shared" si="33"/>
        <v>0</v>
      </c>
    </row>
    <row r="142" spans="2:16">
      <c r="B142" s="145" t="str">
        <f t="shared" si="18"/>
        <v/>
      </c>
      <c r="C142" s="495">
        <f>IF(D94="","-",+C141+1)</f>
        <v>2059</v>
      </c>
      <c r="D142" s="349">
        <f>IF(F141+SUM(E$100:E141)=D$93,F141,D$93-SUM(E$100:E141))</f>
        <v>0</v>
      </c>
      <c r="E142" s="509">
        <f t="shared" si="34"/>
        <v>0</v>
      </c>
      <c r="F142" s="510">
        <f t="shared" si="28"/>
        <v>0</v>
      </c>
      <c r="G142" s="510">
        <f t="shared" si="29"/>
        <v>0</v>
      </c>
      <c r="H142" s="627">
        <f t="shared" si="26"/>
        <v>0</v>
      </c>
      <c r="I142" s="628">
        <f t="shared" si="27"/>
        <v>0</v>
      </c>
      <c r="J142" s="504">
        <f t="shared" si="30"/>
        <v>0</v>
      </c>
      <c r="K142" s="504"/>
      <c r="L142" s="512"/>
      <c r="M142" s="504">
        <f t="shared" si="31"/>
        <v>0</v>
      </c>
      <c r="N142" s="512"/>
      <c r="O142" s="504">
        <f t="shared" si="32"/>
        <v>0</v>
      </c>
      <c r="P142" s="504">
        <f t="shared" si="33"/>
        <v>0</v>
      </c>
    </row>
    <row r="143" spans="2:16">
      <c r="B143" s="145" t="str">
        <f t="shared" si="18"/>
        <v/>
      </c>
      <c r="C143" s="495">
        <f>IF(D94="","-",+C142+1)</f>
        <v>2060</v>
      </c>
      <c r="D143" s="349">
        <f>IF(F142+SUM(E$100:E142)=D$93,F142,D$93-SUM(E$100:E142))</f>
        <v>0</v>
      </c>
      <c r="E143" s="509">
        <f t="shared" si="34"/>
        <v>0</v>
      </c>
      <c r="F143" s="510">
        <f t="shared" si="28"/>
        <v>0</v>
      </c>
      <c r="G143" s="510">
        <f t="shared" si="29"/>
        <v>0</v>
      </c>
      <c r="H143" s="627">
        <f t="shared" si="26"/>
        <v>0</v>
      </c>
      <c r="I143" s="628">
        <f t="shared" si="27"/>
        <v>0</v>
      </c>
      <c r="J143" s="504">
        <f t="shared" si="30"/>
        <v>0</v>
      </c>
      <c r="K143" s="504"/>
      <c r="L143" s="512"/>
      <c r="M143" s="504">
        <f t="shared" si="31"/>
        <v>0</v>
      </c>
      <c r="N143" s="512"/>
      <c r="O143" s="504">
        <f t="shared" si="32"/>
        <v>0</v>
      </c>
      <c r="P143" s="504">
        <f t="shared" si="33"/>
        <v>0</v>
      </c>
    </row>
    <row r="144" spans="2:16">
      <c r="B144" s="145" t="str">
        <f t="shared" si="18"/>
        <v/>
      </c>
      <c r="C144" s="495">
        <f>IF(D94="","-",+C143+1)</f>
        <v>2061</v>
      </c>
      <c r="D144" s="349">
        <f>IF(F143+SUM(E$100:E143)=D$93,F143,D$93-SUM(E$100:E143))</f>
        <v>0</v>
      </c>
      <c r="E144" s="509">
        <f t="shared" si="34"/>
        <v>0</v>
      </c>
      <c r="F144" s="510">
        <f t="shared" si="28"/>
        <v>0</v>
      </c>
      <c r="G144" s="510">
        <f t="shared" si="29"/>
        <v>0</v>
      </c>
      <c r="H144" s="627">
        <f t="shared" si="26"/>
        <v>0</v>
      </c>
      <c r="I144" s="628">
        <f t="shared" si="27"/>
        <v>0</v>
      </c>
      <c r="J144" s="504">
        <f t="shared" si="30"/>
        <v>0</v>
      </c>
      <c r="K144" s="504"/>
      <c r="L144" s="512"/>
      <c r="M144" s="504">
        <f t="shared" si="31"/>
        <v>0</v>
      </c>
      <c r="N144" s="512"/>
      <c r="O144" s="504">
        <f t="shared" si="32"/>
        <v>0</v>
      </c>
      <c r="P144" s="504">
        <f t="shared" si="33"/>
        <v>0</v>
      </c>
    </row>
    <row r="145" spans="2:16">
      <c r="B145" s="145" t="str">
        <f t="shared" si="18"/>
        <v/>
      </c>
      <c r="C145" s="495">
        <f>IF(D94="","-",+C144+1)</f>
        <v>2062</v>
      </c>
      <c r="D145" s="349">
        <f>IF(F144+SUM(E$100:E144)=D$93,F144,D$93-SUM(E$100:E144))</f>
        <v>0</v>
      </c>
      <c r="E145" s="509">
        <f t="shared" si="34"/>
        <v>0</v>
      </c>
      <c r="F145" s="510">
        <f t="shared" si="28"/>
        <v>0</v>
      </c>
      <c r="G145" s="510">
        <f t="shared" si="29"/>
        <v>0</v>
      </c>
      <c r="H145" s="627">
        <f t="shared" si="26"/>
        <v>0</v>
      </c>
      <c r="I145" s="628">
        <f t="shared" si="27"/>
        <v>0</v>
      </c>
      <c r="J145" s="504">
        <f t="shared" si="30"/>
        <v>0</v>
      </c>
      <c r="K145" s="504"/>
      <c r="L145" s="512"/>
      <c r="M145" s="504">
        <f t="shared" si="31"/>
        <v>0</v>
      </c>
      <c r="N145" s="512"/>
      <c r="O145" s="504">
        <f t="shared" si="32"/>
        <v>0</v>
      </c>
      <c r="P145" s="504">
        <f t="shared" si="33"/>
        <v>0</v>
      </c>
    </row>
    <row r="146" spans="2:16">
      <c r="B146" s="145" t="str">
        <f t="shared" si="18"/>
        <v/>
      </c>
      <c r="C146" s="495">
        <f>IF(D94="","-",+C145+1)</f>
        <v>2063</v>
      </c>
      <c r="D146" s="349">
        <f>IF(F145+SUM(E$100:E145)=D$93,F145,D$93-SUM(E$100:E145))</f>
        <v>0</v>
      </c>
      <c r="E146" s="509">
        <f t="shared" si="34"/>
        <v>0</v>
      </c>
      <c r="F146" s="510">
        <f t="shared" si="28"/>
        <v>0</v>
      </c>
      <c r="G146" s="510">
        <f t="shared" si="29"/>
        <v>0</v>
      </c>
      <c r="H146" s="627">
        <f t="shared" si="26"/>
        <v>0</v>
      </c>
      <c r="I146" s="628">
        <f t="shared" si="27"/>
        <v>0</v>
      </c>
      <c r="J146" s="504">
        <f t="shared" si="30"/>
        <v>0</v>
      </c>
      <c r="K146" s="504"/>
      <c r="L146" s="512"/>
      <c r="M146" s="504">
        <f t="shared" si="31"/>
        <v>0</v>
      </c>
      <c r="N146" s="512"/>
      <c r="O146" s="504">
        <f t="shared" si="32"/>
        <v>0</v>
      </c>
      <c r="P146" s="504">
        <f t="shared" si="33"/>
        <v>0</v>
      </c>
    </row>
    <row r="147" spans="2:16">
      <c r="B147" s="145" t="str">
        <f t="shared" si="18"/>
        <v/>
      </c>
      <c r="C147" s="495">
        <f>IF(D94="","-",+C146+1)</f>
        <v>2064</v>
      </c>
      <c r="D147" s="349">
        <f>IF(F146+SUM(E$100:E146)=D$93,F146,D$93-SUM(E$100:E146))</f>
        <v>0</v>
      </c>
      <c r="E147" s="509">
        <f t="shared" si="34"/>
        <v>0</v>
      </c>
      <c r="F147" s="510">
        <f t="shared" si="28"/>
        <v>0</v>
      </c>
      <c r="G147" s="510">
        <f t="shared" si="29"/>
        <v>0</v>
      </c>
      <c r="H147" s="627">
        <f t="shared" si="26"/>
        <v>0</v>
      </c>
      <c r="I147" s="628">
        <f t="shared" si="27"/>
        <v>0</v>
      </c>
      <c r="J147" s="504">
        <f t="shared" si="30"/>
        <v>0</v>
      </c>
      <c r="K147" s="504"/>
      <c r="L147" s="512"/>
      <c r="M147" s="504">
        <f t="shared" si="31"/>
        <v>0</v>
      </c>
      <c r="N147" s="512"/>
      <c r="O147" s="504">
        <f t="shared" si="32"/>
        <v>0</v>
      </c>
      <c r="P147" s="504">
        <f t="shared" si="33"/>
        <v>0</v>
      </c>
    </row>
    <row r="148" spans="2:16">
      <c r="B148" s="145" t="str">
        <f t="shared" si="18"/>
        <v/>
      </c>
      <c r="C148" s="495">
        <f>IF(D94="","-",+C147+1)</f>
        <v>2065</v>
      </c>
      <c r="D148" s="349">
        <f>IF(F147+SUM(E$100:E147)=D$93,F147,D$93-SUM(E$100:E147))</f>
        <v>0</v>
      </c>
      <c r="E148" s="509">
        <f t="shared" si="34"/>
        <v>0</v>
      </c>
      <c r="F148" s="510">
        <f t="shared" si="28"/>
        <v>0</v>
      </c>
      <c r="G148" s="510">
        <f t="shared" si="29"/>
        <v>0</v>
      </c>
      <c r="H148" s="627">
        <f t="shared" si="26"/>
        <v>0</v>
      </c>
      <c r="I148" s="628">
        <f t="shared" si="27"/>
        <v>0</v>
      </c>
      <c r="J148" s="504">
        <f t="shared" si="30"/>
        <v>0</v>
      </c>
      <c r="K148" s="504"/>
      <c r="L148" s="512"/>
      <c r="M148" s="504">
        <f t="shared" si="31"/>
        <v>0</v>
      </c>
      <c r="N148" s="512"/>
      <c r="O148" s="504">
        <f t="shared" si="32"/>
        <v>0</v>
      </c>
      <c r="P148" s="504">
        <f t="shared" si="33"/>
        <v>0</v>
      </c>
    </row>
    <row r="149" spans="2:16">
      <c r="B149" s="145" t="str">
        <f t="shared" si="18"/>
        <v/>
      </c>
      <c r="C149" s="495">
        <f>IF(D94="","-",+C148+1)</f>
        <v>2066</v>
      </c>
      <c r="D149" s="349">
        <f>IF(F148+SUM(E$100:E148)=D$93,F148,D$93-SUM(E$100:E148))</f>
        <v>0</v>
      </c>
      <c r="E149" s="509">
        <f t="shared" si="34"/>
        <v>0</v>
      </c>
      <c r="F149" s="510">
        <f t="shared" si="28"/>
        <v>0</v>
      </c>
      <c r="G149" s="510">
        <f t="shared" si="29"/>
        <v>0</v>
      </c>
      <c r="H149" s="627">
        <f t="shared" si="26"/>
        <v>0</v>
      </c>
      <c r="I149" s="628">
        <f t="shared" si="27"/>
        <v>0</v>
      </c>
      <c r="J149" s="504">
        <f t="shared" si="30"/>
        <v>0</v>
      </c>
      <c r="K149" s="504"/>
      <c r="L149" s="512"/>
      <c r="M149" s="504">
        <f t="shared" si="31"/>
        <v>0</v>
      </c>
      <c r="N149" s="512"/>
      <c r="O149" s="504">
        <f t="shared" si="32"/>
        <v>0</v>
      </c>
      <c r="P149" s="504">
        <f t="shared" si="33"/>
        <v>0</v>
      </c>
    </row>
    <row r="150" spans="2:16">
      <c r="B150" s="145" t="str">
        <f t="shared" si="18"/>
        <v/>
      </c>
      <c r="C150" s="495">
        <f>IF(D94="","-",+C149+1)</f>
        <v>2067</v>
      </c>
      <c r="D150" s="349">
        <f>IF(F149+SUM(E$100:E149)=D$93,F149,D$93-SUM(E$100:E149))</f>
        <v>0</v>
      </c>
      <c r="E150" s="509">
        <f t="shared" si="34"/>
        <v>0</v>
      </c>
      <c r="F150" s="510">
        <f t="shared" si="28"/>
        <v>0</v>
      </c>
      <c r="G150" s="510">
        <f t="shared" si="29"/>
        <v>0</v>
      </c>
      <c r="H150" s="627">
        <f t="shared" si="26"/>
        <v>0</v>
      </c>
      <c r="I150" s="628">
        <f t="shared" si="27"/>
        <v>0</v>
      </c>
      <c r="J150" s="504">
        <f t="shared" si="30"/>
        <v>0</v>
      </c>
      <c r="K150" s="504"/>
      <c r="L150" s="512"/>
      <c r="M150" s="504">
        <f t="shared" si="31"/>
        <v>0</v>
      </c>
      <c r="N150" s="512"/>
      <c r="O150" s="504">
        <f t="shared" si="32"/>
        <v>0</v>
      </c>
      <c r="P150" s="504">
        <f t="shared" si="33"/>
        <v>0</v>
      </c>
    </row>
    <row r="151" spans="2:16">
      <c r="B151" s="145" t="str">
        <f t="shared" si="18"/>
        <v/>
      </c>
      <c r="C151" s="495">
        <f>IF(D94="","-",+C150+1)</f>
        <v>2068</v>
      </c>
      <c r="D151" s="349">
        <f>IF(F150+SUM(E$100:E150)=D$93,F150,D$93-SUM(E$100:E150))</f>
        <v>0</v>
      </c>
      <c r="E151" s="509">
        <f t="shared" si="34"/>
        <v>0</v>
      </c>
      <c r="F151" s="510">
        <f t="shared" si="28"/>
        <v>0</v>
      </c>
      <c r="G151" s="510">
        <f t="shared" si="29"/>
        <v>0</v>
      </c>
      <c r="H151" s="627">
        <f t="shared" si="26"/>
        <v>0</v>
      </c>
      <c r="I151" s="628">
        <f t="shared" si="27"/>
        <v>0</v>
      </c>
      <c r="J151" s="504">
        <f t="shared" si="30"/>
        <v>0</v>
      </c>
      <c r="K151" s="504"/>
      <c r="L151" s="512"/>
      <c r="M151" s="504">
        <f t="shared" si="31"/>
        <v>0</v>
      </c>
      <c r="N151" s="512"/>
      <c r="O151" s="504">
        <f t="shared" si="32"/>
        <v>0</v>
      </c>
      <c r="P151" s="504">
        <f t="shared" si="33"/>
        <v>0</v>
      </c>
    </row>
    <row r="152" spans="2:16">
      <c r="B152" s="145" t="str">
        <f t="shared" si="18"/>
        <v/>
      </c>
      <c r="C152" s="495">
        <f>IF(D94="","-",+C151+1)</f>
        <v>2069</v>
      </c>
      <c r="D152" s="349">
        <f>IF(F151+SUM(E$100:E151)=D$93,F151,D$93-SUM(E$100:E151))</f>
        <v>0</v>
      </c>
      <c r="E152" s="509">
        <f t="shared" si="34"/>
        <v>0</v>
      </c>
      <c r="F152" s="510">
        <f t="shared" si="28"/>
        <v>0</v>
      </c>
      <c r="G152" s="510">
        <f t="shared" si="29"/>
        <v>0</v>
      </c>
      <c r="H152" s="627">
        <f t="shared" si="26"/>
        <v>0</v>
      </c>
      <c r="I152" s="628">
        <f t="shared" si="27"/>
        <v>0</v>
      </c>
      <c r="J152" s="504">
        <f t="shared" si="30"/>
        <v>0</v>
      </c>
      <c r="K152" s="504"/>
      <c r="L152" s="512"/>
      <c r="M152" s="504">
        <f t="shared" si="31"/>
        <v>0</v>
      </c>
      <c r="N152" s="512"/>
      <c r="O152" s="504">
        <f t="shared" si="32"/>
        <v>0</v>
      </c>
      <c r="P152" s="504">
        <f t="shared" si="33"/>
        <v>0</v>
      </c>
    </row>
    <row r="153" spans="2:16">
      <c r="B153" s="145" t="str">
        <f t="shared" si="18"/>
        <v/>
      </c>
      <c r="C153" s="495">
        <f>IF(D94="","-",+C152+1)</f>
        <v>2070</v>
      </c>
      <c r="D153" s="349">
        <f>IF(F152+SUM(E$100:E152)=D$93,F152,D$93-SUM(E$100:E152))</f>
        <v>0</v>
      </c>
      <c r="E153" s="509">
        <f t="shared" si="34"/>
        <v>0</v>
      </c>
      <c r="F153" s="510">
        <f t="shared" si="28"/>
        <v>0</v>
      </c>
      <c r="G153" s="510">
        <f t="shared" si="29"/>
        <v>0</v>
      </c>
      <c r="H153" s="627">
        <f t="shared" si="26"/>
        <v>0</v>
      </c>
      <c r="I153" s="628">
        <f t="shared" si="27"/>
        <v>0</v>
      </c>
      <c r="J153" s="504">
        <f t="shared" si="30"/>
        <v>0</v>
      </c>
      <c r="K153" s="504"/>
      <c r="L153" s="512"/>
      <c r="M153" s="504">
        <f t="shared" si="31"/>
        <v>0</v>
      </c>
      <c r="N153" s="512"/>
      <c r="O153" s="504">
        <f t="shared" si="32"/>
        <v>0</v>
      </c>
      <c r="P153" s="504">
        <f t="shared" si="33"/>
        <v>0</v>
      </c>
    </row>
    <row r="154" spans="2:16">
      <c r="B154" s="145" t="str">
        <f t="shared" si="18"/>
        <v/>
      </c>
      <c r="C154" s="495">
        <f>IF(D94="","-",+C153+1)</f>
        <v>2071</v>
      </c>
      <c r="D154" s="349">
        <f>IF(F153+SUM(E$100:E153)=D$93,F153,D$93-SUM(E$100:E153))</f>
        <v>0</v>
      </c>
      <c r="E154" s="509">
        <f t="shared" si="34"/>
        <v>0</v>
      </c>
      <c r="F154" s="510">
        <f t="shared" si="28"/>
        <v>0</v>
      </c>
      <c r="G154" s="510">
        <f t="shared" si="29"/>
        <v>0</v>
      </c>
      <c r="H154" s="627">
        <f t="shared" si="26"/>
        <v>0</v>
      </c>
      <c r="I154" s="628">
        <f t="shared" si="27"/>
        <v>0</v>
      </c>
      <c r="J154" s="504">
        <f t="shared" si="30"/>
        <v>0</v>
      </c>
      <c r="K154" s="504"/>
      <c r="L154" s="512"/>
      <c r="M154" s="504">
        <f t="shared" si="31"/>
        <v>0</v>
      </c>
      <c r="N154" s="512"/>
      <c r="O154" s="504">
        <f t="shared" si="32"/>
        <v>0</v>
      </c>
      <c r="P154" s="504">
        <f t="shared" si="33"/>
        <v>0</v>
      </c>
    </row>
    <row r="155" spans="2:16" ht="13.5" thickBot="1">
      <c r="B155" s="145" t="str">
        <f t="shared" si="18"/>
        <v/>
      </c>
      <c r="C155" s="524">
        <f>IF(D94="","-",+C154+1)</f>
        <v>2072</v>
      </c>
      <c r="D155" s="638">
        <f>IF(F154+SUM(E$100:E154)=D$93,F154,D$93-SUM(E$100:E154))</f>
        <v>0</v>
      </c>
      <c r="E155" s="526">
        <f t="shared" si="34"/>
        <v>0</v>
      </c>
      <c r="F155" s="527">
        <f t="shared" si="28"/>
        <v>0</v>
      </c>
      <c r="G155" s="527">
        <f t="shared" si="29"/>
        <v>0</v>
      </c>
      <c r="H155" s="623">
        <f t="shared" si="26"/>
        <v>0</v>
      </c>
      <c r="I155" s="624">
        <f t="shared" si="27"/>
        <v>0</v>
      </c>
      <c r="J155" s="531">
        <f t="shared" si="30"/>
        <v>0</v>
      </c>
      <c r="K155" s="504"/>
      <c r="L155" s="530"/>
      <c r="M155" s="531">
        <f t="shared" si="31"/>
        <v>0</v>
      </c>
      <c r="N155" s="530"/>
      <c r="O155" s="531">
        <f t="shared" si="32"/>
        <v>0</v>
      </c>
      <c r="P155" s="531">
        <f t="shared" si="33"/>
        <v>0</v>
      </c>
    </row>
    <row r="156" spans="2:16">
      <c r="C156" s="349" t="s">
        <v>75</v>
      </c>
      <c r="D156" s="294"/>
      <c r="E156" s="294">
        <f>SUM(E100:E155)</f>
        <v>87679479</v>
      </c>
      <c r="F156" s="294"/>
      <c r="G156" s="294"/>
      <c r="H156" s="294">
        <f>SUM(H100:H155)</f>
        <v>226262807.89097592</v>
      </c>
      <c r="I156" s="294">
        <f>SUM(I100:I155)</f>
        <v>226262807.89097592</v>
      </c>
      <c r="J156" s="294">
        <f>SUM(J100:J155)</f>
        <v>0</v>
      </c>
      <c r="K156" s="294"/>
      <c r="L156" s="294"/>
      <c r="M156" s="294"/>
      <c r="N156" s="294"/>
      <c r="O156" s="294"/>
      <c r="P156" s="243"/>
    </row>
    <row r="157" spans="2:16">
      <c r="C157" s="145" t="s">
        <v>90</v>
      </c>
      <c r="D157" s="292"/>
      <c r="E157" s="243"/>
      <c r="F157" s="243"/>
      <c r="G157" s="243"/>
      <c r="H157" s="243"/>
      <c r="I157" s="325"/>
      <c r="J157" s="325"/>
      <c r="K157" s="294"/>
      <c r="L157" s="325"/>
      <c r="M157" s="325"/>
      <c r="N157" s="325"/>
      <c r="O157" s="325"/>
      <c r="P157" s="243"/>
    </row>
    <row r="158" spans="2:16">
      <c r="C158" s="574"/>
      <c r="D158" s="292"/>
      <c r="E158" s="243"/>
      <c r="F158" s="243"/>
      <c r="G158" s="243"/>
      <c r="H158" s="243"/>
      <c r="I158" s="325"/>
      <c r="J158" s="325"/>
      <c r="K158" s="294"/>
      <c r="L158" s="325"/>
      <c r="M158" s="325"/>
      <c r="N158" s="325"/>
      <c r="O158" s="325"/>
      <c r="P158" s="243"/>
    </row>
    <row r="159" spans="2:16">
      <c r="C159" s="619" t="s">
        <v>130</v>
      </c>
      <c r="D159" s="292"/>
      <c r="E159" s="243"/>
      <c r="F159" s="243"/>
      <c r="G159" s="243"/>
      <c r="H159" s="243"/>
      <c r="I159" s="325"/>
      <c r="J159" s="325"/>
      <c r="K159" s="294"/>
      <c r="L159" s="325"/>
      <c r="M159" s="325"/>
      <c r="N159" s="325"/>
      <c r="O159" s="325"/>
      <c r="P159" s="243"/>
    </row>
    <row r="160" spans="2:16">
      <c r="C160" s="454" t="s">
        <v>76</v>
      </c>
      <c r="D160" s="349"/>
      <c r="E160" s="349"/>
      <c r="F160" s="349"/>
      <c r="G160" s="349"/>
      <c r="H160" s="294"/>
      <c r="I160" s="294"/>
      <c r="J160" s="350"/>
      <c r="K160" s="350"/>
      <c r="L160" s="350"/>
      <c r="M160" s="350"/>
      <c r="N160" s="350"/>
      <c r="O160" s="350"/>
      <c r="P160" s="243"/>
    </row>
    <row r="161" spans="3:16">
      <c r="C161" s="575" t="s">
        <v>77</v>
      </c>
      <c r="D161" s="349"/>
      <c r="E161" s="349"/>
      <c r="F161" s="349"/>
      <c r="G161" s="349"/>
      <c r="H161" s="294"/>
      <c r="I161" s="294"/>
      <c r="J161" s="350"/>
      <c r="K161" s="350"/>
      <c r="L161" s="350"/>
      <c r="M161" s="350"/>
      <c r="N161" s="350"/>
      <c r="O161" s="350"/>
      <c r="P161" s="243"/>
    </row>
    <row r="162" spans="3:16">
      <c r="C162" s="575"/>
      <c r="D162" s="349"/>
      <c r="E162" s="349"/>
      <c r="F162" s="349"/>
      <c r="G162" s="349"/>
      <c r="H162" s="294"/>
      <c r="I162" s="294"/>
      <c r="J162" s="350"/>
      <c r="K162" s="350"/>
      <c r="L162" s="350"/>
      <c r="M162" s="350"/>
      <c r="N162" s="350"/>
      <c r="O162" s="350"/>
      <c r="P162" s="243"/>
    </row>
    <row r="163" spans="3:16" ht="18">
      <c r="C163" s="575"/>
      <c r="D163" s="349"/>
      <c r="E163" s="349"/>
      <c r="F163" s="349"/>
      <c r="G163" s="349"/>
      <c r="H163" s="294"/>
      <c r="I163" s="294"/>
      <c r="J163" s="350"/>
      <c r="K163" s="350"/>
      <c r="L163" s="350"/>
      <c r="M163" s="350"/>
      <c r="N163" s="350"/>
      <c r="P163" s="583" t="s">
        <v>129</v>
      </c>
    </row>
  </sheetData>
  <conditionalFormatting sqref="C17:C71 C73">
    <cfRule type="cellIs" dxfId="26" priority="2" stopIfTrue="1" operator="equal">
      <formula>$I$10</formula>
    </cfRule>
  </conditionalFormatting>
  <conditionalFormatting sqref="C100:C155">
    <cfRule type="cellIs" dxfId="25" priority="3" stopIfTrue="1" operator="equal">
      <formula>$J$93</formula>
    </cfRule>
  </conditionalFormatting>
  <conditionalFormatting sqref="C72">
    <cfRule type="cellIs" dxfId="24"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4.9989318521683403E-2"/>
  </sheetPr>
  <dimension ref="A1:P163"/>
  <sheetViews>
    <sheetView zoomScale="85" zoomScaleNormal="85"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18 of 24</v>
      </c>
    </row>
    <row r="2" spans="1:16" ht="18">
      <c r="B2" s="243"/>
      <c r="C2" s="243"/>
      <c r="D2" s="292"/>
      <c r="E2" s="243"/>
      <c r="F2" s="243"/>
      <c r="G2" s="243"/>
      <c r="H2" s="325"/>
      <c r="I2" s="243"/>
      <c r="J2" s="278"/>
      <c r="K2" s="243"/>
      <c r="L2" s="243"/>
      <c r="M2" s="243"/>
      <c r="N2" s="243"/>
      <c r="P2" s="441" t="s">
        <v>131</v>
      </c>
    </row>
    <row r="3" spans="1:16" ht="18.75">
      <c r="B3" s="233" t="s">
        <v>42</v>
      </c>
      <c r="C3" s="305" t="s">
        <v>43</v>
      </c>
      <c r="D3" s="292"/>
      <c r="E3" s="243"/>
      <c r="F3" s="243"/>
      <c r="G3" s="243"/>
      <c r="H3" s="325"/>
      <c r="I3" s="325"/>
      <c r="J3" s="294"/>
      <c r="K3" s="325"/>
      <c r="L3" s="325"/>
      <c r="M3" s="325"/>
      <c r="N3" s="325"/>
      <c r="O3" s="243"/>
      <c r="P3" s="577">
        <v>1</v>
      </c>
    </row>
    <row r="4" spans="1:16" ht="15.75" thickBot="1">
      <c r="C4" s="304"/>
      <c r="D4" s="292"/>
      <c r="E4" s="243"/>
      <c r="F4" s="243"/>
      <c r="G4" s="243"/>
      <c r="H4" s="325"/>
      <c r="I4" s="325"/>
      <c r="J4" s="294"/>
      <c r="K4" s="325"/>
      <c r="L4" s="325"/>
      <c r="M4" s="325"/>
      <c r="N4" s="325"/>
      <c r="O4" s="243"/>
      <c r="P4" s="243"/>
    </row>
    <row r="5" spans="1:16" ht="15">
      <c r="C5" s="443" t="s">
        <v>44</v>
      </c>
      <c r="D5" s="292"/>
      <c r="E5" s="243"/>
      <c r="F5" s="243"/>
      <c r="G5" s="444"/>
      <c r="H5" s="243" t="s">
        <v>45</v>
      </c>
      <c r="I5" s="243"/>
      <c r="J5" s="278"/>
      <c r="K5" s="445" t="s">
        <v>242</v>
      </c>
      <c r="L5" s="446"/>
      <c r="M5" s="447"/>
      <c r="N5" s="448">
        <f>VLOOKUP(I10,C17:I73,5)</f>
        <v>1134379.0231473665</v>
      </c>
      <c r="P5" s="243"/>
    </row>
    <row r="6" spans="1:16" ht="15.75">
      <c r="C6" s="235"/>
      <c r="D6" s="292"/>
      <c r="E6" s="243"/>
      <c r="F6" s="243"/>
      <c r="G6" s="243"/>
      <c r="H6" s="449"/>
      <c r="I6" s="449"/>
      <c r="J6" s="450"/>
      <c r="K6" s="451" t="s">
        <v>243</v>
      </c>
      <c r="L6" s="452"/>
      <c r="M6" s="278"/>
      <c r="N6" s="453">
        <f>VLOOKUP(I10,C17:I73,6)</f>
        <v>1134379.0231473665</v>
      </c>
      <c r="O6" s="243"/>
      <c r="P6" s="243"/>
    </row>
    <row r="7" spans="1:16" ht="13.5" thickBot="1">
      <c r="C7" s="454" t="s">
        <v>46</v>
      </c>
      <c r="D7" s="637" t="s">
        <v>263</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265</v>
      </c>
      <c r="E9" s="646" t="s">
        <v>295</v>
      </c>
      <c r="F9" s="465"/>
      <c r="G9" s="465"/>
      <c r="H9" s="465"/>
      <c r="I9" s="466"/>
      <c r="J9" s="467"/>
      <c r="O9" s="468"/>
      <c r="P9" s="278"/>
    </row>
    <row r="10" spans="1:16">
      <c r="C10" s="469" t="s">
        <v>49</v>
      </c>
      <c r="D10" s="470">
        <v>8934664.3900000006</v>
      </c>
      <c r="E10" s="299" t="s">
        <v>50</v>
      </c>
      <c r="F10" s="468"/>
      <c r="G10" s="408"/>
      <c r="H10" s="408"/>
      <c r="I10" s="471">
        <f>+'OKT.WS.F.BPU.ATRR.Projected'!R101</f>
        <v>2024</v>
      </c>
      <c r="J10" s="467"/>
      <c r="K10" s="294" t="s">
        <v>51</v>
      </c>
      <c r="O10" s="278"/>
      <c r="P10" s="278"/>
    </row>
    <row r="11" spans="1:16">
      <c r="C11" s="472" t="s">
        <v>52</v>
      </c>
      <c r="D11" s="473">
        <v>2018</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c r="C12" s="472" t="s">
        <v>54</v>
      </c>
      <c r="D12" s="470">
        <v>5</v>
      </c>
      <c r="E12" s="472" t="s">
        <v>55</v>
      </c>
      <c r="F12" s="408"/>
      <c r="G12" s="220"/>
      <c r="H12" s="220"/>
      <c r="I12" s="476">
        <f>'OKT.WS.F.BPU.ATRR.Projected'!$F$79</f>
        <v>0.11393163315254198</v>
      </c>
      <c r="J12" s="413"/>
      <c r="K12" s="145" t="s">
        <v>56</v>
      </c>
      <c r="O12" s="278"/>
      <c r="P12" s="278"/>
    </row>
    <row r="13" spans="1:16">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row>
    <row r="14" spans="1:16" ht="13.5" thickBot="1">
      <c r="C14" s="472" t="s">
        <v>60</v>
      </c>
      <c r="D14" s="473" t="s">
        <v>61</v>
      </c>
      <c r="E14" s="278" t="s">
        <v>62</v>
      </c>
      <c r="F14" s="408"/>
      <c r="G14" s="220"/>
      <c r="H14" s="220"/>
      <c r="I14" s="477">
        <f>IF(D10=0,0,D10/D13)</f>
        <v>288214.98032258067</v>
      </c>
      <c r="J14" s="294"/>
      <c r="K14" s="294"/>
      <c r="L14" s="294"/>
      <c r="M14" s="294"/>
      <c r="N14" s="294"/>
      <c r="O14" s="278"/>
      <c r="P14" s="278"/>
    </row>
    <row r="15" spans="1:16"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c r="B17" s="145" t="str">
        <f t="shared" ref="B17:B71" si="0">IF(D17=F16,"","IU")</f>
        <v>IU</v>
      </c>
      <c r="C17" s="495">
        <f>IF(D11= "","-",D11)</f>
        <v>2018</v>
      </c>
      <c r="D17" s="614">
        <v>0</v>
      </c>
      <c r="E17" s="613">
        <v>0</v>
      </c>
      <c r="F17" s="614">
        <v>8591402</v>
      </c>
      <c r="G17" s="613">
        <v>472269.24918780552</v>
      </c>
      <c r="H17" s="617">
        <v>472269.24918780552</v>
      </c>
      <c r="I17" s="500">
        <f t="shared" ref="I17:I71" si="1">H17-G17</f>
        <v>0</v>
      </c>
      <c r="J17" s="500"/>
      <c r="K17" s="501">
        <f>+G17</f>
        <v>472269.24918780552</v>
      </c>
      <c r="L17" s="503">
        <f t="shared" ref="L17:L71" si="2">IF(K17&lt;&gt;0,+G17-K17,0)</f>
        <v>0</v>
      </c>
      <c r="M17" s="501">
        <f>+H17</f>
        <v>472269.24918780552</v>
      </c>
      <c r="N17" s="503">
        <f t="shared" ref="N17:N71" si="3">IF(M17&lt;&gt;0,+H17-M17,0)</f>
        <v>0</v>
      </c>
      <c r="O17" s="504">
        <f t="shared" ref="O17:O71" si="4">+N17-L17</f>
        <v>0</v>
      </c>
      <c r="P17" s="278"/>
    </row>
    <row r="18" spans="2:16">
      <c r="B18" s="145" t="str">
        <f t="shared" si="0"/>
        <v/>
      </c>
      <c r="C18" s="495">
        <f>IF(D11="","-",+C17+1)</f>
        <v>2019</v>
      </c>
      <c r="D18" s="614">
        <v>8591402</v>
      </c>
      <c r="E18" s="613">
        <v>254811.07676479843</v>
      </c>
      <c r="F18" s="614">
        <v>8336590.9232352013</v>
      </c>
      <c r="G18" s="613">
        <v>1134524.7126540036</v>
      </c>
      <c r="H18" s="617">
        <v>1134524.7126540036</v>
      </c>
      <c r="I18" s="500">
        <f t="shared" si="1"/>
        <v>0</v>
      </c>
      <c r="J18" s="500"/>
      <c r="K18" s="592">
        <f>+G18</f>
        <v>1134524.7126540036</v>
      </c>
      <c r="L18" s="596">
        <f t="shared" ref="L18" si="5">IF(K18&lt;&gt;0,+G18-K18,0)</f>
        <v>0</v>
      </c>
      <c r="M18" s="592">
        <f>+H18</f>
        <v>1134524.7126540036</v>
      </c>
      <c r="N18" s="504">
        <f t="shared" si="3"/>
        <v>0</v>
      </c>
      <c r="O18" s="504">
        <f t="shared" si="4"/>
        <v>0</v>
      </c>
      <c r="P18" s="278"/>
    </row>
    <row r="19" spans="2:16">
      <c r="B19" s="145" t="str">
        <f t="shared" si="0"/>
        <v>IU</v>
      </c>
      <c r="C19" s="495">
        <f>IF(D11="","-",+C18+1)</f>
        <v>2020</v>
      </c>
      <c r="D19" s="614">
        <v>8386649.9543424007</v>
      </c>
      <c r="E19" s="613">
        <v>261622.86982027246</v>
      </c>
      <c r="F19" s="614">
        <v>8125027.0845221281</v>
      </c>
      <c r="G19" s="613">
        <v>1127928.3671828741</v>
      </c>
      <c r="H19" s="617">
        <v>1127928.3671828741</v>
      </c>
      <c r="I19" s="500">
        <f t="shared" si="1"/>
        <v>0</v>
      </c>
      <c r="J19" s="500"/>
      <c r="K19" s="592">
        <f>+G19</f>
        <v>1127928.3671828741</v>
      </c>
      <c r="L19" s="596">
        <f t="shared" ref="L19" si="6">IF(K19&lt;&gt;0,+G19-K19,0)</f>
        <v>0</v>
      </c>
      <c r="M19" s="592">
        <f>+H19</f>
        <v>1127928.3671828741</v>
      </c>
      <c r="N19" s="504">
        <f t="shared" si="3"/>
        <v>0</v>
      </c>
      <c r="O19" s="504">
        <f t="shared" si="4"/>
        <v>0</v>
      </c>
      <c r="P19" s="278"/>
    </row>
    <row r="20" spans="2:16">
      <c r="B20" s="145" t="str">
        <f t="shared" si="0"/>
        <v>IU</v>
      </c>
      <c r="C20" s="495">
        <f>IF(D11="","-",+C19+1)</f>
        <v>2021</v>
      </c>
      <c r="D20" s="614">
        <v>8418230.0534149297</v>
      </c>
      <c r="E20" s="613">
        <v>288214.96774193546</v>
      </c>
      <c r="F20" s="614">
        <v>8130015.0856729941</v>
      </c>
      <c r="G20" s="613">
        <v>1183351.4738305765</v>
      </c>
      <c r="H20" s="617">
        <v>1183351.4738305765</v>
      </c>
      <c r="I20" s="500">
        <f t="shared" si="1"/>
        <v>0</v>
      </c>
      <c r="J20" s="500"/>
      <c r="K20" s="592">
        <f>+G20</f>
        <v>1183351.4738305765</v>
      </c>
      <c r="L20" s="596">
        <f t="shared" ref="L20" si="7">IF(K20&lt;&gt;0,+G20-K20,0)</f>
        <v>0</v>
      </c>
      <c r="M20" s="592">
        <f>+H20</f>
        <v>1183351.4738305765</v>
      </c>
      <c r="N20" s="504">
        <f t="shared" ref="N20" si="8">IF(M20&lt;&gt;0,+H20-M20,0)</f>
        <v>0</v>
      </c>
      <c r="O20" s="504">
        <f t="shared" ref="O20" si="9">+N20-L20</f>
        <v>0</v>
      </c>
      <c r="P20" s="278"/>
    </row>
    <row r="21" spans="2:16">
      <c r="B21" s="145" t="str">
        <f t="shared" si="0"/>
        <v/>
      </c>
      <c r="C21" s="580">
        <f>IF(D11="","-",+C20+1)</f>
        <v>2022</v>
      </c>
      <c r="D21" s="614">
        <v>8130015.0856729941</v>
      </c>
      <c r="E21" s="613">
        <v>270747.39393939392</v>
      </c>
      <c r="F21" s="614">
        <v>7859267.6917336006</v>
      </c>
      <c r="G21" s="613">
        <v>1188202.637458564</v>
      </c>
      <c r="H21" s="617">
        <v>1188202.637458564</v>
      </c>
      <c r="I21" s="500">
        <f t="shared" si="1"/>
        <v>0</v>
      </c>
      <c r="J21" s="500"/>
      <c r="K21" s="592">
        <f>+G21</f>
        <v>1188202.637458564</v>
      </c>
      <c r="L21" s="596">
        <f t="shared" ref="L21" si="10">IF(K21&lt;&gt;0,+G21-K21,0)</f>
        <v>0</v>
      </c>
      <c r="M21" s="592">
        <f>+H21</f>
        <v>1188202.637458564</v>
      </c>
      <c r="N21" s="504">
        <f t="shared" si="3"/>
        <v>0</v>
      </c>
      <c r="O21" s="504">
        <f t="shared" si="4"/>
        <v>0</v>
      </c>
      <c r="P21" s="278"/>
    </row>
    <row r="22" spans="2:16">
      <c r="B22" s="145" t="str">
        <f t="shared" si="0"/>
        <v>IU</v>
      </c>
      <c r="C22" s="495">
        <f>IF(D11="","-",+C21+1)</f>
        <v>2023</v>
      </c>
      <c r="D22" s="614">
        <v>7859268.0817336002</v>
      </c>
      <c r="E22" s="613">
        <v>288214.98032258067</v>
      </c>
      <c r="F22" s="614">
        <v>7571053.1014110195</v>
      </c>
      <c r="G22" s="613">
        <v>1160281.6090501249</v>
      </c>
      <c r="H22" s="617">
        <v>1160281.6090501249</v>
      </c>
      <c r="I22" s="500">
        <f t="shared" si="1"/>
        <v>0</v>
      </c>
      <c r="J22" s="500"/>
      <c r="K22" s="512"/>
      <c r="L22" s="504">
        <f t="shared" si="2"/>
        <v>0</v>
      </c>
      <c r="M22" s="512"/>
      <c r="N22" s="504">
        <f t="shared" si="3"/>
        <v>0</v>
      </c>
      <c r="O22" s="504">
        <f t="shared" si="4"/>
        <v>0</v>
      </c>
      <c r="P22" s="278"/>
    </row>
    <row r="23" spans="2:16">
      <c r="B23" s="145" t="str">
        <f t="shared" si="0"/>
        <v/>
      </c>
      <c r="C23" s="495">
        <f>IF(D11="","-",+C22+1)</f>
        <v>2024</v>
      </c>
      <c r="D23" s="508">
        <f>IF(F22+SUM(E$17:E22)=D$10,F22,D$10-SUM(E$17:E22))</f>
        <v>7571053.1014110195</v>
      </c>
      <c r="E23" s="509">
        <f t="shared" ref="E23:E71" si="11">IF(+I$14&lt;F22,I$14,D23)</f>
        <v>288214.98032258067</v>
      </c>
      <c r="F23" s="510">
        <f t="shared" ref="F23:F71" si="12">+D23-E23</f>
        <v>7282838.1210884387</v>
      </c>
      <c r="G23" s="511">
        <f t="shared" ref="G23:G71" si="13">(D23+F23)/2*I$12+E23</f>
        <v>1134379.0231473665</v>
      </c>
      <c r="H23" s="477">
        <f t="shared" ref="H23:H71" si="14">+(D23+F23)/2*I$13+E23</f>
        <v>1134379.0231473665</v>
      </c>
      <c r="I23" s="500">
        <f t="shared" si="1"/>
        <v>0</v>
      </c>
      <c r="J23" s="500"/>
      <c r="K23" s="512"/>
      <c r="L23" s="504">
        <f t="shared" si="2"/>
        <v>0</v>
      </c>
      <c r="M23" s="512"/>
      <c r="N23" s="504">
        <f t="shared" si="3"/>
        <v>0</v>
      </c>
      <c r="O23" s="504">
        <f t="shared" si="4"/>
        <v>0</v>
      </c>
      <c r="P23" s="278"/>
    </row>
    <row r="24" spans="2:16">
      <c r="B24" s="145" t="str">
        <f t="shared" si="0"/>
        <v/>
      </c>
      <c r="C24" s="495">
        <f>IF(D11="","-",+C23+1)</f>
        <v>2025</v>
      </c>
      <c r="D24" s="508">
        <f>IF(F23+SUM(E$17:E23)=D$10,F23,D$10-SUM(E$17:E23))</f>
        <v>7282838.1210884387</v>
      </c>
      <c r="E24" s="509">
        <f t="shared" si="11"/>
        <v>288214.98032258067</v>
      </c>
      <c r="F24" s="510">
        <f t="shared" si="12"/>
        <v>6994623.1407658579</v>
      </c>
      <c r="G24" s="511">
        <f t="shared" si="13"/>
        <v>1101542.2197401871</v>
      </c>
      <c r="H24" s="477">
        <f t="shared" si="14"/>
        <v>1101542.2197401871</v>
      </c>
      <c r="I24" s="500">
        <f t="shared" si="1"/>
        <v>0</v>
      </c>
      <c r="J24" s="500"/>
      <c r="K24" s="512"/>
      <c r="L24" s="504">
        <f t="shared" si="2"/>
        <v>0</v>
      </c>
      <c r="M24" s="512"/>
      <c r="N24" s="504">
        <f t="shared" si="3"/>
        <v>0</v>
      </c>
      <c r="O24" s="504">
        <f t="shared" si="4"/>
        <v>0</v>
      </c>
      <c r="P24" s="278"/>
    </row>
    <row r="25" spans="2:16">
      <c r="B25" s="145" t="str">
        <f t="shared" si="0"/>
        <v/>
      </c>
      <c r="C25" s="495">
        <f>IF(D11="","-",+C24+1)</f>
        <v>2026</v>
      </c>
      <c r="D25" s="508">
        <f>IF(F24+SUM(E$17:E24)=D$10,F24,D$10-SUM(E$17:E24))</f>
        <v>6994623.1407658579</v>
      </c>
      <c r="E25" s="509">
        <f t="shared" si="11"/>
        <v>288214.98032258067</v>
      </c>
      <c r="F25" s="510">
        <f t="shared" si="12"/>
        <v>6706408.1604432771</v>
      </c>
      <c r="G25" s="511">
        <f t="shared" si="13"/>
        <v>1068705.4163330076</v>
      </c>
      <c r="H25" s="477">
        <f t="shared" si="14"/>
        <v>1068705.4163330076</v>
      </c>
      <c r="I25" s="500">
        <f t="shared" si="1"/>
        <v>0</v>
      </c>
      <c r="J25" s="500"/>
      <c r="K25" s="512"/>
      <c r="L25" s="504">
        <f t="shared" si="2"/>
        <v>0</v>
      </c>
      <c r="M25" s="512"/>
      <c r="N25" s="504">
        <f t="shared" si="3"/>
        <v>0</v>
      </c>
      <c r="O25" s="504">
        <f t="shared" si="4"/>
        <v>0</v>
      </c>
      <c r="P25" s="278"/>
    </row>
    <row r="26" spans="2:16">
      <c r="B26" s="145" t="str">
        <f t="shared" si="0"/>
        <v/>
      </c>
      <c r="C26" s="495">
        <f>IF(D11="","-",+C25+1)</f>
        <v>2027</v>
      </c>
      <c r="D26" s="508">
        <f>IF(F25+SUM(E$17:E25)=D$10,F25,D$10-SUM(E$17:E25))</f>
        <v>6706408.1604432771</v>
      </c>
      <c r="E26" s="509">
        <f t="shared" si="11"/>
        <v>288214.98032258067</v>
      </c>
      <c r="F26" s="510">
        <f t="shared" si="12"/>
        <v>6418193.1801206963</v>
      </c>
      <c r="G26" s="511">
        <f t="shared" si="13"/>
        <v>1035868.6129258283</v>
      </c>
      <c r="H26" s="477">
        <f t="shared" si="14"/>
        <v>1035868.6129258283</v>
      </c>
      <c r="I26" s="500">
        <f t="shared" si="1"/>
        <v>0</v>
      </c>
      <c r="J26" s="500"/>
      <c r="K26" s="512"/>
      <c r="L26" s="504">
        <f t="shared" si="2"/>
        <v>0</v>
      </c>
      <c r="M26" s="512"/>
      <c r="N26" s="504">
        <f t="shared" si="3"/>
        <v>0</v>
      </c>
      <c r="O26" s="504">
        <f t="shared" si="4"/>
        <v>0</v>
      </c>
      <c r="P26" s="278"/>
    </row>
    <row r="27" spans="2:16">
      <c r="B27" s="145" t="str">
        <f t="shared" si="0"/>
        <v/>
      </c>
      <c r="C27" s="495">
        <f>IF(D11="","-",+C26+1)</f>
        <v>2028</v>
      </c>
      <c r="D27" s="508">
        <f>IF(F26+SUM(E$17:E26)=D$10,F26,D$10-SUM(E$17:E26))</f>
        <v>6418193.1801206963</v>
      </c>
      <c r="E27" s="509">
        <f t="shared" si="11"/>
        <v>288214.98032258067</v>
      </c>
      <c r="F27" s="510">
        <f t="shared" si="12"/>
        <v>6129978.1997981155</v>
      </c>
      <c r="G27" s="511">
        <f t="shared" si="13"/>
        <v>1003031.809518649</v>
      </c>
      <c r="H27" s="477">
        <f t="shared" si="14"/>
        <v>1003031.809518649</v>
      </c>
      <c r="I27" s="500">
        <f t="shared" si="1"/>
        <v>0</v>
      </c>
      <c r="J27" s="500"/>
      <c r="K27" s="512"/>
      <c r="L27" s="504">
        <f t="shared" si="2"/>
        <v>0</v>
      </c>
      <c r="M27" s="512"/>
      <c r="N27" s="504">
        <f t="shared" si="3"/>
        <v>0</v>
      </c>
      <c r="O27" s="504">
        <f t="shared" si="4"/>
        <v>0</v>
      </c>
      <c r="P27" s="278"/>
    </row>
    <row r="28" spans="2:16">
      <c r="B28" s="145" t="str">
        <f t="shared" si="0"/>
        <v/>
      </c>
      <c r="C28" s="495">
        <f>IF(D11="","-",+C27+1)</f>
        <v>2029</v>
      </c>
      <c r="D28" s="508">
        <f>IF(F27+SUM(E$17:E27)=D$10,F27,D$10-SUM(E$17:E27))</f>
        <v>6129978.1997981155</v>
      </c>
      <c r="E28" s="509">
        <f t="shared" si="11"/>
        <v>288214.98032258067</v>
      </c>
      <c r="F28" s="510">
        <f t="shared" si="12"/>
        <v>5841763.2194755347</v>
      </c>
      <c r="G28" s="511">
        <f t="shared" si="13"/>
        <v>970195.00611146959</v>
      </c>
      <c r="H28" s="477">
        <f t="shared" si="14"/>
        <v>970195.00611146959</v>
      </c>
      <c r="I28" s="500">
        <f t="shared" si="1"/>
        <v>0</v>
      </c>
      <c r="J28" s="500"/>
      <c r="K28" s="512"/>
      <c r="L28" s="504">
        <f t="shared" si="2"/>
        <v>0</v>
      </c>
      <c r="M28" s="512"/>
      <c r="N28" s="504">
        <f t="shared" si="3"/>
        <v>0</v>
      </c>
      <c r="O28" s="504">
        <f t="shared" si="4"/>
        <v>0</v>
      </c>
      <c r="P28" s="278"/>
    </row>
    <row r="29" spans="2:16">
      <c r="B29" s="145" t="str">
        <f t="shared" si="0"/>
        <v/>
      </c>
      <c r="C29" s="495">
        <f>IF(D11="","-",+C28+1)</f>
        <v>2030</v>
      </c>
      <c r="D29" s="508">
        <f>IF(F28+SUM(E$17:E28)=D$10,F28,D$10-SUM(E$17:E28))</f>
        <v>5841763.2194755347</v>
      </c>
      <c r="E29" s="509">
        <f t="shared" si="11"/>
        <v>288214.98032258067</v>
      </c>
      <c r="F29" s="510">
        <f t="shared" si="12"/>
        <v>5553548.239152954</v>
      </c>
      <c r="G29" s="511">
        <f t="shared" si="13"/>
        <v>937358.20270429016</v>
      </c>
      <c r="H29" s="477">
        <f t="shared" si="14"/>
        <v>937358.20270429016</v>
      </c>
      <c r="I29" s="500">
        <f t="shared" si="1"/>
        <v>0</v>
      </c>
      <c r="J29" s="500"/>
      <c r="K29" s="512"/>
      <c r="L29" s="504">
        <f t="shared" si="2"/>
        <v>0</v>
      </c>
      <c r="M29" s="512"/>
      <c r="N29" s="504">
        <f t="shared" si="3"/>
        <v>0</v>
      </c>
      <c r="O29" s="504">
        <f t="shared" si="4"/>
        <v>0</v>
      </c>
      <c r="P29" s="278"/>
    </row>
    <row r="30" spans="2:16">
      <c r="B30" s="145" t="str">
        <f t="shared" si="0"/>
        <v/>
      </c>
      <c r="C30" s="495">
        <f>IF(D11="","-",+C29+1)</f>
        <v>2031</v>
      </c>
      <c r="D30" s="508">
        <f>IF(F29+SUM(E$17:E29)=D$10,F29,D$10-SUM(E$17:E29))</f>
        <v>5553548.239152954</v>
      </c>
      <c r="E30" s="509">
        <f t="shared" si="11"/>
        <v>288214.98032258067</v>
      </c>
      <c r="F30" s="510">
        <f t="shared" si="12"/>
        <v>5265333.2588303732</v>
      </c>
      <c r="G30" s="511">
        <f t="shared" si="13"/>
        <v>904521.39929711085</v>
      </c>
      <c r="H30" s="477">
        <f t="shared" si="14"/>
        <v>904521.39929711085</v>
      </c>
      <c r="I30" s="500">
        <f t="shared" si="1"/>
        <v>0</v>
      </c>
      <c r="J30" s="500"/>
      <c r="K30" s="512"/>
      <c r="L30" s="504">
        <f t="shared" si="2"/>
        <v>0</v>
      </c>
      <c r="M30" s="512"/>
      <c r="N30" s="504">
        <f t="shared" si="3"/>
        <v>0</v>
      </c>
      <c r="O30" s="504">
        <f t="shared" si="4"/>
        <v>0</v>
      </c>
      <c r="P30" s="278"/>
    </row>
    <row r="31" spans="2:16">
      <c r="B31" s="145" t="str">
        <f t="shared" si="0"/>
        <v/>
      </c>
      <c r="C31" s="495">
        <f>IF(D11="","-",+C30+1)</f>
        <v>2032</v>
      </c>
      <c r="D31" s="508">
        <f>IF(F30+SUM(E$17:E30)=D$10,F30,D$10-SUM(E$17:E30))</f>
        <v>5265333.2588303732</v>
      </c>
      <c r="E31" s="509">
        <f t="shared" si="11"/>
        <v>288214.98032258067</v>
      </c>
      <c r="F31" s="510">
        <f t="shared" si="12"/>
        <v>4977118.2785077924</v>
      </c>
      <c r="G31" s="511">
        <f t="shared" si="13"/>
        <v>871684.59588993143</v>
      </c>
      <c r="H31" s="477">
        <f t="shared" si="14"/>
        <v>871684.59588993143</v>
      </c>
      <c r="I31" s="500">
        <f t="shared" si="1"/>
        <v>0</v>
      </c>
      <c r="J31" s="500"/>
      <c r="K31" s="512"/>
      <c r="L31" s="504">
        <f t="shared" si="2"/>
        <v>0</v>
      </c>
      <c r="M31" s="512"/>
      <c r="N31" s="504">
        <f t="shared" si="3"/>
        <v>0</v>
      </c>
      <c r="O31" s="504">
        <f t="shared" si="4"/>
        <v>0</v>
      </c>
      <c r="P31" s="278"/>
    </row>
    <row r="32" spans="2:16">
      <c r="B32" s="145" t="str">
        <f t="shared" si="0"/>
        <v/>
      </c>
      <c r="C32" s="495">
        <f>IF(D11="","-",+C31+1)</f>
        <v>2033</v>
      </c>
      <c r="D32" s="508">
        <f>IF(F31+SUM(E$17:E31)=D$10,F31,D$10-SUM(E$17:E31))</f>
        <v>4977118.2785077924</v>
      </c>
      <c r="E32" s="509">
        <f t="shared" si="11"/>
        <v>288214.98032258067</v>
      </c>
      <c r="F32" s="510">
        <f t="shared" si="12"/>
        <v>4688903.2981852116</v>
      </c>
      <c r="G32" s="511">
        <f t="shared" si="13"/>
        <v>838847.79248275212</v>
      </c>
      <c r="H32" s="477">
        <f t="shared" si="14"/>
        <v>838847.79248275212</v>
      </c>
      <c r="I32" s="500">
        <f t="shared" si="1"/>
        <v>0</v>
      </c>
      <c r="J32" s="500"/>
      <c r="K32" s="512"/>
      <c r="L32" s="504">
        <f t="shared" si="2"/>
        <v>0</v>
      </c>
      <c r="M32" s="512"/>
      <c r="N32" s="504">
        <f t="shared" si="3"/>
        <v>0</v>
      </c>
      <c r="O32" s="504">
        <f t="shared" si="4"/>
        <v>0</v>
      </c>
      <c r="P32" s="278"/>
    </row>
    <row r="33" spans="2:16">
      <c r="B33" s="145" t="str">
        <f t="shared" si="0"/>
        <v/>
      </c>
      <c r="C33" s="495">
        <f>IF(D11="","-",+C32+1)</f>
        <v>2034</v>
      </c>
      <c r="D33" s="508">
        <f>IF(F32+SUM(E$17:E32)=D$10,F32,D$10-SUM(E$17:E32))</f>
        <v>4688903.2981852116</v>
      </c>
      <c r="E33" s="509">
        <f t="shared" si="11"/>
        <v>288214.98032258067</v>
      </c>
      <c r="F33" s="510">
        <f t="shared" si="12"/>
        <v>4400688.3178626308</v>
      </c>
      <c r="G33" s="511">
        <f t="shared" si="13"/>
        <v>806010.9890755727</v>
      </c>
      <c r="H33" s="477">
        <f t="shared" si="14"/>
        <v>806010.9890755727</v>
      </c>
      <c r="I33" s="500">
        <f t="shared" si="1"/>
        <v>0</v>
      </c>
      <c r="J33" s="500"/>
      <c r="K33" s="512"/>
      <c r="L33" s="504">
        <f t="shared" si="2"/>
        <v>0</v>
      </c>
      <c r="M33" s="512"/>
      <c r="N33" s="504">
        <f t="shared" si="3"/>
        <v>0</v>
      </c>
      <c r="O33" s="504">
        <f t="shared" si="4"/>
        <v>0</v>
      </c>
      <c r="P33" s="278"/>
    </row>
    <row r="34" spans="2:16">
      <c r="B34" s="145" t="str">
        <f t="shared" si="0"/>
        <v/>
      </c>
      <c r="C34" s="495">
        <f>IF(D11="","-",+C33+1)</f>
        <v>2035</v>
      </c>
      <c r="D34" s="508">
        <f>IF(F33+SUM(E$17:E33)=D$10,F33,D$10-SUM(E$17:E33))</f>
        <v>4400688.3178626308</v>
      </c>
      <c r="E34" s="509">
        <f t="shared" si="11"/>
        <v>288214.98032258067</v>
      </c>
      <c r="F34" s="510">
        <f t="shared" si="12"/>
        <v>4112473.33754005</v>
      </c>
      <c r="G34" s="511">
        <f t="shared" si="13"/>
        <v>773174.18566839327</v>
      </c>
      <c r="H34" s="477">
        <f t="shared" si="14"/>
        <v>773174.18566839327</v>
      </c>
      <c r="I34" s="500">
        <f t="shared" si="1"/>
        <v>0</v>
      </c>
      <c r="J34" s="500"/>
      <c r="K34" s="512"/>
      <c r="L34" s="504">
        <f t="shared" si="2"/>
        <v>0</v>
      </c>
      <c r="M34" s="512"/>
      <c r="N34" s="504">
        <f t="shared" si="3"/>
        <v>0</v>
      </c>
      <c r="O34" s="504">
        <f t="shared" si="4"/>
        <v>0</v>
      </c>
      <c r="P34" s="278"/>
    </row>
    <row r="35" spans="2:16">
      <c r="B35" s="145" t="str">
        <f t="shared" si="0"/>
        <v/>
      </c>
      <c r="C35" s="495">
        <f>IF(D11="","-",+C34+1)</f>
        <v>2036</v>
      </c>
      <c r="D35" s="508">
        <f>IF(F34+SUM(E$17:E34)=D$10,F34,D$10-SUM(E$17:E34))</f>
        <v>4112473.33754005</v>
      </c>
      <c r="E35" s="509">
        <f t="shared" si="11"/>
        <v>288214.98032258067</v>
      </c>
      <c r="F35" s="510">
        <f t="shared" si="12"/>
        <v>3824258.3572174693</v>
      </c>
      <c r="G35" s="511">
        <f t="shared" si="13"/>
        <v>740337.38226121385</v>
      </c>
      <c r="H35" s="477">
        <f t="shared" si="14"/>
        <v>740337.38226121385</v>
      </c>
      <c r="I35" s="500">
        <f t="shared" si="1"/>
        <v>0</v>
      </c>
      <c r="J35" s="500"/>
      <c r="K35" s="512"/>
      <c r="L35" s="504">
        <f t="shared" si="2"/>
        <v>0</v>
      </c>
      <c r="M35" s="512"/>
      <c r="N35" s="504">
        <f t="shared" si="3"/>
        <v>0</v>
      </c>
      <c r="O35" s="504">
        <f t="shared" si="4"/>
        <v>0</v>
      </c>
      <c r="P35" s="278"/>
    </row>
    <row r="36" spans="2:16">
      <c r="B36" s="145" t="str">
        <f t="shared" si="0"/>
        <v/>
      </c>
      <c r="C36" s="495">
        <f>IF(D11="","-",+C35+1)</f>
        <v>2037</v>
      </c>
      <c r="D36" s="508">
        <f>IF(F35+SUM(E$17:E35)=D$10,F35,D$10-SUM(E$17:E35))</f>
        <v>3824258.3572174693</v>
      </c>
      <c r="E36" s="509">
        <f t="shared" si="11"/>
        <v>288214.98032258067</v>
      </c>
      <c r="F36" s="510">
        <f t="shared" si="12"/>
        <v>3536043.3768948885</v>
      </c>
      <c r="G36" s="511">
        <f t="shared" si="13"/>
        <v>707500.57885403454</v>
      </c>
      <c r="H36" s="477">
        <f t="shared" si="14"/>
        <v>707500.57885403454</v>
      </c>
      <c r="I36" s="500">
        <f t="shared" si="1"/>
        <v>0</v>
      </c>
      <c r="J36" s="500"/>
      <c r="K36" s="512"/>
      <c r="L36" s="504">
        <f t="shared" si="2"/>
        <v>0</v>
      </c>
      <c r="M36" s="512"/>
      <c r="N36" s="504">
        <f t="shared" si="3"/>
        <v>0</v>
      </c>
      <c r="O36" s="504">
        <f t="shared" si="4"/>
        <v>0</v>
      </c>
      <c r="P36" s="278"/>
    </row>
    <row r="37" spans="2:16">
      <c r="B37" s="145" t="str">
        <f t="shared" si="0"/>
        <v/>
      </c>
      <c r="C37" s="495">
        <f>IF(D11="","-",+C36+1)</f>
        <v>2038</v>
      </c>
      <c r="D37" s="508">
        <f>IF(F36+SUM(E$17:E36)=D$10,F36,D$10-SUM(E$17:E36))</f>
        <v>3536043.3768948885</v>
      </c>
      <c r="E37" s="509">
        <f t="shared" si="11"/>
        <v>288214.98032258067</v>
      </c>
      <c r="F37" s="510">
        <f t="shared" si="12"/>
        <v>3247828.3965723077</v>
      </c>
      <c r="G37" s="511">
        <f t="shared" si="13"/>
        <v>674663.77544685523</v>
      </c>
      <c r="H37" s="477">
        <f t="shared" si="14"/>
        <v>674663.77544685523</v>
      </c>
      <c r="I37" s="500">
        <f t="shared" si="1"/>
        <v>0</v>
      </c>
      <c r="J37" s="500"/>
      <c r="K37" s="512"/>
      <c r="L37" s="504">
        <f t="shared" si="2"/>
        <v>0</v>
      </c>
      <c r="M37" s="512"/>
      <c r="N37" s="504">
        <f t="shared" si="3"/>
        <v>0</v>
      </c>
      <c r="O37" s="504">
        <f t="shared" si="4"/>
        <v>0</v>
      </c>
      <c r="P37" s="278"/>
    </row>
    <row r="38" spans="2:16">
      <c r="B38" s="145" t="str">
        <f t="shared" si="0"/>
        <v/>
      </c>
      <c r="C38" s="495">
        <f>IF(D11="","-",+C37+1)</f>
        <v>2039</v>
      </c>
      <c r="D38" s="508">
        <f>IF(F37+SUM(E$17:E37)=D$10,F37,D$10-SUM(E$17:E37))</f>
        <v>3247828.3965723077</v>
      </c>
      <c r="E38" s="509">
        <f t="shared" si="11"/>
        <v>288214.98032258067</v>
      </c>
      <c r="F38" s="510">
        <f t="shared" si="12"/>
        <v>2959613.4162497269</v>
      </c>
      <c r="G38" s="511">
        <f t="shared" si="13"/>
        <v>641826.97203967581</v>
      </c>
      <c r="H38" s="477">
        <f t="shared" si="14"/>
        <v>641826.97203967581</v>
      </c>
      <c r="I38" s="500">
        <f t="shared" si="1"/>
        <v>0</v>
      </c>
      <c r="J38" s="500"/>
      <c r="K38" s="512"/>
      <c r="L38" s="504">
        <f t="shared" si="2"/>
        <v>0</v>
      </c>
      <c r="M38" s="512"/>
      <c r="N38" s="504">
        <f t="shared" si="3"/>
        <v>0</v>
      </c>
      <c r="O38" s="504">
        <f t="shared" si="4"/>
        <v>0</v>
      </c>
      <c r="P38" s="278"/>
    </row>
    <row r="39" spans="2:16">
      <c r="B39" s="145" t="str">
        <f t="shared" si="0"/>
        <v/>
      </c>
      <c r="C39" s="495">
        <f>IF(D11="","-",+C38+1)</f>
        <v>2040</v>
      </c>
      <c r="D39" s="508">
        <f>IF(F38+SUM(E$17:E38)=D$10,F38,D$10-SUM(E$17:E38))</f>
        <v>2959613.4162497269</v>
      </c>
      <c r="E39" s="509">
        <f t="shared" si="11"/>
        <v>288214.98032258067</v>
      </c>
      <c r="F39" s="510">
        <f t="shared" si="12"/>
        <v>2671398.4359271461</v>
      </c>
      <c r="G39" s="511">
        <f t="shared" si="13"/>
        <v>608990.16863249638</v>
      </c>
      <c r="H39" s="477">
        <f t="shared" si="14"/>
        <v>608990.16863249638</v>
      </c>
      <c r="I39" s="500">
        <f t="shared" si="1"/>
        <v>0</v>
      </c>
      <c r="J39" s="500"/>
      <c r="K39" s="512"/>
      <c r="L39" s="504">
        <f t="shared" si="2"/>
        <v>0</v>
      </c>
      <c r="M39" s="512"/>
      <c r="N39" s="504">
        <f t="shared" si="3"/>
        <v>0</v>
      </c>
      <c r="O39" s="504">
        <f t="shared" si="4"/>
        <v>0</v>
      </c>
      <c r="P39" s="278"/>
    </row>
    <row r="40" spans="2:16">
      <c r="B40" s="145" t="str">
        <f t="shared" si="0"/>
        <v/>
      </c>
      <c r="C40" s="495">
        <f>IF(D11="","-",+C39+1)</f>
        <v>2041</v>
      </c>
      <c r="D40" s="508">
        <f>IF(F39+SUM(E$17:E39)=D$10,F39,D$10-SUM(E$17:E39))</f>
        <v>2671398.4359271461</v>
      </c>
      <c r="E40" s="509">
        <f t="shared" si="11"/>
        <v>288214.98032258067</v>
      </c>
      <c r="F40" s="510">
        <f t="shared" si="12"/>
        <v>2383183.4556045653</v>
      </c>
      <c r="G40" s="511">
        <f t="shared" si="13"/>
        <v>576153.36522531696</v>
      </c>
      <c r="H40" s="477">
        <f t="shared" si="14"/>
        <v>576153.36522531696</v>
      </c>
      <c r="I40" s="500">
        <f t="shared" si="1"/>
        <v>0</v>
      </c>
      <c r="J40" s="500"/>
      <c r="K40" s="512"/>
      <c r="L40" s="504">
        <f t="shared" si="2"/>
        <v>0</v>
      </c>
      <c r="M40" s="512"/>
      <c r="N40" s="504">
        <f t="shared" si="3"/>
        <v>0</v>
      </c>
      <c r="O40" s="504">
        <f t="shared" si="4"/>
        <v>0</v>
      </c>
      <c r="P40" s="278"/>
    </row>
    <row r="41" spans="2:16">
      <c r="B41" s="145" t="str">
        <f t="shared" si="0"/>
        <v/>
      </c>
      <c r="C41" s="495">
        <f>IF(D11="","-",+C40+1)</f>
        <v>2042</v>
      </c>
      <c r="D41" s="508">
        <f>IF(F40+SUM(E$17:E40)=D$10,F40,D$10-SUM(E$17:E40))</f>
        <v>2383183.4556045653</v>
      </c>
      <c r="E41" s="509">
        <f t="shared" si="11"/>
        <v>288214.98032258067</v>
      </c>
      <c r="F41" s="510">
        <f t="shared" si="12"/>
        <v>2094968.4752819845</v>
      </c>
      <c r="G41" s="511">
        <f t="shared" si="13"/>
        <v>543316.56181813765</v>
      </c>
      <c r="H41" s="477">
        <f t="shared" si="14"/>
        <v>543316.56181813765</v>
      </c>
      <c r="I41" s="500">
        <f t="shared" si="1"/>
        <v>0</v>
      </c>
      <c r="J41" s="500"/>
      <c r="K41" s="512"/>
      <c r="L41" s="504">
        <f t="shared" si="2"/>
        <v>0</v>
      </c>
      <c r="M41" s="512"/>
      <c r="N41" s="504">
        <f t="shared" si="3"/>
        <v>0</v>
      </c>
      <c r="O41" s="504">
        <f t="shared" si="4"/>
        <v>0</v>
      </c>
      <c r="P41" s="278"/>
    </row>
    <row r="42" spans="2:16">
      <c r="B42" s="145" t="str">
        <f t="shared" si="0"/>
        <v/>
      </c>
      <c r="C42" s="495">
        <f>IF(D11="","-",+C41+1)</f>
        <v>2043</v>
      </c>
      <c r="D42" s="508">
        <f>IF(F41+SUM(E$17:E41)=D$10,F41,D$10-SUM(E$17:E41))</f>
        <v>2094968.4752819845</v>
      </c>
      <c r="E42" s="509">
        <f t="shared" si="11"/>
        <v>288214.98032258067</v>
      </c>
      <c r="F42" s="510">
        <f t="shared" si="12"/>
        <v>1806753.4949594038</v>
      </c>
      <c r="G42" s="511">
        <f t="shared" si="13"/>
        <v>510479.75841095822</v>
      </c>
      <c r="H42" s="477">
        <f t="shared" si="14"/>
        <v>510479.75841095822</v>
      </c>
      <c r="I42" s="500">
        <f t="shared" si="1"/>
        <v>0</v>
      </c>
      <c r="J42" s="500"/>
      <c r="K42" s="512"/>
      <c r="L42" s="504">
        <f t="shared" si="2"/>
        <v>0</v>
      </c>
      <c r="M42" s="512"/>
      <c r="N42" s="504">
        <f t="shared" si="3"/>
        <v>0</v>
      </c>
      <c r="O42" s="504">
        <f t="shared" si="4"/>
        <v>0</v>
      </c>
      <c r="P42" s="278"/>
    </row>
    <row r="43" spans="2:16">
      <c r="B43" s="145" t="str">
        <f t="shared" si="0"/>
        <v/>
      </c>
      <c r="C43" s="495">
        <f>IF(D11="","-",+C42+1)</f>
        <v>2044</v>
      </c>
      <c r="D43" s="508">
        <f>IF(F42+SUM(E$17:E42)=D$10,F42,D$10-SUM(E$17:E42))</f>
        <v>1806753.4949594038</v>
      </c>
      <c r="E43" s="509">
        <f t="shared" si="11"/>
        <v>288214.98032258067</v>
      </c>
      <c r="F43" s="510">
        <f t="shared" si="12"/>
        <v>1518538.514636823</v>
      </c>
      <c r="G43" s="511">
        <f t="shared" si="13"/>
        <v>477642.95500377892</v>
      </c>
      <c r="H43" s="477">
        <f t="shared" si="14"/>
        <v>477642.95500377892</v>
      </c>
      <c r="I43" s="500">
        <f t="shared" si="1"/>
        <v>0</v>
      </c>
      <c r="J43" s="500"/>
      <c r="K43" s="512"/>
      <c r="L43" s="504">
        <f t="shared" si="2"/>
        <v>0</v>
      </c>
      <c r="M43" s="512"/>
      <c r="N43" s="504">
        <f t="shared" si="3"/>
        <v>0</v>
      </c>
      <c r="O43" s="504">
        <f t="shared" si="4"/>
        <v>0</v>
      </c>
      <c r="P43" s="278"/>
    </row>
    <row r="44" spans="2:16">
      <c r="B44" s="145" t="str">
        <f t="shared" si="0"/>
        <v/>
      </c>
      <c r="C44" s="495">
        <f>IF(D11="","-",+C43+1)</f>
        <v>2045</v>
      </c>
      <c r="D44" s="508">
        <f>IF(F43+SUM(E$17:E43)=D$10,F43,D$10-SUM(E$17:E43))</f>
        <v>1518538.514636823</v>
      </c>
      <c r="E44" s="509">
        <f t="shared" si="11"/>
        <v>288214.98032258067</v>
      </c>
      <c r="F44" s="510">
        <f t="shared" si="12"/>
        <v>1230323.5343142422</v>
      </c>
      <c r="G44" s="511">
        <f t="shared" si="13"/>
        <v>444806.15159659949</v>
      </c>
      <c r="H44" s="477">
        <f t="shared" si="14"/>
        <v>444806.15159659949</v>
      </c>
      <c r="I44" s="500">
        <f t="shared" si="1"/>
        <v>0</v>
      </c>
      <c r="J44" s="500"/>
      <c r="K44" s="512"/>
      <c r="L44" s="504">
        <f t="shared" si="2"/>
        <v>0</v>
      </c>
      <c r="M44" s="512"/>
      <c r="N44" s="504">
        <f t="shared" si="3"/>
        <v>0</v>
      </c>
      <c r="O44" s="504">
        <f t="shared" si="4"/>
        <v>0</v>
      </c>
      <c r="P44" s="278"/>
    </row>
    <row r="45" spans="2:16">
      <c r="B45" s="145" t="str">
        <f t="shared" si="0"/>
        <v/>
      </c>
      <c r="C45" s="495">
        <f>IF(D11="","-",+C44+1)</f>
        <v>2046</v>
      </c>
      <c r="D45" s="508">
        <f>IF(F44+SUM(E$17:E44)=D$10,F44,D$10-SUM(E$17:E44))</f>
        <v>1230323.5343142422</v>
      </c>
      <c r="E45" s="509">
        <f t="shared" si="11"/>
        <v>288214.98032258067</v>
      </c>
      <c r="F45" s="510">
        <f t="shared" si="12"/>
        <v>942108.55399166152</v>
      </c>
      <c r="G45" s="511">
        <f t="shared" si="13"/>
        <v>411969.34818942012</v>
      </c>
      <c r="H45" s="477">
        <f t="shared" si="14"/>
        <v>411969.34818942012</v>
      </c>
      <c r="I45" s="500">
        <f t="shared" si="1"/>
        <v>0</v>
      </c>
      <c r="J45" s="500"/>
      <c r="K45" s="512"/>
      <c r="L45" s="504">
        <f t="shared" si="2"/>
        <v>0</v>
      </c>
      <c r="M45" s="512"/>
      <c r="N45" s="504">
        <f t="shared" si="3"/>
        <v>0</v>
      </c>
      <c r="O45" s="504">
        <f t="shared" si="4"/>
        <v>0</v>
      </c>
      <c r="P45" s="278"/>
    </row>
    <row r="46" spans="2:16">
      <c r="B46" s="145" t="str">
        <f t="shared" si="0"/>
        <v/>
      </c>
      <c r="C46" s="495">
        <f>IF(D11="","-",+C45+1)</f>
        <v>2047</v>
      </c>
      <c r="D46" s="508">
        <f>IF(F45+SUM(E$17:E45)=D$10,F45,D$10-SUM(E$17:E45))</f>
        <v>942108.55399166152</v>
      </c>
      <c r="E46" s="509">
        <f t="shared" si="11"/>
        <v>288214.98032258067</v>
      </c>
      <c r="F46" s="510">
        <f t="shared" si="12"/>
        <v>653893.57366908086</v>
      </c>
      <c r="G46" s="511">
        <f t="shared" si="13"/>
        <v>379132.54478224076</v>
      </c>
      <c r="H46" s="477">
        <f t="shared" si="14"/>
        <v>379132.54478224076</v>
      </c>
      <c r="I46" s="500">
        <f t="shared" si="1"/>
        <v>0</v>
      </c>
      <c r="J46" s="500"/>
      <c r="K46" s="512"/>
      <c r="L46" s="504">
        <f t="shared" si="2"/>
        <v>0</v>
      </c>
      <c r="M46" s="512"/>
      <c r="N46" s="504">
        <f t="shared" si="3"/>
        <v>0</v>
      </c>
      <c r="O46" s="504">
        <f t="shared" si="4"/>
        <v>0</v>
      </c>
      <c r="P46" s="278"/>
    </row>
    <row r="47" spans="2:16">
      <c r="B47" s="145" t="str">
        <f t="shared" si="0"/>
        <v/>
      </c>
      <c r="C47" s="495">
        <f>IF(D11="","-",+C46+1)</f>
        <v>2048</v>
      </c>
      <c r="D47" s="508">
        <f>IF(F46+SUM(E$17:E46)=D$10,F46,D$10-SUM(E$17:E46))</f>
        <v>653893.57366908086</v>
      </c>
      <c r="E47" s="509">
        <f t="shared" si="11"/>
        <v>288214.98032258067</v>
      </c>
      <c r="F47" s="510">
        <f t="shared" si="12"/>
        <v>365678.59334650019</v>
      </c>
      <c r="G47" s="511">
        <f t="shared" si="13"/>
        <v>346295.74137506139</v>
      </c>
      <c r="H47" s="477">
        <f t="shared" si="14"/>
        <v>346295.74137506139</v>
      </c>
      <c r="I47" s="500">
        <f t="shared" si="1"/>
        <v>0</v>
      </c>
      <c r="J47" s="500"/>
      <c r="K47" s="512"/>
      <c r="L47" s="504">
        <f t="shared" si="2"/>
        <v>0</v>
      </c>
      <c r="M47" s="512"/>
      <c r="N47" s="504">
        <f t="shared" si="3"/>
        <v>0</v>
      </c>
      <c r="O47" s="504">
        <f t="shared" si="4"/>
        <v>0</v>
      </c>
      <c r="P47" s="278"/>
    </row>
    <row r="48" spans="2:16">
      <c r="B48" s="145" t="str">
        <f t="shared" si="0"/>
        <v/>
      </c>
      <c r="C48" s="495">
        <f>IF(D11="","-",+C47+1)</f>
        <v>2049</v>
      </c>
      <c r="D48" s="508">
        <f>IF(F47+SUM(E$17:E47)=D$10,F47,D$10-SUM(E$17:E47))</f>
        <v>365678.59334650019</v>
      </c>
      <c r="E48" s="509">
        <f t="shared" si="11"/>
        <v>288214.98032258067</v>
      </c>
      <c r="F48" s="510">
        <f t="shared" si="12"/>
        <v>77463.613023919519</v>
      </c>
      <c r="G48" s="511">
        <f t="shared" si="13"/>
        <v>313458.93796788203</v>
      </c>
      <c r="H48" s="477">
        <f t="shared" si="14"/>
        <v>313458.93796788203</v>
      </c>
      <c r="I48" s="500">
        <f t="shared" si="1"/>
        <v>0</v>
      </c>
      <c r="J48" s="500"/>
      <c r="K48" s="512"/>
      <c r="L48" s="504">
        <f t="shared" si="2"/>
        <v>0</v>
      </c>
      <c r="M48" s="512"/>
      <c r="N48" s="504">
        <f t="shared" si="3"/>
        <v>0</v>
      </c>
      <c r="O48" s="504">
        <f t="shared" si="4"/>
        <v>0</v>
      </c>
      <c r="P48" s="278"/>
    </row>
    <row r="49" spans="2:16">
      <c r="B49" s="145" t="str">
        <f t="shared" si="0"/>
        <v/>
      </c>
      <c r="C49" s="495">
        <f>IF(D11="","-",+C48+1)</f>
        <v>2050</v>
      </c>
      <c r="D49" s="508">
        <f>IF(F48+SUM(E$17:E48)=D$10,F48,D$10-SUM(E$17:E48))</f>
        <v>77463.613023919519</v>
      </c>
      <c r="E49" s="509">
        <f t="shared" si="11"/>
        <v>77463.613023919519</v>
      </c>
      <c r="F49" s="510">
        <f t="shared" si="12"/>
        <v>0</v>
      </c>
      <c r="G49" s="511">
        <f t="shared" si="13"/>
        <v>81876.390994775356</v>
      </c>
      <c r="H49" s="477">
        <f t="shared" si="14"/>
        <v>81876.390994775356</v>
      </c>
      <c r="I49" s="500">
        <f t="shared" si="1"/>
        <v>0</v>
      </c>
      <c r="J49" s="500"/>
      <c r="K49" s="512"/>
      <c r="L49" s="504">
        <f t="shared" si="2"/>
        <v>0</v>
      </c>
      <c r="M49" s="512"/>
      <c r="N49" s="504">
        <f t="shared" si="3"/>
        <v>0</v>
      </c>
      <c r="O49" s="504">
        <f t="shared" si="4"/>
        <v>0</v>
      </c>
      <c r="P49" s="278"/>
    </row>
    <row r="50" spans="2:16">
      <c r="B50" s="145" t="str">
        <f t="shared" si="0"/>
        <v/>
      </c>
      <c r="C50" s="495">
        <f>IF(D11="","-",+C49+1)</f>
        <v>2051</v>
      </c>
      <c r="D50" s="508">
        <f>IF(F49+SUM(E$17:E49)=D$10,F49,D$10-SUM(E$17:E49))</f>
        <v>0</v>
      </c>
      <c r="E50" s="509">
        <f t="shared" si="11"/>
        <v>0</v>
      </c>
      <c r="F50" s="510">
        <f t="shared" si="12"/>
        <v>0</v>
      </c>
      <c r="G50" s="511">
        <f t="shared" si="13"/>
        <v>0</v>
      </c>
      <c r="H50" s="477">
        <f t="shared" si="14"/>
        <v>0</v>
      </c>
      <c r="I50" s="500">
        <f t="shared" si="1"/>
        <v>0</v>
      </c>
      <c r="J50" s="500"/>
      <c r="K50" s="512"/>
      <c r="L50" s="504">
        <f t="shared" si="2"/>
        <v>0</v>
      </c>
      <c r="M50" s="512"/>
      <c r="N50" s="504">
        <f t="shared" si="3"/>
        <v>0</v>
      </c>
      <c r="O50" s="504">
        <f t="shared" si="4"/>
        <v>0</v>
      </c>
      <c r="P50" s="278"/>
    </row>
    <row r="51" spans="2:16">
      <c r="B51" s="145" t="str">
        <f t="shared" si="0"/>
        <v/>
      </c>
      <c r="C51" s="495">
        <f>IF(D11="","-",+C50+1)</f>
        <v>2052</v>
      </c>
      <c r="D51" s="508">
        <f>IF(F50+SUM(E$17:E50)=D$10,F50,D$10-SUM(E$17:E50))</f>
        <v>0</v>
      </c>
      <c r="E51" s="509">
        <f t="shared" si="11"/>
        <v>0</v>
      </c>
      <c r="F51" s="510">
        <f t="shared" si="12"/>
        <v>0</v>
      </c>
      <c r="G51" s="511">
        <f t="shared" si="13"/>
        <v>0</v>
      </c>
      <c r="H51" s="477">
        <f t="shared" si="14"/>
        <v>0</v>
      </c>
      <c r="I51" s="500">
        <f t="shared" si="1"/>
        <v>0</v>
      </c>
      <c r="J51" s="500"/>
      <c r="K51" s="512"/>
      <c r="L51" s="504">
        <f t="shared" si="2"/>
        <v>0</v>
      </c>
      <c r="M51" s="512"/>
      <c r="N51" s="504">
        <f t="shared" si="3"/>
        <v>0</v>
      </c>
      <c r="O51" s="504">
        <f t="shared" si="4"/>
        <v>0</v>
      </c>
      <c r="P51" s="278"/>
    </row>
    <row r="52" spans="2:16">
      <c r="B52" s="145" t="str">
        <f t="shared" si="0"/>
        <v/>
      </c>
      <c r="C52" s="495">
        <f>IF(D11="","-",+C51+1)</f>
        <v>2053</v>
      </c>
      <c r="D52" s="508">
        <f>IF(F51+SUM(E$17:E51)=D$10,F51,D$10-SUM(E$17:E51))</f>
        <v>0</v>
      </c>
      <c r="E52" s="509">
        <f t="shared" si="11"/>
        <v>0</v>
      </c>
      <c r="F52" s="510">
        <f t="shared" si="12"/>
        <v>0</v>
      </c>
      <c r="G52" s="511">
        <f t="shared" si="13"/>
        <v>0</v>
      </c>
      <c r="H52" s="477">
        <f t="shared" si="14"/>
        <v>0</v>
      </c>
      <c r="I52" s="500">
        <f t="shared" si="1"/>
        <v>0</v>
      </c>
      <c r="J52" s="500"/>
      <c r="K52" s="512"/>
      <c r="L52" s="504">
        <f t="shared" si="2"/>
        <v>0</v>
      </c>
      <c r="M52" s="512"/>
      <c r="N52" s="504">
        <f t="shared" si="3"/>
        <v>0</v>
      </c>
      <c r="O52" s="504">
        <f t="shared" si="4"/>
        <v>0</v>
      </c>
      <c r="P52" s="278"/>
    </row>
    <row r="53" spans="2:16">
      <c r="B53" s="145" t="str">
        <f t="shared" si="0"/>
        <v/>
      </c>
      <c r="C53" s="495">
        <f>IF(D11="","-",+C52+1)</f>
        <v>2054</v>
      </c>
      <c r="D53" s="508">
        <f>IF(F52+SUM(E$17:E52)=D$10,F52,D$10-SUM(E$17:E52))</f>
        <v>0</v>
      </c>
      <c r="E53" s="509">
        <f t="shared" si="11"/>
        <v>0</v>
      </c>
      <c r="F53" s="510">
        <f t="shared" si="12"/>
        <v>0</v>
      </c>
      <c r="G53" s="511">
        <f t="shared" si="13"/>
        <v>0</v>
      </c>
      <c r="H53" s="477">
        <f t="shared" si="14"/>
        <v>0</v>
      </c>
      <c r="I53" s="500">
        <f t="shared" si="1"/>
        <v>0</v>
      </c>
      <c r="J53" s="500"/>
      <c r="K53" s="512"/>
      <c r="L53" s="504">
        <f t="shared" si="2"/>
        <v>0</v>
      </c>
      <c r="M53" s="512"/>
      <c r="N53" s="504">
        <f t="shared" si="3"/>
        <v>0</v>
      </c>
      <c r="O53" s="504">
        <f t="shared" si="4"/>
        <v>0</v>
      </c>
      <c r="P53" s="278"/>
    </row>
    <row r="54" spans="2:16">
      <c r="B54" s="145" t="str">
        <f t="shared" si="0"/>
        <v/>
      </c>
      <c r="C54" s="495">
        <f>IF(D11="","-",+C53+1)</f>
        <v>2055</v>
      </c>
      <c r="D54" s="508">
        <f>IF(F53+SUM(E$17:E53)=D$10,F53,D$10-SUM(E$17:E53))</f>
        <v>0</v>
      </c>
      <c r="E54" s="509">
        <f t="shared" si="11"/>
        <v>0</v>
      </c>
      <c r="F54" s="510">
        <f t="shared" si="12"/>
        <v>0</v>
      </c>
      <c r="G54" s="511">
        <f t="shared" si="13"/>
        <v>0</v>
      </c>
      <c r="H54" s="477">
        <f t="shared" si="14"/>
        <v>0</v>
      </c>
      <c r="I54" s="500">
        <f t="shared" si="1"/>
        <v>0</v>
      </c>
      <c r="J54" s="500"/>
      <c r="K54" s="512"/>
      <c r="L54" s="504">
        <f t="shared" si="2"/>
        <v>0</v>
      </c>
      <c r="M54" s="512"/>
      <c r="N54" s="504">
        <f t="shared" si="3"/>
        <v>0</v>
      </c>
      <c r="O54" s="504">
        <f t="shared" si="4"/>
        <v>0</v>
      </c>
      <c r="P54" s="278"/>
    </row>
    <row r="55" spans="2:16">
      <c r="B55" s="145" t="str">
        <f t="shared" si="0"/>
        <v/>
      </c>
      <c r="C55" s="495">
        <f>IF(D11="","-",+C54+1)</f>
        <v>2056</v>
      </c>
      <c r="D55" s="508">
        <f>IF(F54+SUM(E$17:E54)=D$10,F54,D$10-SUM(E$17:E54))</f>
        <v>0</v>
      </c>
      <c r="E55" s="509">
        <f t="shared" si="11"/>
        <v>0</v>
      </c>
      <c r="F55" s="510">
        <f t="shared" si="12"/>
        <v>0</v>
      </c>
      <c r="G55" s="511">
        <f t="shared" si="13"/>
        <v>0</v>
      </c>
      <c r="H55" s="477">
        <f t="shared" si="14"/>
        <v>0</v>
      </c>
      <c r="I55" s="500">
        <f t="shared" si="1"/>
        <v>0</v>
      </c>
      <c r="J55" s="500"/>
      <c r="K55" s="512"/>
      <c r="L55" s="504">
        <f t="shared" si="2"/>
        <v>0</v>
      </c>
      <c r="M55" s="512"/>
      <c r="N55" s="504">
        <f t="shared" si="3"/>
        <v>0</v>
      </c>
      <c r="O55" s="504">
        <f t="shared" si="4"/>
        <v>0</v>
      </c>
      <c r="P55" s="278"/>
    </row>
    <row r="56" spans="2:16">
      <c r="B56" s="145" t="str">
        <f t="shared" si="0"/>
        <v/>
      </c>
      <c r="C56" s="495">
        <f>IF(D11="","-",+C55+1)</f>
        <v>2057</v>
      </c>
      <c r="D56" s="508">
        <f>IF(F55+SUM(E$17:E55)=D$10,F55,D$10-SUM(E$17:E55))</f>
        <v>0</v>
      </c>
      <c r="E56" s="509">
        <f t="shared" si="11"/>
        <v>0</v>
      </c>
      <c r="F56" s="510">
        <f t="shared" si="12"/>
        <v>0</v>
      </c>
      <c r="G56" s="511">
        <f t="shared" si="13"/>
        <v>0</v>
      </c>
      <c r="H56" s="477">
        <f t="shared" si="14"/>
        <v>0</v>
      </c>
      <c r="I56" s="500">
        <f t="shared" si="1"/>
        <v>0</v>
      </c>
      <c r="J56" s="500"/>
      <c r="K56" s="512"/>
      <c r="L56" s="504">
        <f t="shared" si="2"/>
        <v>0</v>
      </c>
      <c r="M56" s="512"/>
      <c r="N56" s="504">
        <f t="shared" si="3"/>
        <v>0</v>
      </c>
      <c r="O56" s="504">
        <f t="shared" si="4"/>
        <v>0</v>
      </c>
      <c r="P56" s="278"/>
    </row>
    <row r="57" spans="2:16">
      <c r="B57" s="145" t="str">
        <f t="shared" si="0"/>
        <v/>
      </c>
      <c r="C57" s="495">
        <f>IF(D11="","-",+C56+1)</f>
        <v>2058</v>
      </c>
      <c r="D57" s="508">
        <f>IF(F56+SUM(E$17:E56)=D$10,F56,D$10-SUM(E$17:E56))</f>
        <v>0</v>
      </c>
      <c r="E57" s="509">
        <f t="shared" si="11"/>
        <v>0</v>
      </c>
      <c r="F57" s="510">
        <f t="shared" si="12"/>
        <v>0</v>
      </c>
      <c r="G57" s="511">
        <f t="shared" si="13"/>
        <v>0</v>
      </c>
      <c r="H57" s="477">
        <f t="shared" si="14"/>
        <v>0</v>
      </c>
      <c r="I57" s="500">
        <f t="shared" si="1"/>
        <v>0</v>
      </c>
      <c r="J57" s="500"/>
      <c r="K57" s="512"/>
      <c r="L57" s="504">
        <f t="shared" si="2"/>
        <v>0</v>
      </c>
      <c r="M57" s="512"/>
      <c r="N57" s="504">
        <f t="shared" si="3"/>
        <v>0</v>
      </c>
      <c r="O57" s="504">
        <f t="shared" si="4"/>
        <v>0</v>
      </c>
      <c r="P57" s="278"/>
    </row>
    <row r="58" spans="2:16">
      <c r="B58" s="145" t="str">
        <f t="shared" si="0"/>
        <v/>
      </c>
      <c r="C58" s="495">
        <f>IF(D11="","-",+C57+1)</f>
        <v>2059</v>
      </c>
      <c r="D58" s="508">
        <f>IF(F57+SUM(E$17:E57)=D$10,F57,D$10-SUM(E$17:E57))</f>
        <v>0</v>
      </c>
      <c r="E58" s="509">
        <f t="shared" si="11"/>
        <v>0</v>
      </c>
      <c r="F58" s="510">
        <f t="shared" si="12"/>
        <v>0</v>
      </c>
      <c r="G58" s="511">
        <f t="shared" si="13"/>
        <v>0</v>
      </c>
      <c r="H58" s="477">
        <f t="shared" si="14"/>
        <v>0</v>
      </c>
      <c r="I58" s="500">
        <f t="shared" si="1"/>
        <v>0</v>
      </c>
      <c r="J58" s="500"/>
      <c r="K58" s="512"/>
      <c r="L58" s="504">
        <f t="shared" si="2"/>
        <v>0</v>
      </c>
      <c r="M58" s="512"/>
      <c r="N58" s="504">
        <f t="shared" si="3"/>
        <v>0</v>
      </c>
      <c r="O58" s="504">
        <f t="shared" si="4"/>
        <v>0</v>
      </c>
      <c r="P58" s="278"/>
    </row>
    <row r="59" spans="2:16">
      <c r="B59" s="145" t="str">
        <f t="shared" si="0"/>
        <v/>
      </c>
      <c r="C59" s="495">
        <f>IF(D11="","-",+C58+1)</f>
        <v>2060</v>
      </c>
      <c r="D59" s="508">
        <f>IF(F58+SUM(E$17:E58)=D$10,F58,D$10-SUM(E$17:E58))</f>
        <v>0</v>
      </c>
      <c r="E59" s="509">
        <f t="shared" si="11"/>
        <v>0</v>
      </c>
      <c r="F59" s="510">
        <f t="shared" si="12"/>
        <v>0</v>
      </c>
      <c r="G59" s="511">
        <f t="shared" si="13"/>
        <v>0</v>
      </c>
      <c r="H59" s="477">
        <f t="shared" si="14"/>
        <v>0</v>
      </c>
      <c r="I59" s="500">
        <f t="shared" si="1"/>
        <v>0</v>
      </c>
      <c r="J59" s="500"/>
      <c r="K59" s="512"/>
      <c r="L59" s="504">
        <f t="shared" si="2"/>
        <v>0</v>
      </c>
      <c r="M59" s="512"/>
      <c r="N59" s="504">
        <f t="shared" si="3"/>
        <v>0</v>
      </c>
      <c r="O59" s="504">
        <f t="shared" si="4"/>
        <v>0</v>
      </c>
      <c r="P59" s="278"/>
    </row>
    <row r="60" spans="2:16">
      <c r="B60" s="145" t="str">
        <f t="shared" si="0"/>
        <v/>
      </c>
      <c r="C60" s="495">
        <f>IF(D11="","-",+C59+1)</f>
        <v>2061</v>
      </c>
      <c r="D60" s="508">
        <f>IF(F59+SUM(E$17:E59)=D$10,F59,D$10-SUM(E$17:E59))</f>
        <v>0</v>
      </c>
      <c r="E60" s="509">
        <f t="shared" si="11"/>
        <v>0</v>
      </c>
      <c r="F60" s="510">
        <f t="shared" si="12"/>
        <v>0</v>
      </c>
      <c r="G60" s="511">
        <f t="shared" si="13"/>
        <v>0</v>
      </c>
      <c r="H60" s="477">
        <f t="shared" si="14"/>
        <v>0</v>
      </c>
      <c r="I60" s="500">
        <f t="shared" si="1"/>
        <v>0</v>
      </c>
      <c r="J60" s="500"/>
      <c r="K60" s="512"/>
      <c r="L60" s="504">
        <f t="shared" si="2"/>
        <v>0</v>
      </c>
      <c r="M60" s="512"/>
      <c r="N60" s="504">
        <f t="shared" si="3"/>
        <v>0</v>
      </c>
      <c r="O60" s="504">
        <f t="shared" si="4"/>
        <v>0</v>
      </c>
      <c r="P60" s="278"/>
    </row>
    <row r="61" spans="2:16">
      <c r="B61" s="145" t="str">
        <f t="shared" si="0"/>
        <v/>
      </c>
      <c r="C61" s="495">
        <f>IF(D11="","-",+C60+1)</f>
        <v>2062</v>
      </c>
      <c r="D61" s="508">
        <f>IF(F60+SUM(E$17:E60)=D$10,F60,D$10-SUM(E$17:E60))</f>
        <v>0</v>
      </c>
      <c r="E61" s="509">
        <f t="shared" si="11"/>
        <v>0</v>
      </c>
      <c r="F61" s="510">
        <f t="shared" si="12"/>
        <v>0</v>
      </c>
      <c r="G61" s="523">
        <f t="shared" si="13"/>
        <v>0</v>
      </c>
      <c r="H61" s="477">
        <f t="shared" si="14"/>
        <v>0</v>
      </c>
      <c r="I61" s="500">
        <f t="shared" si="1"/>
        <v>0</v>
      </c>
      <c r="J61" s="500"/>
      <c r="K61" s="512"/>
      <c r="L61" s="504">
        <f t="shared" si="2"/>
        <v>0</v>
      </c>
      <c r="M61" s="512"/>
      <c r="N61" s="504">
        <f t="shared" si="3"/>
        <v>0</v>
      </c>
      <c r="O61" s="504">
        <f t="shared" si="4"/>
        <v>0</v>
      </c>
      <c r="P61" s="278"/>
    </row>
    <row r="62" spans="2:16">
      <c r="B62" s="145" t="str">
        <f t="shared" si="0"/>
        <v/>
      </c>
      <c r="C62" s="495">
        <f>IF(D11="","-",+C61+1)</f>
        <v>2063</v>
      </c>
      <c r="D62" s="508">
        <f>IF(F61+SUM(E$17:E61)=D$10,F61,D$10-SUM(E$17:E61))</f>
        <v>0</v>
      </c>
      <c r="E62" s="509">
        <f t="shared" si="11"/>
        <v>0</v>
      </c>
      <c r="F62" s="510">
        <f t="shared" si="12"/>
        <v>0</v>
      </c>
      <c r="G62" s="523">
        <f t="shared" si="13"/>
        <v>0</v>
      </c>
      <c r="H62" s="477">
        <f t="shared" si="14"/>
        <v>0</v>
      </c>
      <c r="I62" s="500">
        <f t="shared" si="1"/>
        <v>0</v>
      </c>
      <c r="J62" s="500"/>
      <c r="K62" s="512"/>
      <c r="L62" s="504">
        <f t="shared" si="2"/>
        <v>0</v>
      </c>
      <c r="M62" s="512"/>
      <c r="N62" s="504">
        <f t="shared" si="3"/>
        <v>0</v>
      </c>
      <c r="O62" s="504">
        <f t="shared" si="4"/>
        <v>0</v>
      </c>
      <c r="P62" s="278"/>
    </row>
    <row r="63" spans="2:16">
      <c r="B63" s="145" t="str">
        <f t="shared" si="0"/>
        <v/>
      </c>
      <c r="C63" s="495">
        <f>IF(D11="","-",+C62+1)</f>
        <v>2064</v>
      </c>
      <c r="D63" s="508">
        <f>IF(F62+SUM(E$17:E62)=D$10,F62,D$10-SUM(E$17:E62))</f>
        <v>0</v>
      </c>
      <c r="E63" s="509">
        <f t="shared" si="11"/>
        <v>0</v>
      </c>
      <c r="F63" s="510">
        <f t="shared" si="12"/>
        <v>0</v>
      </c>
      <c r="G63" s="523">
        <f t="shared" si="13"/>
        <v>0</v>
      </c>
      <c r="H63" s="477">
        <f t="shared" si="14"/>
        <v>0</v>
      </c>
      <c r="I63" s="500">
        <f t="shared" si="1"/>
        <v>0</v>
      </c>
      <c r="J63" s="500"/>
      <c r="K63" s="512"/>
      <c r="L63" s="504">
        <f t="shared" si="2"/>
        <v>0</v>
      </c>
      <c r="M63" s="512"/>
      <c r="N63" s="504">
        <f t="shared" si="3"/>
        <v>0</v>
      </c>
      <c r="O63" s="504">
        <f t="shared" si="4"/>
        <v>0</v>
      </c>
      <c r="P63" s="278"/>
    </row>
    <row r="64" spans="2:16">
      <c r="B64" s="145" t="str">
        <f t="shared" si="0"/>
        <v/>
      </c>
      <c r="C64" s="495">
        <f>IF(D11="","-",+C63+1)</f>
        <v>2065</v>
      </c>
      <c r="D64" s="508">
        <f>IF(F63+SUM(E$17:E63)=D$10,F63,D$10-SUM(E$17:E63))</f>
        <v>0</v>
      </c>
      <c r="E64" s="509">
        <f t="shared" si="11"/>
        <v>0</v>
      </c>
      <c r="F64" s="510">
        <f t="shared" si="12"/>
        <v>0</v>
      </c>
      <c r="G64" s="523">
        <f t="shared" si="13"/>
        <v>0</v>
      </c>
      <c r="H64" s="477">
        <f t="shared" si="14"/>
        <v>0</v>
      </c>
      <c r="I64" s="500">
        <f t="shared" si="1"/>
        <v>0</v>
      </c>
      <c r="J64" s="500"/>
      <c r="K64" s="512"/>
      <c r="L64" s="504">
        <f t="shared" si="2"/>
        <v>0</v>
      </c>
      <c r="M64" s="512"/>
      <c r="N64" s="504">
        <f t="shared" si="3"/>
        <v>0</v>
      </c>
      <c r="O64" s="504">
        <f t="shared" si="4"/>
        <v>0</v>
      </c>
      <c r="P64" s="278"/>
    </row>
    <row r="65" spans="2:16">
      <c r="B65" s="145" t="str">
        <f t="shared" si="0"/>
        <v/>
      </c>
      <c r="C65" s="495">
        <f>IF(D11="","-",+C64+1)</f>
        <v>2066</v>
      </c>
      <c r="D65" s="508">
        <f>IF(F64+SUM(E$17:E64)=D$10,F64,D$10-SUM(E$17:E64))</f>
        <v>0</v>
      </c>
      <c r="E65" s="509">
        <f t="shared" si="11"/>
        <v>0</v>
      </c>
      <c r="F65" s="510">
        <f t="shared" si="12"/>
        <v>0</v>
      </c>
      <c r="G65" s="523">
        <f t="shared" si="13"/>
        <v>0</v>
      </c>
      <c r="H65" s="477">
        <f t="shared" si="14"/>
        <v>0</v>
      </c>
      <c r="I65" s="500">
        <f t="shared" si="1"/>
        <v>0</v>
      </c>
      <c r="J65" s="500"/>
      <c r="K65" s="512"/>
      <c r="L65" s="504">
        <f t="shared" si="2"/>
        <v>0</v>
      </c>
      <c r="M65" s="512"/>
      <c r="N65" s="504">
        <f t="shared" si="3"/>
        <v>0</v>
      </c>
      <c r="O65" s="504">
        <f t="shared" si="4"/>
        <v>0</v>
      </c>
      <c r="P65" s="278"/>
    </row>
    <row r="66" spans="2:16">
      <c r="B66" s="145" t="str">
        <f t="shared" si="0"/>
        <v/>
      </c>
      <c r="C66" s="495">
        <f>IF(D11="","-",+C65+1)</f>
        <v>2067</v>
      </c>
      <c r="D66" s="508">
        <f>IF(F65+SUM(E$17:E65)=D$10,F65,D$10-SUM(E$17:E65))</f>
        <v>0</v>
      </c>
      <c r="E66" s="509">
        <f t="shared" si="11"/>
        <v>0</v>
      </c>
      <c r="F66" s="510">
        <f t="shared" si="12"/>
        <v>0</v>
      </c>
      <c r="G66" s="523">
        <f t="shared" si="13"/>
        <v>0</v>
      </c>
      <c r="H66" s="477">
        <f t="shared" si="14"/>
        <v>0</v>
      </c>
      <c r="I66" s="500">
        <f t="shared" si="1"/>
        <v>0</v>
      </c>
      <c r="J66" s="500"/>
      <c r="K66" s="512"/>
      <c r="L66" s="504">
        <f t="shared" si="2"/>
        <v>0</v>
      </c>
      <c r="M66" s="512"/>
      <c r="N66" s="504">
        <f t="shared" si="3"/>
        <v>0</v>
      </c>
      <c r="O66" s="504">
        <f t="shared" si="4"/>
        <v>0</v>
      </c>
      <c r="P66" s="278"/>
    </row>
    <row r="67" spans="2:16">
      <c r="B67" s="145" t="str">
        <f t="shared" si="0"/>
        <v/>
      </c>
      <c r="C67" s="495">
        <f>IF(D11="","-",+C66+1)</f>
        <v>2068</v>
      </c>
      <c r="D67" s="508">
        <f>IF(F66+SUM(E$17:E66)=D$10,F66,D$10-SUM(E$17:E66))</f>
        <v>0</v>
      </c>
      <c r="E67" s="509">
        <f t="shared" si="11"/>
        <v>0</v>
      </c>
      <c r="F67" s="510">
        <f t="shared" si="12"/>
        <v>0</v>
      </c>
      <c r="G67" s="523">
        <f t="shared" si="13"/>
        <v>0</v>
      </c>
      <c r="H67" s="477">
        <f t="shared" si="14"/>
        <v>0</v>
      </c>
      <c r="I67" s="500">
        <f t="shared" si="1"/>
        <v>0</v>
      </c>
      <c r="J67" s="500"/>
      <c r="K67" s="512"/>
      <c r="L67" s="504">
        <f t="shared" si="2"/>
        <v>0</v>
      </c>
      <c r="M67" s="512"/>
      <c r="N67" s="504">
        <f t="shared" si="3"/>
        <v>0</v>
      </c>
      <c r="O67" s="504">
        <f t="shared" si="4"/>
        <v>0</v>
      </c>
      <c r="P67" s="278"/>
    </row>
    <row r="68" spans="2:16">
      <c r="B68" s="145" t="str">
        <f t="shared" si="0"/>
        <v/>
      </c>
      <c r="C68" s="495">
        <f>IF(D11="","-",+C67+1)</f>
        <v>2069</v>
      </c>
      <c r="D68" s="508">
        <f>IF(F67+SUM(E$17:E67)=D$10,F67,D$10-SUM(E$17:E67))</f>
        <v>0</v>
      </c>
      <c r="E68" s="509">
        <f t="shared" si="11"/>
        <v>0</v>
      </c>
      <c r="F68" s="510">
        <f t="shared" si="12"/>
        <v>0</v>
      </c>
      <c r="G68" s="523">
        <f t="shared" si="13"/>
        <v>0</v>
      </c>
      <c r="H68" s="477">
        <f t="shared" si="14"/>
        <v>0</v>
      </c>
      <c r="I68" s="500">
        <f t="shared" si="1"/>
        <v>0</v>
      </c>
      <c r="J68" s="500"/>
      <c r="K68" s="512"/>
      <c r="L68" s="504">
        <f t="shared" si="2"/>
        <v>0</v>
      </c>
      <c r="M68" s="512"/>
      <c r="N68" s="504">
        <f t="shared" si="3"/>
        <v>0</v>
      </c>
      <c r="O68" s="504">
        <f t="shared" si="4"/>
        <v>0</v>
      </c>
      <c r="P68" s="278"/>
    </row>
    <row r="69" spans="2:16">
      <c r="B69" s="145" t="str">
        <f t="shared" si="0"/>
        <v/>
      </c>
      <c r="C69" s="495">
        <f>IF(D11="","-",+C68+1)</f>
        <v>2070</v>
      </c>
      <c r="D69" s="508">
        <f>IF(F68+SUM(E$17:E68)=D$10,F68,D$10-SUM(E$17:E68))</f>
        <v>0</v>
      </c>
      <c r="E69" s="509">
        <f t="shared" si="11"/>
        <v>0</v>
      </c>
      <c r="F69" s="510">
        <f t="shared" si="12"/>
        <v>0</v>
      </c>
      <c r="G69" s="523">
        <f t="shared" si="13"/>
        <v>0</v>
      </c>
      <c r="H69" s="477">
        <f t="shared" si="14"/>
        <v>0</v>
      </c>
      <c r="I69" s="500">
        <f t="shared" si="1"/>
        <v>0</v>
      </c>
      <c r="J69" s="500"/>
      <c r="K69" s="512"/>
      <c r="L69" s="504">
        <f t="shared" si="2"/>
        <v>0</v>
      </c>
      <c r="M69" s="512"/>
      <c r="N69" s="504">
        <f t="shared" si="3"/>
        <v>0</v>
      </c>
      <c r="O69" s="504">
        <f t="shared" si="4"/>
        <v>0</v>
      </c>
      <c r="P69" s="278"/>
    </row>
    <row r="70" spans="2:16">
      <c r="B70" s="145" t="str">
        <f t="shared" si="0"/>
        <v/>
      </c>
      <c r="C70" s="495">
        <f>IF(D11="","-",+C69+1)</f>
        <v>2071</v>
      </c>
      <c r="D70" s="508">
        <f>IF(F69+SUM(E$17:E69)=D$10,F69,D$10-SUM(E$17:E69))</f>
        <v>0</v>
      </c>
      <c r="E70" s="509">
        <f t="shared" si="11"/>
        <v>0</v>
      </c>
      <c r="F70" s="510">
        <f t="shared" si="12"/>
        <v>0</v>
      </c>
      <c r="G70" s="523">
        <f t="shared" si="13"/>
        <v>0</v>
      </c>
      <c r="H70" s="477">
        <f t="shared" si="14"/>
        <v>0</v>
      </c>
      <c r="I70" s="500">
        <f t="shared" si="1"/>
        <v>0</v>
      </c>
      <c r="J70" s="500"/>
      <c r="K70" s="512"/>
      <c r="L70" s="504">
        <f t="shared" si="2"/>
        <v>0</v>
      </c>
      <c r="M70" s="512"/>
      <c r="N70" s="504">
        <f t="shared" si="3"/>
        <v>0</v>
      </c>
      <c r="O70" s="504">
        <f t="shared" si="4"/>
        <v>0</v>
      </c>
      <c r="P70" s="278"/>
    </row>
    <row r="71" spans="2:16">
      <c r="B71" s="145" t="str">
        <f t="shared" si="0"/>
        <v/>
      </c>
      <c r="C71" s="495">
        <f>IF(D11="","-",+C70+1)</f>
        <v>2072</v>
      </c>
      <c r="D71" s="508">
        <f>IF(F70+SUM(E$17:E70)=D$10,F70,D$10-SUM(E$17:E70))</f>
        <v>0</v>
      </c>
      <c r="E71" s="509">
        <f t="shared" si="11"/>
        <v>0</v>
      </c>
      <c r="F71" s="510">
        <f t="shared" si="12"/>
        <v>0</v>
      </c>
      <c r="G71" s="523">
        <f t="shared" si="13"/>
        <v>0</v>
      </c>
      <c r="H71" s="477">
        <f t="shared" si="14"/>
        <v>0</v>
      </c>
      <c r="I71" s="500">
        <f t="shared" si="1"/>
        <v>0</v>
      </c>
      <c r="J71" s="500"/>
      <c r="K71" s="512"/>
      <c r="L71" s="504">
        <f t="shared" si="2"/>
        <v>0</v>
      </c>
      <c r="M71" s="512"/>
      <c r="N71" s="504">
        <f t="shared" si="3"/>
        <v>0</v>
      </c>
      <c r="O71" s="504">
        <f t="shared" si="4"/>
        <v>0</v>
      </c>
      <c r="P71" s="278"/>
    </row>
    <row r="72" spans="2:16">
      <c r="C72" s="495">
        <f>IF(D12="","-",+C71+1)</f>
        <v>2073</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5" thickBot="1">
      <c r="B73" s="145" t="str">
        <f>IF(D73=F71,"","IU")</f>
        <v/>
      </c>
      <c r="C73" s="524">
        <f>IF(D13="","-",+C72+1)</f>
        <v>2074</v>
      </c>
      <c r="D73" s="526">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c r="C74" s="349" t="s">
        <v>75</v>
      </c>
      <c r="D74" s="294"/>
      <c r="E74" s="294">
        <f>SUM(E17:E73)</f>
        <v>8934664.3900000006</v>
      </c>
      <c r="F74" s="294"/>
      <c r="G74" s="294">
        <f>SUM(G17:G73)</f>
        <v>25170327.934856955</v>
      </c>
      <c r="H74" s="294">
        <f>SUM(H17:H73)</f>
        <v>25170327.934856955</v>
      </c>
      <c r="I74" s="294">
        <f>SUM(I17:I73)</f>
        <v>0</v>
      </c>
      <c r="J74" s="294"/>
      <c r="K74" s="294"/>
      <c r="L74" s="294"/>
      <c r="M74" s="294"/>
      <c r="N74" s="294"/>
      <c r="O74" s="278"/>
      <c r="P74" s="278"/>
    </row>
    <row r="75" spans="2:16">
      <c r="D75" s="292"/>
      <c r="E75" s="243"/>
      <c r="F75" s="243"/>
      <c r="G75" s="243"/>
      <c r="H75" s="325"/>
      <c r="I75" s="325"/>
      <c r="J75" s="294"/>
      <c r="K75" s="325"/>
      <c r="L75" s="325"/>
      <c r="M75" s="325"/>
      <c r="N75" s="325"/>
      <c r="O75" s="243"/>
      <c r="P75" s="243"/>
    </row>
    <row r="76" spans="2:16">
      <c r="C76" s="532" t="s">
        <v>95</v>
      </c>
      <c r="D76" s="292"/>
      <c r="E76" s="243"/>
      <c r="F76" s="243"/>
      <c r="G76" s="243"/>
      <c r="H76" s="325"/>
      <c r="I76" s="325"/>
      <c r="J76" s="294"/>
      <c r="K76" s="325"/>
      <c r="L76" s="325"/>
      <c r="M76" s="325"/>
      <c r="N76" s="325"/>
      <c r="O76" s="243"/>
      <c r="P76" s="243"/>
    </row>
    <row r="77" spans="2:16">
      <c r="C77" s="454" t="s">
        <v>76</v>
      </c>
      <c r="D77" s="292"/>
      <c r="E77" s="243"/>
      <c r="F77" s="243"/>
      <c r="G77" s="243"/>
      <c r="H77" s="325"/>
      <c r="I77" s="325"/>
      <c r="J77" s="294"/>
      <c r="K77" s="325"/>
      <c r="L77" s="325"/>
      <c r="M77" s="325"/>
      <c r="N77" s="325"/>
      <c r="O77" s="278"/>
      <c r="P77" s="278"/>
    </row>
    <row r="78" spans="2:16">
      <c r="C78" s="454" t="s">
        <v>77</v>
      </c>
      <c r="D78" s="349"/>
      <c r="E78" s="349"/>
      <c r="F78" s="349"/>
      <c r="G78" s="294"/>
      <c r="H78" s="294"/>
      <c r="I78" s="350"/>
      <c r="J78" s="350"/>
      <c r="K78" s="350"/>
      <c r="L78" s="350"/>
      <c r="M78" s="350"/>
      <c r="N78" s="350"/>
      <c r="O78" s="278"/>
      <c r="P78" s="278"/>
    </row>
    <row r="79" spans="2:16">
      <c r="C79" s="454"/>
      <c r="D79" s="349"/>
      <c r="E79" s="349"/>
      <c r="F79" s="349"/>
      <c r="G79" s="294"/>
      <c r="H79" s="294"/>
      <c r="I79" s="350"/>
      <c r="J79" s="350"/>
      <c r="K79" s="350"/>
      <c r="L79" s="350"/>
      <c r="M79" s="350"/>
      <c r="N79" s="350"/>
      <c r="O79" s="278"/>
      <c r="P79" s="243"/>
    </row>
    <row r="80" spans="2:16">
      <c r="B80" s="243"/>
      <c r="C80" s="248"/>
      <c r="D80" s="292"/>
      <c r="E80" s="243"/>
      <c r="F80" s="347"/>
      <c r="G80" s="243"/>
      <c r="H80" s="325"/>
      <c r="I80" s="243"/>
      <c r="J80" s="278"/>
      <c r="K80" s="243"/>
      <c r="L80" s="243"/>
      <c r="M80" s="243"/>
      <c r="N80" s="243"/>
      <c r="O80" s="243"/>
      <c r="P80" s="243"/>
    </row>
    <row r="81" spans="1:16" ht="18">
      <c r="B81" s="243"/>
      <c r="C81" s="535"/>
      <c r="D81" s="292"/>
      <c r="E81" s="243"/>
      <c r="F81" s="347"/>
      <c r="G81" s="243"/>
      <c r="H81" s="325"/>
      <c r="I81" s="243"/>
      <c r="J81" s="278"/>
      <c r="K81" s="243"/>
      <c r="L81" s="243"/>
      <c r="M81" s="243"/>
      <c r="N81" s="243"/>
      <c r="P81" s="536" t="s">
        <v>128</v>
      </c>
    </row>
    <row r="82" spans="1:16">
      <c r="B82" s="243"/>
      <c r="C82" s="248"/>
      <c r="D82" s="292"/>
      <c r="E82" s="243"/>
      <c r="F82" s="347"/>
      <c r="G82" s="243"/>
      <c r="H82" s="325"/>
      <c r="I82" s="243"/>
      <c r="J82" s="278"/>
      <c r="K82" s="243"/>
      <c r="L82" s="243"/>
      <c r="M82" s="243"/>
      <c r="N82" s="243"/>
      <c r="O82" s="243"/>
      <c r="P82" s="243"/>
    </row>
    <row r="83" spans="1:16">
      <c r="B83" s="243"/>
      <c r="C83" s="248"/>
      <c r="D83" s="292"/>
      <c r="E83" s="243"/>
      <c r="F83" s="347"/>
      <c r="G83" s="243"/>
      <c r="H83" s="325"/>
      <c r="I83" s="243"/>
      <c r="J83" s="278"/>
      <c r="K83" s="243"/>
      <c r="L83" s="243"/>
      <c r="M83" s="243"/>
      <c r="N83" s="243"/>
      <c r="O83" s="243"/>
      <c r="P83" s="243"/>
    </row>
    <row r="84" spans="1:16" ht="20.25">
      <c r="A84" s="437" t="s">
        <v>190</v>
      </c>
      <c r="B84" s="243"/>
      <c r="C84" s="248"/>
      <c r="D84" s="292"/>
      <c r="E84" s="243"/>
      <c r="F84" s="339"/>
      <c r="G84" s="339"/>
      <c r="H84" s="243"/>
      <c r="I84" s="325"/>
      <c r="K84" s="220"/>
      <c r="L84" s="438"/>
      <c r="M84" s="438"/>
      <c r="P84" s="438" t="str">
        <f ca="1">P1</f>
        <v>OKT Project 18 of 24</v>
      </c>
    </row>
    <row r="85" spans="1:16" ht="18">
      <c r="B85" s="243"/>
      <c r="C85" s="243"/>
      <c r="D85" s="292"/>
      <c r="E85" s="243"/>
      <c r="F85" s="243"/>
      <c r="G85" s="243"/>
      <c r="H85" s="243"/>
      <c r="I85" s="325"/>
      <c r="J85" s="243"/>
      <c r="K85" s="278"/>
      <c r="L85" s="243"/>
      <c r="M85" s="243"/>
      <c r="P85" s="441" t="s">
        <v>132</v>
      </c>
    </row>
    <row r="86" spans="1:16" ht="18.75" thickBot="1">
      <c r="B86" s="233" t="s">
        <v>42</v>
      </c>
      <c r="C86" s="537" t="s">
        <v>81</v>
      </c>
      <c r="D86" s="292"/>
      <c r="E86" s="243"/>
      <c r="F86" s="243"/>
      <c r="G86" s="243"/>
      <c r="H86" s="243"/>
      <c r="I86" s="325"/>
      <c r="J86" s="325"/>
      <c r="K86" s="294"/>
      <c r="L86" s="325"/>
      <c r="M86" s="325"/>
      <c r="N86" s="325"/>
      <c r="O86" s="294"/>
      <c r="P86" s="243"/>
    </row>
    <row r="87" spans="1:16" ht="15.75" thickBot="1">
      <c r="C87" s="304"/>
      <c r="D87" s="292"/>
      <c r="E87" s="243"/>
      <c r="F87" s="243"/>
      <c r="G87" s="243"/>
      <c r="H87" s="243"/>
      <c r="I87" s="325"/>
      <c r="J87" s="325"/>
      <c r="K87" s="294"/>
      <c r="L87" s="538">
        <f>+J93</f>
        <v>2021</v>
      </c>
      <c r="M87" s="539" t="s">
        <v>9</v>
      </c>
      <c r="N87" s="540" t="s">
        <v>134</v>
      </c>
      <c r="O87" s="541" t="s">
        <v>11</v>
      </c>
      <c r="P87" s="243"/>
    </row>
    <row r="88" spans="1:16" ht="15">
      <c r="C88" s="232" t="s">
        <v>44</v>
      </c>
      <c r="D88" s="292"/>
      <c r="E88" s="243"/>
      <c r="F88" s="243"/>
      <c r="G88" s="243"/>
      <c r="H88" s="444"/>
      <c r="I88" s="243" t="s">
        <v>45</v>
      </c>
      <c r="J88" s="243"/>
      <c r="K88" s="542"/>
      <c r="L88" s="543" t="s">
        <v>253</v>
      </c>
      <c r="M88" s="544">
        <f>IF(J93&lt;D11,0,VLOOKUP(J93,C17:O73,9))</f>
        <v>1183351.4738305765</v>
      </c>
      <c r="N88" s="544">
        <f>IF(J93&lt;D11,0,VLOOKUP(J93,C17:O73,11))</f>
        <v>1183351.4738305765</v>
      </c>
      <c r="O88" s="545">
        <f>+N88-M88</f>
        <v>0</v>
      </c>
      <c r="P88" s="243"/>
    </row>
    <row r="89" spans="1:16" ht="15.75">
      <c r="C89" s="235"/>
      <c r="D89" s="292"/>
      <c r="E89" s="243"/>
      <c r="F89" s="243"/>
      <c r="G89" s="243"/>
      <c r="H89" s="243"/>
      <c r="I89" s="449"/>
      <c r="J89" s="449"/>
      <c r="K89" s="546"/>
      <c r="L89" s="547" t="s">
        <v>254</v>
      </c>
      <c r="M89" s="548">
        <f>IF(J93&lt;D11,0,VLOOKUP(J93,C100:P155,6))</f>
        <v>1304710.5262002475</v>
      </c>
      <c r="N89" s="548">
        <f>IF(J93&lt;D11,0,VLOOKUP(J93,C100:P155,7))</f>
        <v>1304710.5262002475</v>
      </c>
      <c r="O89" s="549">
        <f>+N89-M89</f>
        <v>0</v>
      </c>
      <c r="P89" s="243"/>
    </row>
    <row r="90" spans="1:16" ht="13.5" thickBot="1">
      <c r="C90" s="454" t="s">
        <v>82</v>
      </c>
      <c r="D90" s="550" t="str">
        <f>+D7</f>
        <v>Duncan-Comanche Tap 69 KV Rebuild</v>
      </c>
      <c r="E90" s="243"/>
      <c r="F90" s="243"/>
      <c r="G90" s="243"/>
      <c r="H90" s="243"/>
      <c r="I90" s="325"/>
      <c r="J90" s="325"/>
      <c r="K90" s="551"/>
      <c r="L90" s="552" t="s">
        <v>135</v>
      </c>
      <c r="M90" s="553">
        <f>+M89-M88</f>
        <v>121359.05236967094</v>
      </c>
      <c r="N90" s="553">
        <f>+N89-N88</f>
        <v>121359.05236967094</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2015191</v>
      </c>
      <c r="E92" s="558"/>
      <c r="F92" s="558"/>
      <c r="G92" s="558"/>
      <c r="H92" s="558"/>
      <c r="I92" s="558"/>
      <c r="J92" s="558"/>
      <c r="K92" s="560"/>
      <c r="P92" s="468"/>
    </row>
    <row r="93" spans="1:16">
      <c r="C93" s="472" t="s">
        <v>49</v>
      </c>
      <c r="D93" s="474">
        <v>8934664</v>
      </c>
      <c r="E93" s="248" t="s">
        <v>84</v>
      </c>
      <c r="H93" s="408"/>
      <c r="I93" s="408"/>
      <c r="J93" s="471">
        <f>+'OKT.WS.G.BPU.ATRR.True-up'!M16</f>
        <v>2021</v>
      </c>
      <c r="K93" s="467"/>
      <c r="L93" s="294" t="s">
        <v>85</v>
      </c>
      <c r="P93" s="278"/>
    </row>
    <row r="94" spans="1:16">
      <c r="C94" s="472" t="s">
        <v>52</v>
      </c>
      <c r="D94" s="561">
        <f>IF(D11="","",D11)</f>
        <v>2018</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c r="C95" s="472" t="s">
        <v>54</v>
      </c>
      <c r="D95" s="561">
        <f>IF(D12="","",D12)</f>
        <v>5</v>
      </c>
      <c r="E95" s="472" t="s">
        <v>55</v>
      </c>
      <c r="F95" s="408"/>
      <c r="G95" s="408"/>
      <c r="J95" s="476">
        <f>'OKT.WS.G.BPU.ATRR.True-up'!$F$81</f>
        <v>0.11796201313639214</v>
      </c>
      <c r="K95" s="413"/>
      <c r="L95" s="145" t="s">
        <v>86</v>
      </c>
      <c r="P95" s="278"/>
    </row>
    <row r="96" spans="1:16">
      <c r="C96" s="472" t="s">
        <v>57</v>
      </c>
      <c r="D96" s="474">
        <f>'OKT.WS.G.BPU.ATRR.True-up'!F$93</f>
        <v>25</v>
      </c>
      <c r="E96" s="472" t="s">
        <v>58</v>
      </c>
      <c r="F96" s="408"/>
      <c r="G96" s="408"/>
      <c r="J96" s="476">
        <f>IF(H88="",J95,'OKT.WS.G.BPU.ATRR.True-up'!$F$80)</f>
        <v>0.11796201313639214</v>
      </c>
      <c r="K96" s="291"/>
      <c r="L96" s="294" t="s">
        <v>59</v>
      </c>
      <c r="M96" s="291"/>
      <c r="N96" s="291"/>
      <c r="O96" s="291"/>
      <c r="P96" s="278"/>
    </row>
    <row r="97" spans="1:16" ht="13.5" thickBot="1">
      <c r="C97" s="472" t="s">
        <v>60</v>
      </c>
      <c r="D97" s="562" t="str">
        <f>+D14</f>
        <v>No</v>
      </c>
      <c r="E97" s="563" t="s">
        <v>62</v>
      </c>
      <c r="F97" s="564"/>
      <c r="G97" s="564"/>
      <c r="H97" s="565"/>
      <c r="I97" s="565"/>
      <c r="J97" s="458">
        <f>IF(D93=0,0,D93/D96)</f>
        <v>357386.56</v>
      </c>
      <c r="K97" s="294"/>
      <c r="L97" s="294"/>
      <c r="M97" s="294"/>
      <c r="N97" s="294"/>
      <c r="O97" s="294"/>
      <c r="P97" s="278"/>
    </row>
    <row r="98" spans="1:16"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c r="B100" s="145" t="str">
        <f t="shared" ref="B100:B155" si="15">IF(D100=F99,"","IU")</f>
        <v>IU</v>
      </c>
      <c r="C100" s="495">
        <f>IF(D94= "","-",D94)</f>
        <v>2018</v>
      </c>
      <c r="D100" s="496">
        <v>0</v>
      </c>
      <c r="E100" s="498">
        <v>157935.97979797979</v>
      </c>
      <c r="F100" s="505">
        <v>8776728.0202020202</v>
      </c>
      <c r="G100" s="505">
        <v>4388364.0101010101</v>
      </c>
      <c r="H100" s="498">
        <v>631919.77960959531</v>
      </c>
      <c r="I100" s="499">
        <v>631919.77960959531</v>
      </c>
      <c r="J100" s="504">
        <f t="shared" ref="J100:J131" si="16">+I100-H100</f>
        <v>0</v>
      </c>
      <c r="K100" s="504"/>
      <c r="L100" s="506">
        <f>+H100</f>
        <v>631919.77960959531</v>
      </c>
      <c r="M100" s="504">
        <f t="shared" ref="M100" si="17">IF(L100&lt;&gt;0,+H100-L100,0)</f>
        <v>0</v>
      </c>
      <c r="N100" s="506">
        <f>+I100</f>
        <v>631919.77960959531</v>
      </c>
      <c r="O100" s="586">
        <f t="shared" ref="O100:O101" si="18">IF(N100&lt;&gt;0,+I100-N100,0)</f>
        <v>0</v>
      </c>
      <c r="P100" s="504">
        <f t="shared" ref="P100" si="19">+O100-M100</f>
        <v>0</v>
      </c>
    </row>
    <row r="101" spans="1:16">
      <c r="B101" s="145" t="str">
        <f t="shared" si="15"/>
        <v>IU</v>
      </c>
      <c r="C101" s="495">
        <f>IF(D94="","-",+C100+1)</f>
        <v>2019</v>
      </c>
      <c r="D101" s="496">
        <v>8934664</v>
      </c>
      <c r="E101" s="498">
        <v>248185.11111111112</v>
      </c>
      <c r="F101" s="505">
        <v>8686478.8888888881</v>
      </c>
      <c r="G101" s="505">
        <v>8810571.444444444</v>
      </c>
      <c r="H101" s="498">
        <v>1178250.6107491101</v>
      </c>
      <c r="I101" s="499">
        <v>1178250.6107491101</v>
      </c>
      <c r="J101" s="504">
        <f t="shared" si="16"/>
        <v>0</v>
      </c>
      <c r="K101" s="504"/>
      <c r="L101" s="506">
        <f>H101</f>
        <v>1178250.6107491101</v>
      </c>
      <c r="M101" s="504">
        <f>IF(L101&lt;&gt;0,+H101-L101,0)</f>
        <v>0</v>
      </c>
      <c r="N101" s="506">
        <f>I101</f>
        <v>1178250.6107491101</v>
      </c>
      <c r="O101" s="504">
        <f t="shared" si="18"/>
        <v>0</v>
      </c>
      <c r="P101" s="504">
        <f>+O101-M101</f>
        <v>0</v>
      </c>
    </row>
    <row r="102" spans="1:16">
      <c r="B102" s="145" t="str">
        <f t="shared" si="15"/>
        <v>IU</v>
      </c>
      <c r="C102" s="495">
        <f>IF(D94="","-",+C101+1)</f>
        <v>2020</v>
      </c>
      <c r="D102" s="496">
        <v>8528542.9090909082</v>
      </c>
      <c r="E102" s="498">
        <v>319095.14285714284</v>
      </c>
      <c r="F102" s="505">
        <v>8209447.7662337655</v>
      </c>
      <c r="G102" s="505">
        <v>8368995.3376623373</v>
      </c>
      <c r="H102" s="498">
        <v>1209669.2196039241</v>
      </c>
      <c r="I102" s="499">
        <v>1209669.2196039241</v>
      </c>
      <c r="J102" s="504">
        <f t="shared" si="16"/>
        <v>0</v>
      </c>
      <c r="K102" s="504"/>
      <c r="L102" s="506">
        <f>H102</f>
        <v>1209669.2196039241</v>
      </c>
      <c r="M102" s="504">
        <f>IF(L102&lt;&gt;0,+H102-L102,0)</f>
        <v>0</v>
      </c>
      <c r="N102" s="506">
        <f>I102</f>
        <v>1209669.2196039241</v>
      </c>
      <c r="O102" s="504">
        <f t="shared" ref="O102" si="20">IF(N102&lt;&gt;0,+I102-N102,0)</f>
        <v>0</v>
      </c>
      <c r="P102" s="504">
        <f>+O102-M102</f>
        <v>0</v>
      </c>
    </row>
    <row r="103" spans="1:16">
      <c r="B103" s="145" t="str">
        <f t="shared" si="15"/>
        <v/>
      </c>
      <c r="C103" s="495">
        <f>IF(D94="","-",+C102+1)</f>
        <v>2021</v>
      </c>
      <c r="D103" s="349">
        <f>IF(F102+SUM(E$100:E102)=D$93,F102,D$93-SUM(E$100:E102))</f>
        <v>8209447.7662337655</v>
      </c>
      <c r="E103" s="509">
        <f t="shared" ref="E103:E155" si="21">IF(+J$97&lt;F102,J$97,D103)</f>
        <v>357386.56</v>
      </c>
      <c r="F103" s="510">
        <f t="shared" ref="F103:F155" si="22">+D103-E103</f>
        <v>7852061.2062337659</v>
      </c>
      <c r="G103" s="510">
        <f t="shared" ref="G103:G155" si="23">+(F103+D103)/2</f>
        <v>8030754.4862337653</v>
      </c>
      <c r="H103" s="627">
        <f t="shared" ref="H103:H155" si="24">+J$95*G103+E103</f>
        <v>1304710.5262002475</v>
      </c>
      <c r="I103" s="628">
        <f t="shared" ref="I103:I155" si="25">+J$96*G103+E103</f>
        <v>1304710.5262002475</v>
      </c>
      <c r="J103" s="504">
        <f t="shared" si="16"/>
        <v>0</v>
      </c>
      <c r="K103" s="504"/>
      <c r="L103" s="512"/>
      <c r="M103" s="504">
        <f t="shared" ref="M103:M131" si="26">IF(L103&lt;&gt;0,+H103-L103,0)</f>
        <v>0</v>
      </c>
      <c r="N103" s="512"/>
      <c r="O103" s="504">
        <f t="shared" ref="O103:O131" si="27">IF(N103&lt;&gt;0,+I103-N103,0)</f>
        <v>0</v>
      </c>
      <c r="P103" s="504">
        <f t="shared" ref="P103:P131" si="28">+O103-M103</f>
        <v>0</v>
      </c>
    </row>
    <row r="104" spans="1:16">
      <c r="B104" s="145" t="str">
        <f t="shared" si="15"/>
        <v/>
      </c>
      <c r="C104" s="495">
        <f>IF(D94="","-",+C103+1)</f>
        <v>2022</v>
      </c>
      <c r="D104" s="349">
        <f>IF(F103+SUM(E$100:E103)=D$93,F103,D$93-SUM(E$100:E103))</f>
        <v>7852061.2062337659</v>
      </c>
      <c r="E104" s="509">
        <f t="shared" si="21"/>
        <v>357386.56</v>
      </c>
      <c r="F104" s="510">
        <f t="shared" si="22"/>
        <v>7494674.6462337663</v>
      </c>
      <c r="G104" s="510">
        <f t="shared" si="23"/>
        <v>7673367.9262337666</v>
      </c>
      <c r="H104" s="627">
        <f t="shared" si="24"/>
        <v>1262552.4881147577</v>
      </c>
      <c r="I104" s="628">
        <f t="shared" si="25"/>
        <v>1262552.4881147577</v>
      </c>
      <c r="J104" s="504">
        <f t="shared" si="16"/>
        <v>0</v>
      </c>
      <c r="K104" s="504"/>
      <c r="L104" s="512"/>
      <c r="M104" s="504">
        <f t="shared" si="26"/>
        <v>0</v>
      </c>
      <c r="N104" s="512"/>
      <c r="O104" s="504">
        <f t="shared" si="27"/>
        <v>0</v>
      </c>
      <c r="P104" s="504">
        <f t="shared" si="28"/>
        <v>0</v>
      </c>
    </row>
    <row r="105" spans="1:16">
      <c r="B105" s="145" t="str">
        <f t="shared" si="15"/>
        <v/>
      </c>
      <c r="C105" s="495">
        <f>IF(D94="","-",+C104+1)</f>
        <v>2023</v>
      </c>
      <c r="D105" s="349">
        <f>IF(F104+SUM(E$100:E104)=D$93,F104,D$93-SUM(E$100:E104))</f>
        <v>7494674.6462337663</v>
      </c>
      <c r="E105" s="509">
        <f t="shared" si="21"/>
        <v>357386.56</v>
      </c>
      <c r="F105" s="510">
        <f t="shared" si="22"/>
        <v>7137288.0862337667</v>
      </c>
      <c r="G105" s="510">
        <f t="shared" si="23"/>
        <v>7315981.3662337661</v>
      </c>
      <c r="H105" s="627">
        <f t="shared" si="24"/>
        <v>1220394.4500292677</v>
      </c>
      <c r="I105" s="628">
        <f t="shared" si="25"/>
        <v>1220394.4500292677</v>
      </c>
      <c r="J105" s="504">
        <f t="shared" si="16"/>
        <v>0</v>
      </c>
      <c r="K105" s="504"/>
      <c r="L105" s="512"/>
      <c r="M105" s="504">
        <f t="shared" si="26"/>
        <v>0</v>
      </c>
      <c r="N105" s="512"/>
      <c r="O105" s="504">
        <f t="shared" si="27"/>
        <v>0</v>
      </c>
      <c r="P105" s="504">
        <f t="shared" si="28"/>
        <v>0</v>
      </c>
    </row>
    <row r="106" spans="1:16">
      <c r="B106" s="145" t="str">
        <f t="shared" si="15"/>
        <v/>
      </c>
      <c r="C106" s="495">
        <f>IF(D94="","-",+C105+1)</f>
        <v>2024</v>
      </c>
      <c r="D106" s="349">
        <f>IF(F105+SUM(E$100:E105)=D$93,F105,D$93-SUM(E$100:E105))</f>
        <v>7137288.0862337667</v>
      </c>
      <c r="E106" s="509">
        <f t="shared" si="21"/>
        <v>357386.56</v>
      </c>
      <c r="F106" s="510">
        <f t="shared" si="22"/>
        <v>6779901.5262337672</v>
      </c>
      <c r="G106" s="510">
        <f t="shared" si="23"/>
        <v>6958594.8062337674</v>
      </c>
      <c r="H106" s="627">
        <f t="shared" si="24"/>
        <v>1178236.4119437777</v>
      </c>
      <c r="I106" s="628">
        <f t="shared" si="25"/>
        <v>1178236.4119437777</v>
      </c>
      <c r="J106" s="504">
        <f t="shared" si="16"/>
        <v>0</v>
      </c>
      <c r="K106" s="504"/>
      <c r="L106" s="512"/>
      <c r="M106" s="504">
        <f t="shared" si="26"/>
        <v>0</v>
      </c>
      <c r="N106" s="512"/>
      <c r="O106" s="504">
        <f t="shared" si="27"/>
        <v>0</v>
      </c>
      <c r="P106" s="504">
        <f t="shared" si="28"/>
        <v>0</v>
      </c>
    </row>
    <row r="107" spans="1:16">
      <c r="B107" s="145" t="str">
        <f t="shared" si="15"/>
        <v/>
      </c>
      <c r="C107" s="495">
        <f>IF(D94="","-",+C106+1)</f>
        <v>2025</v>
      </c>
      <c r="D107" s="349">
        <f>IF(F106+SUM(E$100:E106)=D$93,F106,D$93-SUM(E$100:E106))</f>
        <v>6779901.5262337672</v>
      </c>
      <c r="E107" s="509">
        <f t="shared" si="21"/>
        <v>357386.56</v>
      </c>
      <c r="F107" s="510">
        <f t="shared" si="22"/>
        <v>6422514.9662337676</v>
      </c>
      <c r="G107" s="510">
        <f t="shared" si="23"/>
        <v>6601208.2462337669</v>
      </c>
      <c r="H107" s="627">
        <f t="shared" si="24"/>
        <v>1136078.3738582877</v>
      </c>
      <c r="I107" s="628">
        <f t="shared" si="25"/>
        <v>1136078.3738582877</v>
      </c>
      <c r="J107" s="504">
        <f t="shared" si="16"/>
        <v>0</v>
      </c>
      <c r="K107" s="504"/>
      <c r="L107" s="512"/>
      <c r="M107" s="504">
        <f t="shared" si="26"/>
        <v>0</v>
      </c>
      <c r="N107" s="512"/>
      <c r="O107" s="504">
        <f t="shared" si="27"/>
        <v>0</v>
      </c>
      <c r="P107" s="504">
        <f t="shared" si="28"/>
        <v>0</v>
      </c>
    </row>
    <row r="108" spans="1:16">
      <c r="B108" s="145" t="str">
        <f t="shared" si="15"/>
        <v/>
      </c>
      <c r="C108" s="495">
        <f>IF(D94="","-",+C107+1)</f>
        <v>2026</v>
      </c>
      <c r="D108" s="349">
        <f>IF(F107+SUM(E$100:E107)=D$93,F107,D$93-SUM(E$100:E107))</f>
        <v>6422514.9662337676</v>
      </c>
      <c r="E108" s="509">
        <f t="shared" si="21"/>
        <v>357386.56</v>
      </c>
      <c r="F108" s="510">
        <f t="shared" si="22"/>
        <v>6065128.406233768</v>
      </c>
      <c r="G108" s="510">
        <f t="shared" si="23"/>
        <v>6243821.6862337682</v>
      </c>
      <c r="H108" s="627">
        <f t="shared" si="24"/>
        <v>1093920.3357727979</v>
      </c>
      <c r="I108" s="628">
        <f t="shared" si="25"/>
        <v>1093920.3357727979</v>
      </c>
      <c r="J108" s="504">
        <f t="shared" si="16"/>
        <v>0</v>
      </c>
      <c r="K108" s="504"/>
      <c r="L108" s="512"/>
      <c r="M108" s="504">
        <f t="shared" si="26"/>
        <v>0</v>
      </c>
      <c r="N108" s="512"/>
      <c r="O108" s="504">
        <f t="shared" si="27"/>
        <v>0</v>
      </c>
      <c r="P108" s="504">
        <f t="shared" si="28"/>
        <v>0</v>
      </c>
    </row>
    <row r="109" spans="1:16">
      <c r="B109" s="145" t="str">
        <f t="shared" si="15"/>
        <v/>
      </c>
      <c r="C109" s="495">
        <f>IF(D94="","-",+C108+1)</f>
        <v>2027</v>
      </c>
      <c r="D109" s="349">
        <f>IF(F108+SUM(E$100:E108)=D$93,F108,D$93-SUM(E$100:E108))</f>
        <v>6065128.406233768</v>
      </c>
      <c r="E109" s="509">
        <f t="shared" si="21"/>
        <v>357386.56</v>
      </c>
      <c r="F109" s="510">
        <f t="shared" si="22"/>
        <v>5707741.8462337684</v>
      </c>
      <c r="G109" s="510">
        <f t="shared" si="23"/>
        <v>5886435.1262337677</v>
      </c>
      <c r="H109" s="627">
        <f t="shared" si="24"/>
        <v>1051762.2976873079</v>
      </c>
      <c r="I109" s="628">
        <f t="shared" si="25"/>
        <v>1051762.2976873079</v>
      </c>
      <c r="J109" s="504">
        <f t="shared" si="16"/>
        <v>0</v>
      </c>
      <c r="K109" s="504"/>
      <c r="L109" s="512"/>
      <c r="M109" s="504">
        <f t="shared" si="26"/>
        <v>0</v>
      </c>
      <c r="N109" s="512"/>
      <c r="O109" s="504">
        <f t="shared" si="27"/>
        <v>0</v>
      </c>
      <c r="P109" s="504">
        <f t="shared" si="28"/>
        <v>0</v>
      </c>
    </row>
    <row r="110" spans="1:16">
      <c r="B110" s="145" t="str">
        <f t="shared" si="15"/>
        <v/>
      </c>
      <c r="C110" s="495">
        <f>IF(D94="","-",+C109+1)</f>
        <v>2028</v>
      </c>
      <c r="D110" s="349">
        <f>IF(F109+SUM(E$100:E109)=D$93,F109,D$93-SUM(E$100:E109))</f>
        <v>5707741.8462337684</v>
      </c>
      <c r="E110" s="509">
        <f t="shared" si="21"/>
        <v>357386.56</v>
      </c>
      <c r="F110" s="510">
        <f t="shared" si="22"/>
        <v>5350355.2862337688</v>
      </c>
      <c r="G110" s="510">
        <f t="shared" si="23"/>
        <v>5529048.5662337691</v>
      </c>
      <c r="H110" s="627">
        <f t="shared" si="24"/>
        <v>1009604.2596018179</v>
      </c>
      <c r="I110" s="628">
        <f t="shared" si="25"/>
        <v>1009604.2596018179</v>
      </c>
      <c r="J110" s="504">
        <f t="shared" si="16"/>
        <v>0</v>
      </c>
      <c r="K110" s="504"/>
      <c r="L110" s="512"/>
      <c r="M110" s="504">
        <f t="shared" si="26"/>
        <v>0</v>
      </c>
      <c r="N110" s="512"/>
      <c r="O110" s="504">
        <f t="shared" si="27"/>
        <v>0</v>
      </c>
      <c r="P110" s="504">
        <f t="shared" si="28"/>
        <v>0</v>
      </c>
    </row>
    <row r="111" spans="1:16">
      <c r="B111" s="145" t="str">
        <f t="shared" si="15"/>
        <v/>
      </c>
      <c r="C111" s="495">
        <f>IF(D94="","-",+C110+1)</f>
        <v>2029</v>
      </c>
      <c r="D111" s="349">
        <f>IF(F110+SUM(E$100:E110)=D$93,F110,D$93-SUM(E$100:E110))</f>
        <v>5350355.2862337688</v>
      </c>
      <c r="E111" s="509">
        <f t="shared" si="21"/>
        <v>357386.56</v>
      </c>
      <c r="F111" s="510">
        <f t="shared" si="22"/>
        <v>4992968.7262337692</v>
      </c>
      <c r="G111" s="510">
        <f t="shared" si="23"/>
        <v>5171662.0062337685</v>
      </c>
      <c r="H111" s="627">
        <f t="shared" si="24"/>
        <v>967446.22151632793</v>
      </c>
      <c r="I111" s="628">
        <f t="shared" si="25"/>
        <v>967446.22151632793</v>
      </c>
      <c r="J111" s="504">
        <f t="shared" si="16"/>
        <v>0</v>
      </c>
      <c r="K111" s="504"/>
      <c r="L111" s="512"/>
      <c r="M111" s="504">
        <f t="shared" si="26"/>
        <v>0</v>
      </c>
      <c r="N111" s="512"/>
      <c r="O111" s="504">
        <f t="shared" si="27"/>
        <v>0</v>
      </c>
      <c r="P111" s="504">
        <f t="shared" si="28"/>
        <v>0</v>
      </c>
    </row>
    <row r="112" spans="1:16">
      <c r="B112" s="145" t="str">
        <f t="shared" si="15"/>
        <v/>
      </c>
      <c r="C112" s="495">
        <f>IF(D94="","-",+C111+1)</f>
        <v>2030</v>
      </c>
      <c r="D112" s="349">
        <f>IF(F111+SUM(E$100:E111)=D$93,F111,D$93-SUM(E$100:E111))</f>
        <v>4992968.7262337692</v>
      </c>
      <c r="E112" s="509">
        <f t="shared" si="21"/>
        <v>357386.56</v>
      </c>
      <c r="F112" s="510">
        <f t="shared" si="22"/>
        <v>4635582.1662337696</v>
      </c>
      <c r="G112" s="510">
        <f t="shared" si="23"/>
        <v>4814275.4462337699</v>
      </c>
      <c r="H112" s="627">
        <f t="shared" si="24"/>
        <v>925288.18343083817</v>
      </c>
      <c r="I112" s="628">
        <f t="shared" si="25"/>
        <v>925288.18343083817</v>
      </c>
      <c r="J112" s="504">
        <f t="shared" si="16"/>
        <v>0</v>
      </c>
      <c r="K112" s="504"/>
      <c r="L112" s="512"/>
      <c r="M112" s="504">
        <f t="shared" si="26"/>
        <v>0</v>
      </c>
      <c r="N112" s="512"/>
      <c r="O112" s="504">
        <f t="shared" si="27"/>
        <v>0</v>
      </c>
      <c r="P112" s="504">
        <f t="shared" si="28"/>
        <v>0</v>
      </c>
    </row>
    <row r="113" spans="2:16">
      <c r="B113" s="145" t="str">
        <f t="shared" si="15"/>
        <v/>
      </c>
      <c r="C113" s="495">
        <f>IF(D94="","-",+C112+1)</f>
        <v>2031</v>
      </c>
      <c r="D113" s="349">
        <f>IF(F112+SUM(E$100:E112)=D$93,F112,D$93-SUM(E$100:E112))</f>
        <v>4635582.1662337696</v>
      </c>
      <c r="E113" s="509">
        <f t="shared" si="21"/>
        <v>357386.56</v>
      </c>
      <c r="F113" s="510">
        <f t="shared" si="22"/>
        <v>4278195.60623377</v>
      </c>
      <c r="G113" s="510">
        <f t="shared" si="23"/>
        <v>4456888.8862337694</v>
      </c>
      <c r="H113" s="627">
        <f t="shared" si="24"/>
        <v>883130.14534534793</v>
      </c>
      <c r="I113" s="628">
        <f t="shared" si="25"/>
        <v>883130.14534534793</v>
      </c>
      <c r="J113" s="504">
        <f t="shared" si="16"/>
        <v>0</v>
      </c>
      <c r="K113" s="504"/>
      <c r="L113" s="512"/>
      <c r="M113" s="504">
        <f t="shared" si="26"/>
        <v>0</v>
      </c>
      <c r="N113" s="512"/>
      <c r="O113" s="504">
        <f t="shared" si="27"/>
        <v>0</v>
      </c>
      <c r="P113" s="504">
        <f t="shared" si="28"/>
        <v>0</v>
      </c>
    </row>
    <row r="114" spans="2:16">
      <c r="B114" s="145" t="str">
        <f t="shared" si="15"/>
        <v/>
      </c>
      <c r="C114" s="495">
        <f>IF(D94="","-",+C113+1)</f>
        <v>2032</v>
      </c>
      <c r="D114" s="349">
        <f>IF(F113+SUM(E$100:E113)=D$93,F113,D$93-SUM(E$100:E113))</f>
        <v>4278195.60623377</v>
      </c>
      <c r="E114" s="509">
        <f t="shared" si="21"/>
        <v>357386.56</v>
      </c>
      <c r="F114" s="510">
        <f t="shared" si="22"/>
        <v>3920809.04623377</v>
      </c>
      <c r="G114" s="510">
        <f t="shared" si="23"/>
        <v>4099502.3262337698</v>
      </c>
      <c r="H114" s="627">
        <f t="shared" si="24"/>
        <v>840972.10725985805</v>
      </c>
      <c r="I114" s="628">
        <f t="shared" si="25"/>
        <v>840972.10725985805</v>
      </c>
      <c r="J114" s="504">
        <f t="shared" si="16"/>
        <v>0</v>
      </c>
      <c r="K114" s="504"/>
      <c r="L114" s="512"/>
      <c r="M114" s="504">
        <f t="shared" si="26"/>
        <v>0</v>
      </c>
      <c r="N114" s="512"/>
      <c r="O114" s="504">
        <f t="shared" si="27"/>
        <v>0</v>
      </c>
      <c r="P114" s="504">
        <f t="shared" si="28"/>
        <v>0</v>
      </c>
    </row>
    <row r="115" spans="2:16">
      <c r="B115" s="145" t="str">
        <f t="shared" si="15"/>
        <v/>
      </c>
      <c r="C115" s="495">
        <f>IF(D94="","-",+C114+1)</f>
        <v>2033</v>
      </c>
      <c r="D115" s="349">
        <f>IF(F114+SUM(E$100:E114)=D$93,F114,D$93-SUM(E$100:E114))</f>
        <v>3920809.04623377</v>
      </c>
      <c r="E115" s="509">
        <f t="shared" si="21"/>
        <v>357386.56</v>
      </c>
      <c r="F115" s="510">
        <f t="shared" si="22"/>
        <v>3563422.4862337699</v>
      </c>
      <c r="G115" s="510">
        <f t="shared" si="23"/>
        <v>3742115.7662337702</v>
      </c>
      <c r="H115" s="627">
        <f t="shared" si="24"/>
        <v>798814.06917436817</v>
      </c>
      <c r="I115" s="628">
        <f t="shared" si="25"/>
        <v>798814.06917436817</v>
      </c>
      <c r="J115" s="504">
        <f t="shared" si="16"/>
        <v>0</v>
      </c>
      <c r="K115" s="504"/>
      <c r="L115" s="512"/>
      <c r="M115" s="504">
        <f t="shared" si="26"/>
        <v>0</v>
      </c>
      <c r="N115" s="512"/>
      <c r="O115" s="504">
        <f t="shared" si="27"/>
        <v>0</v>
      </c>
      <c r="P115" s="504">
        <f t="shared" si="28"/>
        <v>0</v>
      </c>
    </row>
    <row r="116" spans="2:16">
      <c r="B116" s="145" t="str">
        <f t="shared" si="15"/>
        <v/>
      </c>
      <c r="C116" s="495">
        <f>IF(D94="","-",+C115+1)</f>
        <v>2034</v>
      </c>
      <c r="D116" s="349">
        <f>IF(F115+SUM(E$100:E115)=D$93,F115,D$93-SUM(E$100:E115))</f>
        <v>3563422.4862337699</v>
      </c>
      <c r="E116" s="509">
        <f t="shared" si="21"/>
        <v>357386.56</v>
      </c>
      <c r="F116" s="510">
        <f t="shared" si="22"/>
        <v>3206035.9262337699</v>
      </c>
      <c r="G116" s="510">
        <f t="shared" si="23"/>
        <v>3384729.2062337697</v>
      </c>
      <c r="H116" s="627">
        <f t="shared" si="24"/>
        <v>756656.03108887805</v>
      </c>
      <c r="I116" s="628">
        <f t="shared" si="25"/>
        <v>756656.03108887805</v>
      </c>
      <c r="J116" s="504">
        <f t="shared" si="16"/>
        <v>0</v>
      </c>
      <c r="K116" s="504"/>
      <c r="L116" s="512"/>
      <c r="M116" s="504">
        <f t="shared" si="26"/>
        <v>0</v>
      </c>
      <c r="N116" s="512"/>
      <c r="O116" s="504">
        <f t="shared" si="27"/>
        <v>0</v>
      </c>
      <c r="P116" s="504">
        <f t="shared" si="28"/>
        <v>0</v>
      </c>
    </row>
    <row r="117" spans="2:16">
      <c r="B117" s="145" t="str">
        <f t="shared" si="15"/>
        <v/>
      </c>
      <c r="C117" s="495">
        <f>IF(D94="","-",+C116+1)</f>
        <v>2035</v>
      </c>
      <c r="D117" s="349">
        <f>IF(F116+SUM(E$100:E116)=D$93,F116,D$93-SUM(E$100:E116))</f>
        <v>3206035.9262337699</v>
      </c>
      <c r="E117" s="509">
        <f t="shared" si="21"/>
        <v>357386.56</v>
      </c>
      <c r="F117" s="510">
        <f t="shared" si="22"/>
        <v>2848649.3662337698</v>
      </c>
      <c r="G117" s="510">
        <f t="shared" si="23"/>
        <v>3027342.6462337701</v>
      </c>
      <c r="H117" s="627">
        <f t="shared" si="24"/>
        <v>714497.99300338817</v>
      </c>
      <c r="I117" s="628">
        <f t="shared" si="25"/>
        <v>714497.99300338817</v>
      </c>
      <c r="J117" s="504">
        <f t="shared" si="16"/>
        <v>0</v>
      </c>
      <c r="K117" s="504"/>
      <c r="L117" s="512"/>
      <c r="M117" s="504">
        <f t="shared" si="26"/>
        <v>0</v>
      </c>
      <c r="N117" s="512"/>
      <c r="O117" s="504">
        <f t="shared" si="27"/>
        <v>0</v>
      </c>
      <c r="P117" s="504">
        <f t="shared" si="28"/>
        <v>0</v>
      </c>
    </row>
    <row r="118" spans="2:16">
      <c r="B118" s="145" t="str">
        <f t="shared" si="15"/>
        <v/>
      </c>
      <c r="C118" s="495">
        <f>IF(D94="","-",+C117+1)</f>
        <v>2036</v>
      </c>
      <c r="D118" s="349">
        <f>IF(F117+SUM(E$100:E117)=D$93,F117,D$93-SUM(E$100:E117))</f>
        <v>2848649.3662337698</v>
      </c>
      <c r="E118" s="509">
        <f t="shared" si="21"/>
        <v>357386.56</v>
      </c>
      <c r="F118" s="510">
        <f t="shared" si="22"/>
        <v>2491262.8062337697</v>
      </c>
      <c r="G118" s="510">
        <f t="shared" si="23"/>
        <v>2669956.0862337695</v>
      </c>
      <c r="H118" s="627">
        <f t="shared" si="24"/>
        <v>672339.95491789805</v>
      </c>
      <c r="I118" s="628">
        <f t="shared" si="25"/>
        <v>672339.95491789805</v>
      </c>
      <c r="J118" s="504">
        <f t="shared" si="16"/>
        <v>0</v>
      </c>
      <c r="K118" s="504"/>
      <c r="L118" s="512"/>
      <c r="M118" s="504">
        <f t="shared" si="26"/>
        <v>0</v>
      </c>
      <c r="N118" s="512"/>
      <c r="O118" s="504">
        <f t="shared" si="27"/>
        <v>0</v>
      </c>
      <c r="P118" s="504">
        <f t="shared" si="28"/>
        <v>0</v>
      </c>
    </row>
    <row r="119" spans="2:16">
      <c r="B119" s="145" t="str">
        <f t="shared" si="15"/>
        <v/>
      </c>
      <c r="C119" s="495">
        <f>IF(D94="","-",+C118+1)</f>
        <v>2037</v>
      </c>
      <c r="D119" s="349">
        <f>IF(F118+SUM(E$100:E118)=D$93,F118,D$93-SUM(E$100:E118))</f>
        <v>2491262.8062337697</v>
      </c>
      <c r="E119" s="509">
        <f t="shared" si="21"/>
        <v>357386.56</v>
      </c>
      <c r="F119" s="510">
        <f t="shared" si="22"/>
        <v>2133876.2462337697</v>
      </c>
      <c r="G119" s="510">
        <f t="shared" si="23"/>
        <v>2312569.52623377</v>
      </c>
      <c r="H119" s="627">
        <f t="shared" si="24"/>
        <v>630181.91683240817</v>
      </c>
      <c r="I119" s="628">
        <f t="shared" si="25"/>
        <v>630181.91683240817</v>
      </c>
      <c r="J119" s="504">
        <f t="shared" si="16"/>
        <v>0</v>
      </c>
      <c r="K119" s="504"/>
      <c r="L119" s="512"/>
      <c r="M119" s="504">
        <f t="shared" si="26"/>
        <v>0</v>
      </c>
      <c r="N119" s="512"/>
      <c r="O119" s="504">
        <f t="shared" si="27"/>
        <v>0</v>
      </c>
      <c r="P119" s="504">
        <f t="shared" si="28"/>
        <v>0</v>
      </c>
    </row>
    <row r="120" spans="2:16">
      <c r="B120" s="145" t="str">
        <f t="shared" si="15"/>
        <v/>
      </c>
      <c r="C120" s="495">
        <f>IF(D94="","-",+C119+1)</f>
        <v>2038</v>
      </c>
      <c r="D120" s="349">
        <f>IF(F119+SUM(E$100:E119)=D$93,F119,D$93-SUM(E$100:E119))</f>
        <v>2133876.2462337697</v>
      </c>
      <c r="E120" s="509">
        <f t="shared" si="21"/>
        <v>357386.56</v>
      </c>
      <c r="F120" s="510">
        <f t="shared" si="22"/>
        <v>1776489.6862337696</v>
      </c>
      <c r="G120" s="510">
        <f t="shared" si="23"/>
        <v>1955182.9662337697</v>
      </c>
      <c r="H120" s="627">
        <f t="shared" si="24"/>
        <v>588023.87874691805</v>
      </c>
      <c r="I120" s="628">
        <f t="shared" si="25"/>
        <v>588023.87874691805</v>
      </c>
      <c r="J120" s="504">
        <f t="shared" si="16"/>
        <v>0</v>
      </c>
      <c r="K120" s="504"/>
      <c r="L120" s="512"/>
      <c r="M120" s="504">
        <f t="shared" si="26"/>
        <v>0</v>
      </c>
      <c r="N120" s="512"/>
      <c r="O120" s="504">
        <f t="shared" si="27"/>
        <v>0</v>
      </c>
      <c r="P120" s="504">
        <f t="shared" si="28"/>
        <v>0</v>
      </c>
    </row>
    <row r="121" spans="2:16">
      <c r="B121" s="145" t="str">
        <f t="shared" si="15"/>
        <v/>
      </c>
      <c r="C121" s="495">
        <f>IF(D94="","-",+C120+1)</f>
        <v>2039</v>
      </c>
      <c r="D121" s="349">
        <f>IF(F120+SUM(E$100:E120)=D$93,F120,D$93-SUM(E$100:E120))</f>
        <v>1776489.6862337696</v>
      </c>
      <c r="E121" s="509">
        <f t="shared" si="21"/>
        <v>357386.56</v>
      </c>
      <c r="F121" s="510">
        <f t="shared" si="22"/>
        <v>1419103.1262337696</v>
      </c>
      <c r="G121" s="510">
        <f t="shared" si="23"/>
        <v>1597796.4062337696</v>
      </c>
      <c r="H121" s="627">
        <f t="shared" si="24"/>
        <v>545865.84066142805</v>
      </c>
      <c r="I121" s="628">
        <f t="shared" si="25"/>
        <v>545865.84066142805</v>
      </c>
      <c r="J121" s="504">
        <f t="shared" si="16"/>
        <v>0</v>
      </c>
      <c r="K121" s="504"/>
      <c r="L121" s="512"/>
      <c r="M121" s="504">
        <f t="shared" si="26"/>
        <v>0</v>
      </c>
      <c r="N121" s="512"/>
      <c r="O121" s="504">
        <f t="shared" si="27"/>
        <v>0</v>
      </c>
      <c r="P121" s="504">
        <f t="shared" si="28"/>
        <v>0</v>
      </c>
    </row>
    <row r="122" spans="2:16">
      <c r="B122" s="145" t="str">
        <f t="shared" si="15"/>
        <v/>
      </c>
      <c r="C122" s="495">
        <f>IF(D94="","-",+C121+1)</f>
        <v>2040</v>
      </c>
      <c r="D122" s="349">
        <f>IF(F121+SUM(E$100:E121)=D$93,F121,D$93-SUM(E$100:E121))</f>
        <v>1419103.1262337696</v>
      </c>
      <c r="E122" s="509">
        <f t="shared" si="21"/>
        <v>357386.56</v>
      </c>
      <c r="F122" s="510">
        <f t="shared" si="22"/>
        <v>1061716.5662337695</v>
      </c>
      <c r="G122" s="510">
        <f t="shared" si="23"/>
        <v>1240409.8462337696</v>
      </c>
      <c r="H122" s="627">
        <f t="shared" si="24"/>
        <v>503707.80257593805</v>
      </c>
      <c r="I122" s="628">
        <f t="shared" si="25"/>
        <v>503707.80257593805</v>
      </c>
      <c r="J122" s="504">
        <f t="shared" si="16"/>
        <v>0</v>
      </c>
      <c r="K122" s="504"/>
      <c r="L122" s="512"/>
      <c r="M122" s="504">
        <f t="shared" si="26"/>
        <v>0</v>
      </c>
      <c r="N122" s="512"/>
      <c r="O122" s="504">
        <f t="shared" si="27"/>
        <v>0</v>
      </c>
      <c r="P122" s="504">
        <f t="shared" si="28"/>
        <v>0</v>
      </c>
    </row>
    <row r="123" spans="2:16">
      <c r="B123" s="145" t="str">
        <f t="shared" si="15"/>
        <v/>
      </c>
      <c r="C123" s="495">
        <f>IF(D94="","-",+C122+1)</f>
        <v>2041</v>
      </c>
      <c r="D123" s="349">
        <f>IF(F122+SUM(E$100:E122)=D$93,F122,D$93-SUM(E$100:E122))</f>
        <v>1061716.5662337695</v>
      </c>
      <c r="E123" s="509">
        <f t="shared" si="21"/>
        <v>357386.56</v>
      </c>
      <c r="F123" s="510">
        <f t="shared" si="22"/>
        <v>704330.00623376947</v>
      </c>
      <c r="G123" s="510">
        <f t="shared" si="23"/>
        <v>883023.2862337695</v>
      </c>
      <c r="H123" s="627">
        <f t="shared" si="24"/>
        <v>461549.76449044805</v>
      </c>
      <c r="I123" s="628">
        <f t="shared" si="25"/>
        <v>461549.76449044805</v>
      </c>
      <c r="J123" s="504">
        <f t="shared" si="16"/>
        <v>0</v>
      </c>
      <c r="K123" s="504"/>
      <c r="L123" s="512"/>
      <c r="M123" s="504">
        <f t="shared" si="26"/>
        <v>0</v>
      </c>
      <c r="N123" s="512"/>
      <c r="O123" s="504">
        <f t="shared" si="27"/>
        <v>0</v>
      </c>
      <c r="P123" s="504">
        <f t="shared" si="28"/>
        <v>0</v>
      </c>
    </row>
    <row r="124" spans="2:16">
      <c r="B124" s="145" t="str">
        <f t="shared" si="15"/>
        <v/>
      </c>
      <c r="C124" s="495">
        <f>IF(D94="","-",+C123+1)</f>
        <v>2042</v>
      </c>
      <c r="D124" s="349">
        <f>IF(F123+SUM(E$100:E123)=D$93,F123,D$93-SUM(E$100:E123))</f>
        <v>704330.00623376947</v>
      </c>
      <c r="E124" s="509">
        <f t="shared" si="21"/>
        <v>357386.56</v>
      </c>
      <c r="F124" s="510">
        <f t="shared" si="22"/>
        <v>346943.44623376947</v>
      </c>
      <c r="G124" s="510">
        <f t="shared" si="23"/>
        <v>525636.72623376944</v>
      </c>
      <c r="H124" s="627">
        <f t="shared" si="24"/>
        <v>419391.72640495806</v>
      </c>
      <c r="I124" s="628">
        <f t="shared" si="25"/>
        <v>419391.72640495806</v>
      </c>
      <c r="J124" s="504">
        <f t="shared" si="16"/>
        <v>0</v>
      </c>
      <c r="K124" s="504"/>
      <c r="L124" s="512"/>
      <c r="M124" s="504">
        <f t="shared" si="26"/>
        <v>0</v>
      </c>
      <c r="N124" s="512"/>
      <c r="O124" s="504">
        <f t="shared" si="27"/>
        <v>0</v>
      </c>
      <c r="P124" s="504">
        <f t="shared" si="28"/>
        <v>0</v>
      </c>
    </row>
    <row r="125" spans="2:16">
      <c r="B125" s="145" t="str">
        <f t="shared" si="15"/>
        <v/>
      </c>
      <c r="C125" s="495">
        <f>IF(D94="","-",+C124+1)</f>
        <v>2043</v>
      </c>
      <c r="D125" s="349">
        <f>IF(F124+SUM(E$100:E124)=D$93,F124,D$93-SUM(E$100:E124))</f>
        <v>346943.44623376947</v>
      </c>
      <c r="E125" s="509">
        <f t="shared" si="21"/>
        <v>346943.44623376947</v>
      </c>
      <c r="F125" s="510">
        <f t="shared" si="22"/>
        <v>0</v>
      </c>
      <c r="G125" s="510">
        <f t="shared" si="23"/>
        <v>173471.72311688474</v>
      </c>
      <c r="H125" s="627">
        <f t="shared" si="24"/>
        <v>367406.51991487603</v>
      </c>
      <c r="I125" s="628">
        <f t="shared" si="25"/>
        <v>367406.51991487603</v>
      </c>
      <c r="J125" s="504">
        <f t="shared" si="16"/>
        <v>0</v>
      </c>
      <c r="K125" s="504"/>
      <c r="L125" s="512"/>
      <c r="M125" s="504">
        <f t="shared" si="26"/>
        <v>0</v>
      </c>
      <c r="N125" s="512"/>
      <c r="O125" s="504">
        <f t="shared" si="27"/>
        <v>0</v>
      </c>
      <c r="P125" s="504">
        <f t="shared" si="28"/>
        <v>0</v>
      </c>
    </row>
    <row r="126" spans="2:16">
      <c r="B126" s="145" t="str">
        <f t="shared" si="15"/>
        <v/>
      </c>
      <c r="C126" s="495">
        <f>IF(D94="","-",+C125+1)</f>
        <v>2044</v>
      </c>
      <c r="D126" s="349">
        <f>IF(F125+SUM(E$100:E125)=D$93,F125,D$93-SUM(E$100:E125))</f>
        <v>0</v>
      </c>
      <c r="E126" s="509">
        <f t="shared" si="21"/>
        <v>0</v>
      </c>
      <c r="F126" s="510">
        <f t="shared" si="22"/>
        <v>0</v>
      </c>
      <c r="G126" s="510">
        <f t="shared" si="23"/>
        <v>0</v>
      </c>
      <c r="H126" s="627">
        <f t="shared" si="24"/>
        <v>0</v>
      </c>
      <c r="I126" s="628">
        <f t="shared" si="25"/>
        <v>0</v>
      </c>
      <c r="J126" s="504">
        <f t="shared" si="16"/>
        <v>0</v>
      </c>
      <c r="K126" s="504"/>
      <c r="L126" s="512"/>
      <c r="M126" s="504">
        <f t="shared" si="26"/>
        <v>0</v>
      </c>
      <c r="N126" s="512"/>
      <c r="O126" s="504">
        <f t="shared" si="27"/>
        <v>0</v>
      </c>
      <c r="P126" s="504">
        <f t="shared" si="28"/>
        <v>0</v>
      </c>
    </row>
    <row r="127" spans="2:16">
      <c r="B127" s="145" t="str">
        <f t="shared" si="15"/>
        <v/>
      </c>
      <c r="C127" s="495">
        <f>IF(D94="","-",+C126+1)</f>
        <v>2045</v>
      </c>
      <c r="D127" s="349">
        <f>IF(F126+SUM(E$100:E126)=D$93,F126,D$93-SUM(E$100:E126))</f>
        <v>0</v>
      </c>
      <c r="E127" s="509">
        <f t="shared" si="21"/>
        <v>0</v>
      </c>
      <c r="F127" s="510">
        <f t="shared" si="22"/>
        <v>0</v>
      </c>
      <c r="G127" s="510">
        <f t="shared" si="23"/>
        <v>0</v>
      </c>
      <c r="H127" s="627">
        <f t="shared" si="24"/>
        <v>0</v>
      </c>
      <c r="I127" s="628">
        <f t="shared" si="25"/>
        <v>0</v>
      </c>
      <c r="J127" s="504">
        <f t="shared" si="16"/>
        <v>0</v>
      </c>
      <c r="K127" s="504"/>
      <c r="L127" s="512"/>
      <c r="M127" s="504">
        <f t="shared" si="26"/>
        <v>0</v>
      </c>
      <c r="N127" s="512"/>
      <c r="O127" s="504">
        <f t="shared" si="27"/>
        <v>0</v>
      </c>
      <c r="P127" s="504">
        <f t="shared" si="28"/>
        <v>0</v>
      </c>
    </row>
    <row r="128" spans="2:16">
      <c r="B128" s="145" t="str">
        <f t="shared" si="15"/>
        <v/>
      </c>
      <c r="C128" s="495">
        <f>IF(D94="","-",+C127+1)</f>
        <v>2046</v>
      </c>
      <c r="D128" s="349">
        <f>IF(F127+SUM(E$100:E127)=D$93,F127,D$93-SUM(E$100:E127))</f>
        <v>0</v>
      </c>
      <c r="E128" s="509">
        <f t="shared" si="21"/>
        <v>0</v>
      </c>
      <c r="F128" s="510">
        <f t="shared" si="22"/>
        <v>0</v>
      </c>
      <c r="G128" s="510">
        <f t="shared" si="23"/>
        <v>0</v>
      </c>
      <c r="H128" s="627">
        <f t="shared" si="24"/>
        <v>0</v>
      </c>
      <c r="I128" s="628">
        <f t="shared" si="25"/>
        <v>0</v>
      </c>
      <c r="J128" s="504">
        <f t="shared" si="16"/>
        <v>0</v>
      </c>
      <c r="K128" s="504"/>
      <c r="L128" s="512"/>
      <c r="M128" s="504">
        <f t="shared" si="26"/>
        <v>0</v>
      </c>
      <c r="N128" s="512"/>
      <c r="O128" s="504">
        <f t="shared" si="27"/>
        <v>0</v>
      </c>
      <c r="P128" s="504">
        <f t="shared" si="28"/>
        <v>0</v>
      </c>
    </row>
    <row r="129" spans="2:16">
      <c r="B129" s="145" t="str">
        <f t="shared" si="15"/>
        <v/>
      </c>
      <c r="C129" s="495">
        <f>IF(D94="","-",+C128+1)</f>
        <v>2047</v>
      </c>
      <c r="D129" s="349">
        <f>IF(F128+SUM(E$100:E128)=D$93,F128,D$93-SUM(E$100:E128))</f>
        <v>0</v>
      </c>
      <c r="E129" s="509">
        <f t="shared" si="21"/>
        <v>0</v>
      </c>
      <c r="F129" s="510">
        <f t="shared" si="22"/>
        <v>0</v>
      </c>
      <c r="G129" s="510">
        <f t="shared" si="23"/>
        <v>0</v>
      </c>
      <c r="H129" s="627">
        <f t="shared" si="24"/>
        <v>0</v>
      </c>
      <c r="I129" s="628">
        <f t="shared" si="25"/>
        <v>0</v>
      </c>
      <c r="J129" s="504">
        <f t="shared" si="16"/>
        <v>0</v>
      </c>
      <c r="K129" s="504"/>
      <c r="L129" s="512"/>
      <c r="M129" s="504">
        <f t="shared" si="26"/>
        <v>0</v>
      </c>
      <c r="N129" s="512"/>
      <c r="O129" s="504">
        <f t="shared" si="27"/>
        <v>0</v>
      </c>
      <c r="P129" s="504">
        <f t="shared" si="28"/>
        <v>0</v>
      </c>
    </row>
    <row r="130" spans="2:16">
      <c r="B130" s="145" t="str">
        <f t="shared" si="15"/>
        <v/>
      </c>
      <c r="C130" s="495">
        <f>IF(D94="","-",+C129+1)</f>
        <v>2048</v>
      </c>
      <c r="D130" s="349">
        <f>IF(F129+SUM(E$100:E129)=D$93,F129,D$93-SUM(E$100:E129))</f>
        <v>0</v>
      </c>
      <c r="E130" s="509">
        <f t="shared" si="21"/>
        <v>0</v>
      </c>
      <c r="F130" s="510">
        <f t="shared" si="22"/>
        <v>0</v>
      </c>
      <c r="G130" s="510">
        <f t="shared" si="23"/>
        <v>0</v>
      </c>
      <c r="H130" s="627">
        <f t="shared" si="24"/>
        <v>0</v>
      </c>
      <c r="I130" s="628">
        <f t="shared" si="25"/>
        <v>0</v>
      </c>
      <c r="J130" s="504">
        <f t="shared" si="16"/>
        <v>0</v>
      </c>
      <c r="K130" s="504"/>
      <c r="L130" s="512"/>
      <c r="M130" s="504">
        <f t="shared" si="26"/>
        <v>0</v>
      </c>
      <c r="N130" s="512"/>
      <c r="O130" s="504">
        <f t="shared" si="27"/>
        <v>0</v>
      </c>
      <c r="P130" s="504">
        <f t="shared" si="28"/>
        <v>0</v>
      </c>
    </row>
    <row r="131" spans="2:16">
      <c r="B131" s="145" t="str">
        <f t="shared" si="15"/>
        <v/>
      </c>
      <c r="C131" s="495">
        <f>IF(D94="","-",+C130+1)</f>
        <v>2049</v>
      </c>
      <c r="D131" s="349">
        <f>IF(F130+SUM(E$100:E130)=D$93,F130,D$93-SUM(E$100:E130))</f>
        <v>0</v>
      </c>
      <c r="E131" s="509">
        <f t="shared" si="21"/>
        <v>0</v>
      </c>
      <c r="F131" s="510">
        <f t="shared" si="22"/>
        <v>0</v>
      </c>
      <c r="G131" s="510">
        <f t="shared" si="23"/>
        <v>0</v>
      </c>
      <c r="H131" s="627">
        <f t="shared" si="24"/>
        <v>0</v>
      </c>
      <c r="I131" s="628">
        <f t="shared" si="25"/>
        <v>0</v>
      </c>
      <c r="J131" s="504">
        <f t="shared" si="16"/>
        <v>0</v>
      </c>
      <c r="K131" s="504"/>
      <c r="L131" s="512"/>
      <c r="M131" s="504">
        <f t="shared" si="26"/>
        <v>0</v>
      </c>
      <c r="N131" s="512"/>
      <c r="O131" s="504">
        <f t="shared" si="27"/>
        <v>0</v>
      </c>
      <c r="P131" s="504">
        <f t="shared" si="28"/>
        <v>0</v>
      </c>
    </row>
    <row r="132" spans="2:16">
      <c r="B132" s="145" t="str">
        <f t="shared" si="15"/>
        <v/>
      </c>
      <c r="C132" s="495">
        <f>IF(D94="","-",+C131+1)</f>
        <v>2050</v>
      </c>
      <c r="D132" s="349">
        <f>IF(F131+SUM(E$100:E131)=D$93,F131,D$93-SUM(E$100:E131))</f>
        <v>0</v>
      </c>
      <c r="E132" s="509">
        <f t="shared" si="21"/>
        <v>0</v>
      </c>
      <c r="F132" s="510">
        <f t="shared" si="22"/>
        <v>0</v>
      </c>
      <c r="G132" s="510">
        <f t="shared" si="23"/>
        <v>0</v>
      </c>
      <c r="H132" s="627">
        <f t="shared" si="24"/>
        <v>0</v>
      </c>
      <c r="I132" s="628">
        <f t="shared" si="25"/>
        <v>0</v>
      </c>
      <c r="J132" s="504">
        <f t="shared" ref="J132:J155" si="29">+I542-H542</f>
        <v>0</v>
      </c>
      <c r="K132" s="504"/>
      <c r="L132" s="512"/>
      <c r="M132" s="504">
        <f t="shared" ref="M132:M155" si="30">IF(L542&lt;&gt;0,+H542-L542,0)</f>
        <v>0</v>
      </c>
      <c r="N132" s="512"/>
      <c r="O132" s="504">
        <f t="shared" ref="O132:O155" si="31">IF(N542&lt;&gt;0,+I542-N542,0)</f>
        <v>0</v>
      </c>
      <c r="P132" s="504">
        <f t="shared" ref="P132:P155" si="32">+O542-M542</f>
        <v>0</v>
      </c>
    </row>
    <row r="133" spans="2:16">
      <c r="B133" s="145" t="str">
        <f t="shared" si="15"/>
        <v/>
      </c>
      <c r="C133" s="495">
        <f>IF(D94="","-",+C132+1)</f>
        <v>2051</v>
      </c>
      <c r="D133" s="349">
        <f>IF(F132+SUM(E$100:E132)=D$93,F132,D$93-SUM(E$100:E132))</f>
        <v>0</v>
      </c>
      <c r="E133" s="509">
        <f t="shared" si="21"/>
        <v>0</v>
      </c>
      <c r="F133" s="510">
        <f t="shared" si="22"/>
        <v>0</v>
      </c>
      <c r="G133" s="510">
        <f t="shared" si="23"/>
        <v>0</v>
      </c>
      <c r="H133" s="627">
        <f t="shared" si="24"/>
        <v>0</v>
      </c>
      <c r="I133" s="628">
        <f t="shared" si="25"/>
        <v>0</v>
      </c>
      <c r="J133" s="504">
        <f t="shared" si="29"/>
        <v>0</v>
      </c>
      <c r="K133" s="504"/>
      <c r="L133" s="512"/>
      <c r="M133" s="504">
        <f t="shared" si="30"/>
        <v>0</v>
      </c>
      <c r="N133" s="512"/>
      <c r="O133" s="504">
        <f t="shared" si="31"/>
        <v>0</v>
      </c>
      <c r="P133" s="504">
        <f t="shared" si="32"/>
        <v>0</v>
      </c>
    </row>
    <row r="134" spans="2:16">
      <c r="B134" s="145" t="str">
        <f t="shared" si="15"/>
        <v/>
      </c>
      <c r="C134" s="495">
        <f>IF(D94="","-",+C133+1)</f>
        <v>2052</v>
      </c>
      <c r="D134" s="349">
        <f>IF(F133+SUM(E$100:E133)=D$93,F133,D$93-SUM(E$100:E133))</f>
        <v>0</v>
      </c>
      <c r="E134" s="509">
        <f t="shared" si="21"/>
        <v>0</v>
      </c>
      <c r="F134" s="510">
        <f t="shared" si="22"/>
        <v>0</v>
      </c>
      <c r="G134" s="510">
        <f t="shared" si="23"/>
        <v>0</v>
      </c>
      <c r="H134" s="627">
        <f t="shared" si="24"/>
        <v>0</v>
      </c>
      <c r="I134" s="628">
        <f t="shared" si="25"/>
        <v>0</v>
      </c>
      <c r="J134" s="504">
        <f t="shared" si="29"/>
        <v>0</v>
      </c>
      <c r="K134" s="504"/>
      <c r="L134" s="512"/>
      <c r="M134" s="504">
        <f t="shared" si="30"/>
        <v>0</v>
      </c>
      <c r="N134" s="512"/>
      <c r="O134" s="504">
        <f t="shared" si="31"/>
        <v>0</v>
      </c>
      <c r="P134" s="504">
        <f t="shared" si="32"/>
        <v>0</v>
      </c>
    </row>
    <row r="135" spans="2:16">
      <c r="B135" s="145" t="str">
        <f t="shared" si="15"/>
        <v/>
      </c>
      <c r="C135" s="495">
        <f>IF(D94="","-",+C134+1)</f>
        <v>2053</v>
      </c>
      <c r="D135" s="349">
        <f>IF(F134+SUM(E$100:E134)=D$93,F134,D$93-SUM(E$100:E134))</f>
        <v>0</v>
      </c>
      <c r="E135" s="509">
        <f t="shared" si="21"/>
        <v>0</v>
      </c>
      <c r="F135" s="510">
        <f t="shared" si="22"/>
        <v>0</v>
      </c>
      <c r="G135" s="510">
        <f t="shared" si="23"/>
        <v>0</v>
      </c>
      <c r="H135" s="627">
        <f t="shared" si="24"/>
        <v>0</v>
      </c>
      <c r="I135" s="628">
        <f t="shared" si="25"/>
        <v>0</v>
      </c>
      <c r="J135" s="504">
        <f t="shared" si="29"/>
        <v>0</v>
      </c>
      <c r="K135" s="504"/>
      <c r="L135" s="512"/>
      <c r="M135" s="504">
        <f t="shared" si="30"/>
        <v>0</v>
      </c>
      <c r="N135" s="512"/>
      <c r="O135" s="504">
        <f t="shared" si="31"/>
        <v>0</v>
      </c>
      <c r="P135" s="504">
        <f t="shared" si="32"/>
        <v>0</v>
      </c>
    </row>
    <row r="136" spans="2:16">
      <c r="B136" s="145" t="str">
        <f t="shared" si="15"/>
        <v/>
      </c>
      <c r="C136" s="495">
        <f>IF(D94="","-",+C135+1)</f>
        <v>2054</v>
      </c>
      <c r="D136" s="349">
        <f>IF(F135+SUM(E$100:E135)=D$93,F135,D$93-SUM(E$100:E135))</f>
        <v>0</v>
      </c>
      <c r="E136" s="509">
        <f t="shared" si="21"/>
        <v>0</v>
      </c>
      <c r="F136" s="510">
        <f t="shared" si="22"/>
        <v>0</v>
      </c>
      <c r="G136" s="510">
        <f t="shared" si="23"/>
        <v>0</v>
      </c>
      <c r="H136" s="627">
        <f t="shared" si="24"/>
        <v>0</v>
      </c>
      <c r="I136" s="628">
        <f t="shared" si="25"/>
        <v>0</v>
      </c>
      <c r="J136" s="504">
        <f t="shared" si="29"/>
        <v>0</v>
      </c>
      <c r="K136" s="504"/>
      <c r="L136" s="512"/>
      <c r="M136" s="504">
        <f t="shared" si="30"/>
        <v>0</v>
      </c>
      <c r="N136" s="512"/>
      <c r="O136" s="504">
        <f t="shared" si="31"/>
        <v>0</v>
      </c>
      <c r="P136" s="504">
        <f t="shared" si="32"/>
        <v>0</v>
      </c>
    </row>
    <row r="137" spans="2:16">
      <c r="B137" s="145" t="str">
        <f t="shared" si="15"/>
        <v/>
      </c>
      <c r="C137" s="495">
        <f>IF(D94="","-",+C136+1)</f>
        <v>2055</v>
      </c>
      <c r="D137" s="349">
        <f>IF(F136+SUM(E$100:E136)=D$93,F136,D$93-SUM(E$100:E136))</f>
        <v>0</v>
      </c>
      <c r="E137" s="509">
        <f t="shared" si="21"/>
        <v>0</v>
      </c>
      <c r="F137" s="510">
        <f t="shared" si="22"/>
        <v>0</v>
      </c>
      <c r="G137" s="510">
        <f t="shared" si="23"/>
        <v>0</v>
      </c>
      <c r="H137" s="627">
        <f t="shared" si="24"/>
        <v>0</v>
      </c>
      <c r="I137" s="628">
        <f t="shared" si="25"/>
        <v>0</v>
      </c>
      <c r="J137" s="504">
        <f t="shared" si="29"/>
        <v>0</v>
      </c>
      <c r="K137" s="504"/>
      <c r="L137" s="512"/>
      <c r="M137" s="504">
        <f t="shared" si="30"/>
        <v>0</v>
      </c>
      <c r="N137" s="512"/>
      <c r="O137" s="504">
        <f t="shared" si="31"/>
        <v>0</v>
      </c>
      <c r="P137" s="504">
        <f t="shared" si="32"/>
        <v>0</v>
      </c>
    </row>
    <row r="138" spans="2:16">
      <c r="B138" s="145" t="str">
        <f t="shared" si="15"/>
        <v/>
      </c>
      <c r="C138" s="495">
        <f>IF(D94="","-",+C137+1)</f>
        <v>2056</v>
      </c>
      <c r="D138" s="349">
        <f>IF(F137+SUM(E$100:E137)=D$93,F137,D$93-SUM(E$100:E137))</f>
        <v>0</v>
      </c>
      <c r="E138" s="509">
        <f t="shared" si="21"/>
        <v>0</v>
      </c>
      <c r="F138" s="510">
        <f t="shared" si="22"/>
        <v>0</v>
      </c>
      <c r="G138" s="510">
        <f t="shared" si="23"/>
        <v>0</v>
      </c>
      <c r="H138" s="627">
        <f t="shared" si="24"/>
        <v>0</v>
      </c>
      <c r="I138" s="628">
        <f t="shared" si="25"/>
        <v>0</v>
      </c>
      <c r="J138" s="504">
        <f t="shared" si="29"/>
        <v>0</v>
      </c>
      <c r="K138" s="504"/>
      <c r="L138" s="512"/>
      <c r="M138" s="504">
        <f t="shared" si="30"/>
        <v>0</v>
      </c>
      <c r="N138" s="512"/>
      <c r="O138" s="504">
        <f t="shared" si="31"/>
        <v>0</v>
      </c>
      <c r="P138" s="504">
        <f t="shared" si="32"/>
        <v>0</v>
      </c>
    </row>
    <row r="139" spans="2:16">
      <c r="B139" s="145" t="str">
        <f t="shared" si="15"/>
        <v/>
      </c>
      <c r="C139" s="495">
        <f>IF(D94="","-",+C138+1)</f>
        <v>2057</v>
      </c>
      <c r="D139" s="349">
        <f>IF(F138+SUM(E$100:E138)=D$93,F138,D$93-SUM(E$100:E138))</f>
        <v>0</v>
      </c>
      <c r="E139" s="509">
        <f t="shared" si="21"/>
        <v>0</v>
      </c>
      <c r="F139" s="510">
        <f t="shared" si="22"/>
        <v>0</v>
      </c>
      <c r="G139" s="510">
        <f t="shared" si="23"/>
        <v>0</v>
      </c>
      <c r="H139" s="627">
        <f t="shared" si="24"/>
        <v>0</v>
      </c>
      <c r="I139" s="628">
        <f t="shared" si="25"/>
        <v>0</v>
      </c>
      <c r="J139" s="504">
        <f t="shared" si="29"/>
        <v>0</v>
      </c>
      <c r="K139" s="504"/>
      <c r="L139" s="512"/>
      <c r="M139" s="504">
        <f t="shared" si="30"/>
        <v>0</v>
      </c>
      <c r="N139" s="512"/>
      <c r="O139" s="504">
        <f t="shared" si="31"/>
        <v>0</v>
      </c>
      <c r="P139" s="504">
        <f t="shared" si="32"/>
        <v>0</v>
      </c>
    </row>
    <row r="140" spans="2:16">
      <c r="B140" s="145" t="str">
        <f t="shared" si="15"/>
        <v/>
      </c>
      <c r="C140" s="495">
        <f>IF(D94="","-",+C139+1)</f>
        <v>2058</v>
      </c>
      <c r="D140" s="349">
        <f>IF(F139+SUM(E$100:E139)=D$93,F139,D$93-SUM(E$100:E139))</f>
        <v>0</v>
      </c>
      <c r="E140" s="509">
        <f t="shared" si="21"/>
        <v>0</v>
      </c>
      <c r="F140" s="510">
        <f t="shared" si="22"/>
        <v>0</v>
      </c>
      <c r="G140" s="510">
        <f t="shared" si="23"/>
        <v>0</v>
      </c>
      <c r="H140" s="627">
        <f t="shared" si="24"/>
        <v>0</v>
      </c>
      <c r="I140" s="628">
        <f t="shared" si="25"/>
        <v>0</v>
      </c>
      <c r="J140" s="504">
        <f t="shared" si="29"/>
        <v>0</v>
      </c>
      <c r="K140" s="504"/>
      <c r="L140" s="512"/>
      <c r="M140" s="504">
        <f t="shared" si="30"/>
        <v>0</v>
      </c>
      <c r="N140" s="512"/>
      <c r="O140" s="504">
        <f t="shared" si="31"/>
        <v>0</v>
      </c>
      <c r="P140" s="504">
        <f t="shared" si="32"/>
        <v>0</v>
      </c>
    </row>
    <row r="141" spans="2:16">
      <c r="B141" s="145" t="str">
        <f t="shared" si="15"/>
        <v/>
      </c>
      <c r="C141" s="495">
        <f>IF(D94="","-",+C140+1)</f>
        <v>2059</v>
      </c>
      <c r="D141" s="349">
        <f>IF(F140+SUM(E$100:E140)=D$93,F140,D$93-SUM(E$100:E140))</f>
        <v>0</v>
      </c>
      <c r="E141" s="509">
        <f t="shared" si="21"/>
        <v>0</v>
      </c>
      <c r="F141" s="510">
        <f t="shared" si="22"/>
        <v>0</v>
      </c>
      <c r="G141" s="510">
        <f t="shared" si="23"/>
        <v>0</v>
      </c>
      <c r="H141" s="627">
        <f t="shared" si="24"/>
        <v>0</v>
      </c>
      <c r="I141" s="628">
        <f t="shared" si="25"/>
        <v>0</v>
      </c>
      <c r="J141" s="504">
        <f t="shared" si="29"/>
        <v>0</v>
      </c>
      <c r="K141" s="504"/>
      <c r="L141" s="512"/>
      <c r="M141" s="504">
        <f t="shared" si="30"/>
        <v>0</v>
      </c>
      <c r="N141" s="512"/>
      <c r="O141" s="504">
        <f t="shared" si="31"/>
        <v>0</v>
      </c>
      <c r="P141" s="504">
        <f t="shared" si="32"/>
        <v>0</v>
      </c>
    </row>
    <row r="142" spans="2:16">
      <c r="B142" s="145" t="str">
        <f t="shared" si="15"/>
        <v/>
      </c>
      <c r="C142" s="495">
        <f>IF(D94="","-",+C141+1)</f>
        <v>2060</v>
      </c>
      <c r="D142" s="349">
        <f>IF(F141+SUM(E$100:E141)=D$93,F141,D$93-SUM(E$100:E141))</f>
        <v>0</v>
      </c>
      <c r="E142" s="509">
        <f t="shared" si="21"/>
        <v>0</v>
      </c>
      <c r="F142" s="510">
        <f t="shared" si="22"/>
        <v>0</v>
      </c>
      <c r="G142" s="510">
        <f t="shared" si="23"/>
        <v>0</v>
      </c>
      <c r="H142" s="627">
        <f t="shared" si="24"/>
        <v>0</v>
      </c>
      <c r="I142" s="628">
        <f t="shared" si="25"/>
        <v>0</v>
      </c>
      <c r="J142" s="504">
        <f t="shared" si="29"/>
        <v>0</v>
      </c>
      <c r="K142" s="504"/>
      <c r="L142" s="512"/>
      <c r="M142" s="504">
        <f t="shared" si="30"/>
        <v>0</v>
      </c>
      <c r="N142" s="512"/>
      <c r="O142" s="504">
        <f t="shared" si="31"/>
        <v>0</v>
      </c>
      <c r="P142" s="504">
        <f t="shared" si="32"/>
        <v>0</v>
      </c>
    </row>
    <row r="143" spans="2:16">
      <c r="B143" s="145" t="str">
        <f t="shared" si="15"/>
        <v/>
      </c>
      <c r="C143" s="495">
        <f>IF(D94="","-",+C142+1)</f>
        <v>2061</v>
      </c>
      <c r="D143" s="349">
        <f>IF(F142+SUM(E$100:E142)=D$93,F142,D$93-SUM(E$100:E142))</f>
        <v>0</v>
      </c>
      <c r="E143" s="509">
        <f t="shared" si="21"/>
        <v>0</v>
      </c>
      <c r="F143" s="510">
        <f t="shared" si="22"/>
        <v>0</v>
      </c>
      <c r="G143" s="510">
        <f t="shared" si="23"/>
        <v>0</v>
      </c>
      <c r="H143" s="627">
        <f t="shared" si="24"/>
        <v>0</v>
      </c>
      <c r="I143" s="628">
        <f t="shared" si="25"/>
        <v>0</v>
      </c>
      <c r="J143" s="504">
        <f t="shared" si="29"/>
        <v>0</v>
      </c>
      <c r="K143" s="504"/>
      <c r="L143" s="512"/>
      <c r="M143" s="504">
        <f t="shared" si="30"/>
        <v>0</v>
      </c>
      <c r="N143" s="512"/>
      <c r="O143" s="504">
        <f t="shared" si="31"/>
        <v>0</v>
      </c>
      <c r="P143" s="504">
        <f t="shared" si="32"/>
        <v>0</v>
      </c>
    </row>
    <row r="144" spans="2:16">
      <c r="B144" s="145" t="str">
        <f t="shared" si="15"/>
        <v/>
      </c>
      <c r="C144" s="495">
        <f>IF(D94="","-",+C143+1)</f>
        <v>2062</v>
      </c>
      <c r="D144" s="349">
        <f>IF(F143+SUM(E$100:E143)=D$93,F143,D$93-SUM(E$100:E143))</f>
        <v>0</v>
      </c>
      <c r="E144" s="509">
        <f t="shared" si="21"/>
        <v>0</v>
      </c>
      <c r="F144" s="510">
        <f t="shared" si="22"/>
        <v>0</v>
      </c>
      <c r="G144" s="510">
        <f t="shared" si="23"/>
        <v>0</v>
      </c>
      <c r="H144" s="627">
        <f t="shared" si="24"/>
        <v>0</v>
      </c>
      <c r="I144" s="628">
        <f t="shared" si="25"/>
        <v>0</v>
      </c>
      <c r="J144" s="504">
        <f t="shared" si="29"/>
        <v>0</v>
      </c>
      <c r="K144" s="504"/>
      <c r="L144" s="512"/>
      <c r="M144" s="504">
        <f t="shared" si="30"/>
        <v>0</v>
      </c>
      <c r="N144" s="512"/>
      <c r="O144" s="504">
        <f t="shared" si="31"/>
        <v>0</v>
      </c>
      <c r="P144" s="504">
        <f t="shared" si="32"/>
        <v>0</v>
      </c>
    </row>
    <row r="145" spans="2:16">
      <c r="B145" s="145" t="str">
        <f t="shared" si="15"/>
        <v/>
      </c>
      <c r="C145" s="495">
        <f>IF(D94="","-",+C144+1)</f>
        <v>2063</v>
      </c>
      <c r="D145" s="349">
        <f>IF(F144+SUM(E$100:E144)=D$93,F144,D$93-SUM(E$100:E144))</f>
        <v>0</v>
      </c>
      <c r="E145" s="509">
        <f t="shared" si="21"/>
        <v>0</v>
      </c>
      <c r="F145" s="510">
        <f t="shared" si="22"/>
        <v>0</v>
      </c>
      <c r="G145" s="510">
        <f t="shared" si="23"/>
        <v>0</v>
      </c>
      <c r="H145" s="627">
        <f t="shared" si="24"/>
        <v>0</v>
      </c>
      <c r="I145" s="628">
        <f t="shared" si="25"/>
        <v>0</v>
      </c>
      <c r="J145" s="504">
        <f t="shared" si="29"/>
        <v>0</v>
      </c>
      <c r="K145" s="504"/>
      <c r="L145" s="512"/>
      <c r="M145" s="504">
        <f t="shared" si="30"/>
        <v>0</v>
      </c>
      <c r="N145" s="512"/>
      <c r="O145" s="504">
        <f t="shared" si="31"/>
        <v>0</v>
      </c>
      <c r="P145" s="504">
        <f t="shared" si="32"/>
        <v>0</v>
      </c>
    </row>
    <row r="146" spans="2:16">
      <c r="B146" s="145" t="str">
        <f t="shared" si="15"/>
        <v/>
      </c>
      <c r="C146" s="495">
        <f>IF(D94="","-",+C145+1)</f>
        <v>2064</v>
      </c>
      <c r="D146" s="349">
        <f>IF(F145+SUM(E$100:E145)=D$93,F145,D$93-SUM(E$100:E145))</f>
        <v>0</v>
      </c>
      <c r="E146" s="509">
        <f t="shared" si="21"/>
        <v>0</v>
      </c>
      <c r="F146" s="510">
        <f t="shared" si="22"/>
        <v>0</v>
      </c>
      <c r="G146" s="510">
        <f t="shared" si="23"/>
        <v>0</v>
      </c>
      <c r="H146" s="627">
        <f t="shared" si="24"/>
        <v>0</v>
      </c>
      <c r="I146" s="628">
        <f t="shared" si="25"/>
        <v>0</v>
      </c>
      <c r="J146" s="504">
        <f t="shared" si="29"/>
        <v>0</v>
      </c>
      <c r="K146" s="504"/>
      <c r="L146" s="512"/>
      <c r="M146" s="504">
        <f t="shared" si="30"/>
        <v>0</v>
      </c>
      <c r="N146" s="512"/>
      <c r="O146" s="504">
        <f t="shared" si="31"/>
        <v>0</v>
      </c>
      <c r="P146" s="504">
        <f t="shared" si="32"/>
        <v>0</v>
      </c>
    </row>
    <row r="147" spans="2:16">
      <c r="B147" s="145" t="str">
        <f t="shared" si="15"/>
        <v/>
      </c>
      <c r="C147" s="495">
        <f>IF(D94="","-",+C146+1)</f>
        <v>2065</v>
      </c>
      <c r="D147" s="349">
        <f>IF(F146+SUM(E$100:E146)=D$93,F146,D$93-SUM(E$100:E146))</f>
        <v>0</v>
      </c>
      <c r="E147" s="509">
        <f t="shared" si="21"/>
        <v>0</v>
      </c>
      <c r="F147" s="510">
        <f t="shared" si="22"/>
        <v>0</v>
      </c>
      <c r="G147" s="510">
        <f t="shared" si="23"/>
        <v>0</v>
      </c>
      <c r="H147" s="627">
        <f t="shared" si="24"/>
        <v>0</v>
      </c>
      <c r="I147" s="628">
        <f t="shared" si="25"/>
        <v>0</v>
      </c>
      <c r="J147" s="504">
        <f t="shared" si="29"/>
        <v>0</v>
      </c>
      <c r="K147" s="504"/>
      <c r="L147" s="512"/>
      <c r="M147" s="504">
        <f t="shared" si="30"/>
        <v>0</v>
      </c>
      <c r="N147" s="512"/>
      <c r="O147" s="504">
        <f t="shared" si="31"/>
        <v>0</v>
      </c>
      <c r="P147" s="504">
        <f t="shared" si="32"/>
        <v>0</v>
      </c>
    </row>
    <row r="148" spans="2:16">
      <c r="B148" s="145" t="str">
        <f t="shared" si="15"/>
        <v/>
      </c>
      <c r="C148" s="495">
        <f>IF(D94="","-",+C147+1)</f>
        <v>2066</v>
      </c>
      <c r="D148" s="349">
        <f>IF(F147+SUM(E$100:E147)=D$93,F147,D$93-SUM(E$100:E147))</f>
        <v>0</v>
      </c>
      <c r="E148" s="509">
        <f t="shared" si="21"/>
        <v>0</v>
      </c>
      <c r="F148" s="510">
        <f t="shared" si="22"/>
        <v>0</v>
      </c>
      <c r="G148" s="510">
        <f t="shared" si="23"/>
        <v>0</v>
      </c>
      <c r="H148" s="627">
        <f t="shared" si="24"/>
        <v>0</v>
      </c>
      <c r="I148" s="628">
        <f t="shared" si="25"/>
        <v>0</v>
      </c>
      <c r="J148" s="504">
        <f t="shared" si="29"/>
        <v>0</v>
      </c>
      <c r="K148" s="504"/>
      <c r="L148" s="512"/>
      <c r="M148" s="504">
        <f t="shared" si="30"/>
        <v>0</v>
      </c>
      <c r="N148" s="512"/>
      <c r="O148" s="504">
        <f t="shared" si="31"/>
        <v>0</v>
      </c>
      <c r="P148" s="504">
        <f t="shared" si="32"/>
        <v>0</v>
      </c>
    </row>
    <row r="149" spans="2:16">
      <c r="B149" s="145" t="str">
        <f t="shared" si="15"/>
        <v/>
      </c>
      <c r="C149" s="495">
        <f>IF(D94="","-",+C148+1)</f>
        <v>2067</v>
      </c>
      <c r="D149" s="349">
        <f>IF(F148+SUM(E$100:E148)=D$93,F148,D$93-SUM(E$100:E148))</f>
        <v>0</v>
      </c>
      <c r="E149" s="509">
        <f t="shared" si="21"/>
        <v>0</v>
      </c>
      <c r="F149" s="510">
        <f t="shared" si="22"/>
        <v>0</v>
      </c>
      <c r="G149" s="510">
        <f t="shared" si="23"/>
        <v>0</v>
      </c>
      <c r="H149" s="627">
        <f t="shared" si="24"/>
        <v>0</v>
      </c>
      <c r="I149" s="628">
        <f t="shared" si="25"/>
        <v>0</v>
      </c>
      <c r="J149" s="504">
        <f t="shared" si="29"/>
        <v>0</v>
      </c>
      <c r="K149" s="504"/>
      <c r="L149" s="512"/>
      <c r="M149" s="504">
        <f t="shared" si="30"/>
        <v>0</v>
      </c>
      <c r="N149" s="512"/>
      <c r="O149" s="504">
        <f t="shared" si="31"/>
        <v>0</v>
      </c>
      <c r="P149" s="504">
        <f t="shared" si="32"/>
        <v>0</v>
      </c>
    </row>
    <row r="150" spans="2:16">
      <c r="B150" s="145" t="str">
        <f t="shared" si="15"/>
        <v/>
      </c>
      <c r="C150" s="495">
        <f>IF(D94="","-",+C149+1)</f>
        <v>2068</v>
      </c>
      <c r="D150" s="349">
        <f>IF(F149+SUM(E$100:E149)=D$93,F149,D$93-SUM(E$100:E149))</f>
        <v>0</v>
      </c>
      <c r="E150" s="509">
        <f t="shared" si="21"/>
        <v>0</v>
      </c>
      <c r="F150" s="510">
        <f t="shared" si="22"/>
        <v>0</v>
      </c>
      <c r="G150" s="510">
        <f t="shared" si="23"/>
        <v>0</v>
      </c>
      <c r="H150" s="627">
        <f t="shared" si="24"/>
        <v>0</v>
      </c>
      <c r="I150" s="628">
        <f t="shared" si="25"/>
        <v>0</v>
      </c>
      <c r="J150" s="504">
        <f t="shared" si="29"/>
        <v>0</v>
      </c>
      <c r="K150" s="504"/>
      <c r="L150" s="512"/>
      <c r="M150" s="504">
        <f t="shared" si="30"/>
        <v>0</v>
      </c>
      <c r="N150" s="512"/>
      <c r="O150" s="504">
        <f t="shared" si="31"/>
        <v>0</v>
      </c>
      <c r="P150" s="504">
        <f t="shared" si="32"/>
        <v>0</v>
      </c>
    </row>
    <row r="151" spans="2:16">
      <c r="B151" s="145" t="str">
        <f t="shared" si="15"/>
        <v/>
      </c>
      <c r="C151" s="495">
        <f>IF(D94="","-",+C150+1)</f>
        <v>2069</v>
      </c>
      <c r="D151" s="349">
        <f>IF(F150+SUM(E$100:E150)=D$93,F150,D$93-SUM(E$100:E150))</f>
        <v>0</v>
      </c>
      <c r="E151" s="509">
        <f t="shared" si="21"/>
        <v>0</v>
      </c>
      <c r="F151" s="510">
        <f t="shared" si="22"/>
        <v>0</v>
      </c>
      <c r="G151" s="510">
        <f t="shared" si="23"/>
        <v>0</v>
      </c>
      <c r="H151" s="627">
        <f t="shared" si="24"/>
        <v>0</v>
      </c>
      <c r="I151" s="628">
        <f t="shared" si="25"/>
        <v>0</v>
      </c>
      <c r="J151" s="504">
        <f t="shared" si="29"/>
        <v>0</v>
      </c>
      <c r="K151" s="504"/>
      <c r="L151" s="512"/>
      <c r="M151" s="504">
        <f t="shared" si="30"/>
        <v>0</v>
      </c>
      <c r="N151" s="512"/>
      <c r="O151" s="504">
        <f t="shared" si="31"/>
        <v>0</v>
      </c>
      <c r="P151" s="504">
        <f t="shared" si="32"/>
        <v>0</v>
      </c>
    </row>
    <row r="152" spans="2:16">
      <c r="B152" s="145" t="str">
        <f t="shared" si="15"/>
        <v/>
      </c>
      <c r="C152" s="495">
        <f>IF(D94="","-",+C151+1)</f>
        <v>2070</v>
      </c>
      <c r="D152" s="349">
        <f>IF(F151+SUM(E$100:E151)=D$93,F151,D$93-SUM(E$100:E151))</f>
        <v>0</v>
      </c>
      <c r="E152" s="509">
        <f t="shared" si="21"/>
        <v>0</v>
      </c>
      <c r="F152" s="510">
        <f t="shared" si="22"/>
        <v>0</v>
      </c>
      <c r="G152" s="510">
        <f t="shared" si="23"/>
        <v>0</v>
      </c>
      <c r="H152" s="627">
        <f t="shared" si="24"/>
        <v>0</v>
      </c>
      <c r="I152" s="628">
        <f t="shared" si="25"/>
        <v>0</v>
      </c>
      <c r="J152" s="504">
        <f t="shared" si="29"/>
        <v>0</v>
      </c>
      <c r="K152" s="504"/>
      <c r="L152" s="512"/>
      <c r="M152" s="504">
        <f t="shared" si="30"/>
        <v>0</v>
      </c>
      <c r="N152" s="512"/>
      <c r="O152" s="504">
        <f t="shared" si="31"/>
        <v>0</v>
      </c>
      <c r="P152" s="504">
        <f t="shared" si="32"/>
        <v>0</v>
      </c>
    </row>
    <row r="153" spans="2:16">
      <c r="B153" s="145" t="str">
        <f t="shared" si="15"/>
        <v/>
      </c>
      <c r="C153" s="495">
        <f>IF(D94="","-",+C152+1)</f>
        <v>2071</v>
      </c>
      <c r="D153" s="349">
        <f>IF(F152+SUM(E$100:E152)=D$93,F152,D$93-SUM(E$100:E152))</f>
        <v>0</v>
      </c>
      <c r="E153" s="509">
        <f t="shared" si="21"/>
        <v>0</v>
      </c>
      <c r="F153" s="510">
        <f t="shared" si="22"/>
        <v>0</v>
      </c>
      <c r="G153" s="510">
        <f t="shared" si="23"/>
        <v>0</v>
      </c>
      <c r="H153" s="627">
        <f t="shared" si="24"/>
        <v>0</v>
      </c>
      <c r="I153" s="628">
        <f t="shared" si="25"/>
        <v>0</v>
      </c>
      <c r="J153" s="504">
        <f t="shared" si="29"/>
        <v>0</v>
      </c>
      <c r="K153" s="504"/>
      <c r="L153" s="512"/>
      <c r="M153" s="504">
        <f t="shared" si="30"/>
        <v>0</v>
      </c>
      <c r="N153" s="512"/>
      <c r="O153" s="504">
        <f t="shared" si="31"/>
        <v>0</v>
      </c>
      <c r="P153" s="504">
        <f t="shared" si="32"/>
        <v>0</v>
      </c>
    </row>
    <row r="154" spans="2:16">
      <c r="B154" s="145" t="str">
        <f t="shared" si="15"/>
        <v/>
      </c>
      <c r="C154" s="495">
        <f>IF(D94="","-",+C153+1)</f>
        <v>2072</v>
      </c>
      <c r="D154" s="349">
        <f>IF(F153+SUM(E$100:E153)=D$93,F153,D$93-SUM(E$100:E153))</f>
        <v>0</v>
      </c>
      <c r="E154" s="509">
        <f t="shared" si="21"/>
        <v>0</v>
      </c>
      <c r="F154" s="510">
        <f t="shared" si="22"/>
        <v>0</v>
      </c>
      <c r="G154" s="510">
        <f t="shared" si="23"/>
        <v>0</v>
      </c>
      <c r="H154" s="627">
        <f t="shared" si="24"/>
        <v>0</v>
      </c>
      <c r="I154" s="628">
        <f t="shared" si="25"/>
        <v>0</v>
      </c>
      <c r="J154" s="504">
        <f t="shared" si="29"/>
        <v>0</v>
      </c>
      <c r="K154" s="504"/>
      <c r="L154" s="512"/>
      <c r="M154" s="504">
        <f t="shared" si="30"/>
        <v>0</v>
      </c>
      <c r="N154" s="512"/>
      <c r="O154" s="504">
        <f t="shared" si="31"/>
        <v>0</v>
      </c>
      <c r="P154" s="504">
        <f t="shared" si="32"/>
        <v>0</v>
      </c>
    </row>
    <row r="155" spans="2:16" ht="13.5" thickBot="1">
      <c r="B155" s="145" t="str">
        <f t="shared" si="15"/>
        <v/>
      </c>
      <c r="C155" s="524">
        <f>IF(D94="","-",+C154+1)</f>
        <v>2073</v>
      </c>
      <c r="D155" s="638">
        <f>IF(F154+SUM(E$100:E154)=D$93,F154,D$93-SUM(E$100:E154))</f>
        <v>0</v>
      </c>
      <c r="E155" s="526">
        <f t="shared" si="21"/>
        <v>0</v>
      </c>
      <c r="F155" s="527">
        <f t="shared" si="22"/>
        <v>0</v>
      </c>
      <c r="G155" s="527">
        <f t="shared" si="23"/>
        <v>0</v>
      </c>
      <c r="H155" s="623">
        <f t="shared" si="24"/>
        <v>0</v>
      </c>
      <c r="I155" s="624">
        <f t="shared" si="25"/>
        <v>0</v>
      </c>
      <c r="J155" s="531">
        <f t="shared" si="29"/>
        <v>0</v>
      </c>
      <c r="K155" s="504"/>
      <c r="L155" s="530"/>
      <c r="M155" s="531">
        <f t="shared" si="30"/>
        <v>0</v>
      </c>
      <c r="N155" s="530"/>
      <c r="O155" s="531">
        <f t="shared" si="31"/>
        <v>0</v>
      </c>
      <c r="P155" s="531">
        <f t="shared" si="32"/>
        <v>0</v>
      </c>
    </row>
    <row r="156" spans="2:16">
      <c r="C156" s="349" t="s">
        <v>75</v>
      </c>
      <c r="D156" s="294"/>
      <c r="E156" s="294">
        <f>SUM(E100:E155)</f>
        <v>8934664</v>
      </c>
      <c r="F156" s="294"/>
      <c r="G156" s="294"/>
      <c r="H156" s="294">
        <f>SUM(H100:H155)</f>
        <v>22352370.908534769</v>
      </c>
      <c r="I156" s="294">
        <f>SUM(I100:I155)</f>
        <v>22352370.908534769</v>
      </c>
      <c r="J156" s="294">
        <f>SUM(J100:J155)</f>
        <v>0</v>
      </c>
      <c r="K156" s="294"/>
      <c r="L156" s="294"/>
      <c r="M156" s="294"/>
      <c r="N156" s="294"/>
      <c r="O156" s="294"/>
      <c r="P156" s="243"/>
    </row>
    <row r="157" spans="2:16">
      <c r="C157" s="145" t="s">
        <v>90</v>
      </c>
      <c r="D157" s="292"/>
      <c r="E157" s="243"/>
      <c r="F157" s="243"/>
      <c r="G157" s="243"/>
      <c r="H157" s="243"/>
      <c r="I157" s="325"/>
      <c r="J157" s="325"/>
      <c r="K157" s="294"/>
      <c r="L157" s="325"/>
      <c r="M157" s="325"/>
      <c r="N157" s="325"/>
      <c r="O157" s="325"/>
      <c r="P157" s="243"/>
    </row>
    <row r="158" spans="2:16">
      <c r="C158" s="574"/>
      <c r="D158" s="292"/>
      <c r="E158" s="243"/>
      <c r="F158" s="243"/>
      <c r="G158" s="243"/>
      <c r="H158" s="243"/>
      <c r="I158" s="325"/>
      <c r="J158" s="325"/>
      <c r="K158" s="294"/>
      <c r="L158" s="325"/>
      <c r="M158" s="325"/>
      <c r="N158" s="325"/>
      <c r="O158" s="325"/>
      <c r="P158" s="243"/>
    </row>
    <row r="159" spans="2:16">
      <c r="C159" s="619" t="s">
        <v>130</v>
      </c>
      <c r="D159" s="292"/>
      <c r="E159" s="243"/>
      <c r="F159" s="243"/>
      <c r="G159" s="243"/>
      <c r="H159" s="243"/>
      <c r="I159" s="325"/>
      <c r="J159" s="325"/>
      <c r="K159" s="294"/>
      <c r="L159" s="325"/>
      <c r="M159" s="325"/>
      <c r="N159" s="325"/>
      <c r="O159" s="325"/>
      <c r="P159" s="243"/>
    </row>
    <row r="160" spans="2:16">
      <c r="C160" s="454" t="s">
        <v>76</v>
      </c>
      <c r="D160" s="349"/>
      <c r="E160" s="349"/>
      <c r="F160" s="349"/>
      <c r="G160" s="349"/>
      <c r="H160" s="294"/>
      <c r="I160" s="294"/>
      <c r="J160" s="350"/>
      <c r="K160" s="350"/>
      <c r="L160" s="350"/>
      <c r="M160" s="350"/>
      <c r="N160" s="350"/>
      <c r="O160" s="350"/>
      <c r="P160" s="243"/>
    </row>
    <row r="161" spans="3:16">
      <c r="C161" s="575" t="s">
        <v>77</v>
      </c>
      <c r="D161" s="349"/>
      <c r="E161" s="349"/>
      <c r="F161" s="349"/>
      <c r="G161" s="349"/>
      <c r="H161" s="294"/>
      <c r="I161" s="294"/>
      <c r="J161" s="350"/>
      <c r="K161" s="350"/>
      <c r="L161" s="350"/>
      <c r="M161" s="350"/>
      <c r="N161" s="350"/>
      <c r="O161" s="350"/>
      <c r="P161" s="243"/>
    </row>
    <row r="162" spans="3:16">
      <c r="C162" s="575"/>
      <c r="D162" s="349"/>
      <c r="E162" s="349"/>
      <c r="F162" s="349"/>
      <c r="G162" s="349"/>
      <c r="H162" s="294"/>
      <c r="I162" s="294"/>
      <c r="J162" s="350"/>
      <c r="K162" s="350"/>
      <c r="L162" s="350"/>
      <c r="M162" s="350"/>
      <c r="N162" s="350"/>
      <c r="O162" s="350"/>
      <c r="P162" s="243"/>
    </row>
    <row r="163" spans="3:16" ht="18">
      <c r="C163" s="575"/>
      <c r="D163" s="349"/>
      <c r="E163" s="349"/>
      <c r="F163" s="349"/>
      <c r="G163" s="349"/>
      <c r="H163" s="294"/>
      <c r="I163" s="294"/>
      <c r="J163" s="350"/>
      <c r="K163" s="350"/>
      <c r="L163" s="350"/>
      <c r="M163" s="350"/>
      <c r="N163" s="350"/>
      <c r="P163" s="583" t="s">
        <v>129</v>
      </c>
    </row>
  </sheetData>
  <conditionalFormatting sqref="C17:C71 C73">
    <cfRule type="cellIs" dxfId="23" priority="2" stopIfTrue="1" operator="equal">
      <formula>$I$10</formula>
    </cfRule>
  </conditionalFormatting>
  <conditionalFormatting sqref="C100:C155">
    <cfRule type="cellIs" dxfId="22" priority="3" stopIfTrue="1" operator="equal">
      <formula>$J$93</formula>
    </cfRule>
  </conditionalFormatting>
  <conditionalFormatting sqref="C72">
    <cfRule type="cellIs" dxfId="21"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P163"/>
  <sheetViews>
    <sheetView zoomScale="85" zoomScaleNormal="85"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19 of 24</v>
      </c>
    </row>
    <row r="2" spans="1:16" ht="18">
      <c r="B2" s="243"/>
      <c r="C2" s="243"/>
      <c r="D2" s="292"/>
      <c r="E2" s="243"/>
      <c r="F2" s="243"/>
      <c r="G2" s="243"/>
      <c r="H2" s="325"/>
      <c r="I2" s="243"/>
      <c r="J2" s="278"/>
      <c r="K2" s="243"/>
      <c r="L2" s="243"/>
      <c r="M2" s="243"/>
      <c r="N2" s="243"/>
      <c r="P2" s="441" t="s">
        <v>131</v>
      </c>
    </row>
    <row r="3" spans="1:16" ht="18.75">
      <c r="B3" s="233" t="s">
        <v>42</v>
      </c>
      <c r="C3" s="305" t="s">
        <v>43</v>
      </c>
      <c r="D3" s="292"/>
      <c r="E3" s="243"/>
      <c r="F3" s="243"/>
      <c r="G3" s="243"/>
      <c r="H3" s="325"/>
      <c r="I3" s="325"/>
      <c r="J3" s="294"/>
      <c r="K3" s="325"/>
      <c r="L3" s="325"/>
      <c r="M3" s="325"/>
      <c r="N3" s="325"/>
      <c r="O3" s="243"/>
      <c r="P3" s="577">
        <v>1</v>
      </c>
    </row>
    <row r="4" spans="1:16" ht="15.75" thickBot="1">
      <c r="C4" s="304"/>
      <c r="D4" s="292"/>
      <c r="E4" s="243"/>
      <c r="F4" s="243"/>
      <c r="G4" s="243"/>
      <c r="H4" s="325"/>
      <c r="I4" s="325"/>
      <c r="J4" s="294"/>
      <c r="K4" s="325"/>
      <c r="L4" s="325"/>
      <c r="M4" s="325"/>
      <c r="N4" s="325"/>
      <c r="O4" s="243"/>
      <c r="P4" s="243"/>
    </row>
    <row r="5" spans="1:16" ht="15">
      <c r="C5" s="443" t="s">
        <v>44</v>
      </c>
      <c r="D5" s="292"/>
      <c r="E5" s="243"/>
      <c r="F5" s="243"/>
      <c r="G5" s="444"/>
      <c r="H5" s="243" t="s">
        <v>45</v>
      </c>
      <c r="I5" s="243"/>
      <c r="J5" s="278"/>
      <c r="K5" s="445" t="s">
        <v>242</v>
      </c>
      <c r="L5" s="446"/>
      <c r="M5" s="447"/>
      <c r="N5" s="448">
        <f>VLOOKUP(I10,C17:I73,5)</f>
        <v>2219763.0897265626</v>
      </c>
      <c r="P5" s="243"/>
    </row>
    <row r="6" spans="1:16" ht="15.75">
      <c r="C6" s="235"/>
      <c r="D6" s="292"/>
      <c r="E6" s="243"/>
      <c r="F6" s="243"/>
      <c r="G6" s="243"/>
      <c r="H6" s="449"/>
      <c r="I6" s="449"/>
      <c r="J6" s="450"/>
      <c r="K6" s="451" t="s">
        <v>243</v>
      </c>
      <c r="L6" s="452"/>
      <c r="M6" s="278"/>
      <c r="N6" s="453">
        <f>VLOOKUP(I10,C17:I73,6)</f>
        <v>2219763.0897265626</v>
      </c>
      <c r="O6" s="243"/>
      <c r="P6" s="243"/>
    </row>
    <row r="7" spans="1:16" ht="13.5" thickBot="1">
      <c r="C7" s="454" t="s">
        <v>46</v>
      </c>
      <c r="D7" s="637" t="s">
        <v>269</v>
      </c>
      <c r="E7" s="243"/>
      <c r="F7" s="243"/>
      <c r="G7" s="243"/>
      <c r="H7" s="325"/>
      <c r="I7" s="325"/>
      <c r="J7" s="294"/>
      <c r="K7" s="456" t="s">
        <v>47</v>
      </c>
      <c r="L7" s="457"/>
      <c r="M7" s="457"/>
      <c r="N7" s="458">
        <f>+N6-N5</f>
        <v>0</v>
      </c>
      <c r="O7" s="243"/>
      <c r="P7" s="243"/>
    </row>
    <row r="8" spans="1:16" ht="13.5" thickBot="1">
      <c r="C8" s="459"/>
      <c r="D8" s="459"/>
      <c r="E8" s="461"/>
      <c r="F8" s="461"/>
      <c r="G8" s="461"/>
      <c r="H8" s="461"/>
      <c r="I8" s="461"/>
      <c r="J8" s="462"/>
      <c r="K8" s="461"/>
      <c r="L8" s="461"/>
      <c r="M8" s="461"/>
      <c r="N8" s="461"/>
      <c r="O8" s="462"/>
      <c r="P8" s="248"/>
    </row>
    <row r="9" spans="1:16" ht="13.5" thickBot="1">
      <c r="C9" s="463" t="s">
        <v>48</v>
      </c>
      <c r="D9" s="464" t="s">
        <v>268</v>
      </c>
      <c r="E9" s="646" t="s">
        <v>294</v>
      </c>
      <c r="F9" s="465"/>
      <c r="G9" s="465"/>
      <c r="H9" s="465"/>
      <c r="I9" s="466"/>
      <c r="J9" s="467"/>
      <c r="O9" s="468"/>
      <c r="P9" s="278"/>
    </row>
    <row r="10" spans="1:16">
      <c r="C10" s="469" t="s">
        <v>49</v>
      </c>
      <c r="D10" s="470">
        <v>17093290</v>
      </c>
      <c r="E10" s="299" t="s">
        <v>50</v>
      </c>
      <c r="F10" s="468"/>
      <c r="G10" s="408"/>
      <c r="H10" s="408"/>
      <c r="I10" s="471">
        <f>+'OKT.WS.F.BPU.ATRR.Projected'!R101</f>
        <v>2024</v>
      </c>
      <c r="J10" s="467"/>
      <c r="K10" s="294" t="s">
        <v>51</v>
      </c>
      <c r="O10" s="278"/>
      <c r="P10" s="278"/>
    </row>
    <row r="11" spans="1:16">
      <c r="C11" s="472" t="s">
        <v>52</v>
      </c>
      <c r="D11" s="473">
        <v>2018</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c r="C12" s="472" t="s">
        <v>54</v>
      </c>
      <c r="D12" s="470">
        <v>12</v>
      </c>
      <c r="E12" s="472" t="s">
        <v>55</v>
      </c>
      <c r="F12" s="408"/>
      <c r="G12" s="220"/>
      <c r="H12" s="220"/>
      <c r="I12" s="476">
        <f>'OKT.WS.F.BPU.ATRR.Projected'!$F$79</f>
        <v>0.11393163315254198</v>
      </c>
      <c r="J12" s="413"/>
      <c r="K12" s="145" t="s">
        <v>56</v>
      </c>
      <c r="O12" s="278"/>
      <c r="P12" s="278"/>
    </row>
    <row r="13" spans="1:16">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row>
    <row r="14" spans="1:16" ht="13.5" thickBot="1">
      <c r="C14" s="472" t="s">
        <v>60</v>
      </c>
      <c r="D14" s="473" t="s">
        <v>61</v>
      </c>
      <c r="E14" s="278" t="s">
        <v>62</v>
      </c>
      <c r="F14" s="408"/>
      <c r="G14" s="220"/>
      <c r="H14" s="220"/>
      <c r="I14" s="477">
        <f>IF(D10=0,0,D10/D13)</f>
        <v>551396.45161290327</v>
      </c>
      <c r="J14" s="294"/>
      <c r="K14" s="294"/>
      <c r="L14" s="294"/>
      <c r="M14" s="294"/>
      <c r="N14" s="294"/>
      <c r="O14" s="278"/>
      <c r="P14" s="278"/>
    </row>
    <row r="15" spans="1:16"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c r="B17" s="145" t="str">
        <f t="shared" ref="B17:B71" si="0">IF(D17=F16,"","IU")</f>
        <v>IU</v>
      </c>
      <c r="C17" s="495">
        <f>IF(D11= "","-",D11)</f>
        <v>2018</v>
      </c>
      <c r="D17" s="641">
        <v>0</v>
      </c>
      <c r="E17" s="642">
        <v>0</v>
      </c>
      <c r="F17" s="643">
        <v>8591402</v>
      </c>
      <c r="G17" s="642">
        <v>472269.24918780552</v>
      </c>
      <c r="H17" s="644">
        <v>472269.24918780552</v>
      </c>
      <c r="I17" s="500">
        <f t="shared" ref="I17:I71" si="1">H17-G17</f>
        <v>0</v>
      </c>
      <c r="J17" s="500"/>
      <c r="K17" s="501">
        <f>+G17</f>
        <v>472269.24918780552</v>
      </c>
      <c r="L17" s="503">
        <f t="shared" ref="L17:L71" si="2">IF(K17&lt;&gt;0,+G17-K17,0)</f>
        <v>0</v>
      </c>
      <c r="M17" s="501">
        <f>+H17</f>
        <v>472269.24918780552</v>
      </c>
      <c r="N17" s="503">
        <f t="shared" ref="N17:N71" si="3">IF(M17&lt;&gt;0,+H17-M17,0)</f>
        <v>0</v>
      </c>
      <c r="O17" s="504">
        <f t="shared" ref="O17:O71" si="4">+N17-L17</f>
        <v>0</v>
      </c>
      <c r="P17" s="278"/>
    </row>
    <row r="18" spans="2:16">
      <c r="B18" s="145" t="str">
        <f t="shared" si="0"/>
        <v/>
      </c>
      <c r="C18" s="495">
        <f>IF(D11="","-",+C17+1)</f>
        <v>2019</v>
      </c>
      <c r="D18" s="614">
        <v>8591402</v>
      </c>
      <c r="E18" s="613">
        <v>254811.07676479843</v>
      </c>
      <c r="F18" s="614">
        <v>8336590.9232352013</v>
      </c>
      <c r="G18" s="613">
        <v>1134524.7126540036</v>
      </c>
      <c r="H18" s="617">
        <v>1134524.7126540036</v>
      </c>
      <c r="I18" s="500">
        <f t="shared" si="1"/>
        <v>0</v>
      </c>
      <c r="J18" s="500"/>
      <c r="K18" s="592">
        <f>+G18</f>
        <v>1134524.7126540036</v>
      </c>
      <c r="L18" s="596">
        <f t="shared" si="2"/>
        <v>0</v>
      </c>
      <c r="M18" s="592">
        <f>+H18</f>
        <v>1134524.7126540036</v>
      </c>
      <c r="N18" s="504">
        <f t="shared" si="3"/>
        <v>0</v>
      </c>
      <c r="O18" s="504">
        <f t="shared" si="4"/>
        <v>0</v>
      </c>
      <c r="P18" s="278"/>
    </row>
    <row r="19" spans="2:16">
      <c r="B19" s="145" t="str">
        <f t="shared" si="0"/>
        <v>IU</v>
      </c>
      <c r="C19" s="495">
        <f>IF(D11="","-",+C18+1)</f>
        <v>2020</v>
      </c>
      <c r="D19" s="614">
        <v>15412336.915406611</v>
      </c>
      <c r="E19" s="613">
        <v>463640.04013383167</v>
      </c>
      <c r="F19" s="614">
        <v>14948696.875272779</v>
      </c>
      <c r="G19" s="613">
        <v>2056569.1179354885</v>
      </c>
      <c r="H19" s="617">
        <v>2056569.1179354885</v>
      </c>
      <c r="I19" s="500">
        <f t="shared" si="1"/>
        <v>0</v>
      </c>
      <c r="J19" s="500"/>
      <c r="K19" s="592">
        <f>+G19</f>
        <v>2056569.1179354885</v>
      </c>
      <c r="L19" s="596">
        <f t="shared" ref="L19" si="5">IF(K19&lt;&gt;0,+G19-K19,0)</f>
        <v>0</v>
      </c>
      <c r="M19" s="592">
        <f>+H19</f>
        <v>2056569.1179354885</v>
      </c>
      <c r="N19" s="504">
        <f t="shared" si="3"/>
        <v>0</v>
      </c>
      <c r="O19" s="504">
        <f t="shared" si="4"/>
        <v>0</v>
      </c>
      <c r="P19" s="278"/>
    </row>
    <row r="20" spans="2:16">
      <c r="B20" s="145" t="str">
        <f t="shared" si="0"/>
        <v>IU</v>
      </c>
      <c r="C20" s="495">
        <f>IF(D11="","-",+C19+1)</f>
        <v>2021</v>
      </c>
      <c r="D20" s="614">
        <v>15187426.611313635</v>
      </c>
      <c r="E20" s="613">
        <v>386188.73170731706</v>
      </c>
      <c r="F20" s="614">
        <v>14801237.879606318</v>
      </c>
      <c r="G20" s="613">
        <v>2147888.2260048082</v>
      </c>
      <c r="H20" s="617">
        <v>2147888.2260048082</v>
      </c>
      <c r="I20" s="500">
        <f t="shared" si="1"/>
        <v>0</v>
      </c>
      <c r="J20" s="500"/>
      <c r="K20" s="592">
        <f>+G20</f>
        <v>2147888.2260048082</v>
      </c>
      <c r="L20" s="596">
        <f t="shared" ref="L20" si="6">IF(K20&lt;&gt;0,+G20-K20,0)</f>
        <v>0</v>
      </c>
      <c r="M20" s="592">
        <f>+H20</f>
        <v>2147888.2260048082</v>
      </c>
      <c r="N20" s="504">
        <f t="shared" si="3"/>
        <v>0</v>
      </c>
      <c r="O20" s="504">
        <f t="shared" si="4"/>
        <v>0</v>
      </c>
      <c r="P20" s="278"/>
    </row>
    <row r="21" spans="2:16">
      <c r="B21" s="145" t="str">
        <f t="shared" si="0"/>
        <v>IU</v>
      </c>
      <c r="C21" s="580">
        <f>IF(D11="","-",+C20+1)</f>
        <v>2022</v>
      </c>
      <c r="D21" s="614">
        <v>15988651.151394052</v>
      </c>
      <c r="E21" s="613">
        <v>517978.51515151514</v>
      </c>
      <c r="F21" s="614">
        <v>15470672.636242537</v>
      </c>
      <c r="G21" s="613">
        <v>2323095.2279110318</v>
      </c>
      <c r="H21" s="617">
        <v>2323095.2279110318</v>
      </c>
      <c r="I21" s="500">
        <f t="shared" si="1"/>
        <v>0</v>
      </c>
      <c r="J21" s="500"/>
      <c r="K21" s="592">
        <f>+G21</f>
        <v>2323095.2279110318</v>
      </c>
      <c r="L21" s="596">
        <f t="shared" ref="L21" si="7">IF(K21&lt;&gt;0,+G21-K21,0)</f>
        <v>0</v>
      </c>
      <c r="M21" s="592">
        <f>+H21</f>
        <v>2323095.2279110318</v>
      </c>
      <c r="N21" s="504">
        <f t="shared" si="3"/>
        <v>0</v>
      </c>
      <c r="O21" s="504">
        <f t="shared" si="4"/>
        <v>0</v>
      </c>
      <c r="P21" s="278"/>
    </row>
    <row r="22" spans="2:16">
      <c r="B22" s="145" t="str">
        <f t="shared" si="0"/>
        <v>IU</v>
      </c>
      <c r="C22" s="495">
        <f>IF(D11="","-",+C21+1)</f>
        <v>2023</v>
      </c>
      <c r="D22" s="614">
        <v>15470671.636242539</v>
      </c>
      <c r="E22" s="613">
        <v>551396.45161290327</v>
      </c>
      <c r="F22" s="614">
        <v>14919275.184629636</v>
      </c>
      <c r="G22" s="613">
        <v>2268927.6783923553</v>
      </c>
      <c r="H22" s="617">
        <v>2268927.6783923553</v>
      </c>
      <c r="I22" s="500">
        <f t="shared" si="1"/>
        <v>0</v>
      </c>
      <c r="J22" s="500"/>
      <c r="K22" s="512"/>
      <c r="L22" s="504">
        <f t="shared" si="2"/>
        <v>0</v>
      </c>
      <c r="M22" s="512"/>
      <c r="N22" s="504">
        <f t="shared" si="3"/>
        <v>0</v>
      </c>
      <c r="O22" s="504">
        <f t="shared" si="4"/>
        <v>0</v>
      </c>
      <c r="P22" s="278"/>
    </row>
    <row r="23" spans="2:16">
      <c r="B23" s="145" t="str">
        <f t="shared" si="0"/>
        <v/>
      </c>
      <c r="C23" s="495">
        <f>IF(D11="","-",+C22+1)</f>
        <v>2024</v>
      </c>
      <c r="D23" s="508">
        <f>IF(F22+SUM(E$17:E22)=D$10,F22,D$10-SUM(E$17:E22))</f>
        <v>14919275.184629636</v>
      </c>
      <c r="E23" s="509">
        <f t="shared" ref="E23:E71" si="8">IF(+I$14&lt;F22,I$14,D23)</f>
        <v>551396.45161290327</v>
      </c>
      <c r="F23" s="510">
        <f t="shared" ref="F23:F71" si="9">+D23-E23</f>
        <v>14367878.733016733</v>
      </c>
      <c r="G23" s="511">
        <f t="shared" ref="G23:G71" si="10">(D23+F23)/2*I$12+E23</f>
        <v>2219763.0897265626</v>
      </c>
      <c r="H23" s="477">
        <f t="shared" ref="H23:H71" si="11">+(D23+F23)/2*I$13+E23</f>
        <v>2219763.0897265626</v>
      </c>
      <c r="I23" s="500">
        <f t="shared" si="1"/>
        <v>0</v>
      </c>
      <c r="J23" s="500"/>
      <c r="K23" s="512"/>
      <c r="L23" s="504">
        <f t="shared" si="2"/>
        <v>0</v>
      </c>
      <c r="M23" s="512"/>
      <c r="N23" s="504">
        <f t="shared" si="3"/>
        <v>0</v>
      </c>
      <c r="O23" s="504">
        <f t="shared" si="4"/>
        <v>0</v>
      </c>
      <c r="P23" s="278"/>
    </row>
    <row r="24" spans="2:16">
      <c r="B24" s="145" t="str">
        <f t="shared" si="0"/>
        <v/>
      </c>
      <c r="C24" s="495">
        <f>IF(D11="","-",+C23+1)</f>
        <v>2025</v>
      </c>
      <c r="D24" s="508">
        <f>IF(F23+SUM(E$17:E23)=D$10,F23,D$10-SUM(E$17:E23))</f>
        <v>14367878.733016733</v>
      </c>
      <c r="E24" s="509">
        <f t="shared" si="8"/>
        <v>551396.45161290327</v>
      </c>
      <c r="F24" s="510">
        <f t="shared" si="9"/>
        <v>13816482.28140383</v>
      </c>
      <c r="G24" s="511">
        <f t="shared" si="10"/>
        <v>2156941.5914797881</v>
      </c>
      <c r="H24" s="477">
        <f t="shared" si="11"/>
        <v>2156941.5914797881</v>
      </c>
      <c r="I24" s="500">
        <f t="shared" si="1"/>
        <v>0</v>
      </c>
      <c r="J24" s="500"/>
      <c r="K24" s="512"/>
      <c r="L24" s="504">
        <f t="shared" si="2"/>
        <v>0</v>
      </c>
      <c r="M24" s="512"/>
      <c r="N24" s="504">
        <f t="shared" si="3"/>
        <v>0</v>
      </c>
      <c r="O24" s="504">
        <f t="shared" si="4"/>
        <v>0</v>
      </c>
      <c r="P24" s="278"/>
    </row>
    <row r="25" spans="2:16">
      <c r="B25" s="145" t="str">
        <f t="shared" si="0"/>
        <v/>
      </c>
      <c r="C25" s="495">
        <f>IF(D11="","-",+C24+1)</f>
        <v>2026</v>
      </c>
      <c r="D25" s="508">
        <f>IF(F24+SUM(E$17:E24)=D$10,F24,D$10-SUM(E$17:E24))</f>
        <v>13816482.28140383</v>
      </c>
      <c r="E25" s="509">
        <f t="shared" si="8"/>
        <v>551396.45161290327</v>
      </c>
      <c r="F25" s="510">
        <f t="shared" si="9"/>
        <v>13265085.829790927</v>
      </c>
      <c r="G25" s="511">
        <f t="shared" si="10"/>
        <v>2094120.0932330135</v>
      </c>
      <c r="H25" s="477">
        <f t="shared" si="11"/>
        <v>2094120.0932330135</v>
      </c>
      <c r="I25" s="500">
        <f t="shared" si="1"/>
        <v>0</v>
      </c>
      <c r="J25" s="500"/>
      <c r="K25" s="512"/>
      <c r="L25" s="504">
        <f t="shared" si="2"/>
        <v>0</v>
      </c>
      <c r="M25" s="512"/>
      <c r="N25" s="504">
        <f t="shared" si="3"/>
        <v>0</v>
      </c>
      <c r="O25" s="504">
        <f t="shared" si="4"/>
        <v>0</v>
      </c>
      <c r="P25" s="278"/>
    </row>
    <row r="26" spans="2:16">
      <c r="B26" s="145" t="str">
        <f t="shared" si="0"/>
        <v/>
      </c>
      <c r="C26" s="495">
        <f>IF(D11="","-",+C25+1)</f>
        <v>2027</v>
      </c>
      <c r="D26" s="508">
        <f>IF(F25+SUM(E$17:E25)=D$10,F25,D$10-SUM(E$17:E25))</f>
        <v>13265085.829790927</v>
      </c>
      <c r="E26" s="509">
        <f t="shared" si="8"/>
        <v>551396.45161290327</v>
      </c>
      <c r="F26" s="510">
        <f t="shared" si="9"/>
        <v>12713689.378178025</v>
      </c>
      <c r="G26" s="511">
        <f t="shared" si="10"/>
        <v>2031298.5949862387</v>
      </c>
      <c r="H26" s="477">
        <f t="shared" si="11"/>
        <v>2031298.5949862387</v>
      </c>
      <c r="I26" s="500">
        <f t="shared" si="1"/>
        <v>0</v>
      </c>
      <c r="J26" s="500"/>
      <c r="K26" s="512"/>
      <c r="L26" s="504">
        <f t="shared" si="2"/>
        <v>0</v>
      </c>
      <c r="M26" s="512"/>
      <c r="N26" s="504">
        <f t="shared" si="3"/>
        <v>0</v>
      </c>
      <c r="O26" s="504">
        <f t="shared" si="4"/>
        <v>0</v>
      </c>
      <c r="P26" s="278"/>
    </row>
    <row r="27" spans="2:16">
      <c r="B27" s="145" t="str">
        <f t="shared" si="0"/>
        <v/>
      </c>
      <c r="C27" s="495">
        <f>IF(D11="","-",+C26+1)</f>
        <v>2028</v>
      </c>
      <c r="D27" s="508">
        <f>IF(F26+SUM(E$17:E26)=D$10,F26,D$10-SUM(E$17:E26))</f>
        <v>12713689.378178025</v>
      </c>
      <c r="E27" s="509">
        <f t="shared" si="8"/>
        <v>551396.45161290327</v>
      </c>
      <c r="F27" s="510">
        <f t="shared" si="9"/>
        <v>12162292.926565122</v>
      </c>
      <c r="G27" s="511">
        <f t="shared" si="10"/>
        <v>1968477.0967394644</v>
      </c>
      <c r="H27" s="477">
        <f t="shared" si="11"/>
        <v>1968477.0967394644</v>
      </c>
      <c r="I27" s="500">
        <f t="shared" si="1"/>
        <v>0</v>
      </c>
      <c r="J27" s="500"/>
      <c r="K27" s="512"/>
      <c r="L27" s="504">
        <f t="shared" si="2"/>
        <v>0</v>
      </c>
      <c r="M27" s="512"/>
      <c r="N27" s="504">
        <f t="shared" si="3"/>
        <v>0</v>
      </c>
      <c r="O27" s="504">
        <f t="shared" si="4"/>
        <v>0</v>
      </c>
      <c r="P27" s="278"/>
    </row>
    <row r="28" spans="2:16">
      <c r="B28" s="145" t="str">
        <f t="shared" si="0"/>
        <v/>
      </c>
      <c r="C28" s="495">
        <f>IF(D11="","-",+C27+1)</f>
        <v>2029</v>
      </c>
      <c r="D28" s="508">
        <f>IF(F27+SUM(E$17:E27)=D$10,F27,D$10-SUM(E$17:E27))</f>
        <v>12162292.926565122</v>
      </c>
      <c r="E28" s="509">
        <f t="shared" si="8"/>
        <v>551396.45161290327</v>
      </c>
      <c r="F28" s="510">
        <f t="shared" si="9"/>
        <v>11610896.474952219</v>
      </c>
      <c r="G28" s="511">
        <f t="shared" si="10"/>
        <v>1905655.5984926897</v>
      </c>
      <c r="H28" s="477">
        <f t="shared" si="11"/>
        <v>1905655.5984926897</v>
      </c>
      <c r="I28" s="500">
        <f t="shared" si="1"/>
        <v>0</v>
      </c>
      <c r="J28" s="500"/>
      <c r="K28" s="512"/>
      <c r="L28" s="504">
        <f t="shared" si="2"/>
        <v>0</v>
      </c>
      <c r="M28" s="512"/>
      <c r="N28" s="504">
        <f t="shared" si="3"/>
        <v>0</v>
      </c>
      <c r="O28" s="504">
        <f t="shared" si="4"/>
        <v>0</v>
      </c>
      <c r="P28" s="278"/>
    </row>
    <row r="29" spans="2:16">
      <c r="B29" s="145" t="str">
        <f t="shared" si="0"/>
        <v/>
      </c>
      <c r="C29" s="495">
        <f>IF(D11="","-",+C28+1)</f>
        <v>2030</v>
      </c>
      <c r="D29" s="508">
        <f>IF(F28+SUM(E$17:E28)=D$10,F28,D$10-SUM(E$17:E28))</f>
        <v>11610896.474952219</v>
      </c>
      <c r="E29" s="509">
        <f t="shared" si="8"/>
        <v>551396.45161290327</v>
      </c>
      <c r="F29" s="510">
        <f t="shared" si="9"/>
        <v>11059500.023339316</v>
      </c>
      <c r="G29" s="511">
        <f t="shared" si="10"/>
        <v>1842834.1002459151</v>
      </c>
      <c r="H29" s="477">
        <f t="shared" si="11"/>
        <v>1842834.1002459151</v>
      </c>
      <c r="I29" s="500">
        <f t="shared" si="1"/>
        <v>0</v>
      </c>
      <c r="J29" s="500"/>
      <c r="K29" s="512"/>
      <c r="L29" s="504">
        <f t="shared" si="2"/>
        <v>0</v>
      </c>
      <c r="M29" s="512"/>
      <c r="N29" s="504">
        <f t="shared" si="3"/>
        <v>0</v>
      </c>
      <c r="O29" s="504">
        <f t="shared" si="4"/>
        <v>0</v>
      </c>
      <c r="P29" s="278"/>
    </row>
    <row r="30" spans="2:16">
      <c r="B30" s="145" t="str">
        <f t="shared" si="0"/>
        <v/>
      </c>
      <c r="C30" s="495">
        <f>IF(D11="","-",+C29+1)</f>
        <v>2031</v>
      </c>
      <c r="D30" s="508">
        <f>IF(F29+SUM(E$17:E29)=D$10,F29,D$10-SUM(E$17:E29))</f>
        <v>11059500.023339316</v>
      </c>
      <c r="E30" s="509">
        <f t="shared" si="8"/>
        <v>551396.45161290327</v>
      </c>
      <c r="F30" s="510">
        <f t="shared" si="9"/>
        <v>10508103.571726413</v>
      </c>
      <c r="G30" s="511">
        <f t="shared" si="10"/>
        <v>1780012.6019991403</v>
      </c>
      <c r="H30" s="477">
        <f t="shared" si="11"/>
        <v>1780012.6019991403</v>
      </c>
      <c r="I30" s="500">
        <f t="shared" si="1"/>
        <v>0</v>
      </c>
      <c r="J30" s="500"/>
      <c r="K30" s="512"/>
      <c r="L30" s="504">
        <f t="shared" si="2"/>
        <v>0</v>
      </c>
      <c r="M30" s="512"/>
      <c r="N30" s="504">
        <f t="shared" si="3"/>
        <v>0</v>
      </c>
      <c r="O30" s="504">
        <f t="shared" si="4"/>
        <v>0</v>
      </c>
      <c r="P30" s="278"/>
    </row>
    <row r="31" spans="2:16">
      <c r="B31" s="145" t="str">
        <f t="shared" si="0"/>
        <v/>
      </c>
      <c r="C31" s="495">
        <f>IF(D11="","-",+C30+1)</f>
        <v>2032</v>
      </c>
      <c r="D31" s="508">
        <f>IF(F30+SUM(E$17:E30)=D$10,F30,D$10-SUM(E$17:E30))</f>
        <v>10508103.571726413</v>
      </c>
      <c r="E31" s="509">
        <f t="shared" si="8"/>
        <v>551396.45161290327</v>
      </c>
      <c r="F31" s="510">
        <f t="shared" si="9"/>
        <v>9956707.1201135106</v>
      </c>
      <c r="G31" s="511">
        <f t="shared" si="10"/>
        <v>1717191.103752366</v>
      </c>
      <c r="H31" s="477">
        <f t="shared" si="11"/>
        <v>1717191.103752366</v>
      </c>
      <c r="I31" s="500">
        <f t="shared" si="1"/>
        <v>0</v>
      </c>
      <c r="J31" s="500"/>
      <c r="K31" s="512"/>
      <c r="L31" s="504">
        <f t="shared" si="2"/>
        <v>0</v>
      </c>
      <c r="M31" s="512"/>
      <c r="N31" s="504">
        <f t="shared" si="3"/>
        <v>0</v>
      </c>
      <c r="O31" s="504">
        <f t="shared" si="4"/>
        <v>0</v>
      </c>
      <c r="P31" s="278"/>
    </row>
    <row r="32" spans="2:16">
      <c r="B32" s="145" t="str">
        <f t="shared" si="0"/>
        <v/>
      </c>
      <c r="C32" s="495">
        <f>IF(D11="","-",+C31+1)</f>
        <v>2033</v>
      </c>
      <c r="D32" s="508">
        <f>IF(F31+SUM(E$17:E31)=D$10,F31,D$10-SUM(E$17:E31))</f>
        <v>9956707.1201135106</v>
      </c>
      <c r="E32" s="509">
        <f t="shared" si="8"/>
        <v>551396.45161290327</v>
      </c>
      <c r="F32" s="510">
        <f t="shared" si="9"/>
        <v>9405310.6685006078</v>
      </c>
      <c r="G32" s="511">
        <f t="shared" si="10"/>
        <v>1654369.605505591</v>
      </c>
      <c r="H32" s="477">
        <f t="shared" si="11"/>
        <v>1654369.605505591</v>
      </c>
      <c r="I32" s="500">
        <f t="shared" si="1"/>
        <v>0</v>
      </c>
      <c r="J32" s="500"/>
      <c r="K32" s="512"/>
      <c r="L32" s="504">
        <f t="shared" si="2"/>
        <v>0</v>
      </c>
      <c r="M32" s="512"/>
      <c r="N32" s="504">
        <f t="shared" si="3"/>
        <v>0</v>
      </c>
      <c r="O32" s="504">
        <f t="shared" si="4"/>
        <v>0</v>
      </c>
      <c r="P32" s="278"/>
    </row>
    <row r="33" spans="2:16">
      <c r="B33" s="145" t="str">
        <f t="shared" si="0"/>
        <v/>
      </c>
      <c r="C33" s="495">
        <f>IF(D11="","-",+C32+1)</f>
        <v>2034</v>
      </c>
      <c r="D33" s="508">
        <f>IF(F32+SUM(E$17:E32)=D$10,F32,D$10-SUM(E$17:E32))</f>
        <v>9405310.6685006078</v>
      </c>
      <c r="E33" s="509">
        <f t="shared" si="8"/>
        <v>551396.45161290327</v>
      </c>
      <c r="F33" s="510">
        <f t="shared" si="9"/>
        <v>8853914.216887705</v>
      </c>
      <c r="G33" s="511">
        <f t="shared" si="10"/>
        <v>1591548.1072588167</v>
      </c>
      <c r="H33" s="477">
        <f t="shared" si="11"/>
        <v>1591548.1072588167</v>
      </c>
      <c r="I33" s="500">
        <f t="shared" si="1"/>
        <v>0</v>
      </c>
      <c r="J33" s="500"/>
      <c r="K33" s="512"/>
      <c r="L33" s="504">
        <f t="shared" si="2"/>
        <v>0</v>
      </c>
      <c r="M33" s="512"/>
      <c r="N33" s="504">
        <f t="shared" si="3"/>
        <v>0</v>
      </c>
      <c r="O33" s="504">
        <f t="shared" si="4"/>
        <v>0</v>
      </c>
      <c r="P33" s="278"/>
    </row>
    <row r="34" spans="2:16">
      <c r="B34" s="145" t="str">
        <f t="shared" si="0"/>
        <v/>
      </c>
      <c r="C34" s="495">
        <f>IF(D11="","-",+C33+1)</f>
        <v>2035</v>
      </c>
      <c r="D34" s="508">
        <f>IF(F33+SUM(E$17:E33)=D$10,F33,D$10-SUM(E$17:E33))</f>
        <v>8853914.216887705</v>
      </c>
      <c r="E34" s="509">
        <f t="shared" si="8"/>
        <v>551396.45161290327</v>
      </c>
      <c r="F34" s="510">
        <f t="shared" si="9"/>
        <v>8302517.7652748022</v>
      </c>
      <c r="G34" s="511">
        <f t="shared" si="10"/>
        <v>1528726.6090120419</v>
      </c>
      <c r="H34" s="477">
        <f t="shared" si="11"/>
        <v>1528726.6090120419</v>
      </c>
      <c r="I34" s="500">
        <f t="shared" si="1"/>
        <v>0</v>
      </c>
      <c r="J34" s="500"/>
      <c r="K34" s="512"/>
      <c r="L34" s="504">
        <f t="shared" si="2"/>
        <v>0</v>
      </c>
      <c r="M34" s="512"/>
      <c r="N34" s="504">
        <f t="shared" si="3"/>
        <v>0</v>
      </c>
      <c r="O34" s="504">
        <f t="shared" si="4"/>
        <v>0</v>
      </c>
      <c r="P34" s="278"/>
    </row>
    <row r="35" spans="2:16">
      <c r="B35" s="145" t="str">
        <f t="shared" si="0"/>
        <v/>
      </c>
      <c r="C35" s="495">
        <f>IF(D11="","-",+C34+1)</f>
        <v>2036</v>
      </c>
      <c r="D35" s="508">
        <f>IF(F34+SUM(E$17:E34)=D$10,F34,D$10-SUM(E$17:E34))</f>
        <v>8302517.7652748022</v>
      </c>
      <c r="E35" s="509">
        <f t="shared" si="8"/>
        <v>551396.45161290327</v>
      </c>
      <c r="F35" s="510">
        <f t="shared" si="9"/>
        <v>7751121.3136618994</v>
      </c>
      <c r="G35" s="511">
        <f t="shared" si="10"/>
        <v>1465905.1107652674</v>
      </c>
      <c r="H35" s="477">
        <f t="shared" si="11"/>
        <v>1465905.1107652674</v>
      </c>
      <c r="I35" s="500">
        <f t="shared" si="1"/>
        <v>0</v>
      </c>
      <c r="J35" s="500"/>
      <c r="K35" s="512"/>
      <c r="L35" s="504">
        <f t="shared" si="2"/>
        <v>0</v>
      </c>
      <c r="M35" s="512"/>
      <c r="N35" s="504">
        <f t="shared" si="3"/>
        <v>0</v>
      </c>
      <c r="O35" s="504">
        <f t="shared" si="4"/>
        <v>0</v>
      </c>
      <c r="P35" s="278"/>
    </row>
    <row r="36" spans="2:16">
      <c r="B36" s="145" t="str">
        <f t="shared" si="0"/>
        <v/>
      </c>
      <c r="C36" s="495">
        <f>IF(D11="","-",+C35+1)</f>
        <v>2037</v>
      </c>
      <c r="D36" s="508">
        <f>IF(F35+SUM(E$17:E35)=D$10,F35,D$10-SUM(E$17:E35))</f>
        <v>7751121.3136618994</v>
      </c>
      <c r="E36" s="509">
        <f t="shared" si="8"/>
        <v>551396.45161290327</v>
      </c>
      <c r="F36" s="510">
        <f t="shared" si="9"/>
        <v>7199724.8620489966</v>
      </c>
      <c r="G36" s="511">
        <f t="shared" si="10"/>
        <v>1403083.6125184929</v>
      </c>
      <c r="H36" s="477">
        <f t="shared" si="11"/>
        <v>1403083.6125184929</v>
      </c>
      <c r="I36" s="500">
        <f t="shared" si="1"/>
        <v>0</v>
      </c>
      <c r="J36" s="500"/>
      <c r="K36" s="512"/>
      <c r="L36" s="504">
        <f t="shared" si="2"/>
        <v>0</v>
      </c>
      <c r="M36" s="512"/>
      <c r="N36" s="504">
        <f t="shared" si="3"/>
        <v>0</v>
      </c>
      <c r="O36" s="504">
        <f t="shared" si="4"/>
        <v>0</v>
      </c>
      <c r="P36" s="278"/>
    </row>
    <row r="37" spans="2:16">
      <c r="B37" s="145" t="str">
        <f t="shared" si="0"/>
        <v/>
      </c>
      <c r="C37" s="495">
        <f>IF(D11="","-",+C36+1)</f>
        <v>2038</v>
      </c>
      <c r="D37" s="508">
        <f>IF(F36+SUM(E$17:E36)=D$10,F36,D$10-SUM(E$17:E36))</f>
        <v>7199724.8620489966</v>
      </c>
      <c r="E37" s="509">
        <f t="shared" si="8"/>
        <v>551396.45161290327</v>
      </c>
      <c r="F37" s="510">
        <f t="shared" si="9"/>
        <v>6648328.4104360938</v>
      </c>
      <c r="G37" s="511">
        <f t="shared" si="10"/>
        <v>1340262.1142717181</v>
      </c>
      <c r="H37" s="477">
        <f t="shared" si="11"/>
        <v>1340262.1142717181</v>
      </c>
      <c r="I37" s="500">
        <f t="shared" si="1"/>
        <v>0</v>
      </c>
      <c r="J37" s="500"/>
      <c r="K37" s="512"/>
      <c r="L37" s="504">
        <f t="shared" si="2"/>
        <v>0</v>
      </c>
      <c r="M37" s="512"/>
      <c r="N37" s="504">
        <f t="shared" si="3"/>
        <v>0</v>
      </c>
      <c r="O37" s="504">
        <f t="shared" si="4"/>
        <v>0</v>
      </c>
      <c r="P37" s="278"/>
    </row>
    <row r="38" spans="2:16">
      <c r="B38" s="145" t="str">
        <f t="shared" si="0"/>
        <v/>
      </c>
      <c r="C38" s="495">
        <f>IF(D11="","-",+C37+1)</f>
        <v>2039</v>
      </c>
      <c r="D38" s="508">
        <f>IF(F37+SUM(E$17:E37)=D$10,F37,D$10-SUM(E$17:E37))</f>
        <v>6648328.4104360938</v>
      </c>
      <c r="E38" s="509">
        <f t="shared" si="8"/>
        <v>551396.45161290327</v>
      </c>
      <c r="F38" s="510">
        <f t="shared" si="9"/>
        <v>6096931.958823191</v>
      </c>
      <c r="G38" s="511">
        <f t="shared" si="10"/>
        <v>1277440.6160249435</v>
      </c>
      <c r="H38" s="477">
        <f t="shared" si="11"/>
        <v>1277440.6160249435</v>
      </c>
      <c r="I38" s="500">
        <f t="shared" si="1"/>
        <v>0</v>
      </c>
      <c r="J38" s="500"/>
      <c r="K38" s="512"/>
      <c r="L38" s="504">
        <f t="shared" si="2"/>
        <v>0</v>
      </c>
      <c r="M38" s="512"/>
      <c r="N38" s="504">
        <f t="shared" si="3"/>
        <v>0</v>
      </c>
      <c r="O38" s="504">
        <f t="shared" si="4"/>
        <v>0</v>
      </c>
      <c r="P38" s="278"/>
    </row>
    <row r="39" spans="2:16">
      <c r="B39" s="145" t="str">
        <f t="shared" si="0"/>
        <v/>
      </c>
      <c r="C39" s="495">
        <f>IF(D11="","-",+C38+1)</f>
        <v>2040</v>
      </c>
      <c r="D39" s="508">
        <f>IF(F38+SUM(E$17:E38)=D$10,F38,D$10-SUM(E$17:E38))</f>
        <v>6096931.958823191</v>
      </c>
      <c r="E39" s="509">
        <f t="shared" si="8"/>
        <v>551396.45161290327</v>
      </c>
      <c r="F39" s="510">
        <f t="shared" si="9"/>
        <v>5545535.5072102882</v>
      </c>
      <c r="G39" s="511">
        <f t="shared" si="10"/>
        <v>1214619.117778169</v>
      </c>
      <c r="H39" s="477">
        <f t="shared" si="11"/>
        <v>1214619.117778169</v>
      </c>
      <c r="I39" s="500">
        <f t="shared" si="1"/>
        <v>0</v>
      </c>
      <c r="J39" s="500"/>
      <c r="K39" s="512"/>
      <c r="L39" s="504">
        <f t="shared" si="2"/>
        <v>0</v>
      </c>
      <c r="M39" s="512"/>
      <c r="N39" s="504">
        <f t="shared" si="3"/>
        <v>0</v>
      </c>
      <c r="O39" s="504">
        <f t="shared" si="4"/>
        <v>0</v>
      </c>
      <c r="P39" s="278"/>
    </row>
    <row r="40" spans="2:16">
      <c r="B40" s="145" t="str">
        <f t="shared" si="0"/>
        <v/>
      </c>
      <c r="C40" s="495">
        <f>IF(D11="","-",+C39+1)</f>
        <v>2041</v>
      </c>
      <c r="D40" s="508">
        <f>IF(F39+SUM(E$17:E39)=D$10,F39,D$10-SUM(E$17:E39))</f>
        <v>5545535.5072102882</v>
      </c>
      <c r="E40" s="509">
        <f t="shared" si="8"/>
        <v>551396.45161290327</v>
      </c>
      <c r="F40" s="510">
        <f t="shared" si="9"/>
        <v>4994139.0555973854</v>
      </c>
      <c r="G40" s="511">
        <f t="shared" si="10"/>
        <v>1151797.6195313944</v>
      </c>
      <c r="H40" s="477">
        <f t="shared" si="11"/>
        <v>1151797.6195313944</v>
      </c>
      <c r="I40" s="500">
        <f t="shared" si="1"/>
        <v>0</v>
      </c>
      <c r="J40" s="500"/>
      <c r="K40" s="512"/>
      <c r="L40" s="504">
        <f t="shared" si="2"/>
        <v>0</v>
      </c>
      <c r="M40" s="512"/>
      <c r="N40" s="504">
        <f t="shared" si="3"/>
        <v>0</v>
      </c>
      <c r="O40" s="504">
        <f t="shared" si="4"/>
        <v>0</v>
      </c>
      <c r="P40" s="278"/>
    </row>
    <row r="41" spans="2:16">
      <c r="B41" s="145" t="str">
        <f t="shared" si="0"/>
        <v/>
      </c>
      <c r="C41" s="495">
        <f>IF(D11="","-",+C40+1)</f>
        <v>2042</v>
      </c>
      <c r="D41" s="508">
        <f>IF(F40+SUM(E$17:E40)=D$10,F40,D$10-SUM(E$17:E40))</f>
        <v>4994139.0555973854</v>
      </c>
      <c r="E41" s="509">
        <f t="shared" si="8"/>
        <v>551396.45161290327</v>
      </c>
      <c r="F41" s="510">
        <f t="shared" si="9"/>
        <v>4442742.6039844826</v>
      </c>
      <c r="G41" s="511">
        <f t="shared" si="10"/>
        <v>1088976.1212846199</v>
      </c>
      <c r="H41" s="477">
        <f t="shared" si="11"/>
        <v>1088976.1212846199</v>
      </c>
      <c r="I41" s="500">
        <f t="shared" si="1"/>
        <v>0</v>
      </c>
      <c r="J41" s="500"/>
      <c r="K41" s="512"/>
      <c r="L41" s="504">
        <f t="shared" si="2"/>
        <v>0</v>
      </c>
      <c r="M41" s="512"/>
      <c r="N41" s="504">
        <f t="shared" si="3"/>
        <v>0</v>
      </c>
      <c r="O41" s="504">
        <f t="shared" si="4"/>
        <v>0</v>
      </c>
      <c r="P41" s="278"/>
    </row>
    <row r="42" spans="2:16">
      <c r="B42" s="145" t="str">
        <f t="shared" si="0"/>
        <v/>
      </c>
      <c r="C42" s="495">
        <f>IF(D11="","-",+C41+1)</f>
        <v>2043</v>
      </c>
      <c r="D42" s="508">
        <f>IF(F41+SUM(E$17:E41)=D$10,F41,D$10-SUM(E$17:E41))</f>
        <v>4442742.6039844826</v>
      </c>
      <c r="E42" s="509">
        <f t="shared" si="8"/>
        <v>551396.45161290327</v>
      </c>
      <c r="F42" s="510">
        <f t="shared" si="9"/>
        <v>3891346.1523715793</v>
      </c>
      <c r="G42" s="511">
        <f t="shared" si="10"/>
        <v>1026154.6230378451</v>
      </c>
      <c r="H42" s="477">
        <f t="shared" si="11"/>
        <v>1026154.6230378451</v>
      </c>
      <c r="I42" s="500">
        <f t="shared" si="1"/>
        <v>0</v>
      </c>
      <c r="J42" s="500"/>
      <c r="K42" s="512"/>
      <c r="L42" s="504">
        <f t="shared" si="2"/>
        <v>0</v>
      </c>
      <c r="M42" s="512"/>
      <c r="N42" s="504">
        <f t="shared" si="3"/>
        <v>0</v>
      </c>
      <c r="O42" s="504">
        <f t="shared" si="4"/>
        <v>0</v>
      </c>
      <c r="P42" s="278"/>
    </row>
    <row r="43" spans="2:16">
      <c r="B43" s="145" t="str">
        <f t="shared" si="0"/>
        <v/>
      </c>
      <c r="C43" s="495">
        <f>IF(D11="","-",+C42+1)</f>
        <v>2044</v>
      </c>
      <c r="D43" s="508">
        <f>IF(F42+SUM(E$17:E42)=D$10,F42,D$10-SUM(E$17:E42))</f>
        <v>3891346.1523715793</v>
      </c>
      <c r="E43" s="509">
        <f t="shared" si="8"/>
        <v>551396.45161290327</v>
      </c>
      <c r="F43" s="510">
        <f t="shared" si="9"/>
        <v>3339949.700758676</v>
      </c>
      <c r="G43" s="511">
        <f t="shared" si="10"/>
        <v>963333.12479107035</v>
      </c>
      <c r="H43" s="477">
        <f t="shared" si="11"/>
        <v>963333.12479107035</v>
      </c>
      <c r="I43" s="500">
        <f t="shared" si="1"/>
        <v>0</v>
      </c>
      <c r="J43" s="500"/>
      <c r="K43" s="512"/>
      <c r="L43" s="504">
        <f t="shared" si="2"/>
        <v>0</v>
      </c>
      <c r="M43" s="512"/>
      <c r="N43" s="504">
        <f t="shared" si="3"/>
        <v>0</v>
      </c>
      <c r="O43" s="504">
        <f t="shared" si="4"/>
        <v>0</v>
      </c>
      <c r="P43" s="278"/>
    </row>
    <row r="44" spans="2:16">
      <c r="B44" s="145" t="str">
        <f t="shared" si="0"/>
        <v/>
      </c>
      <c r="C44" s="495">
        <f>IF(D11="","-",+C43+1)</f>
        <v>2045</v>
      </c>
      <c r="D44" s="508">
        <f>IF(F43+SUM(E$17:E43)=D$10,F43,D$10-SUM(E$17:E43))</f>
        <v>3339949.700758676</v>
      </c>
      <c r="E44" s="509">
        <f t="shared" si="8"/>
        <v>551396.45161290327</v>
      </c>
      <c r="F44" s="510">
        <f t="shared" si="9"/>
        <v>2788553.2491457728</v>
      </c>
      <c r="G44" s="511">
        <f t="shared" si="10"/>
        <v>900511.62654429581</v>
      </c>
      <c r="H44" s="477">
        <f t="shared" si="11"/>
        <v>900511.62654429581</v>
      </c>
      <c r="I44" s="500">
        <f t="shared" si="1"/>
        <v>0</v>
      </c>
      <c r="J44" s="500"/>
      <c r="K44" s="512"/>
      <c r="L44" s="504">
        <f t="shared" si="2"/>
        <v>0</v>
      </c>
      <c r="M44" s="512"/>
      <c r="N44" s="504">
        <f t="shared" si="3"/>
        <v>0</v>
      </c>
      <c r="O44" s="504">
        <f t="shared" si="4"/>
        <v>0</v>
      </c>
      <c r="P44" s="278"/>
    </row>
    <row r="45" spans="2:16">
      <c r="B45" s="145" t="str">
        <f t="shared" si="0"/>
        <v/>
      </c>
      <c r="C45" s="495">
        <f>IF(D11="","-",+C44+1)</f>
        <v>2046</v>
      </c>
      <c r="D45" s="508">
        <f>IF(F44+SUM(E$17:E44)=D$10,F44,D$10-SUM(E$17:E44))</f>
        <v>2788553.2491457728</v>
      </c>
      <c r="E45" s="509">
        <f t="shared" si="8"/>
        <v>551396.45161290327</v>
      </c>
      <c r="F45" s="510">
        <f t="shared" si="9"/>
        <v>2237156.7975328695</v>
      </c>
      <c r="G45" s="511">
        <f t="shared" si="10"/>
        <v>837690.12829752103</v>
      </c>
      <c r="H45" s="477">
        <f t="shared" si="11"/>
        <v>837690.12829752103</v>
      </c>
      <c r="I45" s="500">
        <f t="shared" si="1"/>
        <v>0</v>
      </c>
      <c r="J45" s="500"/>
      <c r="K45" s="512"/>
      <c r="L45" s="504">
        <f t="shared" si="2"/>
        <v>0</v>
      </c>
      <c r="M45" s="512"/>
      <c r="N45" s="504">
        <f t="shared" si="3"/>
        <v>0</v>
      </c>
      <c r="O45" s="504">
        <f t="shared" si="4"/>
        <v>0</v>
      </c>
      <c r="P45" s="278"/>
    </row>
    <row r="46" spans="2:16">
      <c r="B46" s="145" t="str">
        <f t="shared" si="0"/>
        <v/>
      </c>
      <c r="C46" s="495">
        <f>IF(D11="","-",+C45+1)</f>
        <v>2047</v>
      </c>
      <c r="D46" s="508">
        <f>IF(F45+SUM(E$17:E45)=D$10,F45,D$10-SUM(E$17:E45))</f>
        <v>2237156.7975328695</v>
      </c>
      <c r="E46" s="509">
        <f t="shared" si="8"/>
        <v>551396.45161290327</v>
      </c>
      <c r="F46" s="510">
        <f t="shared" si="9"/>
        <v>1685760.3459199662</v>
      </c>
      <c r="G46" s="511">
        <f t="shared" si="10"/>
        <v>774868.63005074649</v>
      </c>
      <c r="H46" s="477">
        <f t="shared" si="11"/>
        <v>774868.63005074649</v>
      </c>
      <c r="I46" s="500">
        <f t="shared" si="1"/>
        <v>0</v>
      </c>
      <c r="J46" s="500"/>
      <c r="K46" s="512"/>
      <c r="L46" s="504">
        <f t="shared" si="2"/>
        <v>0</v>
      </c>
      <c r="M46" s="512"/>
      <c r="N46" s="504">
        <f t="shared" si="3"/>
        <v>0</v>
      </c>
      <c r="O46" s="504">
        <f t="shared" si="4"/>
        <v>0</v>
      </c>
      <c r="P46" s="278"/>
    </row>
    <row r="47" spans="2:16">
      <c r="B47" s="145" t="str">
        <f t="shared" si="0"/>
        <v/>
      </c>
      <c r="C47" s="495">
        <f>IF(D11="","-",+C46+1)</f>
        <v>2048</v>
      </c>
      <c r="D47" s="508">
        <f>IF(F46+SUM(E$17:E46)=D$10,F46,D$10-SUM(E$17:E46))</f>
        <v>1685760.3459199662</v>
      </c>
      <c r="E47" s="509">
        <f t="shared" si="8"/>
        <v>551396.45161290327</v>
      </c>
      <c r="F47" s="510">
        <f t="shared" si="9"/>
        <v>1134363.894307063</v>
      </c>
      <c r="G47" s="511">
        <f t="shared" si="10"/>
        <v>712047.13180397183</v>
      </c>
      <c r="H47" s="477">
        <f t="shared" si="11"/>
        <v>712047.13180397183</v>
      </c>
      <c r="I47" s="500">
        <f t="shared" si="1"/>
        <v>0</v>
      </c>
      <c r="J47" s="500"/>
      <c r="K47" s="512"/>
      <c r="L47" s="504">
        <f t="shared" si="2"/>
        <v>0</v>
      </c>
      <c r="M47" s="512"/>
      <c r="N47" s="504">
        <f t="shared" si="3"/>
        <v>0</v>
      </c>
      <c r="O47" s="504">
        <f t="shared" si="4"/>
        <v>0</v>
      </c>
      <c r="P47" s="278"/>
    </row>
    <row r="48" spans="2:16">
      <c r="B48" s="145" t="str">
        <f t="shared" si="0"/>
        <v/>
      </c>
      <c r="C48" s="495">
        <f>IF(D11="","-",+C47+1)</f>
        <v>2049</v>
      </c>
      <c r="D48" s="508">
        <f>IF(F47+SUM(E$17:E47)=D$10,F47,D$10-SUM(E$17:E47))</f>
        <v>1134363.894307063</v>
      </c>
      <c r="E48" s="509">
        <f t="shared" si="8"/>
        <v>551396.45161290327</v>
      </c>
      <c r="F48" s="510">
        <f t="shared" si="9"/>
        <v>582967.44269415969</v>
      </c>
      <c r="G48" s="511">
        <f t="shared" si="10"/>
        <v>649225.63355719717</v>
      </c>
      <c r="H48" s="477">
        <f t="shared" si="11"/>
        <v>649225.63355719717</v>
      </c>
      <c r="I48" s="500">
        <f t="shared" si="1"/>
        <v>0</v>
      </c>
      <c r="J48" s="500"/>
      <c r="K48" s="512"/>
      <c r="L48" s="504">
        <f t="shared" si="2"/>
        <v>0</v>
      </c>
      <c r="M48" s="512"/>
      <c r="N48" s="504">
        <f t="shared" si="3"/>
        <v>0</v>
      </c>
      <c r="O48" s="504">
        <f t="shared" si="4"/>
        <v>0</v>
      </c>
      <c r="P48" s="278"/>
    </row>
    <row r="49" spans="2:16">
      <c r="B49" s="145" t="str">
        <f t="shared" si="0"/>
        <v/>
      </c>
      <c r="C49" s="495">
        <f>IF(D11="","-",+C48+1)</f>
        <v>2050</v>
      </c>
      <c r="D49" s="508">
        <f>IF(F48+SUM(E$17:E48)=D$10,F48,D$10-SUM(E$17:E48))</f>
        <v>582967.44269415969</v>
      </c>
      <c r="E49" s="509">
        <f t="shared" si="8"/>
        <v>551396.45161290327</v>
      </c>
      <c r="F49" s="510">
        <f t="shared" si="9"/>
        <v>31570.991081256419</v>
      </c>
      <c r="G49" s="511">
        <f t="shared" si="10"/>
        <v>586404.13531042251</v>
      </c>
      <c r="H49" s="477">
        <f t="shared" si="11"/>
        <v>586404.13531042251</v>
      </c>
      <c r="I49" s="500">
        <f t="shared" si="1"/>
        <v>0</v>
      </c>
      <c r="J49" s="500"/>
      <c r="K49" s="512"/>
      <c r="L49" s="504">
        <f t="shared" si="2"/>
        <v>0</v>
      </c>
      <c r="M49" s="512"/>
      <c r="N49" s="504">
        <f t="shared" si="3"/>
        <v>0</v>
      </c>
      <c r="O49" s="504">
        <f t="shared" si="4"/>
        <v>0</v>
      </c>
      <c r="P49" s="278"/>
    </row>
    <row r="50" spans="2:16">
      <c r="B50" s="145" t="str">
        <f t="shared" si="0"/>
        <v/>
      </c>
      <c r="C50" s="495">
        <f>IF(D11="","-",+C49+1)</f>
        <v>2051</v>
      </c>
      <c r="D50" s="508">
        <f>IF(F49+SUM(E$17:E49)=D$10,F49,D$10-SUM(E$17:E49))</f>
        <v>31570.991081256419</v>
      </c>
      <c r="E50" s="509">
        <f t="shared" si="8"/>
        <v>31570.991081256419</v>
      </c>
      <c r="F50" s="510">
        <f t="shared" si="9"/>
        <v>0</v>
      </c>
      <c r="G50" s="511">
        <f t="shared" si="10"/>
        <v>33369.458368322361</v>
      </c>
      <c r="H50" s="477">
        <f t="shared" si="11"/>
        <v>33369.458368322361</v>
      </c>
      <c r="I50" s="500">
        <f t="shared" si="1"/>
        <v>0</v>
      </c>
      <c r="J50" s="500"/>
      <c r="K50" s="512"/>
      <c r="L50" s="504">
        <f t="shared" si="2"/>
        <v>0</v>
      </c>
      <c r="M50" s="512"/>
      <c r="N50" s="504">
        <f t="shared" si="3"/>
        <v>0</v>
      </c>
      <c r="O50" s="504">
        <f t="shared" si="4"/>
        <v>0</v>
      </c>
      <c r="P50" s="278"/>
    </row>
    <row r="51" spans="2:16">
      <c r="B51" s="145" t="str">
        <f t="shared" si="0"/>
        <v/>
      </c>
      <c r="C51" s="495">
        <f>IF(D11="","-",+C50+1)</f>
        <v>2052</v>
      </c>
      <c r="D51" s="508">
        <f>IF(F50+SUM(E$17:E50)=D$10,F50,D$10-SUM(E$17:E50))</f>
        <v>0</v>
      </c>
      <c r="E51" s="509">
        <f t="shared" si="8"/>
        <v>0</v>
      </c>
      <c r="F51" s="510">
        <f t="shared" si="9"/>
        <v>0</v>
      </c>
      <c r="G51" s="511">
        <f t="shared" si="10"/>
        <v>0</v>
      </c>
      <c r="H51" s="477">
        <f t="shared" si="11"/>
        <v>0</v>
      </c>
      <c r="I51" s="500">
        <f t="shared" si="1"/>
        <v>0</v>
      </c>
      <c r="J51" s="500"/>
      <c r="K51" s="512"/>
      <c r="L51" s="504">
        <f t="shared" si="2"/>
        <v>0</v>
      </c>
      <c r="M51" s="512"/>
      <c r="N51" s="504">
        <f t="shared" si="3"/>
        <v>0</v>
      </c>
      <c r="O51" s="504">
        <f t="shared" si="4"/>
        <v>0</v>
      </c>
      <c r="P51" s="278"/>
    </row>
    <row r="52" spans="2:16">
      <c r="B52" s="145" t="str">
        <f t="shared" si="0"/>
        <v/>
      </c>
      <c r="C52" s="495">
        <f>IF(D11="","-",+C51+1)</f>
        <v>2053</v>
      </c>
      <c r="D52" s="508">
        <f>IF(F51+SUM(E$17:E51)=D$10,F51,D$10-SUM(E$17:E51))</f>
        <v>0</v>
      </c>
      <c r="E52" s="509">
        <f t="shared" si="8"/>
        <v>0</v>
      </c>
      <c r="F52" s="510">
        <f t="shared" si="9"/>
        <v>0</v>
      </c>
      <c r="G52" s="511">
        <f t="shared" si="10"/>
        <v>0</v>
      </c>
      <c r="H52" s="477">
        <f t="shared" si="11"/>
        <v>0</v>
      </c>
      <c r="I52" s="500">
        <f t="shared" si="1"/>
        <v>0</v>
      </c>
      <c r="J52" s="500"/>
      <c r="K52" s="512"/>
      <c r="L52" s="504">
        <f t="shared" si="2"/>
        <v>0</v>
      </c>
      <c r="M52" s="512"/>
      <c r="N52" s="504">
        <f t="shared" si="3"/>
        <v>0</v>
      </c>
      <c r="O52" s="504">
        <f t="shared" si="4"/>
        <v>0</v>
      </c>
      <c r="P52" s="278"/>
    </row>
    <row r="53" spans="2:16">
      <c r="B53" s="145" t="str">
        <f t="shared" si="0"/>
        <v/>
      </c>
      <c r="C53" s="495">
        <f>IF(D11="","-",+C52+1)</f>
        <v>2054</v>
      </c>
      <c r="D53" s="508">
        <f>IF(F52+SUM(E$17:E52)=D$10,F52,D$10-SUM(E$17:E52))</f>
        <v>0</v>
      </c>
      <c r="E53" s="509">
        <f t="shared" si="8"/>
        <v>0</v>
      </c>
      <c r="F53" s="510">
        <f t="shared" si="9"/>
        <v>0</v>
      </c>
      <c r="G53" s="511">
        <f t="shared" si="10"/>
        <v>0</v>
      </c>
      <c r="H53" s="477">
        <f t="shared" si="11"/>
        <v>0</v>
      </c>
      <c r="I53" s="500">
        <f t="shared" si="1"/>
        <v>0</v>
      </c>
      <c r="J53" s="500"/>
      <c r="K53" s="512"/>
      <c r="L53" s="504">
        <f t="shared" si="2"/>
        <v>0</v>
      </c>
      <c r="M53" s="512"/>
      <c r="N53" s="504">
        <f t="shared" si="3"/>
        <v>0</v>
      </c>
      <c r="O53" s="504">
        <f t="shared" si="4"/>
        <v>0</v>
      </c>
      <c r="P53" s="278"/>
    </row>
    <row r="54" spans="2:16">
      <c r="B54" s="145" t="str">
        <f t="shared" si="0"/>
        <v/>
      </c>
      <c r="C54" s="495">
        <f>IF(D11="","-",+C53+1)</f>
        <v>2055</v>
      </c>
      <c r="D54" s="508">
        <f>IF(F53+SUM(E$17:E53)=D$10,F53,D$10-SUM(E$17:E53))</f>
        <v>0</v>
      </c>
      <c r="E54" s="509">
        <f t="shared" si="8"/>
        <v>0</v>
      </c>
      <c r="F54" s="510">
        <f t="shared" si="9"/>
        <v>0</v>
      </c>
      <c r="G54" s="511">
        <f t="shared" si="10"/>
        <v>0</v>
      </c>
      <c r="H54" s="477">
        <f t="shared" si="11"/>
        <v>0</v>
      </c>
      <c r="I54" s="500">
        <f t="shared" si="1"/>
        <v>0</v>
      </c>
      <c r="J54" s="500"/>
      <c r="K54" s="512"/>
      <c r="L54" s="504">
        <f t="shared" si="2"/>
        <v>0</v>
      </c>
      <c r="M54" s="512"/>
      <c r="N54" s="504">
        <f t="shared" si="3"/>
        <v>0</v>
      </c>
      <c r="O54" s="504">
        <f t="shared" si="4"/>
        <v>0</v>
      </c>
      <c r="P54" s="278"/>
    </row>
    <row r="55" spans="2:16">
      <c r="B55" s="145" t="str">
        <f t="shared" si="0"/>
        <v/>
      </c>
      <c r="C55" s="495">
        <f>IF(D11="","-",+C54+1)</f>
        <v>2056</v>
      </c>
      <c r="D55" s="508">
        <f>IF(F54+SUM(E$17:E54)=D$10,F54,D$10-SUM(E$17:E54))</f>
        <v>0</v>
      </c>
      <c r="E55" s="509">
        <f t="shared" si="8"/>
        <v>0</v>
      </c>
      <c r="F55" s="510">
        <f t="shared" si="9"/>
        <v>0</v>
      </c>
      <c r="G55" s="511">
        <f t="shared" si="10"/>
        <v>0</v>
      </c>
      <c r="H55" s="477">
        <f t="shared" si="11"/>
        <v>0</v>
      </c>
      <c r="I55" s="500">
        <f t="shared" si="1"/>
        <v>0</v>
      </c>
      <c r="J55" s="500"/>
      <c r="K55" s="512"/>
      <c r="L55" s="504">
        <f t="shared" si="2"/>
        <v>0</v>
      </c>
      <c r="M55" s="512"/>
      <c r="N55" s="504">
        <f t="shared" si="3"/>
        <v>0</v>
      </c>
      <c r="O55" s="504">
        <f t="shared" si="4"/>
        <v>0</v>
      </c>
      <c r="P55" s="278"/>
    </row>
    <row r="56" spans="2:16">
      <c r="B56" s="145" t="str">
        <f t="shared" si="0"/>
        <v/>
      </c>
      <c r="C56" s="495">
        <f>IF(D11="","-",+C55+1)</f>
        <v>2057</v>
      </c>
      <c r="D56" s="508">
        <f>IF(F55+SUM(E$17:E55)=D$10,F55,D$10-SUM(E$17:E55))</f>
        <v>0</v>
      </c>
      <c r="E56" s="509">
        <f t="shared" si="8"/>
        <v>0</v>
      </c>
      <c r="F56" s="510">
        <f t="shared" si="9"/>
        <v>0</v>
      </c>
      <c r="G56" s="511">
        <f t="shared" si="10"/>
        <v>0</v>
      </c>
      <c r="H56" s="477">
        <f t="shared" si="11"/>
        <v>0</v>
      </c>
      <c r="I56" s="500">
        <f t="shared" si="1"/>
        <v>0</v>
      </c>
      <c r="J56" s="500"/>
      <c r="K56" s="512"/>
      <c r="L56" s="504">
        <f t="shared" si="2"/>
        <v>0</v>
      </c>
      <c r="M56" s="512"/>
      <c r="N56" s="504">
        <f t="shared" si="3"/>
        <v>0</v>
      </c>
      <c r="O56" s="504">
        <f t="shared" si="4"/>
        <v>0</v>
      </c>
      <c r="P56" s="278"/>
    </row>
    <row r="57" spans="2:16">
      <c r="B57" s="145" t="str">
        <f t="shared" si="0"/>
        <v/>
      </c>
      <c r="C57" s="495">
        <f>IF(D11="","-",+C56+1)</f>
        <v>2058</v>
      </c>
      <c r="D57" s="508">
        <f>IF(F56+SUM(E$17:E56)=D$10,F56,D$10-SUM(E$17:E56))</f>
        <v>0</v>
      </c>
      <c r="E57" s="509">
        <f t="shared" si="8"/>
        <v>0</v>
      </c>
      <c r="F57" s="510">
        <f t="shared" si="9"/>
        <v>0</v>
      </c>
      <c r="G57" s="511">
        <f t="shared" si="10"/>
        <v>0</v>
      </c>
      <c r="H57" s="477">
        <f t="shared" si="11"/>
        <v>0</v>
      </c>
      <c r="I57" s="500">
        <f t="shared" si="1"/>
        <v>0</v>
      </c>
      <c r="J57" s="500"/>
      <c r="K57" s="512"/>
      <c r="L57" s="504">
        <f t="shared" si="2"/>
        <v>0</v>
      </c>
      <c r="M57" s="512"/>
      <c r="N57" s="504">
        <f t="shared" si="3"/>
        <v>0</v>
      </c>
      <c r="O57" s="504">
        <f t="shared" si="4"/>
        <v>0</v>
      </c>
      <c r="P57" s="278"/>
    </row>
    <row r="58" spans="2:16">
      <c r="B58" s="145" t="str">
        <f t="shared" si="0"/>
        <v/>
      </c>
      <c r="C58" s="495">
        <f>IF(D11="","-",+C57+1)</f>
        <v>2059</v>
      </c>
      <c r="D58" s="508">
        <f>IF(F57+SUM(E$17:E57)=D$10,F57,D$10-SUM(E$17:E57))</f>
        <v>0</v>
      </c>
      <c r="E58" s="509">
        <f t="shared" si="8"/>
        <v>0</v>
      </c>
      <c r="F58" s="510">
        <f t="shared" si="9"/>
        <v>0</v>
      </c>
      <c r="G58" s="511">
        <f t="shared" si="10"/>
        <v>0</v>
      </c>
      <c r="H58" s="477">
        <f t="shared" si="11"/>
        <v>0</v>
      </c>
      <c r="I58" s="500">
        <f t="shared" si="1"/>
        <v>0</v>
      </c>
      <c r="J58" s="500"/>
      <c r="K58" s="512"/>
      <c r="L58" s="504">
        <f t="shared" si="2"/>
        <v>0</v>
      </c>
      <c r="M58" s="512"/>
      <c r="N58" s="504">
        <f t="shared" si="3"/>
        <v>0</v>
      </c>
      <c r="O58" s="504">
        <f t="shared" si="4"/>
        <v>0</v>
      </c>
      <c r="P58" s="278"/>
    </row>
    <row r="59" spans="2:16">
      <c r="B59" s="145" t="str">
        <f t="shared" si="0"/>
        <v/>
      </c>
      <c r="C59" s="495">
        <f>IF(D11="","-",+C58+1)</f>
        <v>2060</v>
      </c>
      <c r="D59" s="508">
        <f>IF(F58+SUM(E$17:E58)=D$10,F58,D$10-SUM(E$17:E58))</f>
        <v>0</v>
      </c>
      <c r="E59" s="509">
        <f t="shared" si="8"/>
        <v>0</v>
      </c>
      <c r="F59" s="510">
        <f t="shared" si="9"/>
        <v>0</v>
      </c>
      <c r="G59" s="511">
        <f t="shared" si="10"/>
        <v>0</v>
      </c>
      <c r="H59" s="477">
        <f t="shared" si="11"/>
        <v>0</v>
      </c>
      <c r="I59" s="500">
        <f t="shared" si="1"/>
        <v>0</v>
      </c>
      <c r="J59" s="500"/>
      <c r="K59" s="512"/>
      <c r="L59" s="504">
        <f t="shared" si="2"/>
        <v>0</v>
      </c>
      <c r="M59" s="512"/>
      <c r="N59" s="504">
        <f t="shared" si="3"/>
        <v>0</v>
      </c>
      <c r="O59" s="504">
        <f t="shared" si="4"/>
        <v>0</v>
      </c>
      <c r="P59" s="278"/>
    </row>
    <row r="60" spans="2:16">
      <c r="B60" s="145" t="str">
        <f t="shared" si="0"/>
        <v/>
      </c>
      <c r="C60" s="495">
        <f>IF(D11="","-",+C59+1)</f>
        <v>2061</v>
      </c>
      <c r="D60" s="508">
        <f>IF(F59+SUM(E$17:E59)=D$10,F59,D$10-SUM(E$17:E59))</f>
        <v>0</v>
      </c>
      <c r="E60" s="509">
        <f t="shared" si="8"/>
        <v>0</v>
      </c>
      <c r="F60" s="510">
        <f t="shared" si="9"/>
        <v>0</v>
      </c>
      <c r="G60" s="511">
        <f t="shared" si="10"/>
        <v>0</v>
      </c>
      <c r="H60" s="477">
        <f t="shared" si="11"/>
        <v>0</v>
      </c>
      <c r="I60" s="500">
        <f t="shared" si="1"/>
        <v>0</v>
      </c>
      <c r="J60" s="500"/>
      <c r="K60" s="512"/>
      <c r="L60" s="504">
        <f t="shared" si="2"/>
        <v>0</v>
      </c>
      <c r="M60" s="512"/>
      <c r="N60" s="504">
        <f t="shared" si="3"/>
        <v>0</v>
      </c>
      <c r="O60" s="504">
        <f t="shared" si="4"/>
        <v>0</v>
      </c>
      <c r="P60" s="278"/>
    </row>
    <row r="61" spans="2:16">
      <c r="B61" s="145" t="str">
        <f t="shared" si="0"/>
        <v/>
      </c>
      <c r="C61" s="495">
        <f>IF(D11="","-",+C60+1)</f>
        <v>2062</v>
      </c>
      <c r="D61" s="508">
        <f>IF(F60+SUM(E$17:E60)=D$10,F60,D$10-SUM(E$17:E60))</f>
        <v>0</v>
      </c>
      <c r="E61" s="509">
        <f t="shared" si="8"/>
        <v>0</v>
      </c>
      <c r="F61" s="510">
        <f t="shared" si="9"/>
        <v>0</v>
      </c>
      <c r="G61" s="523">
        <f t="shared" si="10"/>
        <v>0</v>
      </c>
      <c r="H61" s="477">
        <f t="shared" si="11"/>
        <v>0</v>
      </c>
      <c r="I61" s="500">
        <f t="shared" si="1"/>
        <v>0</v>
      </c>
      <c r="J61" s="500"/>
      <c r="K61" s="512"/>
      <c r="L61" s="504">
        <f t="shared" si="2"/>
        <v>0</v>
      </c>
      <c r="M61" s="512"/>
      <c r="N61" s="504">
        <f t="shared" si="3"/>
        <v>0</v>
      </c>
      <c r="O61" s="504">
        <f t="shared" si="4"/>
        <v>0</v>
      </c>
      <c r="P61" s="278"/>
    </row>
    <row r="62" spans="2:16">
      <c r="B62" s="145" t="str">
        <f t="shared" si="0"/>
        <v/>
      </c>
      <c r="C62" s="495">
        <f>IF(D11="","-",+C61+1)</f>
        <v>2063</v>
      </c>
      <c r="D62" s="508">
        <f>IF(F61+SUM(E$17:E61)=D$10,F61,D$10-SUM(E$17:E61))</f>
        <v>0</v>
      </c>
      <c r="E62" s="509">
        <f t="shared" si="8"/>
        <v>0</v>
      </c>
      <c r="F62" s="510">
        <f t="shared" si="9"/>
        <v>0</v>
      </c>
      <c r="G62" s="523">
        <f t="shared" si="10"/>
        <v>0</v>
      </c>
      <c r="H62" s="477">
        <f t="shared" si="11"/>
        <v>0</v>
      </c>
      <c r="I62" s="500">
        <f t="shared" si="1"/>
        <v>0</v>
      </c>
      <c r="J62" s="500"/>
      <c r="K62" s="512"/>
      <c r="L62" s="504">
        <f t="shared" si="2"/>
        <v>0</v>
      </c>
      <c r="M62" s="512"/>
      <c r="N62" s="504">
        <f t="shared" si="3"/>
        <v>0</v>
      </c>
      <c r="O62" s="504">
        <f t="shared" si="4"/>
        <v>0</v>
      </c>
      <c r="P62" s="278"/>
    </row>
    <row r="63" spans="2:16">
      <c r="B63" s="145" t="str">
        <f t="shared" si="0"/>
        <v/>
      </c>
      <c r="C63" s="495">
        <f>IF(D11="","-",+C62+1)</f>
        <v>2064</v>
      </c>
      <c r="D63" s="508">
        <f>IF(F62+SUM(E$17:E62)=D$10,F62,D$10-SUM(E$17:E62))</f>
        <v>0</v>
      </c>
      <c r="E63" s="509">
        <f t="shared" si="8"/>
        <v>0</v>
      </c>
      <c r="F63" s="510">
        <f t="shared" si="9"/>
        <v>0</v>
      </c>
      <c r="G63" s="523">
        <f t="shared" si="10"/>
        <v>0</v>
      </c>
      <c r="H63" s="477">
        <f t="shared" si="11"/>
        <v>0</v>
      </c>
      <c r="I63" s="500">
        <f t="shared" si="1"/>
        <v>0</v>
      </c>
      <c r="J63" s="500"/>
      <c r="K63" s="512"/>
      <c r="L63" s="504">
        <f t="shared" si="2"/>
        <v>0</v>
      </c>
      <c r="M63" s="512"/>
      <c r="N63" s="504">
        <f t="shared" si="3"/>
        <v>0</v>
      </c>
      <c r="O63" s="504">
        <f t="shared" si="4"/>
        <v>0</v>
      </c>
      <c r="P63" s="278"/>
    </row>
    <row r="64" spans="2:16">
      <c r="B64" s="145" t="str">
        <f t="shared" si="0"/>
        <v/>
      </c>
      <c r="C64" s="495">
        <f>IF(D11="","-",+C63+1)</f>
        <v>2065</v>
      </c>
      <c r="D64" s="508">
        <f>IF(F63+SUM(E$17:E63)=D$10,F63,D$10-SUM(E$17:E63))</f>
        <v>0</v>
      </c>
      <c r="E64" s="509">
        <f t="shared" si="8"/>
        <v>0</v>
      </c>
      <c r="F64" s="510">
        <f t="shared" si="9"/>
        <v>0</v>
      </c>
      <c r="G64" s="523">
        <f t="shared" si="10"/>
        <v>0</v>
      </c>
      <c r="H64" s="477">
        <f t="shared" si="11"/>
        <v>0</v>
      </c>
      <c r="I64" s="500">
        <f t="shared" si="1"/>
        <v>0</v>
      </c>
      <c r="J64" s="500"/>
      <c r="K64" s="512"/>
      <c r="L64" s="504">
        <f t="shared" si="2"/>
        <v>0</v>
      </c>
      <c r="M64" s="512"/>
      <c r="N64" s="504">
        <f t="shared" si="3"/>
        <v>0</v>
      </c>
      <c r="O64" s="504">
        <f t="shared" si="4"/>
        <v>0</v>
      </c>
      <c r="P64" s="278"/>
    </row>
    <row r="65" spans="2:16">
      <c r="B65" s="145" t="str">
        <f t="shared" si="0"/>
        <v/>
      </c>
      <c r="C65" s="495">
        <f>IF(D11="","-",+C64+1)</f>
        <v>2066</v>
      </c>
      <c r="D65" s="508">
        <f>IF(F64+SUM(E$17:E64)=D$10,F64,D$10-SUM(E$17:E64))</f>
        <v>0</v>
      </c>
      <c r="E65" s="509">
        <f t="shared" si="8"/>
        <v>0</v>
      </c>
      <c r="F65" s="510">
        <f t="shared" si="9"/>
        <v>0</v>
      </c>
      <c r="G65" s="523">
        <f t="shared" si="10"/>
        <v>0</v>
      </c>
      <c r="H65" s="477">
        <f t="shared" si="11"/>
        <v>0</v>
      </c>
      <c r="I65" s="500">
        <f t="shared" si="1"/>
        <v>0</v>
      </c>
      <c r="J65" s="500"/>
      <c r="K65" s="512"/>
      <c r="L65" s="504">
        <f t="shared" si="2"/>
        <v>0</v>
      </c>
      <c r="M65" s="512"/>
      <c r="N65" s="504">
        <f t="shared" si="3"/>
        <v>0</v>
      </c>
      <c r="O65" s="504">
        <f t="shared" si="4"/>
        <v>0</v>
      </c>
      <c r="P65" s="278"/>
    </row>
    <row r="66" spans="2:16">
      <c r="B66" s="145" t="str">
        <f t="shared" si="0"/>
        <v/>
      </c>
      <c r="C66" s="495">
        <f>IF(D11="","-",+C65+1)</f>
        <v>2067</v>
      </c>
      <c r="D66" s="508">
        <f>IF(F65+SUM(E$17:E65)=D$10,F65,D$10-SUM(E$17:E65))</f>
        <v>0</v>
      </c>
      <c r="E66" s="509">
        <f t="shared" si="8"/>
        <v>0</v>
      </c>
      <c r="F66" s="510">
        <f t="shared" si="9"/>
        <v>0</v>
      </c>
      <c r="G66" s="523">
        <f t="shared" si="10"/>
        <v>0</v>
      </c>
      <c r="H66" s="477">
        <f t="shared" si="11"/>
        <v>0</v>
      </c>
      <c r="I66" s="500">
        <f t="shared" si="1"/>
        <v>0</v>
      </c>
      <c r="J66" s="500"/>
      <c r="K66" s="512"/>
      <c r="L66" s="504">
        <f t="shared" si="2"/>
        <v>0</v>
      </c>
      <c r="M66" s="512"/>
      <c r="N66" s="504">
        <f t="shared" si="3"/>
        <v>0</v>
      </c>
      <c r="O66" s="504">
        <f t="shared" si="4"/>
        <v>0</v>
      </c>
      <c r="P66" s="278"/>
    </row>
    <row r="67" spans="2:16">
      <c r="B67" s="145" t="str">
        <f t="shared" si="0"/>
        <v/>
      </c>
      <c r="C67" s="495">
        <f>IF(D11="","-",+C66+1)</f>
        <v>2068</v>
      </c>
      <c r="D67" s="508">
        <f>IF(F66+SUM(E$17:E66)=D$10,F66,D$10-SUM(E$17:E66))</f>
        <v>0</v>
      </c>
      <c r="E67" s="509">
        <f t="shared" si="8"/>
        <v>0</v>
      </c>
      <c r="F67" s="510">
        <f t="shared" si="9"/>
        <v>0</v>
      </c>
      <c r="G67" s="523">
        <f t="shared" si="10"/>
        <v>0</v>
      </c>
      <c r="H67" s="477">
        <f t="shared" si="11"/>
        <v>0</v>
      </c>
      <c r="I67" s="500">
        <f t="shared" si="1"/>
        <v>0</v>
      </c>
      <c r="J67" s="500"/>
      <c r="K67" s="512"/>
      <c r="L67" s="504">
        <f t="shared" si="2"/>
        <v>0</v>
      </c>
      <c r="M67" s="512"/>
      <c r="N67" s="504">
        <f t="shared" si="3"/>
        <v>0</v>
      </c>
      <c r="O67" s="504">
        <f t="shared" si="4"/>
        <v>0</v>
      </c>
      <c r="P67" s="278"/>
    </row>
    <row r="68" spans="2:16">
      <c r="B68" s="145" t="str">
        <f t="shared" si="0"/>
        <v/>
      </c>
      <c r="C68" s="495">
        <f>IF(D11="","-",+C67+1)</f>
        <v>2069</v>
      </c>
      <c r="D68" s="508">
        <f>IF(F67+SUM(E$17:E67)=D$10,F67,D$10-SUM(E$17:E67))</f>
        <v>0</v>
      </c>
      <c r="E68" s="509">
        <f t="shared" si="8"/>
        <v>0</v>
      </c>
      <c r="F68" s="510">
        <f t="shared" si="9"/>
        <v>0</v>
      </c>
      <c r="G68" s="523">
        <f t="shared" si="10"/>
        <v>0</v>
      </c>
      <c r="H68" s="477">
        <f t="shared" si="11"/>
        <v>0</v>
      </c>
      <c r="I68" s="500">
        <f t="shared" si="1"/>
        <v>0</v>
      </c>
      <c r="J68" s="500"/>
      <c r="K68" s="512"/>
      <c r="L68" s="504">
        <f t="shared" si="2"/>
        <v>0</v>
      </c>
      <c r="M68" s="512"/>
      <c r="N68" s="504">
        <f t="shared" si="3"/>
        <v>0</v>
      </c>
      <c r="O68" s="504">
        <f t="shared" si="4"/>
        <v>0</v>
      </c>
      <c r="P68" s="278"/>
    </row>
    <row r="69" spans="2:16">
      <c r="B69" s="145" t="str">
        <f t="shared" si="0"/>
        <v/>
      </c>
      <c r="C69" s="495">
        <f>IF(D11="","-",+C68+1)</f>
        <v>2070</v>
      </c>
      <c r="D69" s="508">
        <f>IF(F68+SUM(E$17:E68)=D$10,F68,D$10-SUM(E$17:E68))</f>
        <v>0</v>
      </c>
      <c r="E69" s="509">
        <f t="shared" si="8"/>
        <v>0</v>
      </c>
      <c r="F69" s="510">
        <f t="shared" si="9"/>
        <v>0</v>
      </c>
      <c r="G69" s="523">
        <f t="shared" si="10"/>
        <v>0</v>
      </c>
      <c r="H69" s="477">
        <f t="shared" si="11"/>
        <v>0</v>
      </c>
      <c r="I69" s="500">
        <f t="shared" si="1"/>
        <v>0</v>
      </c>
      <c r="J69" s="500"/>
      <c r="K69" s="512"/>
      <c r="L69" s="504">
        <f t="shared" si="2"/>
        <v>0</v>
      </c>
      <c r="M69" s="512"/>
      <c r="N69" s="504">
        <f t="shared" si="3"/>
        <v>0</v>
      </c>
      <c r="O69" s="504">
        <f t="shared" si="4"/>
        <v>0</v>
      </c>
      <c r="P69" s="278"/>
    </row>
    <row r="70" spans="2:16">
      <c r="B70" s="145" t="str">
        <f t="shared" si="0"/>
        <v/>
      </c>
      <c r="C70" s="495">
        <f>IF(D11="","-",+C69+1)</f>
        <v>2071</v>
      </c>
      <c r="D70" s="508">
        <f>IF(F69+SUM(E$17:E69)=D$10,F69,D$10-SUM(E$17:E69))</f>
        <v>0</v>
      </c>
      <c r="E70" s="509">
        <f t="shared" si="8"/>
        <v>0</v>
      </c>
      <c r="F70" s="510">
        <f t="shared" si="9"/>
        <v>0</v>
      </c>
      <c r="G70" s="523">
        <f t="shared" si="10"/>
        <v>0</v>
      </c>
      <c r="H70" s="477">
        <f t="shared" si="11"/>
        <v>0</v>
      </c>
      <c r="I70" s="500">
        <f t="shared" si="1"/>
        <v>0</v>
      </c>
      <c r="J70" s="500"/>
      <c r="K70" s="512"/>
      <c r="L70" s="504">
        <f t="shared" si="2"/>
        <v>0</v>
      </c>
      <c r="M70" s="512"/>
      <c r="N70" s="504">
        <f t="shared" si="3"/>
        <v>0</v>
      </c>
      <c r="O70" s="504">
        <f t="shared" si="4"/>
        <v>0</v>
      </c>
      <c r="P70" s="278"/>
    </row>
    <row r="71" spans="2:16">
      <c r="B71" s="145" t="str">
        <f t="shared" si="0"/>
        <v/>
      </c>
      <c r="C71" s="495">
        <f>IF(D11="","-",+C70+1)</f>
        <v>2072</v>
      </c>
      <c r="D71" s="508">
        <f>IF(F70+SUM(E$17:E70)=D$10,F70,D$10-SUM(E$17:E70))</f>
        <v>0</v>
      </c>
      <c r="E71" s="509">
        <f t="shared" si="8"/>
        <v>0</v>
      </c>
      <c r="F71" s="510">
        <f t="shared" si="9"/>
        <v>0</v>
      </c>
      <c r="G71" s="523">
        <f t="shared" si="10"/>
        <v>0</v>
      </c>
      <c r="H71" s="477">
        <f t="shared" si="11"/>
        <v>0</v>
      </c>
      <c r="I71" s="500">
        <f t="shared" si="1"/>
        <v>0</v>
      </c>
      <c r="J71" s="500"/>
      <c r="K71" s="512"/>
      <c r="L71" s="504">
        <f t="shared" si="2"/>
        <v>0</v>
      </c>
      <c r="M71" s="512"/>
      <c r="N71" s="504">
        <f t="shared" si="3"/>
        <v>0</v>
      </c>
      <c r="O71" s="504">
        <f t="shared" si="4"/>
        <v>0</v>
      </c>
      <c r="P71" s="278"/>
    </row>
    <row r="72" spans="2:16">
      <c r="C72" s="495">
        <f>IF(D12="","-",+C71+1)</f>
        <v>2073</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5" thickBot="1">
      <c r="B73" s="145" t="str">
        <f>IF(D73=F71,"","IU")</f>
        <v/>
      </c>
      <c r="C73" s="524">
        <f>IF(D13="","-",+C72+1)</f>
        <v>2074</v>
      </c>
      <c r="D73" s="526">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c r="C74" s="349" t="s">
        <v>75</v>
      </c>
      <c r="D74" s="294"/>
      <c r="E74" s="294">
        <f>SUM(E17:E73)</f>
        <v>17093290</v>
      </c>
      <c r="F74" s="294"/>
      <c r="G74" s="294">
        <f>SUM(G17:G73)</f>
        <v>48319901.208453111</v>
      </c>
      <c r="H74" s="294">
        <f>SUM(H17:H73)</f>
        <v>48319901.208453111</v>
      </c>
      <c r="I74" s="294">
        <f>SUM(I17:I73)</f>
        <v>0</v>
      </c>
      <c r="J74" s="294"/>
      <c r="K74" s="294"/>
      <c r="L74" s="294"/>
      <c r="M74" s="294"/>
      <c r="N74" s="294"/>
      <c r="O74" s="278"/>
      <c r="P74" s="278"/>
    </row>
    <row r="75" spans="2:16">
      <c r="D75" s="292"/>
      <c r="E75" s="243"/>
      <c r="F75" s="243"/>
      <c r="G75" s="243"/>
      <c r="H75" s="325"/>
      <c r="I75" s="325"/>
      <c r="J75" s="294"/>
      <c r="K75" s="325"/>
      <c r="L75" s="325"/>
      <c r="M75" s="325"/>
      <c r="N75" s="325"/>
      <c r="O75" s="243"/>
      <c r="P75" s="243"/>
    </row>
    <row r="76" spans="2:16">
      <c r="C76" s="532" t="s">
        <v>95</v>
      </c>
      <c r="D76" s="292"/>
      <c r="E76" s="243"/>
      <c r="F76" s="243"/>
      <c r="G76" s="243"/>
      <c r="H76" s="325"/>
      <c r="I76" s="325"/>
      <c r="J76" s="294"/>
      <c r="K76" s="325"/>
      <c r="L76" s="325"/>
      <c r="M76" s="325"/>
      <c r="N76" s="325"/>
      <c r="O76" s="243"/>
      <c r="P76" s="243"/>
    </row>
    <row r="77" spans="2:16">
      <c r="C77" s="454" t="s">
        <v>76</v>
      </c>
      <c r="D77" s="292"/>
      <c r="E77" s="243"/>
      <c r="F77" s="243"/>
      <c r="G77" s="243"/>
      <c r="H77" s="325"/>
      <c r="I77" s="325"/>
      <c r="J77" s="294"/>
      <c r="K77" s="325"/>
      <c r="L77" s="325"/>
      <c r="M77" s="325"/>
      <c r="N77" s="325"/>
      <c r="O77" s="278"/>
      <c r="P77" s="278"/>
    </row>
    <row r="78" spans="2:16">
      <c r="C78" s="454" t="s">
        <v>77</v>
      </c>
      <c r="D78" s="349"/>
      <c r="E78" s="349"/>
      <c r="F78" s="349"/>
      <c r="G78" s="294"/>
      <c r="H78" s="294"/>
      <c r="I78" s="350"/>
      <c r="J78" s="350"/>
      <c r="K78" s="350"/>
      <c r="L78" s="350"/>
      <c r="M78" s="350"/>
      <c r="N78" s="350"/>
      <c r="O78" s="278"/>
      <c r="P78" s="278"/>
    </row>
    <row r="79" spans="2:16">
      <c r="C79" s="454"/>
      <c r="D79" s="349"/>
      <c r="E79" s="349"/>
      <c r="F79" s="349"/>
      <c r="G79" s="294"/>
      <c r="H79" s="294"/>
      <c r="I79" s="350"/>
      <c r="J79" s="350"/>
      <c r="K79" s="350"/>
      <c r="L79" s="350"/>
      <c r="M79" s="350"/>
      <c r="N79" s="350"/>
      <c r="O79" s="278"/>
      <c r="P79" s="243"/>
    </row>
    <row r="80" spans="2:16">
      <c r="B80" s="243"/>
      <c r="C80" s="248"/>
      <c r="D80" s="292"/>
      <c r="E80" s="243"/>
      <c r="F80" s="347"/>
      <c r="G80" s="243"/>
      <c r="H80" s="325"/>
      <c r="I80" s="243"/>
      <c r="J80" s="278"/>
      <c r="K80" s="243"/>
      <c r="L80" s="243"/>
      <c r="M80" s="243"/>
      <c r="N80" s="243"/>
      <c r="O80" s="243"/>
      <c r="P80" s="243"/>
    </row>
    <row r="81" spans="1:16" ht="18">
      <c r="B81" s="243"/>
      <c r="C81" s="535"/>
      <c r="D81" s="292"/>
      <c r="E81" s="243"/>
      <c r="F81" s="347"/>
      <c r="G81" s="243"/>
      <c r="H81" s="325"/>
      <c r="I81" s="243"/>
      <c r="J81" s="278"/>
      <c r="K81" s="243"/>
      <c r="L81" s="243"/>
      <c r="M81" s="243"/>
      <c r="N81" s="243"/>
      <c r="P81" s="536" t="s">
        <v>128</v>
      </c>
    </row>
    <row r="82" spans="1:16">
      <c r="B82" s="243"/>
      <c r="C82" s="248"/>
      <c r="D82" s="292"/>
      <c r="E82" s="243"/>
      <c r="F82" s="347"/>
      <c r="G82" s="243"/>
      <c r="H82" s="325"/>
      <c r="I82" s="243"/>
      <c r="J82" s="278"/>
      <c r="K82" s="243"/>
      <c r="L82" s="243"/>
      <c r="M82" s="243"/>
      <c r="N82" s="243"/>
      <c r="O82" s="243"/>
      <c r="P82" s="243"/>
    </row>
    <row r="83" spans="1:16">
      <c r="B83" s="243"/>
      <c r="C83" s="248"/>
      <c r="D83" s="292"/>
      <c r="E83" s="243"/>
      <c r="F83" s="347"/>
      <c r="G83" s="243"/>
      <c r="H83" s="325"/>
      <c r="I83" s="243"/>
      <c r="J83" s="278"/>
      <c r="K83" s="243"/>
      <c r="L83" s="243"/>
      <c r="M83" s="243"/>
      <c r="N83" s="243"/>
      <c r="O83" s="243"/>
      <c r="P83" s="243"/>
    </row>
    <row r="84" spans="1:16" ht="20.25">
      <c r="A84" s="437" t="s">
        <v>190</v>
      </c>
      <c r="B84" s="243"/>
      <c r="C84" s="248"/>
      <c r="D84" s="292"/>
      <c r="E84" s="243"/>
      <c r="F84" s="339"/>
      <c r="G84" s="339"/>
      <c r="H84" s="243"/>
      <c r="I84" s="325"/>
      <c r="K84" s="220"/>
      <c r="L84" s="438"/>
      <c r="M84" s="438"/>
      <c r="P84" s="438" t="str">
        <f ca="1">P1</f>
        <v>OKT Project 19 of 24</v>
      </c>
    </row>
    <row r="85" spans="1:16" ht="18">
      <c r="B85" s="243"/>
      <c r="C85" s="243"/>
      <c r="D85" s="292"/>
      <c r="E85" s="243"/>
      <c r="F85" s="243"/>
      <c r="G85" s="243"/>
      <c r="H85" s="243"/>
      <c r="I85" s="325"/>
      <c r="J85" s="243"/>
      <c r="K85" s="278"/>
      <c r="L85" s="243"/>
      <c r="M85" s="243"/>
      <c r="P85" s="441" t="s">
        <v>132</v>
      </c>
    </row>
    <row r="86" spans="1:16" ht="18.75" thickBot="1">
      <c r="B86" s="233" t="s">
        <v>42</v>
      </c>
      <c r="C86" s="537" t="s">
        <v>81</v>
      </c>
      <c r="D86" s="292"/>
      <c r="E86" s="243"/>
      <c r="F86" s="243"/>
      <c r="G86" s="243"/>
      <c r="H86" s="243"/>
      <c r="I86" s="325"/>
      <c r="J86" s="325"/>
      <c r="K86" s="294"/>
      <c r="L86" s="325"/>
      <c r="M86" s="325"/>
      <c r="N86" s="325"/>
      <c r="O86" s="294"/>
      <c r="P86" s="243"/>
    </row>
    <row r="87" spans="1:16" ht="15.75" thickBot="1">
      <c r="C87" s="304"/>
      <c r="D87" s="292"/>
      <c r="E87" s="243"/>
      <c r="F87" s="243"/>
      <c r="G87" s="243"/>
      <c r="H87" s="243"/>
      <c r="I87" s="325"/>
      <c r="J87" s="325"/>
      <c r="K87" s="294"/>
      <c r="L87" s="538">
        <f>+J93</f>
        <v>2021</v>
      </c>
      <c r="M87" s="539" t="s">
        <v>9</v>
      </c>
      <c r="N87" s="540" t="s">
        <v>134</v>
      </c>
      <c r="O87" s="541" t="s">
        <v>11</v>
      </c>
      <c r="P87" s="243"/>
    </row>
    <row r="88" spans="1:16" ht="15">
      <c r="C88" s="232" t="s">
        <v>44</v>
      </c>
      <c r="D88" s="292"/>
      <c r="E88" s="243"/>
      <c r="F88" s="243"/>
      <c r="G88" s="243"/>
      <c r="H88" s="444"/>
      <c r="I88" s="243" t="s">
        <v>45</v>
      </c>
      <c r="J88" s="243"/>
      <c r="K88" s="542"/>
      <c r="L88" s="543" t="s">
        <v>253</v>
      </c>
      <c r="M88" s="544">
        <f>IF(J93&lt;D11,0,VLOOKUP(J93,C17:O73,9))</f>
        <v>2147888.2260048082</v>
      </c>
      <c r="N88" s="544">
        <f>IF(J93&lt;D11,0,VLOOKUP(J93,C17:O73,11))</f>
        <v>2147888.2260048082</v>
      </c>
      <c r="O88" s="545">
        <f>+N88-M88</f>
        <v>0</v>
      </c>
      <c r="P88" s="243"/>
    </row>
    <row r="89" spans="1:16" ht="15.75">
      <c r="C89" s="235"/>
      <c r="D89" s="292"/>
      <c r="E89" s="243"/>
      <c r="F89" s="243"/>
      <c r="G89" s="243"/>
      <c r="H89" s="243"/>
      <c r="I89" s="449"/>
      <c r="J89" s="449"/>
      <c r="K89" s="546"/>
      <c r="L89" s="547" t="s">
        <v>254</v>
      </c>
      <c r="M89" s="548">
        <f>IF(J93&lt;D11,0,VLOOKUP(J93,C100:P155,6))</f>
        <v>2475241.9762378884</v>
      </c>
      <c r="N89" s="548">
        <f>IF(J93&lt;D11,0,VLOOKUP(J93,C100:P155,7))</f>
        <v>2475241.9762378884</v>
      </c>
      <c r="O89" s="549">
        <f>+N89-M89</f>
        <v>0</v>
      </c>
      <c r="P89" s="243"/>
    </row>
    <row r="90" spans="1:16" ht="13.5" thickBot="1">
      <c r="C90" s="454" t="s">
        <v>82</v>
      </c>
      <c r="D90" s="550" t="str">
        <f>+D7</f>
        <v>Fort Towson-Valliant 69 KV Line Rebuild</v>
      </c>
      <c r="E90" s="243"/>
      <c r="F90" s="243"/>
      <c r="G90" s="243"/>
      <c r="H90" s="243"/>
      <c r="I90" s="325"/>
      <c r="J90" s="325"/>
      <c r="K90" s="551"/>
      <c r="L90" s="552" t="s">
        <v>135</v>
      </c>
      <c r="M90" s="553">
        <f>+M89-M88</f>
        <v>327353.75023308024</v>
      </c>
      <c r="N90" s="553">
        <f>+N89-N88</f>
        <v>327353.75023308024</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TP2015204</v>
      </c>
      <c r="E92" s="558"/>
      <c r="F92" s="558"/>
      <c r="G92" s="558"/>
      <c r="H92" s="558"/>
      <c r="I92" s="558"/>
      <c r="J92" s="558"/>
      <c r="K92" s="560"/>
      <c r="P92" s="468"/>
    </row>
    <row r="93" spans="1:16">
      <c r="C93" s="472" t="s">
        <v>49</v>
      </c>
      <c r="D93" s="474">
        <v>17093291</v>
      </c>
      <c r="E93" s="248" t="s">
        <v>84</v>
      </c>
      <c r="H93" s="408"/>
      <c r="I93" s="408"/>
      <c r="J93" s="471">
        <f>+'OKT.WS.G.BPU.ATRR.True-up'!M16</f>
        <v>2021</v>
      </c>
      <c r="K93" s="467"/>
      <c r="L93" s="294" t="s">
        <v>85</v>
      </c>
      <c r="P93" s="278"/>
    </row>
    <row r="94" spans="1:16">
      <c r="C94" s="472" t="s">
        <v>52</v>
      </c>
      <c r="D94" s="561">
        <f>IF(D11="","",D11)</f>
        <v>2018</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c r="C95" s="472" t="s">
        <v>54</v>
      </c>
      <c r="D95" s="561">
        <f>IF(D12="","",D12)</f>
        <v>12</v>
      </c>
      <c r="E95" s="472" t="s">
        <v>55</v>
      </c>
      <c r="F95" s="408"/>
      <c r="G95" s="408"/>
      <c r="J95" s="476">
        <f>'OKT.WS.G.BPU.ATRR.True-up'!$F$81</f>
        <v>0.11796201313639214</v>
      </c>
      <c r="K95" s="413"/>
      <c r="L95" s="145" t="s">
        <v>86</v>
      </c>
      <c r="P95" s="278"/>
    </row>
    <row r="96" spans="1:16">
      <c r="C96" s="472" t="s">
        <v>57</v>
      </c>
      <c r="D96" s="474">
        <f>'OKT.WS.G.BPU.ATRR.True-up'!F$93</f>
        <v>25</v>
      </c>
      <c r="E96" s="472" t="s">
        <v>58</v>
      </c>
      <c r="F96" s="408"/>
      <c r="G96" s="408"/>
      <c r="J96" s="476">
        <f>IF(H88="",J95,'OKT.WS.G.BPU.ATRR.True-up'!$F$80)</f>
        <v>0.11796201313639214</v>
      </c>
      <c r="K96" s="291"/>
      <c r="L96" s="294" t="s">
        <v>59</v>
      </c>
      <c r="M96" s="291"/>
      <c r="N96" s="291"/>
      <c r="O96" s="291"/>
      <c r="P96" s="278"/>
    </row>
    <row r="97" spans="1:16" ht="13.5" thickBot="1">
      <c r="C97" s="472" t="s">
        <v>60</v>
      </c>
      <c r="D97" s="562" t="str">
        <f>+D14</f>
        <v>No</v>
      </c>
      <c r="E97" s="563" t="s">
        <v>62</v>
      </c>
      <c r="F97" s="564"/>
      <c r="G97" s="564"/>
      <c r="H97" s="565"/>
      <c r="I97" s="565"/>
      <c r="J97" s="458">
        <f>IF(D93=0,0,D93/D96)</f>
        <v>683731.64</v>
      </c>
      <c r="K97" s="294"/>
      <c r="L97" s="294"/>
      <c r="M97" s="294"/>
      <c r="N97" s="294"/>
      <c r="O97" s="294"/>
      <c r="P97" s="278"/>
    </row>
    <row r="98" spans="1:16"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c r="B100" s="145" t="str">
        <f t="shared" ref="B100:B155" si="12">IF(D100=F99,"","IU")</f>
        <v>IU</v>
      </c>
      <c r="C100" s="495">
        <f>IF(D94= "","-",D94)</f>
        <v>2018</v>
      </c>
      <c r="D100" s="496">
        <v>15445577.166666666</v>
      </c>
      <c r="E100" s="498">
        <v>435826.05555555556</v>
      </c>
      <c r="F100" s="505">
        <v>15009751.11111111</v>
      </c>
      <c r="G100" s="505">
        <v>15227664.138888888</v>
      </c>
      <c r="H100" s="498">
        <v>2043295.5761149421</v>
      </c>
      <c r="I100" s="499">
        <v>2043295.5761149421</v>
      </c>
      <c r="J100" s="504">
        <f t="shared" ref="J100:J131" si="13">+I100-H100</f>
        <v>0</v>
      </c>
      <c r="K100" s="504"/>
      <c r="L100" s="506">
        <f>+H100</f>
        <v>2043295.5761149421</v>
      </c>
      <c r="M100" s="504">
        <f t="shared" ref="M100" si="14">IF(L100&lt;&gt;0,+H100-L100,0)</f>
        <v>0</v>
      </c>
      <c r="N100" s="506">
        <f>+I100</f>
        <v>2043295.5761149421</v>
      </c>
      <c r="O100" s="586">
        <f t="shared" ref="O100" si="15">IF(N100&lt;&gt;0,+I100-N100,0)</f>
        <v>0</v>
      </c>
      <c r="P100" s="504">
        <f t="shared" ref="P100" si="16">+O100-M100</f>
        <v>0</v>
      </c>
    </row>
    <row r="101" spans="1:16">
      <c r="B101" s="145" t="str">
        <f t="shared" si="12"/>
        <v>IU</v>
      </c>
      <c r="C101" s="495">
        <f>IF(D94="","-",+C100+1)</f>
        <v>2019</v>
      </c>
      <c r="D101" s="496">
        <v>16656350.944444444</v>
      </c>
      <c r="E101" s="498">
        <v>517944.75757575757</v>
      </c>
      <c r="F101" s="505">
        <v>16138406.186868686</v>
      </c>
      <c r="G101" s="505">
        <v>16397378.565656565</v>
      </c>
      <c r="H101" s="498">
        <v>2289012.9236645</v>
      </c>
      <c r="I101" s="499">
        <v>2289012.9236645</v>
      </c>
      <c r="J101" s="504">
        <f t="shared" si="13"/>
        <v>0</v>
      </c>
      <c r="K101" s="504"/>
      <c r="L101" s="506">
        <f>H101</f>
        <v>2289012.9236645</v>
      </c>
      <c r="M101" s="504">
        <f>IF(L101&lt;&gt;0,+H101-L101,0)</f>
        <v>0</v>
      </c>
      <c r="N101" s="506">
        <f>I101</f>
        <v>2289012.9236645</v>
      </c>
      <c r="O101" s="504">
        <f t="shared" ref="O101:O131" si="17">IF(N101&lt;&gt;0,+I101-N101,0)</f>
        <v>0</v>
      </c>
      <c r="P101" s="504">
        <f t="shared" ref="P101:P131" si="18">+O101-M101</f>
        <v>0</v>
      </c>
    </row>
    <row r="102" spans="1:16">
      <c r="B102" s="145" t="str">
        <f t="shared" si="12"/>
        <v>IU</v>
      </c>
      <c r="C102" s="495">
        <f>IF(D94="","-",+C101+1)</f>
        <v>2020</v>
      </c>
      <c r="D102" s="496">
        <v>16139509.186868686</v>
      </c>
      <c r="E102" s="498">
        <v>610474.28571428568</v>
      </c>
      <c r="F102" s="505">
        <v>15529034.901154401</v>
      </c>
      <c r="G102" s="505">
        <v>15834272.044011544</v>
      </c>
      <c r="H102" s="498">
        <v>2295454.5775651671</v>
      </c>
      <c r="I102" s="499">
        <v>2295454.5775651671</v>
      </c>
      <c r="J102" s="504">
        <f t="shared" si="13"/>
        <v>0</v>
      </c>
      <c r="K102" s="504"/>
      <c r="L102" s="506">
        <f>H102</f>
        <v>2295454.5775651671</v>
      </c>
      <c r="M102" s="504">
        <f>IF(L102&lt;&gt;0,+H102-L102,0)</f>
        <v>0</v>
      </c>
      <c r="N102" s="506">
        <f>I102</f>
        <v>2295454.5775651671</v>
      </c>
      <c r="O102" s="504">
        <f t="shared" si="17"/>
        <v>0</v>
      </c>
      <c r="P102" s="504">
        <f t="shared" si="18"/>
        <v>0</v>
      </c>
    </row>
    <row r="103" spans="1:16">
      <c r="B103" s="145" t="str">
        <f t="shared" si="12"/>
        <v>IU</v>
      </c>
      <c r="C103" s="495">
        <f>IF(D94="","-",+C102+1)</f>
        <v>2021</v>
      </c>
      <c r="D103" s="349">
        <f>IF(F102+SUM(E$100:E102)=D$93,F102,D$93-SUM(E$100:E102))</f>
        <v>15529045.901154401</v>
      </c>
      <c r="E103" s="509">
        <f t="shared" ref="E103:E155" si="19">IF(+J$97&lt;F102,J$97,D103)</f>
        <v>683731.64</v>
      </c>
      <c r="F103" s="510">
        <f t="shared" ref="F103:F155" si="20">+D103-E103</f>
        <v>14845314.2611544</v>
      </c>
      <c r="G103" s="510">
        <f t="shared" ref="G103:G155" si="21">+(F103+D103)/2</f>
        <v>15187180.0811544</v>
      </c>
      <c r="H103" s="627">
        <f t="shared" ref="H103:H155" si="22">+J$95*G103+E103</f>
        <v>2475241.9762378884</v>
      </c>
      <c r="I103" s="628">
        <f t="shared" ref="I103:I155" si="23">+J$96*G103+E103</f>
        <v>2475241.9762378884</v>
      </c>
      <c r="J103" s="504">
        <f t="shared" si="13"/>
        <v>0</v>
      </c>
      <c r="K103" s="504"/>
      <c r="L103" s="512"/>
      <c r="M103" s="504">
        <f t="shared" ref="M103:M131" si="24">IF(L103&lt;&gt;0,+H103-L103,0)</f>
        <v>0</v>
      </c>
      <c r="N103" s="512"/>
      <c r="O103" s="504">
        <f t="shared" si="17"/>
        <v>0</v>
      </c>
      <c r="P103" s="504">
        <f t="shared" si="18"/>
        <v>0</v>
      </c>
    </row>
    <row r="104" spans="1:16">
      <c r="B104" s="145" t="str">
        <f t="shared" si="12"/>
        <v/>
      </c>
      <c r="C104" s="495">
        <f>IF(D94="","-",+C103+1)</f>
        <v>2022</v>
      </c>
      <c r="D104" s="349">
        <f>IF(F103+SUM(E$100:E103)=D$93,F103,D$93-SUM(E$100:E103))</f>
        <v>14845314.2611544</v>
      </c>
      <c r="E104" s="509">
        <f t="shared" si="19"/>
        <v>683731.64</v>
      </c>
      <c r="F104" s="510">
        <f t="shared" si="20"/>
        <v>14161582.6211544</v>
      </c>
      <c r="G104" s="510">
        <f t="shared" si="21"/>
        <v>14503448.4411544</v>
      </c>
      <c r="H104" s="627">
        <f t="shared" si="22"/>
        <v>2394587.6155384416</v>
      </c>
      <c r="I104" s="628">
        <f t="shared" si="23"/>
        <v>2394587.6155384416</v>
      </c>
      <c r="J104" s="504">
        <f t="shared" si="13"/>
        <v>0</v>
      </c>
      <c r="K104" s="504"/>
      <c r="L104" s="512"/>
      <c r="M104" s="504">
        <f t="shared" si="24"/>
        <v>0</v>
      </c>
      <c r="N104" s="512"/>
      <c r="O104" s="504">
        <f t="shared" si="17"/>
        <v>0</v>
      </c>
      <c r="P104" s="504">
        <f t="shared" si="18"/>
        <v>0</v>
      </c>
    </row>
    <row r="105" spans="1:16">
      <c r="B105" s="145" t="str">
        <f t="shared" si="12"/>
        <v/>
      </c>
      <c r="C105" s="495">
        <f>IF(D94="","-",+C104+1)</f>
        <v>2023</v>
      </c>
      <c r="D105" s="349">
        <f>IF(F104+SUM(E$100:E104)=D$93,F104,D$93-SUM(E$100:E104))</f>
        <v>14161582.6211544</v>
      </c>
      <c r="E105" s="509">
        <f t="shared" si="19"/>
        <v>683731.64</v>
      </c>
      <c r="F105" s="510">
        <f t="shared" si="20"/>
        <v>13477850.981154399</v>
      </c>
      <c r="G105" s="510">
        <f t="shared" si="21"/>
        <v>13819716.801154399</v>
      </c>
      <c r="H105" s="627">
        <f t="shared" si="22"/>
        <v>2313933.2548389942</v>
      </c>
      <c r="I105" s="628">
        <f t="shared" si="23"/>
        <v>2313933.2548389942</v>
      </c>
      <c r="J105" s="504">
        <f t="shared" si="13"/>
        <v>0</v>
      </c>
      <c r="K105" s="504"/>
      <c r="L105" s="512"/>
      <c r="M105" s="504">
        <f t="shared" si="24"/>
        <v>0</v>
      </c>
      <c r="N105" s="512"/>
      <c r="O105" s="504">
        <f t="shared" si="17"/>
        <v>0</v>
      </c>
      <c r="P105" s="504">
        <f t="shared" si="18"/>
        <v>0</v>
      </c>
    </row>
    <row r="106" spans="1:16">
      <c r="B106" s="145" t="str">
        <f t="shared" si="12"/>
        <v/>
      </c>
      <c r="C106" s="495">
        <f>IF(D94="","-",+C105+1)</f>
        <v>2024</v>
      </c>
      <c r="D106" s="349">
        <f>IF(F105+SUM(E$100:E105)=D$93,F105,D$93-SUM(E$100:E105))</f>
        <v>13477850.981154399</v>
      </c>
      <c r="E106" s="509">
        <f t="shared" si="19"/>
        <v>683731.64</v>
      </c>
      <c r="F106" s="510">
        <f t="shared" si="20"/>
        <v>12794119.341154398</v>
      </c>
      <c r="G106" s="510">
        <f t="shared" si="21"/>
        <v>13135985.161154399</v>
      </c>
      <c r="H106" s="627">
        <f t="shared" si="22"/>
        <v>2233278.8941395474</v>
      </c>
      <c r="I106" s="628">
        <f t="shared" si="23"/>
        <v>2233278.8941395474</v>
      </c>
      <c r="J106" s="504">
        <f t="shared" si="13"/>
        <v>0</v>
      </c>
      <c r="K106" s="504"/>
      <c r="L106" s="512"/>
      <c r="M106" s="504">
        <f t="shared" si="24"/>
        <v>0</v>
      </c>
      <c r="N106" s="512"/>
      <c r="O106" s="504">
        <f t="shared" si="17"/>
        <v>0</v>
      </c>
      <c r="P106" s="504">
        <f t="shared" si="18"/>
        <v>0</v>
      </c>
    </row>
    <row r="107" spans="1:16">
      <c r="B107" s="145" t="str">
        <f t="shared" si="12"/>
        <v/>
      </c>
      <c r="C107" s="495">
        <f>IF(D94="","-",+C106+1)</f>
        <v>2025</v>
      </c>
      <c r="D107" s="349">
        <f>IF(F106+SUM(E$100:E106)=D$93,F106,D$93-SUM(E$100:E106))</f>
        <v>12794119.341154398</v>
      </c>
      <c r="E107" s="509">
        <f t="shared" si="19"/>
        <v>683731.64</v>
      </c>
      <c r="F107" s="510">
        <f t="shared" si="20"/>
        <v>12110387.701154398</v>
      </c>
      <c r="G107" s="510">
        <f t="shared" si="21"/>
        <v>12452253.521154398</v>
      </c>
      <c r="H107" s="627">
        <f t="shared" si="22"/>
        <v>2152624.5334401005</v>
      </c>
      <c r="I107" s="628">
        <f t="shared" si="23"/>
        <v>2152624.5334401005</v>
      </c>
      <c r="J107" s="504">
        <f t="shared" si="13"/>
        <v>0</v>
      </c>
      <c r="K107" s="504"/>
      <c r="L107" s="512"/>
      <c r="M107" s="504">
        <f t="shared" si="24"/>
        <v>0</v>
      </c>
      <c r="N107" s="512"/>
      <c r="O107" s="504">
        <f t="shared" si="17"/>
        <v>0</v>
      </c>
      <c r="P107" s="504">
        <f t="shared" si="18"/>
        <v>0</v>
      </c>
    </row>
    <row r="108" spans="1:16">
      <c r="B108" s="145" t="str">
        <f t="shared" si="12"/>
        <v/>
      </c>
      <c r="C108" s="495">
        <f>IF(D94="","-",+C107+1)</f>
        <v>2026</v>
      </c>
      <c r="D108" s="349">
        <f>IF(F107+SUM(E$100:E107)=D$93,F107,D$93-SUM(E$100:E107))</f>
        <v>12110387.701154398</v>
      </c>
      <c r="E108" s="509">
        <f t="shared" si="19"/>
        <v>683731.64</v>
      </c>
      <c r="F108" s="510">
        <f t="shared" si="20"/>
        <v>11426656.061154397</v>
      </c>
      <c r="G108" s="510">
        <f t="shared" si="21"/>
        <v>11768521.881154398</v>
      </c>
      <c r="H108" s="627">
        <f t="shared" si="22"/>
        <v>2071970.1727406532</v>
      </c>
      <c r="I108" s="628">
        <f t="shared" si="23"/>
        <v>2071970.1727406532</v>
      </c>
      <c r="J108" s="504">
        <f t="shared" si="13"/>
        <v>0</v>
      </c>
      <c r="K108" s="504"/>
      <c r="L108" s="512"/>
      <c r="M108" s="504">
        <f t="shared" si="24"/>
        <v>0</v>
      </c>
      <c r="N108" s="512"/>
      <c r="O108" s="504">
        <f t="shared" si="17"/>
        <v>0</v>
      </c>
      <c r="P108" s="504">
        <f t="shared" si="18"/>
        <v>0</v>
      </c>
    </row>
    <row r="109" spans="1:16">
      <c r="B109" s="145" t="str">
        <f t="shared" si="12"/>
        <v/>
      </c>
      <c r="C109" s="495">
        <f>IF(D94="","-",+C108+1)</f>
        <v>2027</v>
      </c>
      <c r="D109" s="349">
        <f>IF(F108+SUM(E$100:E108)=D$93,F108,D$93-SUM(E$100:E108))</f>
        <v>11426656.061154397</v>
      </c>
      <c r="E109" s="509">
        <f t="shared" si="19"/>
        <v>683731.64</v>
      </c>
      <c r="F109" s="510">
        <f t="shared" si="20"/>
        <v>10742924.421154397</v>
      </c>
      <c r="G109" s="510">
        <f t="shared" si="21"/>
        <v>11084790.241154397</v>
      </c>
      <c r="H109" s="627">
        <f t="shared" si="22"/>
        <v>1991315.8120412063</v>
      </c>
      <c r="I109" s="628">
        <f t="shared" si="23"/>
        <v>1991315.8120412063</v>
      </c>
      <c r="J109" s="504">
        <f t="shared" si="13"/>
        <v>0</v>
      </c>
      <c r="K109" s="504"/>
      <c r="L109" s="512"/>
      <c r="M109" s="504">
        <f t="shared" si="24"/>
        <v>0</v>
      </c>
      <c r="N109" s="512"/>
      <c r="O109" s="504">
        <f t="shared" si="17"/>
        <v>0</v>
      </c>
      <c r="P109" s="504">
        <f t="shared" si="18"/>
        <v>0</v>
      </c>
    </row>
    <row r="110" spans="1:16">
      <c r="B110" s="145" t="str">
        <f t="shared" si="12"/>
        <v/>
      </c>
      <c r="C110" s="495">
        <f>IF(D94="","-",+C109+1)</f>
        <v>2028</v>
      </c>
      <c r="D110" s="349">
        <f>IF(F109+SUM(E$100:E109)=D$93,F109,D$93-SUM(E$100:E109))</f>
        <v>10742924.421154397</v>
      </c>
      <c r="E110" s="509">
        <f t="shared" si="19"/>
        <v>683731.64</v>
      </c>
      <c r="F110" s="510">
        <f t="shared" si="20"/>
        <v>10059192.781154396</v>
      </c>
      <c r="G110" s="510">
        <f t="shared" si="21"/>
        <v>10401058.601154396</v>
      </c>
      <c r="H110" s="627">
        <f t="shared" si="22"/>
        <v>1910661.4513417594</v>
      </c>
      <c r="I110" s="628">
        <f t="shared" si="23"/>
        <v>1910661.4513417594</v>
      </c>
      <c r="J110" s="504">
        <f t="shared" si="13"/>
        <v>0</v>
      </c>
      <c r="K110" s="504"/>
      <c r="L110" s="512"/>
      <c r="M110" s="504">
        <f t="shared" si="24"/>
        <v>0</v>
      </c>
      <c r="N110" s="512"/>
      <c r="O110" s="504">
        <f t="shared" si="17"/>
        <v>0</v>
      </c>
      <c r="P110" s="504">
        <f t="shared" si="18"/>
        <v>0</v>
      </c>
    </row>
    <row r="111" spans="1:16">
      <c r="B111" s="145" t="str">
        <f t="shared" si="12"/>
        <v/>
      </c>
      <c r="C111" s="495">
        <f>IF(D94="","-",+C110+1)</f>
        <v>2029</v>
      </c>
      <c r="D111" s="349">
        <f>IF(F110+SUM(E$100:E110)=D$93,F110,D$93-SUM(E$100:E110))</f>
        <v>10059192.781154396</v>
      </c>
      <c r="E111" s="509">
        <f t="shared" si="19"/>
        <v>683731.64</v>
      </c>
      <c r="F111" s="510">
        <f t="shared" si="20"/>
        <v>9375461.1411543954</v>
      </c>
      <c r="G111" s="510">
        <f t="shared" si="21"/>
        <v>9717326.9611543957</v>
      </c>
      <c r="H111" s="627">
        <f t="shared" si="22"/>
        <v>1830007.0906423125</v>
      </c>
      <c r="I111" s="628">
        <f t="shared" si="23"/>
        <v>1830007.0906423125</v>
      </c>
      <c r="J111" s="504">
        <f t="shared" si="13"/>
        <v>0</v>
      </c>
      <c r="K111" s="504"/>
      <c r="L111" s="512"/>
      <c r="M111" s="504">
        <f t="shared" si="24"/>
        <v>0</v>
      </c>
      <c r="N111" s="512"/>
      <c r="O111" s="504">
        <f t="shared" si="17"/>
        <v>0</v>
      </c>
      <c r="P111" s="504">
        <f t="shared" si="18"/>
        <v>0</v>
      </c>
    </row>
    <row r="112" spans="1:16">
      <c r="B112" s="145" t="str">
        <f t="shared" si="12"/>
        <v/>
      </c>
      <c r="C112" s="495">
        <f>IF(D94="","-",+C111+1)</f>
        <v>2030</v>
      </c>
      <c r="D112" s="349">
        <f>IF(F111+SUM(E$100:E111)=D$93,F111,D$93-SUM(E$100:E111))</f>
        <v>9375461.1411543954</v>
      </c>
      <c r="E112" s="509">
        <f t="shared" si="19"/>
        <v>683731.64</v>
      </c>
      <c r="F112" s="510">
        <f t="shared" si="20"/>
        <v>8691729.5011543948</v>
      </c>
      <c r="G112" s="510">
        <f t="shared" si="21"/>
        <v>9033595.3211543951</v>
      </c>
      <c r="H112" s="627">
        <f t="shared" si="22"/>
        <v>1749352.7299428652</v>
      </c>
      <c r="I112" s="628">
        <f t="shared" si="23"/>
        <v>1749352.7299428652</v>
      </c>
      <c r="J112" s="504">
        <f t="shared" si="13"/>
        <v>0</v>
      </c>
      <c r="K112" s="504"/>
      <c r="L112" s="512"/>
      <c r="M112" s="504">
        <f t="shared" si="24"/>
        <v>0</v>
      </c>
      <c r="N112" s="512"/>
      <c r="O112" s="504">
        <f t="shared" si="17"/>
        <v>0</v>
      </c>
      <c r="P112" s="504">
        <f t="shared" si="18"/>
        <v>0</v>
      </c>
    </row>
    <row r="113" spans="2:16">
      <c r="B113" s="145" t="str">
        <f t="shared" si="12"/>
        <v/>
      </c>
      <c r="C113" s="495">
        <f>IF(D94="","-",+C112+1)</f>
        <v>2031</v>
      </c>
      <c r="D113" s="349">
        <f>IF(F112+SUM(E$100:E112)=D$93,F112,D$93-SUM(E$100:E112))</f>
        <v>8691729.5011543948</v>
      </c>
      <c r="E113" s="509">
        <f t="shared" si="19"/>
        <v>683731.64</v>
      </c>
      <c r="F113" s="510">
        <f t="shared" si="20"/>
        <v>8007997.8611543952</v>
      </c>
      <c r="G113" s="510">
        <f t="shared" si="21"/>
        <v>8349863.6811543945</v>
      </c>
      <c r="H113" s="627">
        <f t="shared" si="22"/>
        <v>1668698.3692434183</v>
      </c>
      <c r="I113" s="628">
        <f t="shared" si="23"/>
        <v>1668698.3692434183</v>
      </c>
      <c r="J113" s="504">
        <f t="shared" si="13"/>
        <v>0</v>
      </c>
      <c r="K113" s="504"/>
      <c r="L113" s="512"/>
      <c r="M113" s="504">
        <f t="shared" si="24"/>
        <v>0</v>
      </c>
      <c r="N113" s="512"/>
      <c r="O113" s="504">
        <f t="shared" si="17"/>
        <v>0</v>
      </c>
      <c r="P113" s="504">
        <f t="shared" si="18"/>
        <v>0</v>
      </c>
    </row>
    <row r="114" spans="2:16">
      <c r="B114" s="145" t="str">
        <f t="shared" si="12"/>
        <v/>
      </c>
      <c r="C114" s="495">
        <f>IF(D94="","-",+C113+1)</f>
        <v>2032</v>
      </c>
      <c r="D114" s="349">
        <f>IF(F113+SUM(E$100:E113)=D$93,F113,D$93-SUM(E$100:E113))</f>
        <v>8007997.8611543952</v>
      </c>
      <c r="E114" s="509">
        <f t="shared" si="19"/>
        <v>683731.64</v>
      </c>
      <c r="F114" s="510">
        <f t="shared" si="20"/>
        <v>7324266.2211543955</v>
      </c>
      <c r="G114" s="510">
        <f t="shared" si="21"/>
        <v>7666132.0411543958</v>
      </c>
      <c r="H114" s="627">
        <f t="shared" si="22"/>
        <v>1588044.0085439715</v>
      </c>
      <c r="I114" s="628">
        <f t="shared" si="23"/>
        <v>1588044.0085439715</v>
      </c>
      <c r="J114" s="504">
        <f t="shared" si="13"/>
        <v>0</v>
      </c>
      <c r="K114" s="504"/>
      <c r="L114" s="512"/>
      <c r="M114" s="504">
        <f t="shared" si="24"/>
        <v>0</v>
      </c>
      <c r="N114" s="512"/>
      <c r="O114" s="504">
        <f t="shared" si="17"/>
        <v>0</v>
      </c>
      <c r="P114" s="504">
        <f t="shared" si="18"/>
        <v>0</v>
      </c>
    </row>
    <row r="115" spans="2:16">
      <c r="B115" s="145" t="str">
        <f t="shared" si="12"/>
        <v/>
      </c>
      <c r="C115" s="495">
        <f>IF(D94="","-",+C114+1)</f>
        <v>2033</v>
      </c>
      <c r="D115" s="349">
        <f>IF(F114+SUM(E$100:E114)=D$93,F114,D$93-SUM(E$100:E114))</f>
        <v>7324266.2211543955</v>
      </c>
      <c r="E115" s="509">
        <f t="shared" si="19"/>
        <v>683731.64</v>
      </c>
      <c r="F115" s="510">
        <f t="shared" si="20"/>
        <v>6640534.5811543958</v>
      </c>
      <c r="G115" s="510">
        <f t="shared" si="21"/>
        <v>6982400.4011543952</v>
      </c>
      <c r="H115" s="627">
        <f t="shared" si="22"/>
        <v>1507389.6478445246</v>
      </c>
      <c r="I115" s="628">
        <f t="shared" si="23"/>
        <v>1507389.6478445246</v>
      </c>
      <c r="J115" s="504">
        <f t="shared" si="13"/>
        <v>0</v>
      </c>
      <c r="K115" s="504"/>
      <c r="L115" s="512"/>
      <c r="M115" s="504">
        <f t="shared" si="24"/>
        <v>0</v>
      </c>
      <c r="N115" s="512"/>
      <c r="O115" s="504">
        <f t="shared" si="17"/>
        <v>0</v>
      </c>
      <c r="P115" s="504">
        <f t="shared" si="18"/>
        <v>0</v>
      </c>
    </row>
    <row r="116" spans="2:16">
      <c r="B116" s="145" t="str">
        <f t="shared" si="12"/>
        <v/>
      </c>
      <c r="C116" s="495">
        <f>IF(D94="","-",+C115+1)</f>
        <v>2034</v>
      </c>
      <c r="D116" s="349">
        <f>IF(F115+SUM(E$100:E115)=D$93,F115,D$93-SUM(E$100:E115))</f>
        <v>6640534.5811543958</v>
      </c>
      <c r="E116" s="509">
        <f t="shared" si="19"/>
        <v>683731.64</v>
      </c>
      <c r="F116" s="510">
        <f t="shared" si="20"/>
        <v>5956802.9411543962</v>
      </c>
      <c r="G116" s="510">
        <f t="shared" si="21"/>
        <v>6298668.7611543965</v>
      </c>
      <c r="H116" s="627">
        <f t="shared" si="22"/>
        <v>1426735.2871450777</v>
      </c>
      <c r="I116" s="628">
        <f t="shared" si="23"/>
        <v>1426735.2871450777</v>
      </c>
      <c r="J116" s="504">
        <f t="shared" si="13"/>
        <v>0</v>
      </c>
      <c r="K116" s="504"/>
      <c r="L116" s="512"/>
      <c r="M116" s="504">
        <f t="shared" si="24"/>
        <v>0</v>
      </c>
      <c r="N116" s="512"/>
      <c r="O116" s="504">
        <f t="shared" si="17"/>
        <v>0</v>
      </c>
      <c r="P116" s="504">
        <f t="shared" si="18"/>
        <v>0</v>
      </c>
    </row>
    <row r="117" spans="2:16">
      <c r="B117" s="145" t="str">
        <f t="shared" si="12"/>
        <v/>
      </c>
      <c r="C117" s="495">
        <f>IF(D94="","-",+C116+1)</f>
        <v>2035</v>
      </c>
      <c r="D117" s="349">
        <f>IF(F116+SUM(E$100:E116)=D$93,F116,D$93-SUM(E$100:E116))</f>
        <v>5956802.9411543962</v>
      </c>
      <c r="E117" s="509">
        <f t="shared" si="19"/>
        <v>683731.64</v>
      </c>
      <c r="F117" s="510">
        <f t="shared" si="20"/>
        <v>5273071.3011543965</v>
      </c>
      <c r="G117" s="510">
        <f t="shared" si="21"/>
        <v>5614937.1211543959</v>
      </c>
      <c r="H117" s="627">
        <f t="shared" si="22"/>
        <v>1346080.9264456308</v>
      </c>
      <c r="I117" s="628">
        <f t="shared" si="23"/>
        <v>1346080.9264456308</v>
      </c>
      <c r="J117" s="504">
        <f t="shared" si="13"/>
        <v>0</v>
      </c>
      <c r="K117" s="504"/>
      <c r="L117" s="512"/>
      <c r="M117" s="504">
        <f t="shared" si="24"/>
        <v>0</v>
      </c>
      <c r="N117" s="512"/>
      <c r="O117" s="504">
        <f t="shared" si="17"/>
        <v>0</v>
      </c>
      <c r="P117" s="504">
        <f t="shared" si="18"/>
        <v>0</v>
      </c>
    </row>
    <row r="118" spans="2:16">
      <c r="B118" s="145" t="str">
        <f t="shared" si="12"/>
        <v/>
      </c>
      <c r="C118" s="495">
        <f>IF(D94="","-",+C117+1)</f>
        <v>2036</v>
      </c>
      <c r="D118" s="349">
        <f>IF(F117+SUM(E$100:E117)=D$93,F117,D$93-SUM(E$100:E117))</f>
        <v>5273071.3011543965</v>
      </c>
      <c r="E118" s="509">
        <f t="shared" si="19"/>
        <v>683731.64</v>
      </c>
      <c r="F118" s="510">
        <f t="shared" si="20"/>
        <v>4589339.6611543968</v>
      </c>
      <c r="G118" s="510">
        <f t="shared" si="21"/>
        <v>4931205.4811543971</v>
      </c>
      <c r="H118" s="627">
        <f t="shared" si="22"/>
        <v>1265426.565746184</v>
      </c>
      <c r="I118" s="628">
        <f t="shared" si="23"/>
        <v>1265426.565746184</v>
      </c>
      <c r="J118" s="504">
        <f t="shared" si="13"/>
        <v>0</v>
      </c>
      <c r="K118" s="504"/>
      <c r="L118" s="512"/>
      <c r="M118" s="504">
        <f t="shared" si="24"/>
        <v>0</v>
      </c>
      <c r="N118" s="512"/>
      <c r="O118" s="504">
        <f t="shared" si="17"/>
        <v>0</v>
      </c>
      <c r="P118" s="504">
        <f t="shared" si="18"/>
        <v>0</v>
      </c>
    </row>
    <row r="119" spans="2:16">
      <c r="B119" s="145" t="str">
        <f t="shared" si="12"/>
        <v/>
      </c>
      <c r="C119" s="495">
        <f>IF(D94="","-",+C118+1)</f>
        <v>2037</v>
      </c>
      <c r="D119" s="349">
        <f>IF(F118+SUM(E$100:E118)=D$93,F118,D$93-SUM(E$100:E118))</f>
        <v>4589339.6611543968</v>
      </c>
      <c r="E119" s="509">
        <f t="shared" si="19"/>
        <v>683731.64</v>
      </c>
      <c r="F119" s="510">
        <f t="shared" si="20"/>
        <v>3905608.0211543967</v>
      </c>
      <c r="G119" s="510">
        <f t="shared" si="21"/>
        <v>4247473.8411543965</v>
      </c>
      <c r="H119" s="627">
        <f t="shared" si="22"/>
        <v>1184772.2050467369</v>
      </c>
      <c r="I119" s="628">
        <f t="shared" si="23"/>
        <v>1184772.2050467369</v>
      </c>
      <c r="J119" s="504">
        <f t="shared" si="13"/>
        <v>0</v>
      </c>
      <c r="K119" s="504"/>
      <c r="L119" s="512"/>
      <c r="M119" s="504">
        <f t="shared" si="24"/>
        <v>0</v>
      </c>
      <c r="N119" s="512"/>
      <c r="O119" s="504">
        <f t="shared" si="17"/>
        <v>0</v>
      </c>
      <c r="P119" s="504">
        <f t="shared" si="18"/>
        <v>0</v>
      </c>
    </row>
    <row r="120" spans="2:16">
      <c r="B120" s="145" t="str">
        <f t="shared" si="12"/>
        <v/>
      </c>
      <c r="C120" s="495">
        <f>IF(D94="","-",+C119+1)</f>
        <v>2038</v>
      </c>
      <c r="D120" s="349">
        <f>IF(F119+SUM(E$100:E119)=D$93,F119,D$93-SUM(E$100:E119))</f>
        <v>3905608.0211543967</v>
      </c>
      <c r="E120" s="509">
        <f t="shared" si="19"/>
        <v>683731.64</v>
      </c>
      <c r="F120" s="510">
        <f t="shared" si="20"/>
        <v>3221876.3811543966</v>
      </c>
      <c r="G120" s="510">
        <f t="shared" si="21"/>
        <v>3563742.2011543969</v>
      </c>
      <c r="H120" s="627">
        <f t="shared" si="22"/>
        <v>1104117.84434729</v>
      </c>
      <c r="I120" s="628">
        <f t="shared" si="23"/>
        <v>1104117.84434729</v>
      </c>
      <c r="J120" s="504">
        <f t="shared" si="13"/>
        <v>0</v>
      </c>
      <c r="K120" s="504"/>
      <c r="L120" s="512"/>
      <c r="M120" s="504">
        <f t="shared" si="24"/>
        <v>0</v>
      </c>
      <c r="N120" s="512"/>
      <c r="O120" s="504">
        <f t="shared" si="17"/>
        <v>0</v>
      </c>
      <c r="P120" s="504">
        <f t="shared" si="18"/>
        <v>0</v>
      </c>
    </row>
    <row r="121" spans="2:16">
      <c r="B121" s="145" t="str">
        <f t="shared" si="12"/>
        <v/>
      </c>
      <c r="C121" s="495">
        <f>IF(D94="","-",+C120+1)</f>
        <v>2039</v>
      </c>
      <c r="D121" s="349">
        <f>IF(F120+SUM(E$100:E120)=D$93,F120,D$93-SUM(E$100:E120))</f>
        <v>3221876.3811543966</v>
      </c>
      <c r="E121" s="509">
        <f t="shared" si="19"/>
        <v>683731.64</v>
      </c>
      <c r="F121" s="510">
        <f t="shared" si="20"/>
        <v>2538144.7411543964</v>
      </c>
      <c r="G121" s="510">
        <f t="shared" si="21"/>
        <v>2880010.5611543963</v>
      </c>
      <c r="H121" s="627">
        <f t="shared" si="22"/>
        <v>1023463.483647843</v>
      </c>
      <c r="I121" s="628">
        <f t="shared" si="23"/>
        <v>1023463.483647843</v>
      </c>
      <c r="J121" s="504">
        <f t="shared" si="13"/>
        <v>0</v>
      </c>
      <c r="K121" s="504"/>
      <c r="L121" s="512"/>
      <c r="M121" s="504">
        <f t="shared" si="24"/>
        <v>0</v>
      </c>
      <c r="N121" s="512"/>
      <c r="O121" s="504">
        <f t="shared" si="17"/>
        <v>0</v>
      </c>
      <c r="P121" s="504">
        <f t="shared" si="18"/>
        <v>0</v>
      </c>
    </row>
    <row r="122" spans="2:16">
      <c r="B122" s="145" t="str">
        <f t="shared" si="12"/>
        <v/>
      </c>
      <c r="C122" s="495">
        <f>IF(D94="","-",+C121+1)</f>
        <v>2040</v>
      </c>
      <c r="D122" s="349">
        <f>IF(F121+SUM(E$100:E121)=D$93,F121,D$93-SUM(E$100:E121))</f>
        <v>2538144.7411543964</v>
      </c>
      <c r="E122" s="509">
        <f t="shared" si="19"/>
        <v>683731.64</v>
      </c>
      <c r="F122" s="510">
        <f t="shared" si="20"/>
        <v>1854413.1011543963</v>
      </c>
      <c r="G122" s="510">
        <f t="shared" si="21"/>
        <v>2196278.9211543966</v>
      </c>
      <c r="H122" s="627">
        <f t="shared" si="22"/>
        <v>942809.12294839614</v>
      </c>
      <c r="I122" s="628">
        <f t="shared" si="23"/>
        <v>942809.12294839614</v>
      </c>
      <c r="J122" s="504">
        <f t="shared" si="13"/>
        <v>0</v>
      </c>
      <c r="K122" s="504"/>
      <c r="L122" s="512"/>
      <c r="M122" s="504">
        <f t="shared" si="24"/>
        <v>0</v>
      </c>
      <c r="N122" s="512"/>
      <c r="O122" s="504">
        <f t="shared" si="17"/>
        <v>0</v>
      </c>
      <c r="P122" s="504">
        <f t="shared" si="18"/>
        <v>0</v>
      </c>
    </row>
    <row r="123" spans="2:16">
      <c r="B123" s="145" t="str">
        <f t="shared" si="12"/>
        <v/>
      </c>
      <c r="C123" s="495">
        <f>IF(D94="","-",+C122+1)</f>
        <v>2041</v>
      </c>
      <c r="D123" s="349">
        <f>IF(F122+SUM(E$100:E122)=D$93,F122,D$93-SUM(E$100:E122))</f>
        <v>1854413.1011543963</v>
      </c>
      <c r="E123" s="509">
        <f t="shared" si="19"/>
        <v>683731.64</v>
      </c>
      <c r="F123" s="510">
        <f t="shared" si="20"/>
        <v>1170681.4611543962</v>
      </c>
      <c r="G123" s="510">
        <f t="shared" si="21"/>
        <v>1512547.2811543962</v>
      </c>
      <c r="H123" s="627">
        <f t="shared" si="22"/>
        <v>862154.76224894915</v>
      </c>
      <c r="I123" s="628">
        <f t="shared" si="23"/>
        <v>862154.76224894915</v>
      </c>
      <c r="J123" s="504">
        <f t="shared" si="13"/>
        <v>0</v>
      </c>
      <c r="K123" s="504"/>
      <c r="L123" s="512"/>
      <c r="M123" s="504">
        <f t="shared" si="24"/>
        <v>0</v>
      </c>
      <c r="N123" s="512"/>
      <c r="O123" s="504">
        <f t="shared" si="17"/>
        <v>0</v>
      </c>
      <c r="P123" s="504">
        <f t="shared" si="18"/>
        <v>0</v>
      </c>
    </row>
    <row r="124" spans="2:16">
      <c r="B124" s="145" t="str">
        <f t="shared" si="12"/>
        <v/>
      </c>
      <c r="C124" s="495">
        <f>IF(D94="","-",+C123+1)</f>
        <v>2042</v>
      </c>
      <c r="D124" s="349">
        <f>IF(F123+SUM(E$100:E123)=D$93,F123,D$93-SUM(E$100:E123))</f>
        <v>1170681.4611543962</v>
      </c>
      <c r="E124" s="509">
        <f t="shared" si="19"/>
        <v>683731.64</v>
      </c>
      <c r="F124" s="510">
        <f t="shared" si="20"/>
        <v>486949.82115439617</v>
      </c>
      <c r="G124" s="510">
        <f t="shared" si="21"/>
        <v>828815.64115439611</v>
      </c>
      <c r="H124" s="627">
        <f t="shared" si="22"/>
        <v>781500.40154950216</v>
      </c>
      <c r="I124" s="628">
        <f t="shared" si="23"/>
        <v>781500.40154950216</v>
      </c>
      <c r="J124" s="504">
        <f t="shared" si="13"/>
        <v>0</v>
      </c>
      <c r="K124" s="504"/>
      <c r="L124" s="512"/>
      <c r="M124" s="504">
        <f t="shared" si="24"/>
        <v>0</v>
      </c>
      <c r="N124" s="512"/>
      <c r="O124" s="504">
        <f t="shared" si="17"/>
        <v>0</v>
      </c>
      <c r="P124" s="504">
        <f t="shared" si="18"/>
        <v>0</v>
      </c>
    </row>
    <row r="125" spans="2:16">
      <c r="B125" s="145" t="str">
        <f t="shared" si="12"/>
        <v/>
      </c>
      <c r="C125" s="495">
        <f>IF(D94="","-",+C124+1)</f>
        <v>2043</v>
      </c>
      <c r="D125" s="349">
        <f>IF(F124+SUM(E$100:E124)=D$93,F124,D$93-SUM(E$100:E124))</f>
        <v>486949.82115439617</v>
      </c>
      <c r="E125" s="509">
        <f t="shared" si="19"/>
        <v>486949.82115439617</v>
      </c>
      <c r="F125" s="510">
        <f t="shared" si="20"/>
        <v>0</v>
      </c>
      <c r="G125" s="510">
        <f t="shared" si="21"/>
        <v>243474.91057719808</v>
      </c>
      <c r="H125" s="627">
        <f t="shared" si="22"/>
        <v>515670.61175428552</v>
      </c>
      <c r="I125" s="628">
        <f t="shared" si="23"/>
        <v>515670.61175428552</v>
      </c>
      <c r="J125" s="504">
        <f t="shared" si="13"/>
        <v>0</v>
      </c>
      <c r="K125" s="504"/>
      <c r="L125" s="512"/>
      <c r="M125" s="504">
        <f t="shared" si="24"/>
        <v>0</v>
      </c>
      <c r="N125" s="512"/>
      <c r="O125" s="504">
        <f t="shared" si="17"/>
        <v>0</v>
      </c>
      <c r="P125" s="504">
        <f t="shared" si="18"/>
        <v>0</v>
      </c>
    </row>
    <row r="126" spans="2:16">
      <c r="B126" s="145" t="str">
        <f t="shared" si="12"/>
        <v/>
      </c>
      <c r="C126" s="495">
        <f>IF(D94="","-",+C125+1)</f>
        <v>2044</v>
      </c>
      <c r="D126" s="349">
        <f>IF(F125+SUM(E$100:E125)=D$93,F125,D$93-SUM(E$100:E125))</f>
        <v>0</v>
      </c>
      <c r="E126" s="509">
        <f t="shared" si="19"/>
        <v>0</v>
      </c>
      <c r="F126" s="510">
        <f t="shared" si="20"/>
        <v>0</v>
      </c>
      <c r="G126" s="510">
        <f t="shared" si="21"/>
        <v>0</v>
      </c>
      <c r="H126" s="627">
        <f t="shared" si="22"/>
        <v>0</v>
      </c>
      <c r="I126" s="628">
        <f t="shared" si="23"/>
        <v>0</v>
      </c>
      <c r="J126" s="504">
        <f t="shared" si="13"/>
        <v>0</v>
      </c>
      <c r="K126" s="504"/>
      <c r="L126" s="512"/>
      <c r="M126" s="504">
        <f t="shared" si="24"/>
        <v>0</v>
      </c>
      <c r="N126" s="512"/>
      <c r="O126" s="504">
        <f t="shared" si="17"/>
        <v>0</v>
      </c>
      <c r="P126" s="504">
        <f t="shared" si="18"/>
        <v>0</v>
      </c>
    </row>
    <row r="127" spans="2:16">
      <c r="B127" s="145" t="str">
        <f t="shared" si="12"/>
        <v/>
      </c>
      <c r="C127" s="495">
        <f>IF(D94="","-",+C126+1)</f>
        <v>2045</v>
      </c>
      <c r="D127" s="349">
        <f>IF(F126+SUM(E$100:E126)=D$93,F126,D$93-SUM(E$100:E126))</f>
        <v>0</v>
      </c>
      <c r="E127" s="509">
        <f t="shared" si="19"/>
        <v>0</v>
      </c>
      <c r="F127" s="510">
        <f t="shared" si="20"/>
        <v>0</v>
      </c>
      <c r="G127" s="510">
        <f t="shared" si="21"/>
        <v>0</v>
      </c>
      <c r="H127" s="627">
        <f t="shared" si="22"/>
        <v>0</v>
      </c>
      <c r="I127" s="628">
        <f t="shared" si="23"/>
        <v>0</v>
      </c>
      <c r="J127" s="504">
        <f t="shared" si="13"/>
        <v>0</v>
      </c>
      <c r="K127" s="504"/>
      <c r="L127" s="512"/>
      <c r="M127" s="504">
        <f t="shared" si="24"/>
        <v>0</v>
      </c>
      <c r="N127" s="512"/>
      <c r="O127" s="504">
        <f t="shared" si="17"/>
        <v>0</v>
      </c>
      <c r="P127" s="504">
        <f t="shared" si="18"/>
        <v>0</v>
      </c>
    </row>
    <row r="128" spans="2:16">
      <c r="B128" s="145" t="str">
        <f t="shared" si="12"/>
        <v/>
      </c>
      <c r="C128" s="495">
        <f>IF(D94="","-",+C127+1)</f>
        <v>2046</v>
      </c>
      <c r="D128" s="349">
        <f>IF(F127+SUM(E$100:E127)=D$93,F127,D$93-SUM(E$100:E127))</f>
        <v>0</v>
      </c>
      <c r="E128" s="509">
        <f t="shared" si="19"/>
        <v>0</v>
      </c>
      <c r="F128" s="510">
        <f t="shared" si="20"/>
        <v>0</v>
      </c>
      <c r="G128" s="510">
        <f t="shared" si="21"/>
        <v>0</v>
      </c>
      <c r="H128" s="627">
        <f t="shared" si="22"/>
        <v>0</v>
      </c>
      <c r="I128" s="628">
        <f t="shared" si="23"/>
        <v>0</v>
      </c>
      <c r="J128" s="504">
        <f t="shared" si="13"/>
        <v>0</v>
      </c>
      <c r="K128" s="504"/>
      <c r="L128" s="512"/>
      <c r="M128" s="504">
        <f t="shared" si="24"/>
        <v>0</v>
      </c>
      <c r="N128" s="512"/>
      <c r="O128" s="504">
        <f t="shared" si="17"/>
        <v>0</v>
      </c>
      <c r="P128" s="504">
        <f t="shared" si="18"/>
        <v>0</v>
      </c>
    </row>
    <row r="129" spans="2:16">
      <c r="B129" s="145" t="str">
        <f t="shared" si="12"/>
        <v/>
      </c>
      <c r="C129" s="495">
        <f>IF(D94="","-",+C128+1)</f>
        <v>2047</v>
      </c>
      <c r="D129" s="349">
        <f>IF(F128+SUM(E$100:E128)=D$93,F128,D$93-SUM(E$100:E128))</f>
        <v>0</v>
      </c>
      <c r="E129" s="509">
        <f t="shared" si="19"/>
        <v>0</v>
      </c>
      <c r="F129" s="510">
        <f t="shared" si="20"/>
        <v>0</v>
      </c>
      <c r="G129" s="510">
        <f t="shared" si="21"/>
        <v>0</v>
      </c>
      <c r="H129" s="627">
        <f t="shared" si="22"/>
        <v>0</v>
      </c>
      <c r="I129" s="628">
        <f t="shared" si="23"/>
        <v>0</v>
      </c>
      <c r="J129" s="504">
        <f t="shared" si="13"/>
        <v>0</v>
      </c>
      <c r="K129" s="504"/>
      <c r="L129" s="512"/>
      <c r="M129" s="504">
        <f t="shared" si="24"/>
        <v>0</v>
      </c>
      <c r="N129" s="512"/>
      <c r="O129" s="504">
        <f t="shared" si="17"/>
        <v>0</v>
      </c>
      <c r="P129" s="504">
        <f t="shared" si="18"/>
        <v>0</v>
      </c>
    </row>
    <row r="130" spans="2:16">
      <c r="B130" s="145" t="str">
        <f t="shared" si="12"/>
        <v/>
      </c>
      <c r="C130" s="495">
        <f>IF(D94="","-",+C129+1)</f>
        <v>2048</v>
      </c>
      <c r="D130" s="349">
        <f>IF(F129+SUM(E$100:E129)=D$93,F129,D$93-SUM(E$100:E129))</f>
        <v>0</v>
      </c>
      <c r="E130" s="509">
        <f t="shared" si="19"/>
        <v>0</v>
      </c>
      <c r="F130" s="510">
        <f t="shared" si="20"/>
        <v>0</v>
      </c>
      <c r="G130" s="510">
        <f t="shared" si="21"/>
        <v>0</v>
      </c>
      <c r="H130" s="627">
        <f t="shared" si="22"/>
        <v>0</v>
      </c>
      <c r="I130" s="628">
        <f t="shared" si="23"/>
        <v>0</v>
      </c>
      <c r="J130" s="504">
        <f t="shared" si="13"/>
        <v>0</v>
      </c>
      <c r="K130" s="504"/>
      <c r="L130" s="512"/>
      <c r="M130" s="504">
        <f t="shared" si="24"/>
        <v>0</v>
      </c>
      <c r="N130" s="512"/>
      <c r="O130" s="504">
        <f t="shared" si="17"/>
        <v>0</v>
      </c>
      <c r="P130" s="504">
        <f t="shared" si="18"/>
        <v>0</v>
      </c>
    </row>
    <row r="131" spans="2:16">
      <c r="B131" s="145" t="str">
        <f t="shared" si="12"/>
        <v/>
      </c>
      <c r="C131" s="495">
        <f>IF(D94="","-",+C130+1)</f>
        <v>2049</v>
      </c>
      <c r="D131" s="349">
        <f>IF(F130+SUM(E$100:E130)=D$93,F130,D$93-SUM(E$100:E130))</f>
        <v>0</v>
      </c>
      <c r="E131" s="509">
        <f t="shared" si="19"/>
        <v>0</v>
      </c>
      <c r="F131" s="510">
        <f t="shared" si="20"/>
        <v>0</v>
      </c>
      <c r="G131" s="510">
        <f t="shared" si="21"/>
        <v>0</v>
      </c>
      <c r="H131" s="627">
        <f t="shared" si="22"/>
        <v>0</v>
      </c>
      <c r="I131" s="628">
        <f t="shared" si="23"/>
        <v>0</v>
      </c>
      <c r="J131" s="504">
        <f t="shared" si="13"/>
        <v>0</v>
      </c>
      <c r="K131" s="504"/>
      <c r="L131" s="512"/>
      <c r="M131" s="504">
        <f t="shared" si="24"/>
        <v>0</v>
      </c>
      <c r="N131" s="512"/>
      <c r="O131" s="504">
        <f t="shared" si="17"/>
        <v>0</v>
      </c>
      <c r="P131" s="504">
        <f t="shared" si="18"/>
        <v>0</v>
      </c>
    </row>
    <row r="132" spans="2:16">
      <c r="B132" s="145" t="str">
        <f t="shared" si="12"/>
        <v/>
      </c>
      <c r="C132" s="495">
        <f>IF(D94="","-",+C131+1)</f>
        <v>2050</v>
      </c>
      <c r="D132" s="349">
        <f>IF(F131+SUM(E$100:E131)=D$93,F131,D$93-SUM(E$100:E131))</f>
        <v>0</v>
      </c>
      <c r="E132" s="509">
        <f t="shared" si="19"/>
        <v>0</v>
      </c>
      <c r="F132" s="510">
        <f t="shared" si="20"/>
        <v>0</v>
      </c>
      <c r="G132" s="510">
        <f t="shared" si="21"/>
        <v>0</v>
      </c>
      <c r="H132" s="627">
        <f t="shared" si="22"/>
        <v>0</v>
      </c>
      <c r="I132" s="628">
        <f t="shared" si="23"/>
        <v>0</v>
      </c>
      <c r="J132" s="504">
        <f t="shared" ref="J132:J155" si="25">+I542-H542</f>
        <v>0</v>
      </c>
      <c r="K132" s="504"/>
      <c r="L132" s="512"/>
      <c r="M132" s="504">
        <f t="shared" ref="M132:M155" si="26">IF(L542&lt;&gt;0,+H542-L542,0)</f>
        <v>0</v>
      </c>
      <c r="N132" s="512"/>
      <c r="O132" s="504">
        <f t="shared" ref="O132:O155" si="27">IF(N542&lt;&gt;0,+I542-N542,0)</f>
        <v>0</v>
      </c>
      <c r="P132" s="504">
        <f t="shared" ref="P132:P155" si="28">+O542-M542</f>
        <v>0</v>
      </c>
    </row>
    <row r="133" spans="2:16">
      <c r="B133" s="145" t="str">
        <f t="shared" si="12"/>
        <v/>
      </c>
      <c r="C133" s="495">
        <f>IF(D94="","-",+C132+1)</f>
        <v>2051</v>
      </c>
      <c r="D133" s="349">
        <f>IF(F132+SUM(E$100:E132)=D$93,F132,D$93-SUM(E$100:E132))</f>
        <v>0</v>
      </c>
      <c r="E133" s="509">
        <f t="shared" si="19"/>
        <v>0</v>
      </c>
      <c r="F133" s="510">
        <f t="shared" si="20"/>
        <v>0</v>
      </c>
      <c r="G133" s="510">
        <f t="shared" si="21"/>
        <v>0</v>
      </c>
      <c r="H133" s="627">
        <f t="shared" si="22"/>
        <v>0</v>
      </c>
      <c r="I133" s="628">
        <f t="shared" si="23"/>
        <v>0</v>
      </c>
      <c r="J133" s="504">
        <f t="shared" si="25"/>
        <v>0</v>
      </c>
      <c r="K133" s="504"/>
      <c r="L133" s="512"/>
      <c r="M133" s="504">
        <f t="shared" si="26"/>
        <v>0</v>
      </c>
      <c r="N133" s="512"/>
      <c r="O133" s="504">
        <f t="shared" si="27"/>
        <v>0</v>
      </c>
      <c r="P133" s="504">
        <f t="shared" si="28"/>
        <v>0</v>
      </c>
    </row>
    <row r="134" spans="2:16">
      <c r="B134" s="145" t="str">
        <f t="shared" si="12"/>
        <v/>
      </c>
      <c r="C134" s="495">
        <f>IF(D94="","-",+C133+1)</f>
        <v>2052</v>
      </c>
      <c r="D134" s="349">
        <f>IF(F133+SUM(E$100:E133)=D$93,F133,D$93-SUM(E$100:E133))</f>
        <v>0</v>
      </c>
      <c r="E134" s="509">
        <f t="shared" si="19"/>
        <v>0</v>
      </c>
      <c r="F134" s="510">
        <f t="shared" si="20"/>
        <v>0</v>
      </c>
      <c r="G134" s="510">
        <f t="shared" si="21"/>
        <v>0</v>
      </c>
      <c r="H134" s="627">
        <f t="shared" si="22"/>
        <v>0</v>
      </c>
      <c r="I134" s="628">
        <f t="shared" si="23"/>
        <v>0</v>
      </c>
      <c r="J134" s="504">
        <f t="shared" si="25"/>
        <v>0</v>
      </c>
      <c r="K134" s="504"/>
      <c r="L134" s="512"/>
      <c r="M134" s="504">
        <f t="shared" si="26"/>
        <v>0</v>
      </c>
      <c r="N134" s="512"/>
      <c r="O134" s="504">
        <f t="shared" si="27"/>
        <v>0</v>
      </c>
      <c r="P134" s="504">
        <f t="shared" si="28"/>
        <v>0</v>
      </c>
    </row>
    <row r="135" spans="2:16">
      <c r="B135" s="145" t="str">
        <f t="shared" si="12"/>
        <v/>
      </c>
      <c r="C135" s="495">
        <f>IF(D94="","-",+C134+1)</f>
        <v>2053</v>
      </c>
      <c r="D135" s="349">
        <f>IF(F134+SUM(E$100:E134)=D$93,F134,D$93-SUM(E$100:E134))</f>
        <v>0</v>
      </c>
      <c r="E135" s="509">
        <f t="shared" si="19"/>
        <v>0</v>
      </c>
      <c r="F135" s="510">
        <f t="shared" si="20"/>
        <v>0</v>
      </c>
      <c r="G135" s="510">
        <f t="shared" si="21"/>
        <v>0</v>
      </c>
      <c r="H135" s="627">
        <f t="shared" si="22"/>
        <v>0</v>
      </c>
      <c r="I135" s="628">
        <f t="shared" si="23"/>
        <v>0</v>
      </c>
      <c r="J135" s="504">
        <f t="shared" si="25"/>
        <v>0</v>
      </c>
      <c r="K135" s="504"/>
      <c r="L135" s="512"/>
      <c r="M135" s="504">
        <f t="shared" si="26"/>
        <v>0</v>
      </c>
      <c r="N135" s="512"/>
      <c r="O135" s="504">
        <f t="shared" si="27"/>
        <v>0</v>
      </c>
      <c r="P135" s="504">
        <f t="shared" si="28"/>
        <v>0</v>
      </c>
    </row>
    <row r="136" spans="2:16">
      <c r="B136" s="145" t="str">
        <f t="shared" si="12"/>
        <v/>
      </c>
      <c r="C136" s="495">
        <f>IF(D94="","-",+C135+1)</f>
        <v>2054</v>
      </c>
      <c r="D136" s="349">
        <f>IF(F135+SUM(E$100:E135)=D$93,F135,D$93-SUM(E$100:E135))</f>
        <v>0</v>
      </c>
      <c r="E136" s="509">
        <f t="shared" si="19"/>
        <v>0</v>
      </c>
      <c r="F136" s="510">
        <f t="shared" si="20"/>
        <v>0</v>
      </c>
      <c r="G136" s="510">
        <f t="shared" si="21"/>
        <v>0</v>
      </c>
      <c r="H136" s="627">
        <f t="shared" si="22"/>
        <v>0</v>
      </c>
      <c r="I136" s="628">
        <f t="shared" si="23"/>
        <v>0</v>
      </c>
      <c r="J136" s="504">
        <f t="shared" si="25"/>
        <v>0</v>
      </c>
      <c r="K136" s="504"/>
      <c r="L136" s="512"/>
      <c r="M136" s="504">
        <f t="shared" si="26"/>
        <v>0</v>
      </c>
      <c r="N136" s="512"/>
      <c r="O136" s="504">
        <f t="shared" si="27"/>
        <v>0</v>
      </c>
      <c r="P136" s="504">
        <f t="shared" si="28"/>
        <v>0</v>
      </c>
    </row>
    <row r="137" spans="2:16">
      <c r="B137" s="145" t="str">
        <f t="shared" si="12"/>
        <v/>
      </c>
      <c r="C137" s="495">
        <f>IF(D94="","-",+C136+1)</f>
        <v>2055</v>
      </c>
      <c r="D137" s="349">
        <f>IF(F136+SUM(E$100:E136)=D$93,F136,D$93-SUM(E$100:E136))</f>
        <v>0</v>
      </c>
      <c r="E137" s="509">
        <f t="shared" si="19"/>
        <v>0</v>
      </c>
      <c r="F137" s="510">
        <f t="shared" si="20"/>
        <v>0</v>
      </c>
      <c r="G137" s="510">
        <f t="shared" si="21"/>
        <v>0</v>
      </c>
      <c r="H137" s="627">
        <f t="shared" si="22"/>
        <v>0</v>
      </c>
      <c r="I137" s="628">
        <f t="shared" si="23"/>
        <v>0</v>
      </c>
      <c r="J137" s="504">
        <f t="shared" si="25"/>
        <v>0</v>
      </c>
      <c r="K137" s="504"/>
      <c r="L137" s="512"/>
      <c r="M137" s="504">
        <f t="shared" si="26"/>
        <v>0</v>
      </c>
      <c r="N137" s="512"/>
      <c r="O137" s="504">
        <f t="shared" si="27"/>
        <v>0</v>
      </c>
      <c r="P137" s="504">
        <f t="shared" si="28"/>
        <v>0</v>
      </c>
    </row>
    <row r="138" spans="2:16">
      <c r="B138" s="145" t="str">
        <f t="shared" si="12"/>
        <v/>
      </c>
      <c r="C138" s="495">
        <f>IF(D94="","-",+C137+1)</f>
        <v>2056</v>
      </c>
      <c r="D138" s="349">
        <f>IF(F137+SUM(E$100:E137)=D$93,F137,D$93-SUM(E$100:E137))</f>
        <v>0</v>
      </c>
      <c r="E138" s="509">
        <f t="shared" si="19"/>
        <v>0</v>
      </c>
      <c r="F138" s="510">
        <f t="shared" si="20"/>
        <v>0</v>
      </c>
      <c r="G138" s="510">
        <f t="shared" si="21"/>
        <v>0</v>
      </c>
      <c r="H138" s="627">
        <f t="shared" si="22"/>
        <v>0</v>
      </c>
      <c r="I138" s="628">
        <f t="shared" si="23"/>
        <v>0</v>
      </c>
      <c r="J138" s="504">
        <f t="shared" si="25"/>
        <v>0</v>
      </c>
      <c r="K138" s="504"/>
      <c r="L138" s="512"/>
      <c r="M138" s="504">
        <f t="shared" si="26"/>
        <v>0</v>
      </c>
      <c r="N138" s="512"/>
      <c r="O138" s="504">
        <f t="shared" si="27"/>
        <v>0</v>
      </c>
      <c r="P138" s="504">
        <f t="shared" si="28"/>
        <v>0</v>
      </c>
    </row>
    <row r="139" spans="2:16">
      <c r="B139" s="145" t="str">
        <f t="shared" si="12"/>
        <v/>
      </c>
      <c r="C139" s="495">
        <f>IF(D94="","-",+C138+1)</f>
        <v>2057</v>
      </c>
      <c r="D139" s="349">
        <f>IF(F138+SUM(E$100:E138)=D$93,F138,D$93-SUM(E$100:E138))</f>
        <v>0</v>
      </c>
      <c r="E139" s="509">
        <f t="shared" si="19"/>
        <v>0</v>
      </c>
      <c r="F139" s="510">
        <f t="shared" si="20"/>
        <v>0</v>
      </c>
      <c r="G139" s="510">
        <f t="shared" si="21"/>
        <v>0</v>
      </c>
      <c r="H139" s="627">
        <f t="shared" si="22"/>
        <v>0</v>
      </c>
      <c r="I139" s="628">
        <f t="shared" si="23"/>
        <v>0</v>
      </c>
      <c r="J139" s="504">
        <f t="shared" si="25"/>
        <v>0</v>
      </c>
      <c r="K139" s="504"/>
      <c r="L139" s="512"/>
      <c r="M139" s="504">
        <f t="shared" si="26"/>
        <v>0</v>
      </c>
      <c r="N139" s="512"/>
      <c r="O139" s="504">
        <f t="shared" si="27"/>
        <v>0</v>
      </c>
      <c r="P139" s="504">
        <f t="shared" si="28"/>
        <v>0</v>
      </c>
    </row>
    <row r="140" spans="2:16">
      <c r="B140" s="145" t="str">
        <f t="shared" si="12"/>
        <v/>
      </c>
      <c r="C140" s="495">
        <f>IF(D94="","-",+C139+1)</f>
        <v>2058</v>
      </c>
      <c r="D140" s="349">
        <f>IF(F139+SUM(E$100:E139)=D$93,F139,D$93-SUM(E$100:E139))</f>
        <v>0</v>
      </c>
      <c r="E140" s="509">
        <f t="shared" si="19"/>
        <v>0</v>
      </c>
      <c r="F140" s="510">
        <f t="shared" si="20"/>
        <v>0</v>
      </c>
      <c r="G140" s="510">
        <f t="shared" si="21"/>
        <v>0</v>
      </c>
      <c r="H140" s="627">
        <f t="shared" si="22"/>
        <v>0</v>
      </c>
      <c r="I140" s="628">
        <f t="shared" si="23"/>
        <v>0</v>
      </c>
      <c r="J140" s="504">
        <f t="shared" si="25"/>
        <v>0</v>
      </c>
      <c r="K140" s="504"/>
      <c r="L140" s="512"/>
      <c r="M140" s="504">
        <f t="shared" si="26"/>
        <v>0</v>
      </c>
      <c r="N140" s="512"/>
      <c r="O140" s="504">
        <f t="shared" si="27"/>
        <v>0</v>
      </c>
      <c r="P140" s="504">
        <f t="shared" si="28"/>
        <v>0</v>
      </c>
    </row>
    <row r="141" spans="2:16">
      <c r="B141" s="145" t="str">
        <f t="shared" si="12"/>
        <v/>
      </c>
      <c r="C141" s="495">
        <f>IF(D94="","-",+C140+1)</f>
        <v>2059</v>
      </c>
      <c r="D141" s="349">
        <f>IF(F140+SUM(E$100:E140)=D$93,F140,D$93-SUM(E$100:E140))</f>
        <v>0</v>
      </c>
      <c r="E141" s="509">
        <f t="shared" si="19"/>
        <v>0</v>
      </c>
      <c r="F141" s="510">
        <f t="shared" si="20"/>
        <v>0</v>
      </c>
      <c r="G141" s="510">
        <f t="shared" si="21"/>
        <v>0</v>
      </c>
      <c r="H141" s="627">
        <f t="shared" si="22"/>
        <v>0</v>
      </c>
      <c r="I141" s="628">
        <f t="shared" si="23"/>
        <v>0</v>
      </c>
      <c r="J141" s="504">
        <f t="shared" si="25"/>
        <v>0</v>
      </c>
      <c r="K141" s="504"/>
      <c r="L141" s="512"/>
      <c r="M141" s="504">
        <f t="shared" si="26"/>
        <v>0</v>
      </c>
      <c r="N141" s="512"/>
      <c r="O141" s="504">
        <f t="shared" si="27"/>
        <v>0</v>
      </c>
      <c r="P141" s="504">
        <f t="shared" si="28"/>
        <v>0</v>
      </c>
    </row>
    <row r="142" spans="2:16">
      <c r="B142" s="145" t="str">
        <f t="shared" si="12"/>
        <v/>
      </c>
      <c r="C142" s="495">
        <f>IF(D94="","-",+C141+1)</f>
        <v>2060</v>
      </c>
      <c r="D142" s="349">
        <f>IF(F141+SUM(E$100:E141)=D$93,F141,D$93-SUM(E$100:E141))</f>
        <v>0</v>
      </c>
      <c r="E142" s="509">
        <f t="shared" si="19"/>
        <v>0</v>
      </c>
      <c r="F142" s="510">
        <f t="shared" si="20"/>
        <v>0</v>
      </c>
      <c r="G142" s="510">
        <f t="shared" si="21"/>
        <v>0</v>
      </c>
      <c r="H142" s="627">
        <f t="shared" si="22"/>
        <v>0</v>
      </c>
      <c r="I142" s="628">
        <f t="shared" si="23"/>
        <v>0</v>
      </c>
      <c r="J142" s="504">
        <f t="shared" si="25"/>
        <v>0</v>
      </c>
      <c r="K142" s="504"/>
      <c r="L142" s="512"/>
      <c r="M142" s="504">
        <f t="shared" si="26"/>
        <v>0</v>
      </c>
      <c r="N142" s="512"/>
      <c r="O142" s="504">
        <f t="shared" si="27"/>
        <v>0</v>
      </c>
      <c r="P142" s="504">
        <f t="shared" si="28"/>
        <v>0</v>
      </c>
    </row>
    <row r="143" spans="2:16">
      <c r="B143" s="145" t="str">
        <f t="shared" si="12"/>
        <v/>
      </c>
      <c r="C143" s="495">
        <f>IF(D94="","-",+C142+1)</f>
        <v>2061</v>
      </c>
      <c r="D143" s="349">
        <f>IF(F142+SUM(E$100:E142)=D$93,F142,D$93-SUM(E$100:E142))</f>
        <v>0</v>
      </c>
      <c r="E143" s="509">
        <f t="shared" si="19"/>
        <v>0</v>
      </c>
      <c r="F143" s="510">
        <f t="shared" si="20"/>
        <v>0</v>
      </c>
      <c r="G143" s="510">
        <f t="shared" si="21"/>
        <v>0</v>
      </c>
      <c r="H143" s="627">
        <f t="shared" si="22"/>
        <v>0</v>
      </c>
      <c r="I143" s="628">
        <f t="shared" si="23"/>
        <v>0</v>
      </c>
      <c r="J143" s="504">
        <f t="shared" si="25"/>
        <v>0</v>
      </c>
      <c r="K143" s="504"/>
      <c r="L143" s="512"/>
      <c r="M143" s="504">
        <f t="shared" si="26"/>
        <v>0</v>
      </c>
      <c r="N143" s="512"/>
      <c r="O143" s="504">
        <f t="shared" si="27"/>
        <v>0</v>
      </c>
      <c r="P143" s="504">
        <f t="shared" si="28"/>
        <v>0</v>
      </c>
    </row>
    <row r="144" spans="2:16">
      <c r="B144" s="145" t="str">
        <f t="shared" si="12"/>
        <v/>
      </c>
      <c r="C144" s="495">
        <f>IF(D94="","-",+C143+1)</f>
        <v>2062</v>
      </c>
      <c r="D144" s="349">
        <f>IF(F143+SUM(E$100:E143)=D$93,F143,D$93-SUM(E$100:E143))</f>
        <v>0</v>
      </c>
      <c r="E144" s="509">
        <f t="shared" si="19"/>
        <v>0</v>
      </c>
      <c r="F144" s="510">
        <f t="shared" si="20"/>
        <v>0</v>
      </c>
      <c r="G144" s="510">
        <f t="shared" si="21"/>
        <v>0</v>
      </c>
      <c r="H144" s="627">
        <f t="shared" si="22"/>
        <v>0</v>
      </c>
      <c r="I144" s="628">
        <f t="shared" si="23"/>
        <v>0</v>
      </c>
      <c r="J144" s="504">
        <f t="shared" si="25"/>
        <v>0</v>
      </c>
      <c r="K144" s="504"/>
      <c r="L144" s="512"/>
      <c r="M144" s="504">
        <f t="shared" si="26"/>
        <v>0</v>
      </c>
      <c r="N144" s="512"/>
      <c r="O144" s="504">
        <f t="shared" si="27"/>
        <v>0</v>
      </c>
      <c r="P144" s="504">
        <f t="shared" si="28"/>
        <v>0</v>
      </c>
    </row>
    <row r="145" spans="2:16">
      <c r="B145" s="145" t="str">
        <f t="shared" si="12"/>
        <v/>
      </c>
      <c r="C145" s="495">
        <f>IF(D94="","-",+C144+1)</f>
        <v>2063</v>
      </c>
      <c r="D145" s="349">
        <f>IF(F144+SUM(E$100:E144)=D$93,F144,D$93-SUM(E$100:E144))</f>
        <v>0</v>
      </c>
      <c r="E145" s="509">
        <f t="shared" si="19"/>
        <v>0</v>
      </c>
      <c r="F145" s="510">
        <f t="shared" si="20"/>
        <v>0</v>
      </c>
      <c r="G145" s="510">
        <f t="shared" si="21"/>
        <v>0</v>
      </c>
      <c r="H145" s="627">
        <f t="shared" si="22"/>
        <v>0</v>
      </c>
      <c r="I145" s="628">
        <f t="shared" si="23"/>
        <v>0</v>
      </c>
      <c r="J145" s="504">
        <f t="shared" si="25"/>
        <v>0</v>
      </c>
      <c r="K145" s="504"/>
      <c r="L145" s="512"/>
      <c r="M145" s="504">
        <f t="shared" si="26"/>
        <v>0</v>
      </c>
      <c r="N145" s="512"/>
      <c r="O145" s="504">
        <f t="shared" si="27"/>
        <v>0</v>
      </c>
      <c r="P145" s="504">
        <f t="shared" si="28"/>
        <v>0</v>
      </c>
    </row>
    <row r="146" spans="2:16">
      <c r="B146" s="145" t="str">
        <f t="shared" si="12"/>
        <v/>
      </c>
      <c r="C146" s="495">
        <f>IF(D94="","-",+C145+1)</f>
        <v>2064</v>
      </c>
      <c r="D146" s="349">
        <f>IF(F145+SUM(E$100:E145)=D$93,F145,D$93-SUM(E$100:E145))</f>
        <v>0</v>
      </c>
      <c r="E146" s="509">
        <f t="shared" si="19"/>
        <v>0</v>
      </c>
      <c r="F146" s="510">
        <f t="shared" si="20"/>
        <v>0</v>
      </c>
      <c r="G146" s="510">
        <f t="shared" si="21"/>
        <v>0</v>
      </c>
      <c r="H146" s="627">
        <f t="shared" si="22"/>
        <v>0</v>
      </c>
      <c r="I146" s="628">
        <f t="shared" si="23"/>
        <v>0</v>
      </c>
      <c r="J146" s="504">
        <f t="shared" si="25"/>
        <v>0</v>
      </c>
      <c r="K146" s="504"/>
      <c r="L146" s="512"/>
      <c r="M146" s="504">
        <f t="shared" si="26"/>
        <v>0</v>
      </c>
      <c r="N146" s="512"/>
      <c r="O146" s="504">
        <f t="shared" si="27"/>
        <v>0</v>
      </c>
      <c r="P146" s="504">
        <f t="shared" si="28"/>
        <v>0</v>
      </c>
    </row>
    <row r="147" spans="2:16">
      <c r="B147" s="145" t="str">
        <f t="shared" si="12"/>
        <v/>
      </c>
      <c r="C147" s="495">
        <f>IF(D94="","-",+C146+1)</f>
        <v>2065</v>
      </c>
      <c r="D147" s="349">
        <f>IF(F146+SUM(E$100:E146)=D$93,F146,D$93-SUM(E$100:E146))</f>
        <v>0</v>
      </c>
      <c r="E147" s="509">
        <f t="shared" si="19"/>
        <v>0</v>
      </c>
      <c r="F147" s="510">
        <f t="shared" si="20"/>
        <v>0</v>
      </c>
      <c r="G147" s="510">
        <f t="shared" si="21"/>
        <v>0</v>
      </c>
      <c r="H147" s="627">
        <f t="shared" si="22"/>
        <v>0</v>
      </c>
      <c r="I147" s="628">
        <f t="shared" si="23"/>
        <v>0</v>
      </c>
      <c r="J147" s="504">
        <f t="shared" si="25"/>
        <v>0</v>
      </c>
      <c r="K147" s="504"/>
      <c r="L147" s="512"/>
      <c r="M147" s="504">
        <f t="shared" si="26"/>
        <v>0</v>
      </c>
      <c r="N147" s="512"/>
      <c r="O147" s="504">
        <f t="shared" si="27"/>
        <v>0</v>
      </c>
      <c r="P147" s="504">
        <f t="shared" si="28"/>
        <v>0</v>
      </c>
    </row>
    <row r="148" spans="2:16">
      <c r="B148" s="145" t="str">
        <f t="shared" si="12"/>
        <v/>
      </c>
      <c r="C148" s="495">
        <f>IF(D94="","-",+C147+1)</f>
        <v>2066</v>
      </c>
      <c r="D148" s="349">
        <f>IF(F147+SUM(E$100:E147)=D$93,F147,D$93-SUM(E$100:E147))</f>
        <v>0</v>
      </c>
      <c r="E148" s="509">
        <f t="shared" si="19"/>
        <v>0</v>
      </c>
      <c r="F148" s="510">
        <f t="shared" si="20"/>
        <v>0</v>
      </c>
      <c r="G148" s="510">
        <f t="shared" si="21"/>
        <v>0</v>
      </c>
      <c r="H148" s="627">
        <f t="shared" si="22"/>
        <v>0</v>
      </c>
      <c r="I148" s="628">
        <f t="shared" si="23"/>
        <v>0</v>
      </c>
      <c r="J148" s="504">
        <f t="shared" si="25"/>
        <v>0</v>
      </c>
      <c r="K148" s="504"/>
      <c r="L148" s="512"/>
      <c r="M148" s="504">
        <f t="shared" si="26"/>
        <v>0</v>
      </c>
      <c r="N148" s="512"/>
      <c r="O148" s="504">
        <f t="shared" si="27"/>
        <v>0</v>
      </c>
      <c r="P148" s="504">
        <f t="shared" si="28"/>
        <v>0</v>
      </c>
    </row>
    <row r="149" spans="2:16">
      <c r="B149" s="145" t="str">
        <f t="shared" si="12"/>
        <v/>
      </c>
      <c r="C149" s="495">
        <f>IF(D94="","-",+C148+1)</f>
        <v>2067</v>
      </c>
      <c r="D149" s="349">
        <f>IF(F148+SUM(E$100:E148)=D$93,F148,D$93-SUM(E$100:E148))</f>
        <v>0</v>
      </c>
      <c r="E149" s="509">
        <f t="shared" si="19"/>
        <v>0</v>
      </c>
      <c r="F149" s="510">
        <f t="shared" si="20"/>
        <v>0</v>
      </c>
      <c r="G149" s="510">
        <f t="shared" si="21"/>
        <v>0</v>
      </c>
      <c r="H149" s="627">
        <f t="shared" si="22"/>
        <v>0</v>
      </c>
      <c r="I149" s="628">
        <f t="shared" si="23"/>
        <v>0</v>
      </c>
      <c r="J149" s="504">
        <f t="shared" si="25"/>
        <v>0</v>
      </c>
      <c r="K149" s="504"/>
      <c r="L149" s="512"/>
      <c r="M149" s="504">
        <f t="shared" si="26"/>
        <v>0</v>
      </c>
      <c r="N149" s="512"/>
      <c r="O149" s="504">
        <f t="shared" si="27"/>
        <v>0</v>
      </c>
      <c r="P149" s="504">
        <f t="shared" si="28"/>
        <v>0</v>
      </c>
    </row>
    <row r="150" spans="2:16">
      <c r="B150" s="145" t="str">
        <f t="shared" si="12"/>
        <v/>
      </c>
      <c r="C150" s="495">
        <f>IF(D94="","-",+C149+1)</f>
        <v>2068</v>
      </c>
      <c r="D150" s="349">
        <f>IF(F149+SUM(E$100:E149)=D$93,F149,D$93-SUM(E$100:E149))</f>
        <v>0</v>
      </c>
      <c r="E150" s="509">
        <f t="shared" si="19"/>
        <v>0</v>
      </c>
      <c r="F150" s="510">
        <f t="shared" si="20"/>
        <v>0</v>
      </c>
      <c r="G150" s="510">
        <f t="shared" si="21"/>
        <v>0</v>
      </c>
      <c r="H150" s="627">
        <f t="shared" si="22"/>
        <v>0</v>
      </c>
      <c r="I150" s="628">
        <f t="shared" si="23"/>
        <v>0</v>
      </c>
      <c r="J150" s="504">
        <f t="shared" si="25"/>
        <v>0</v>
      </c>
      <c r="K150" s="504"/>
      <c r="L150" s="512"/>
      <c r="M150" s="504">
        <f t="shared" si="26"/>
        <v>0</v>
      </c>
      <c r="N150" s="512"/>
      <c r="O150" s="504">
        <f t="shared" si="27"/>
        <v>0</v>
      </c>
      <c r="P150" s="504">
        <f t="shared" si="28"/>
        <v>0</v>
      </c>
    </row>
    <row r="151" spans="2:16">
      <c r="B151" s="145" t="str">
        <f t="shared" si="12"/>
        <v/>
      </c>
      <c r="C151" s="495">
        <f>IF(D94="","-",+C150+1)</f>
        <v>2069</v>
      </c>
      <c r="D151" s="349">
        <f>IF(F150+SUM(E$100:E150)=D$93,F150,D$93-SUM(E$100:E150))</f>
        <v>0</v>
      </c>
      <c r="E151" s="509">
        <f t="shared" si="19"/>
        <v>0</v>
      </c>
      <c r="F151" s="510">
        <f t="shared" si="20"/>
        <v>0</v>
      </c>
      <c r="G151" s="510">
        <f t="shared" si="21"/>
        <v>0</v>
      </c>
      <c r="H151" s="627">
        <f t="shared" si="22"/>
        <v>0</v>
      </c>
      <c r="I151" s="628">
        <f t="shared" si="23"/>
        <v>0</v>
      </c>
      <c r="J151" s="504">
        <f t="shared" si="25"/>
        <v>0</v>
      </c>
      <c r="K151" s="504"/>
      <c r="L151" s="512"/>
      <c r="M151" s="504">
        <f t="shared" si="26"/>
        <v>0</v>
      </c>
      <c r="N151" s="512"/>
      <c r="O151" s="504">
        <f t="shared" si="27"/>
        <v>0</v>
      </c>
      <c r="P151" s="504">
        <f t="shared" si="28"/>
        <v>0</v>
      </c>
    </row>
    <row r="152" spans="2:16">
      <c r="B152" s="145" t="str">
        <f t="shared" si="12"/>
        <v/>
      </c>
      <c r="C152" s="495">
        <f>IF(D94="","-",+C151+1)</f>
        <v>2070</v>
      </c>
      <c r="D152" s="349">
        <f>IF(F151+SUM(E$100:E151)=D$93,F151,D$93-SUM(E$100:E151))</f>
        <v>0</v>
      </c>
      <c r="E152" s="509">
        <f t="shared" si="19"/>
        <v>0</v>
      </c>
      <c r="F152" s="510">
        <f t="shared" si="20"/>
        <v>0</v>
      </c>
      <c r="G152" s="510">
        <f t="shared" si="21"/>
        <v>0</v>
      </c>
      <c r="H152" s="627">
        <f t="shared" si="22"/>
        <v>0</v>
      </c>
      <c r="I152" s="628">
        <f t="shared" si="23"/>
        <v>0</v>
      </c>
      <c r="J152" s="504">
        <f t="shared" si="25"/>
        <v>0</v>
      </c>
      <c r="K152" s="504"/>
      <c r="L152" s="512"/>
      <c r="M152" s="504">
        <f t="shared" si="26"/>
        <v>0</v>
      </c>
      <c r="N152" s="512"/>
      <c r="O152" s="504">
        <f t="shared" si="27"/>
        <v>0</v>
      </c>
      <c r="P152" s="504">
        <f t="shared" si="28"/>
        <v>0</v>
      </c>
    </row>
    <row r="153" spans="2:16">
      <c r="B153" s="145" t="str">
        <f t="shared" si="12"/>
        <v/>
      </c>
      <c r="C153" s="495">
        <f>IF(D94="","-",+C152+1)</f>
        <v>2071</v>
      </c>
      <c r="D153" s="349">
        <f>IF(F152+SUM(E$100:E152)=D$93,F152,D$93-SUM(E$100:E152))</f>
        <v>0</v>
      </c>
      <c r="E153" s="509">
        <f t="shared" si="19"/>
        <v>0</v>
      </c>
      <c r="F153" s="510">
        <f t="shared" si="20"/>
        <v>0</v>
      </c>
      <c r="G153" s="510">
        <f t="shared" si="21"/>
        <v>0</v>
      </c>
      <c r="H153" s="627">
        <f t="shared" si="22"/>
        <v>0</v>
      </c>
      <c r="I153" s="628">
        <f t="shared" si="23"/>
        <v>0</v>
      </c>
      <c r="J153" s="504">
        <f t="shared" si="25"/>
        <v>0</v>
      </c>
      <c r="K153" s="504"/>
      <c r="L153" s="512"/>
      <c r="M153" s="504">
        <f t="shared" si="26"/>
        <v>0</v>
      </c>
      <c r="N153" s="512"/>
      <c r="O153" s="504">
        <f t="shared" si="27"/>
        <v>0</v>
      </c>
      <c r="P153" s="504">
        <f t="shared" si="28"/>
        <v>0</v>
      </c>
    </row>
    <row r="154" spans="2:16">
      <c r="B154" s="145" t="str">
        <f t="shared" si="12"/>
        <v/>
      </c>
      <c r="C154" s="495">
        <f>IF(D94="","-",+C153+1)</f>
        <v>2072</v>
      </c>
      <c r="D154" s="349">
        <f>IF(F153+SUM(E$100:E153)=D$93,F153,D$93-SUM(E$100:E153))</f>
        <v>0</v>
      </c>
      <c r="E154" s="509">
        <f t="shared" si="19"/>
        <v>0</v>
      </c>
      <c r="F154" s="510">
        <f t="shared" si="20"/>
        <v>0</v>
      </c>
      <c r="G154" s="510">
        <f t="shared" si="21"/>
        <v>0</v>
      </c>
      <c r="H154" s="627">
        <f t="shared" si="22"/>
        <v>0</v>
      </c>
      <c r="I154" s="628">
        <f t="shared" si="23"/>
        <v>0</v>
      </c>
      <c r="J154" s="504">
        <f t="shared" si="25"/>
        <v>0</v>
      </c>
      <c r="K154" s="504"/>
      <c r="L154" s="512"/>
      <c r="M154" s="504">
        <f t="shared" si="26"/>
        <v>0</v>
      </c>
      <c r="N154" s="512"/>
      <c r="O154" s="504">
        <f t="shared" si="27"/>
        <v>0</v>
      </c>
      <c r="P154" s="504">
        <f t="shared" si="28"/>
        <v>0</v>
      </c>
    </row>
    <row r="155" spans="2:16" ht="13.5" thickBot="1">
      <c r="B155" s="145" t="str">
        <f t="shared" si="12"/>
        <v/>
      </c>
      <c r="C155" s="524">
        <f>IF(D94="","-",+C154+1)</f>
        <v>2073</v>
      </c>
      <c r="D155" s="638">
        <f>IF(F154+SUM(E$100:E154)=D$93,F154,D$93-SUM(E$100:E154))</f>
        <v>0</v>
      </c>
      <c r="E155" s="526">
        <f t="shared" si="19"/>
        <v>0</v>
      </c>
      <c r="F155" s="527">
        <f t="shared" si="20"/>
        <v>0</v>
      </c>
      <c r="G155" s="527">
        <f t="shared" si="21"/>
        <v>0</v>
      </c>
      <c r="H155" s="623">
        <f t="shared" si="22"/>
        <v>0</v>
      </c>
      <c r="I155" s="624">
        <f t="shared" si="23"/>
        <v>0</v>
      </c>
      <c r="J155" s="531">
        <f t="shared" si="25"/>
        <v>0</v>
      </c>
      <c r="K155" s="504"/>
      <c r="L155" s="530"/>
      <c r="M155" s="531">
        <f t="shared" si="26"/>
        <v>0</v>
      </c>
      <c r="N155" s="530"/>
      <c r="O155" s="531">
        <f t="shared" si="27"/>
        <v>0</v>
      </c>
      <c r="P155" s="531">
        <f t="shared" si="28"/>
        <v>0</v>
      </c>
    </row>
    <row r="156" spans="2:16">
      <c r="C156" s="349" t="s">
        <v>75</v>
      </c>
      <c r="D156" s="294"/>
      <c r="E156" s="294">
        <f>SUM(E100:E155)</f>
        <v>17093291</v>
      </c>
      <c r="F156" s="294"/>
      <c r="G156" s="294"/>
      <c r="H156" s="294">
        <f>SUM(H100:H155)</f>
        <v>42967599.84476018</v>
      </c>
      <c r="I156" s="294">
        <f>SUM(I100:I155)</f>
        <v>42967599.84476018</v>
      </c>
      <c r="J156" s="294">
        <f>SUM(J100:J155)</f>
        <v>0</v>
      </c>
      <c r="K156" s="294"/>
      <c r="L156" s="294"/>
      <c r="M156" s="294"/>
      <c r="N156" s="294"/>
      <c r="O156" s="294"/>
      <c r="P156" s="243"/>
    </row>
    <row r="157" spans="2:16">
      <c r="C157" s="145" t="s">
        <v>90</v>
      </c>
      <c r="D157" s="292"/>
      <c r="E157" s="243"/>
      <c r="F157" s="243"/>
      <c r="G157" s="243"/>
      <c r="H157" s="243"/>
      <c r="I157" s="325"/>
      <c r="J157" s="325"/>
      <c r="K157" s="294"/>
      <c r="L157" s="325"/>
      <c r="M157" s="325"/>
      <c r="N157" s="325"/>
      <c r="O157" s="325"/>
      <c r="P157" s="243"/>
    </row>
    <row r="158" spans="2:16">
      <c r="C158" s="574"/>
      <c r="D158" s="292"/>
      <c r="E158" s="243"/>
      <c r="F158" s="243"/>
      <c r="G158" s="243"/>
      <c r="H158" s="243"/>
      <c r="I158" s="325"/>
      <c r="J158" s="325"/>
      <c r="K158" s="294"/>
      <c r="L158" s="325"/>
      <c r="M158" s="325"/>
      <c r="N158" s="325"/>
      <c r="O158" s="325"/>
      <c r="P158" s="243"/>
    </row>
    <row r="159" spans="2:16">
      <c r="C159" s="619" t="s">
        <v>130</v>
      </c>
      <c r="D159" s="292"/>
      <c r="E159" s="243"/>
      <c r="F159" s="243"/>
      <c r="G159" s="243"/>
      <c r="H159" s="243"/>
      <c r="I159" s="325"/>
      <c r="J159" s="325"/>
      <c r="K159" s="294"/>
      <c r="L159" s="325"/>
      <c r="M159" s="325"/>
      <c r="N159" s="325"/>
      <c r="O159" s="325"/>
      <c r="P159" s="243"/>
    </row>
    <row r="160" spans="2:16">
      <c r="C160" s="454" t="s">
        <v>76</v>
      </c>
      <c r="D160" s="349"/>
      <c r="E160" s="349"/>
      <c r="F160" s="349"/>
      <c r="G160" s="349"/>
      <c r="H160" s="294"/>
      <c r="I160" s="294"/>
      <c r="J160" s="350"/>
      <c r="K160" s="350"/>
      <c r="L160" s="350"/>
      <c r="M160" s="350"/>
      <c r="N160" s="350"/>
      <c r="O160" s="350"/>
      <c r="P160" s="243"/>
    </row>
    <row r="161" spans="3:16">
      <c r="C161" s="575" t="s">
        <v>77</v>
      </c>
      <c r="D161" s="349"/>
      <c r="E161" s="349"/>
      <c r="F161" s="349"/>
      <c r="G161" s="349"/>
      <c r="H161" s="294"/>
      <c r="I161" s="294"/>
      <c r="J161" s="350"/>
      <c r="K161" s="350"/>
      <c r="L161" s="350"/>
      <c r="M161" s="350"/>
      <c r="N161" s="350"/>
      <c r="O161" s="350"/>
      <c r="P161" s="243"/>
    </row>
    <row r="162" spans="3:16">
      <c r="C162" s="575"/>
      <c r="D162" s="349"/>
      <c r="E162" s="349"/>
      <c r="F162" s="349"/>
      <c r="G162" s="349"/>
      <c r="H162" s="294"/>
      <c r="I162" s="294"/>
      <c r="J162" s="350"/>
      <c r="K162" s="350"/>
      <c r="L162" s="350"/>
      <c r="M162" s="350"/>
      <c r="N162" s="350"/>
      <c r="O162" s="350"/>
      <c r="P162" s="243"/>
    </row>
    <row r="163" spans="3:16" ht="18">
      <c r="C163" s="575"/>
      <c r="D163" s="349"/>
      <c r="E163" s="349"/>
      <c r="F163" s="349"/>
      <c r="G163" s="349"/>
      <c r="H163" s="294"/>
      <c r="I163" s="294"/>
      <c r="J163" s="350"/>
      <c r="K163" s="350"/>
      <c r="L163" s="350"/>
      <c r="M163" s="350"/>
      <c r="N163" s="350"/>
      <c r="P163" s="583" t="s">
        <v>129</v>
      </c>
    </row>
  </sheetData>
  <conditionalFormatting sqref="C17:C71 C73">
    <cfRule type="cellIs" dxfId="20" priority="2" stopIfTrue="1" operator="equal">
      <formula>$I$10</formula>
    </cfRule>
  </conditionalFormatting>
  <conditionalFormatting sqref="C100:C155">
    <cfRule type="cellIs" dxfId="19" priority="3" stopIfTrue="1" operator="equal">
      <formula>$J$93</formula>
    </cfRule>
  </conditionalFormatting>
  <conditionalFormatting sqref="C72">
    <cfRule type="cellIs" dxfId="18"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63"/>
  <sheetViews>
    <sheetView zoomScale="80" zoomScaleNormal="80" workbookViewId="0">
      <selection activeCell="D10" sqref="D10"/>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20 of 24</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491166.88926081697</v>
      </c>
      <c r="P5" s="1"/>
    </row>
    <row r="6" spans="1:16" ht="15.75">
      <c r="C6" s="8"/>
      <c r="D6" s="2"/>
      <c r="E6" s="1"/>
      <c r="F6" s="1"/>
      <c r="G6" s="1"/>
      <c r="H6" s="26"/>
      <c r="I6" s="26"/>
      <c r="J6" s="27"/>
      <c r="K6" s="28" t="s">
        <v>243</v>
      </c>
      <c r="L6" s="29"/>
      <c r="M6" s="4"/>
      <c r="N6" s="30">
        <f>VLOOKUP(I10,C17:I73,6)</f>
        <v>491166.88926081697</v>
      </c>
      <c r="O6" s="1"/>
      <c r="P6" s="1"/>
    </row>
    <row r="7" spans="1:16" ht="13.5" thickBot="1">
      <c r="C7" s="31" t="s">
        <v>46</v>
      </c>
      <c r="D7" s="637" t="s">
        <v>289</v>
      </c>
      <c r="E7" s="1"/>
      <c r="F7" s="1"/>
      <c r="G7" s="1"/>
      <c r="H7" s="3"/>
      <c r="I7" s="3"/>
      <c r="J7" s="19"/>
      <c r="K7" s="32" t="s">
        <v>47</v>
      </c>
      <c r="L7" s="33"/>
      <c r="M7" s="33"/>
      <c r="N7" s="34">
        <f>+N6-N5</f>
        <v>0</v>
      </c>
      <c r="O7" s="1"/>
      <c r="P7" s="1"/>
    </row>
    <row r="8" spans="1:16" ht="13.5" thickBot="1">
      <c r="C8" s="35"/>
      <c r="D8" s="35"/>
      <c r="E8" s="36"/>
      <c r="F8" s="36"/>
      <c r="G8" s="36"/>
      <c r="H8" s="36"/>
      <c r="I8" s="36"/>
      <c r="J8" s="15"/>
      <c r="K8" s="36"/>
      <c r="L8" s="36"/>
      <c r="M8" s="36"/>
      <c r="N8" s="36"/>
      <c r="O8" s="15"/>
      <c r="P8" s="9"/>
    </row>
    <row r="9" spans="1:16" ht="13.5" thickBot="1">
      <c r="C9" s="37" t="s">
        <v>48</v>
      </c>
      <c r="D9" s="106" t="s">
        <v>292</v>
      </c>
      <c r="E9" s="646" t="s">
        <v>293</v>
      </c>
      <c r="F9" s="38"/>
      <c r="G9" s="38"/>
      <c r="H9" s="38"/>
      <c r="I9" s="39"/>
      <c r="J9" s="40"/>
      <c r="O9" s="41"/>
      <c r="P9" s="4"/>
    </row>
    <row r="10" spans="1:16">
      <c r="C10" s="42" t="s">
        <v>49</v>
      </c>
      <c r="D10" s="43">
        <v>3721365.53</v>
      </c>
      <c r="E10" s="11" t="s">
        <v>50</v>
      </c>
      <c r="F10" s="41"/>
      <c r="G10" s="44"/>
      <c r="H10" s="44"/>
      <c r="I10" s="45">
        <f>+'OKT.WS.F.BPU.ATRR.Projected'!R101</f>
        <v>2024</v>
      </c>
      <c r="J10" s="40"/>
      <c r="K10" s="19" t="s">
        <v>51</v>
      </c>
      <c r="O10" s="4"/>
      <c r="P10" s="4"/>
    </row>
    <row r="11" spans="1:16">
      <c r="C11" s="46" t="s">
        <v>52</v>
      </c>
      <c r="D11" s="47">
        <v>2020</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6</v>
      </c>
      <c r="E12" s="46" t="s">
        <v>55</v>
      </c>
      <c r="F12" s="44"/>
      <c r="G12" s="7"/>
      <c r="H12" s="7"/>
      <c r="I12" s="50">
        <f>'OKT.WS.F.BPU.ATRR.Projected'!$F$79</f>
        <v>0.11393163315254198</v>
      </c>
      <c r="J12" s="51"/>
      <c r="K12" t="s">
        <v>56</v>
      </c>
      <c r="O12" s="4"/>
      <c r="P12" s="4"/>
    </row>
    <row r="13" spans="1:16">
      <c r="C13" s="46" t="s">
        <v>57</v>
      </c>
      <c r="D13" s="48">
        <f>+'OKT.WS.F.BPU.ATRR.Projected'!F$90</f>
        <v>31</v>
      </c>
      <c r="E13" s="46" t="s">
        <v>58</v>
      </c>
      <c r="F13" s="44"/>
      <c r="G13" s="7"/>
      <c r="H13" s="7"/>
      <c r="I13" s="50">
        <f>IF(G5="",I12,'OKT.WS.F.BPU.ATRR.Projected'!$F$78)</f>
        <v>0.11393163315254198</v>
      </c>
      <c r="J13" s="51"/>
      <c r="K13" s="19" t="s">
        <v>59</v>
      </c>
      <c r="L13" s="10"/>
      <c r="M13" s="10"/>
      <c r="N13" s="10"/>
      <c r="O13" s="4"/>
      <c r="P13" s="4"/>
    </row>
    <row r="14" spans="1:16" ht="13.5" thickBot="1">
      <c r="C14" s="46" t="s">
        <v>60</v>
      </c>
      <c r="D14" s="47" t="s">
        <v>61</v>
      </c>
      <c r="E14" s="4" t="s">
        <v>62</v>
      </c>
      <c r="F14" s="44"/>
      <c r="G14" s="7"/>
      <c r="H14" s="7"/>
      <c r="I14" s="52">
        <f>IF(D10=0,0,D10/D13)</f>
        <v>120044.0493548387</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2020</v>
      </c>
      <c r="D17" s="641">
        <v>0</v>
      </c>
      <c r="E17" s="642">
        <v>51872.674102418707</v>
      </c>
      <c r="F17" s="643">
        <v>3491127.3258975814</v>
      </c>
      <c r="G17" s="642">
        <v>235038.97436975082</v>
      </c>
      <c r="H17" s="644">
        <v>235038.97436975082</v>
      </c>
      <c r="I17" s="65">
        <f t="shared" ref="I17:I71" si="1">H17-G17</f>
        <v>0</v>
      </c>
      <c r="J17" s="65"/>
      <c r="K17" s="501">
        <f>+G17</f>
        <v>235038.97436975082</v>
      </c>
      <c r="L17" s="503">
        <f t="shared" ref="L17:L18" si="2">IF(K17&lt;&gt;0,+G17-K17,0)</f>
        <v>0</v>
      </c>
      <c r="M17" s="501">
        <f>+H17</f>
        <v>235038.97436975082</v>
      </c>
      <c r="N17" s="66">
        <f t="shared" ref="N17:N71" si="3">IF(M17&lt;&gt;0,+H17-M17,0)</f>
        <v>0</v>
      </c>
      <c r="O17" s="67">
        <f t="shared" ref="O17:O71" si="4">+N17-L17</f>
        <v>0</v>
      </c>
      <c r="P17" s="4"/>
    </row>
    <row r="18" spans="2:16">
      <c r="B18" t="str">
        <f t="shared" si="0"/>
        <v>IU</v>
      </c>
      <c r="C18" s="62">
        <f>IF(D11="","-",+C17+1)</f>
        <v>2021</v>
      </c>
      <c r="D18" s="614">
        <v>3889537.3258975814</v>
      </c>
      <c r="E18" s="613">
        <v>127142.25806451614</v>
      </c>
      <c r="F18" s="614">
        <v>3762395.0678330651</v>
      </c>
      <c r="G18" s="613">
        <v>541054.66812252079</v>
      </c>
      <c r="H18" s="617">
        <v>541054.66812252079</v>
      </c>
      <c r="I18" s="65">
        <f t="shared" si="1"/>
        <v>0</v>
      </c>
      <c r="J18" s="65"/>
      <c r="K18" s="592">
        <f>+G18</f>
        <v>541054.66812252079</v>
      </c>
      <c r="L18" s="596">
        <f t="shared" si="2"/>
        <v>0</v>
      </c>
      <c r="M18" s="592">
        <f>+H18</f>
        <v>541054.66812252079</v>
      </c>
      <c r="N18" s="67">
        <f t="shared" si="3"/>
        <v>0</v>
      </c>
      <c r="O18" s="67">
        <f t="shared" si="4"/>
        <v>0</v>
      </c>
      <c r="P18" s="4"/>
    </row>
    <row r="19" spans="2:16">
      <c r="B19" t="str">
        <f t="shared" si="0"/>
        <v>IU</v>
      </c>
      <c r="C19" s="667">
        <f>IF(D11="","-",+C18+1)</f>
        <v>2022</v>
      </c>
      <c r="D19" s="614">
        <v>3429335.0678330651</v>
      </c>
      <c r="E19" s="613">
        <v>109343.93939393939</v>
      </c>
      <c r="F19" s="614">
        <v>3319991.1284391256</v>
      </c>
      <c r="G19" s="613">
        <v>496616.13885375595</v>
      </c>
      <c r="H19" s="617">
        <v>496616.13885375595</v>
      </c>
      <c r="I19" s="65">
        <f t="shared" si="1"/>
        <v>0</v>
      </c>
      <c r="J19" s="65"/>
      <c r="K19" s="592">
        <f>+G19</f>
        <v>496616.13885375595</v>
      </c>
      <c r="L19" s="596">
        <f t="shared" ref="L19" si="5">IF(K19&lt;&gt;0,+G19-K19,0)</f>
        <v>0</v>
      </c>
      <c r="M19" s="592">
        <f>+H19</f>
        <v>496616.13885375595</v>
      </c>
      <c r="N19" s="67">
        <f t="shared" si="3"/>
        <v>0</v>
      </c>
      <c r="O19" s="67">
        <f t="shared" si="4"/>
        <v>0</v>
      </c>
      <c r="P19" s="4"/>
    </row>
    <row r="20" spans="2:16">
      <c r="B20" t="str">
        <f t="shared" si="0"/>
        <v>IU</v>
      </c>
      <c r="C20" s="62">
        <f>IF(D11="","-",+C19+1)</f>
        <v>2023</v>
      </c>
      <c r="D20" s="614">
        <v>3294237.4384391252</v>
      </c>
      <c r="E20" s="613">
        <v>115567.6229032258</v>
      </c>
      <c r="F20" s="614">
        <v>3178669.8155358993</v>
      </c>
      <c r="G20" s="613">
        <v>481393.21655361552</v>
      </c>
      <c r="H20" s="617">
        <v>481393.21655361552</v>
      </c>
      <c r="I20" s="65">
        <f t="shared" si="1"/>
        <v>0</v>
      </c>
      <c r="J20" s="65"/>
      <c r="K20" s="130"/>
      <c r="L20" s="67">
        <f t="shared" ref="L20:L71" si="6">IF(K20&lt;&gt;0,+G20-K20,0)</f>
        <v>0</v>
      </c>
      <c r="M20" s="130"/>
      <c r="N20" s="67">
        <f t="shared" si="3"/>
        <v>0</v>
      </c>
      <c r="O20" s="67">
        <f t="shared" si="4"/>
        <v>0</v>
      </c>
      <c r="P20" s="4"/>
    </row>
    <row r="21" spans="2:16">
      <c r="B21" t="str">
        <f t="shared" si="0"/>
        <v>IU</v>
      </c>
      <c r="C21" s="62">
        <f>IF(D11="","-",+C20+1)</f>
        <v>2024</v>
      </c>
      <c r="D21" s="71">
        <f>IF(F20+SUM(E$17:E20)=D$10,F20,D$10-SUM(E$17:E20))</f>
        <v>3317439.0355358999</v>
      </c>
      <c r="E21" s="69">
        <f t="shared" ref="E21:E71" si="7">IF(+I$14&lt;F20,I$14,D21)</f>
        <v>120044.0493548387</v>
      </c>
      <c r="F21" s="68">
        <f t="shared" ref="F21:F71" si="8">+D21-E21</f>
        <v>3197394.9861810612</v>
      </c>
      <c r="G21" s="70">
        <f t="shared" ref="G21:G71" si="9">(D21+F21)/2*I$12+E21</f>
        <v>491166.88926081697</v>
      </c>
      <c r="H21" s="52">
        <f t="shared" ref="H21:H71" si="10">+(D21+F21)/2*I$13+E21</f>
        <v>491166.88926081697</v>
      </c>
      <c r="I21" s="65">
        <f t="shared" si="1"/>
        <v>0</v>
      </c>
      <c r="J21" s="65"/>
      <c r="K21" s="130"/>
      <c r="L21" s="67">
        <f t="shared" si="6"/>
        <v>0</v>
      </c>
      <c r="M21" s="130"/>
      <c r="N21" s="67">
        <f t="shared" si="3"/>
        <v>0</v>
      </c>
      <c r="O21" s="67">
        <f t="shared" si="4"/>
        <v>0</v>
      </c>
      <c r="P21" s="4"/>
    </row>
    <row r="22" spans="2:16">
      <c r="B22" t="str">
        <f t="shared" si="0"/>
        <v/>
      </c>
      <c r="C22" s="62">
        <f>IF(D11="","-",+C21+1)</f>
        <v>2025</v>
      </c>
      <c r="D22" s="71">
        <f>IF(F21+SUM(E$17:E21)=D$10,F21,D$10-SUM(E$17:E21))</f>
        <v>3197394.9861810612</v>
      </c>
      <c r="E22" s="69">
        <f t="shared" si="7"/>
        <v>120044.0493548387</v>
      </c>
      <c r="F22" s="68">
        <f t="shared" si="8"/>
        <v>3077350.9368262226</v>
      </c>
      <c r="G22" s="70">
        <f t="shared" si="9"/>
        <v>477490.07466757589</v>
      </c>
      <c r="H22" s="52">
        <f t="shared" si="10"/>
        <v>477490.07466757589</v>
      </c>
      <c r="I22" s="65">
        <f t="shared" si="1"/>
        <v>0</v>
      </c>
      <c r="J22" s="65"/>
      <c r="K22" s="130"/>
      <c r="L22" s="67">
        <f t="shared" si="6"/>
        <v>0</v>
      </c>
      <c r="M22" s="130"/>
      <c r="N22" s="67">
        <f t="shared" si="3"/>
        <v>0</v>
      </c>
      <c r="O22" s="67">
        <f t="shared" si="4"/>
        <v>0</v>
      </c>
      <c r="P22" s="4"/>
    </row>
    <row r="23" spans="2:16">
      <c r="B23" t="str">
        <f t="shared" si="0"/>
        <v/>
      </c>
      <c r="C23" s="62">
        <f>IF(D11="","-",+C22+1)</f>
        <v>2026</v>
      </c>
      <c r="D23" s="71">
        <f>IF(F22+SUM(E$17:E22)=D$10,F22,D$10-SUM(E$17:E22))</f>
        <v>3077350.9368262226</v>
      </c>
      <c r="E23" s="69">
        <f t="shared" si="7"/>
        <v>120044.0493548387</v>
      </c>
      <c r="F23" s="68">
        <f t="shared" si="8"/>
        <v>2957306.8874713839</v>
      </c>
      <c r="G23" s="70">
        <f t="shared" si="9"/>
        <v>463813.2600743348</v>
      </c>
      <c r="H23" s="52">
        <f t="shared" si="10"/>
        <v>463813.2600743348</v>
      </c>
      <c r="I23" s="65">
        <f t="shared" si="1"/>
        <v>0</v>
      </c>
      <c r="J23" s="65"/>
      <c r="K23" s="130"/>
      <c r="L23" s="67">
        <f t="shared" si="6"/>
        <v>0</v>
      </c>
      <c r="M23" s="130"/>
      <c r="N23" s="67">
        <f t="shared" si="3"/>
        <v>0</v>
      </c>
      <c r="O23" s="67">
        <f t="shared" si="4"/>
        <v>0</v>
      </c>
      <c r="P23" s="4"/>
    </row>
    <row r="24" spans="2:16">
      <c r="B24" t="str">
        <f t="shared" si="0"/>
        <v/>
      </c>
      <c r="C24" s="62">
        <f>IF(D11="","-",+C23+1)</f>
        <v>2027</v>
      </c>
      <c r="D24" s="71">
        <f>IF(F23+SUM(E$17:E23)=D$10,F23,D$10-SUM(E$17:E23))</f>
        <v>2957306.8874713839</v>
      </c>
      <c r="E24" s="69">
        <f t="shared" si="7"/>
        <v>120044.0493548387</v>
      </c>
      <c r="F24" s="68">
        <f t="shared" si="8"/>
        <v>2837262.8381165452</v>
      </c>
      <c r="G24" s="70">
        <f t="shared" si="9"/>
        <v>450136.4454810936</v>
      </c>
      <c r="H24" s="52">
        <f t="shared" si="10"/>
        <v>450136.4454810936</v>
      </c>
      <c r="I24" s="65">
        <f t="shared" si="1"/>
        <v>0</v>
      </c>
      <c r="J24" s="65"/>
      <c r="K24" s="130"/>
      <c r="L24" s="67">
        <f t="shared" si="6"/>
        <v>0</v>
      </c>
      <c r="M24" s="130"/>
      <c r="N24" s="67">
        <f t="shared" si="3"/>
        <v>0</v>
      </c>
      <c r="O24" s="67">
        <f t="shared" si="4"/>
        <v>0</v>
      </c>
      <c r="P24" s="4"/>
    </row>
    <row r="25" spans="2:16">
      <c r="B25" t="str">
        <f t="shared" si="0"/>
        <v/>
      </c>
      <c r="C25" s="62">
        <f>IF(D11="","-",+C24+1)</f>
        <v>2028</v>
      </c>
      <c r="D25" s="71">
        <f>IF(F24+SUM(E$17:E24)=D$10,F24,D$10-SUM(E$17:E24))</f>
        <v>2837262.8381165452</v>
      </c>
      <c r="E25" s="69">
        <f t="shared" si="7"/>
        <v>120044.0493548387</v>
      </c>
      <c r="F25" s="68">
        <f t="shared" si="8"/>
        <v>2717218.7887617066</v>
      </c>
      <c r="G25" s="70">
        <f t="shared" si="9"/>
        <v>436459.63088785252</v>
      </c>
      <c r="H25" s="52">
        <f t="shared" si="10"/>
        <v>436459.63088785252</v>
      </c>
      <c r="I25" s="65">
        <f t="shared" si="1"/>
        <v>0</v>
      </c>
      <c r="J25" s="65"/>
      <c r="K25" s="130"/>
      <c r="L25" s="67">
        <f t="shared" si="6"/>
        <v>0</v>
      </c>
      <c r="M25" s="130"/>
      <c r="N25" s="67">
        <f t="shared" si="3"/>
        <v>0</v>
      </c>
      <c r="O25" s="67">
        <f t="shared" si="4"/>
        <v>0</v>
      </c>
      <c r="P25" s="4"/>
    </row>
    <row r="26" spans="2:16">
      <c r="B26" t="str">
        <f t="shared" si="0"/>
        <v/>
      </c>
      <c r="C26" s="62">
        <f>IF(D11="","-",+C25+1)</f>
        <v>2029</v>
      </c>
      <c r="D26" s="71">
        <f>IF(F25+SUM(E$17:E25)=D$10,F25,D$10-SUM(E$17:E25))</f>
        <v>2717218.7887617066</v>
      </c>
      <c r="E26" s="69">
        <f t="shared" si="7"/>
        <v>120044.0493548387</v>
      </c>
      <c r="F26" s="68">
        <f t="shared" si="8"/>
        <v>2597174.7394068679</v>
      </c>
      <c r="G26" s="70">
        <f t="shared" si="9"/>
        <v>422782.81629461132</v>
      </c>
      <c r="H26" s="52">
        <f t="shared" si="10"/>
        <v>422782.81629461132</v>
      </c>
      <c r="I26" s="65">
        <f t="shared" si="1"/>
        <v>0</v>
      </c>
      <c r="J26" s="65"/>
      <c r="K26" s="130"/>
      <c r="L26" s="67">
        <f t="shared" si="6"/>
        <v>0</v>
      </c>
      <c r="M26" s="130"/>
      <c r="N26" s="67">
        <f t="shared" si="3"/>
        <v>0</v>
      </c>
      <c r="O26" s="67">
        <f t="shared" si="4"/>
        <v>0</v>
      </c>
      <c r="P26" s="4"/>
    </row>
    <row r="27" spans="2:16">
      <c r="B27" t="str">
        <f t="shared" si="0"/>
        <v/>
      </c>
      <c r="C27" s="62">
        <f>IF(D11="","-",+C26+1)</f>
        <v>2030</v>
      </c>
      <c r="D27" s="71">
        <f>IF(F26+SUM(E$17:E26)=D$10,F26,D$10-SUM(E$17:E26))</f>
        <v>2597174.7394068679</v>
      </c>
      <c r="E27" s="69">
        <f t="shared" si="7"/>
        <v>120044.0493548387</v>
      </c>
      <c r="F27" s="68">
        <f t="shared" si="8"/>
        <v>2477130.6900520292</v>
      </c>
      <c r="G27" s="70">
        <f t="shared" si="9"/>
        <v>409106.00170137023</v>
      </c>
      <c r="H27" s="52">
        <f t="shared" si="10"/>
        <v>409106.00170137023</v>
      </c>
      <c r="I27" s="65">
        <f t="shared" si="1"/>
        <v>0</v>
      </c>
      <c r="J27" s="65"/>
      <c r="K27" s="130"/>
      <c r="L27" s="67">
        <f t="shared" si="6"/>
        <v>0</v>
      </c>
      <c r="M27" s="130"/>
      <c r="N27" s="67">
        <f t="shared" si="3"/>
        <v>0</v>
      </c>
      <c r="O27" s="67">
        <f t="shared" si="4"/>
        <v>0</v>
      </c>
      <c r="P27" s="4"/>
    </row>
    <row r="28" spans="2:16">
      <c r="B28" t="str">
        <f t="shared" si="0"/>
        <v/>
      </c>
      <c r="C28" s="62">
        <f>IF(D11="","-",+C27+1)</f>
        <v>2031</v>
      </c>
      <c r="D28" s="71">
        <f>IF(F27+SUM(E$17:E27)=D$10,F27,D$10-SUM(E$17:E27))</f>
        <v>2477130.6900520292</v>
      </c>
      <c r="E28" s="69">
        <f t="shared" si="7"/>
        <v>120044.0493548387</v>
      </c>
      <c r="F28" s="68">
        <f t="shared" si="8"/>
        <v>2357086.6406971905</v>
      </c>
      <c r="G28" s="70">
        <f t="shared" si="9"/>
        <v>395429.18710812903</v>
      </c>
      <c r="H28" s="52">
        <f t="shared" si="10"/>
        <v>395429.18710812903</v>
      </c>
      <c r="I28" s="65">
        <f t="shared" si="1"/>
        <v>0</v>
      </c>
      <c r="J28" s="65"/>
      <c r="K28" s="130"/>
      <c r="L28" s="67">
        <f t="shared" si="6"/>
        <v>0</v>
      </c>
      <c r="M28" s="130"/>
      <c r="N28" s="67">
        <f t="shared" si="3"/>
        <v>0</v>
      </c>
      <c r="O28" s="67">
        <f t="shared" si="4"/>
        <v>0</v>
      </c>
      <c r="P28" s="4"/>
    </row>
    <row r="29" spans="2:16">
      <c r="B29" t="str">
        <f t="shared" si="0"/>
        <v/>
      </c>
      <c r="C29" s="62">
        <f>IF(D11="","-",+C28+1)</f>
        <v>2032</v>
      </c>
      <c r="D29" s="71">
        <f>IF(F28+SUM(E$17:E28)=D$10,F28,D$10-SUM(E$17:E28))</f>
        <v>2357086.6406971905</v>
      </c>
      <c r="E29" s="69">
        <f t="shared" si="7"/>
        <v>120044.0493548387</v>
      </c>
      <c r="F29" s="68">
        <f t="shared" si="8"/>
        <v>2237042.5913423519</v>
      </c>
      <c r="G29" s="70">
        <f t="shared" si="9"/>
        <v>381752.372514888</v>
      </c>
      <c r="H29" s="52">
        <f t="shared" si="10"/>
        <v>381752.372514888</v>
      </c>
      <c r="I29" s="65">
        <f t="shared" si="1"/>
        <v>0</v>
      </c>
      <c r="J29" s="65"/>
      <c r="K29" s="130"/>
      <c r="L29" s="67">
        <f t="shared" si="6"/>
        <v>0</v>
      </c>
      <c r="M29" s="130"/>
      <c r="N29" s="67">
        <f t="shared" si="3"/>
        <v>0</v>
      </c>
      <c r="O29" s="67">
        <f t="shared" si="4"/>
        <v>0</v>
      </c>
      <c r="P29" s="4"/>
    </row>
    <row r="30" spans="2:16">
      <c r="B30" t="str">
        <f t="shared" si="0"/>
        <v/>
      </c>
      <c r="C30" s="62">
        <f>IF(D11="","-",+C29+1)</f>
        <v>2033</v>
      </c>
      <c r="D30" s="71">
        <f>IF(F29+SUM(E$17:E29)=D$10,F29,D$10-SUM(E$17:E29))</f>
        <v>2237042.5913423519</v>
      </c>
      <c r="E30" s="69">
        <f t="shared" si="7"/>
        <v>120044.0493548387</v>
      </c>
      <c r="F30" s="68">
        <f t="shared" si="8"/>
        <v>2116998.5419875132</v>
      </c>
      <c r="G30" s="70">
        <f t="shared" si="9"/>
        <v>368075.55792164686</v>
      </c>
      <c r="H30" s="52">
        <f t="shared" si="10"/>
        <v>368075.55792164686</v>
      </c>
      <c r="I30" s="65">
        <f t="shared" si="1"/>
        <v>0</v>
      </c>
      <c r="J30" s="65"/>
      <c r="K30" s="130"/>
      <c r="L30" s="67">
        <f t="shared" si="6"/>
        <v>0</v>
      </c>
      <c r="M30" s="130"/>
      <c r="N30" s="67">
        <f t="shared" si="3"/>
        <v>0</v>
      </c>
      <c r="O30" s="67">
        <f t="shared" si="4"/>
        <v>0</v>
      </c>
      <c r="P30" s="4"/>
    </row>
    <row r="31" spans="2:16">
      <c r="B31" t="str">
        <f t="shared" si="0"/>
        <v/>
      </c>
      <c r="C31" s="62">
        <f>IF(D11="","-",+C30+1)</f>
        <v>2034</v>
      </c>
      <c r="D31" s="71">
        <f>IF(F30+SUM(E$17:E30)=D$10,F30,D$10-SUM(E$17:E30))</f>
        <v>2116998.5419875132</v>
      </c>
      <c r="E31" s="69">
        <f t="shared" si="7"/>
        <v>120044.0493548387</v>
      </c>
      <c r="F31" s="68">
        <f t="shared" si="8"/>
        <v>1996954.4926326745</v>
      </c>
      <c r="G31" s="70">
        <f t="shared" si="9"/>
        <v>354398.74332840578</v>
      </c>
      <c r="H31" s="52">
        <f t="shared" si="10"/>
        <v>354398.74332840578</v>
      </c>
      <c r="I31" s="65">
        <f t="shared" si="1"/>
        <v>0</v>
      </c>
      <c r="J31" s="65"/>
      <c r="K31" s="130"/>
      <c r="L31" s="67">
        <f t="shared" si="6"/>
        <v>0</v>
      </c>
      <c r="M31" s="130"/>
      <c r="N31" s="67">
        <f t="shared" si="3"/>
        <v>0</v>
      </c>
      <c r="O31" s="67">
        <f t="shared" si="4"/>
        <v>0</v>
      </c>
      <c r="P31" s="4"/>
    </row>
    <row r="32" spans="2:16">
      <c r="B32" t="str">
        <f t="shared" si="0"/>
        <v/>
      </c>
      <c r="C32" s="62">
        <f>IF(D11="","-",+C31+1)</f>
        <v>2035</v>
      </c>
      <c r="D32" s="71">
        <f>IF(F31+SUM(E$17:E31)=D$10,F31,D$10-SUM(E$17:E31))</f>
        <v>1996954.4926326745</v>
      </c>
      <c r="E32" s="69">
        <f t="shared" si="7"/>
        <v>120044.0493548387</v>
      </c>
      <c r="F32" s="68">
        <f t="shared" si="8"/>
        <v>1876910.4432778358</v>
      </c>
      <c r="G32" s="70">
        <f t="shared" si="9"/>
        <v>340721.92873516458</v>
      </c>
      <c r="H32" s="52">
        <f t="shared" si="10"/>
        <v>340721.92873516458</v>
      </c>
      <c r="I32" s="65">
        <f t="shared" si="1"/>
        <v>0</v>
      </c>
      <c r="J32" s="65"/>
      <c r="K32" s="130"/>
      <c r="L32" s="67">
        <f t="shared" si="6"/>
        <v>0</v>
      </c>
      <c r="M32" s="130"/>
      <c r="N32" s="67">
        <f t="shared" si="3"/>
        <v>0</v>
      </c>
      <c r="O32" s="67">
        <f t="shared" si="4"/>
        <v>0</v>
      </c>
      <c r="P32" s="4"/>
    </row>
    <row r="33" spans="2:16">
      <c r="B33" t="str">
        <f t="shared" si="0"/>
        <v/>
      </c>
      <c r="C33" s="62">
        <f>IF(D11="","-",+C32+1)</f>
        <v>2036</v>
      </c>
      <c r="D33" s="71">
        <f>IF(F32+SUM(E$17:E32)=D$10,F32,D$10-SUM(E$17:E32))</f>
        <v>1876910.4432778358</v>
      </c>
      <c r="E33" s="69">
        <f t="shared" si="7"/>
        <v>120044.0493548387</v>
      </c>
      <c r="F33" s="68">
        <f t="shared" si="8"/>
        <v>1756866.3939229972</v>
      </c>
      <c r="G33" s="70">
        <f t="shared" si="9"/>
        <v>327045.11414192349</v>
      </c>
      <c r="H33" s="52">
        <f t="shared" si="10"/>
        <v>327045.11414192349</v>
      </c>
      <c r="I33" s="65">
        <f t="shared" si="1"/>
        <v>0</v>
      </c>
      <c r="J33" s="65"/>
      <c r="K33" s="130"/>
      <c r="L33" s="67">
        <f t="shared" si="6"/>
        <v>0</v>
      </c>
      <c r="M33" s="130"/>
      <c r="N33" s="67">
        <f t="shared" si="3"/>
        <v>0</v>
      </c>
      <c r="O33" s="67">
        <f t="shared" si="4"/>
        <v>0</v>
      </c>
      <c r="P33" s="4"/>
    </row>
    <row r="34" spans="2:16">
      <c r="B34" t="str">
        <f t="shared" si="0"/>
        <v/>
      </c>
      <c r="C34" s="62">
        <f>IF(D11="","-",+C33+1)</f>
        <v>2037</v>
      </c>
      <c r="D34" s="71">
        <f>IF(F33+SUM(E$17:E33)=D$10,F33,D$10-SUM(E$17:E33))</f>
        <v>1756866.3939229972</v>
      </c>
      <c r="E34" s="69">
        <f t="shared" si="7"/>
        <v>120044.0493548387</v>
      </c>
      <c r="F34" s="68">
        <f t="shared" si="8"/>
        <v>1636822.3445681585</v>
      </c>
      <c r="G34" s="70">
        <f t="shared" si="9"/>
        <v>313368.29954868241</v>
      </c>
      <c r="H34" s="52">
        <f t="shared" si="10"/>
        <v>313368.29954868241</v>
      </c>
      <c r="I34" s="65">
        <f t="shared" si="1"/>
        <v>0</v>
      </c>
      <c r="J34" s="65"/>
      <c r="K34" s="130"/>
      <c r="L34" s="67">
        <f t="shared" si="6"/>
        <v>0</v>
      </c>
      <c r="M34" s="130"/>
      <c r="N34" s="67">
        <f t="shared" si="3"/>
        <v>0</v>
      </c>
      <c r="O34" s="67">
        <f t="shared" si="4"/>
        <v>0</v>
      </c>
      <c r="P34" s="4"/>
    </row>
    <row r="35" spans="2:16">
      <c r="B35" t="str">
        <f t="shared" si="0"/>
        <v/>
      </c>
      <c r="C35" s="62">
        <f>IF(D11="","-",+C34+1)</f>
        <v>2038</v>
      </c>
      <c r="D35" s="71">
        <f>IF(F34+SUM(E$17:E34)=D$10,F34,D$10-SUM(E$17:E34))</f>
        <v>1636822.3445681585</v>
      </c>
      <c r="E35" s="69">
        <f t="shared" si="7"/>
        <v>120044.0493548387</v>
      </c>
      <c r="F35" s="68">
        <f t="shared" si="8"/>
        <v>1516778.2952133198</v>
      </c>
      <c r="G35" s="70">
        <f t="shared" si="9"/>
        <v>299691.48495544121</v>
      </c>
      <c r="H35" s="52">
        <f t="shared" si="10"/>
        <v>299691.48495544121</v>
      </c>
      <c r="I35" s="65">
        <f t="shared" si="1"/>
        <v>0</v>
      </c>
      <c r="J35" s="65"/>
      <c r="K35" s="130"/>
      <c r="L35" s="67">
        <f t="shared" si="6"/>
        <v>0</v>
      </c>
      <c r="M35" s="130"/>
      <c r="N35" s="67">
        <f t="shared" si="3"/>
        <v>0</v>
      </c>
      <c r="O35" s="67">
        <f t="shared" si="4"/>
        <v>0</v>
      </c>
      <c r="P35" s="4"/>
    </row>
    <row r="36" spans="2:16">
      <c r="B36" t="str">
        <f t="shared" si="0"/>
        <v/>
      </c>
      <c r="C36" s="62">
        <f>IF(D11="","-",+C35+1)</f>
        <v>2039</v>
      </c>
      <c r="D36" s="71">
        <f>IF(F35+SUM(E$17:E35)=D$10,F35,D$10-SUM(E$17:E35))</f>
        <v>1516778.2952133198</v>
      </c>
      <c r="E36" s="69">
        <f t="shared" si="7"/>
        <v>120044.0493548387</v>
      </c>
      <c r="F36" s="68">
        <f t="shared" si="8"/>
        <v>1396734.2458584812</v>
      </c>
      <c r="G36" s="70">
        <f t="shared" si="9"/>
        <v>286014.67036220012</v>
      </c>
      <c r="H36" s="52">
        <f t="shared" si="10"/>
        <v>286014.67036220012</v>
      </c>
      <c r="I36" s="65">
        <f t="shared" si="1"/>
        <v>0</v>
      </c>
      <c r="J36" s="65"/>
      <c r="K36" s="130"/>
      <c r="L36" s="67">
        <f t="shared" si="6"/>
        <v>0</v>
      </c>
      <c r="M36" s="130"/>
      <c r="N36" s="67">
        <f t="shared" si="3"/>
        <v>0</v>
      </c>
      <c r="O36" s="67">
        <f t="shared" si="4"/>
        <v>0</v>
      </c>
      <c r="P36" s="4"/>
    </row>
    <row r="37" spans="2:16">
      <c r="B37" t="str">
        <f t="shared" si="0"/>
        <v/>
      </c>
      <c r="C37" s="62">
        <f>IF(D11="","-",+C36+1)</f>
        <v>2040</v>
      </c>
      <c r="D37" s="71">
        <f>IF(F36+SUM(E$17:E36)=D$10,F36,D$10-SUM(E$17:E36))</f>
        <v>1396734.2458584812</v>
      </c>
      <c r="E37" s="69">
        <f t="shared" si="7"/>
        <v>120044.0493548387</v>
      </c>
      <c r="F37" s="68">
        <f t="shared" si="8"/>
        <v>1276690.1965036425</v>
      </c>
      <c r="G37" s="70">
        <f t="shared" si="9"/>
        <v>272337.85576895904</v>
      </c>
      <c r="H37" s="52">
        <f t="shared" si="10"/>
        <v>272337.85576895904</v>
      </c>
      <c r="I37" s="65">
        <f t="shared" si="1"/>
        <v>0</v>
      </c>
      <c r="J37" s="65"/>
      <c r="K37" s="130"/>
      <c r="L37" s="67">
        <f t="shared" si="6"/>
        <v>0</v>
      </c>
      <c r="M37" s="130"/>
      <c r="N37" s="67">
        <f t="shared" si="3"/>
        <v>0</v>
      </c>
      <c r="O37" s="67">
        <f t="shared" si="4"/>
        <v>0</v>
      </c>
      <c r="P37" s="4"/>
    </row>
    <row r="38" spans="2:16">
      <c r="B38" t="str">
        <f t="shared" si="0"/>
        <v/>
      </c>
      <c r="C38" s="62">
        <f>IF(D11="","-",+C37+1)</f>
        <v>2041</v>
      </c>
      <c r="D38" s="71">
        <f>IF(F37+SUM(E$17:E37)=D$10,F37,D$10-SUM(E$17:E37))</f>
        <v>1276690.1965036425</v>
      </c>
      <c r="E38" s="69">
        <f t="shared" si="7"/>
        <v>120044.0493548387</v>
      </c>
      <c r="F38" s="68">
        <f t="shared" si="8"/>
        <v>1156646.1471488038</v>
      </c>
      <c r="G38" s="70">
        <f t="shared" si="9"/>
        <v>258661.04117571787</v>
      </c>
      <c r="H38" s="52">
        <f t="shared" si="10"/>
        <v>258661.04117571787</v>
      </c>
      <c r="I38" s="65">
        <f t="shared" si="1"/>
        <v>0</v>
      </c>
      <c r="J38" s="65"/>
      <c r="K38" s="130"/>
      <c r="L38" s="67">
        <f t="shared" si="6"/>
        <v>0</v>
      </c>
      <c r="M38" s="130"/>
      <c r="N38" s="67">
        <f t="shared" si="3"/>
        <v>0</v>
      </c>
      <c r="O38" s="67">
        <f t="shared" si="4"/>
        <v>0</v>
      </c>
      <c r="P38" s="4"/>
    </row>
    <row r="39" spans="2:16">
      <c r="B39" t="str">
        <f t="shared" si="0"/>
        <v/>
      </c>
      <c r="C39" s="62">
        <f>IF(D11="","-",+C38+1)</f>
        <v>2042</v>
      </c>
      <c r="D39" s="71">
        <f>IF(F38+SUM(E$17:E38)=D$10,F38,D$10-SUM(E$17:E38))</f>
        <v>1156646.1471488038</v>
      </c>
      <c r="E39" s="69">
        <f t="shared" si="7"/>
        <v>120044.0493548387</v>
      </c>
      <c r="F39" s="68">
        <f t="shared" si="8"/>
        <v>1036602.0977939651</v>
      </c>
      <c r="G39" s="70">
        <f t="shared" si="9"/>
        <v>244984.22658247675</v>
      </c>
      <c r="H39" s="52">
        <f t="shared" si="10"/>
        <v>244984.22658247675</v>
      </c>
      <c r="I39" s="65">
        <f t="shared" si="1"/>
        <v>0</v>
      </c>
      <c r="J39" s="65"/>
      <c r="K39" s="130"/>
      <c r="L39" s="67">
        <f t="shared" si="6"/>
        <v>0</v>
      </c>
      <c r="M39" s="130"/>
      <c r="N39" s="67">
        <f t="shared" si="3"/>
        <v>0</v>
      </c>
      <c r="O39" s="67">
        <f t="shared" si="4"/>
        <v>0</v>
      </c>
      <c r="P39" s="4"/>
    </row>
    <row r="40" spans="2:16">
      <c r="B40" t="str">
        <f t="shared" si="0"/>
        <v/>
      </c>
      <c r="C40" s="62">
        <f>IF(D11="","-",+C39+1)</f>
        <v>2043</v>
      </c>
      <c r="D40" s="71">
        <f>IF(F39+SUM(E$17:E39)=D$10,F39,D$10-SUM(E$17:E39))</f>
        <v>1036602.0977939651</v>
      </c>
      <c r="E40" s="69">
        <f t="shared" si="7"/>
        <v>120044.0493548387</v>
      </c>
      <c r="F40" s="68">
        <f t="shared" si="8"/>
        <v>916558.04843912646</v>
      </c>
      <c r="G40" s="70">
        <f t="shared" si="9"/>
        <v>231307.41198923561</v>
      </c>
      <c r="H40" s="52">
        <f t="shared" si="10"/>
        <v>231307.41198923561</v>
      </c>
      <c r="I40" s="65">
        <f t="shared" si="1"/>
        <v>0</v>
      </c>
      <c r="J40" s="65"/>
      <c r="K40" s="130"/>
      <c r="L40" s="67">
        <f t="shared" si="6"/>
        <v>0</v>
      </c>
      <c r="M40" s="130"/>
      <c r="N40" s="67">
        <f t="shared" si="3"/>
        <v>0</v>
      </c>
      <c r="O40" s="67">
        <f t="shared" si="4"/>
        <v>0</v>
      </c>
      <c r="P40" s="4"/>
    </row>
    <row r="41" spans="2:16">
      <c r="B41" t="str">
        <f t="shared" si="0"/>
        <v/>
      </c>
      <c r="C41" s="62">
        <f>IF(D11="","-",+C40+1)</f>
        <v>2044</v>
      </c>
      <c r="D41" s="71">
        <f>IF(F40+SUM(E$17:E40)=D$10,F40,D$10-SUM(E$17:E40))</f>
        <v>916558.04843912646</v>
      </c>
      <c r="E41" s="69">
        <f t="shared" si="7"/>
        <v>120044.0493548387</v>
      </c>
      <c r="F41" s="68">
        <f t="shared" si="8"/>
        <v>796513.99908428779</v>
      </c>
      <c r="G41" s="70">
        <f t="shared" si="9"/>
        <v>217630.5973959945</v>
      </c>
      <c r="H41" s="52">
        <f t="shared" si="10"/>
        <v>217630.5973959945</v>
      </c>
      <c r="I41" s="65">
        <f t="shared" si="1"/>
        <v>0</v>
      </c>
      <c r="J41" s="65"/>
      <c r="K41" s="130"/>
      <c r="L41" s="67">
        <f t="shared" si="6"/>
        <v>0</v>
      </c>
      <c r="M41" s="130"/>
      <c r="N41" s="67">
        <f t="shared" si="3"/>
        <v>0</v>
      </c>
      <c r="O41" s="67">
        <f t="shared" si="4"/>
        <v>0</v>
      </c>
      <c r="P41" s="4"/>
    </row>
    <row r="42" spans="2:16">
      <c r="B42" t="str">
        <f t="shared" si="0"/>
        <v/>
      </c>
      <c r="C42" s="62">
        <f>IF(D11="","-",+C41+1)</f>
        <v>2045</v>
      </c>
      <c r="D42" s="71">
        <f>IF(F41+SUM(E$17:E41)=D$10,F41,D$10-SUM(E$17:E41))</f>
        <v>796513.99908428779</v>
      </c>
      <c r="E42" s="69">
        <f t="shared" si="7"/>
        <v>120044.0493548387</v>
      </c>
      <c r="F42" s="68">
        <f t="shared" si="8"/>
        <v>676469.94972944912</v>
      </c>
      <c r="G42" s="70">
        <f t="shared" si="9"/>
        <v>203953.78280275338</v>
      </c>
      <c r="H42" s="52">
        <f t="shared" si="10"/>
        <v>203953.78280275338</v>
      </c>
      <c r="I42" s="65">
        <f t="shared" si="1"/>
        <v>0</v>
      </c>
      <c r="J42" s="65"/>
      <c r="K42" s="130"/>
      <c r="L42" s="67">
        <f t="shared" si="6"/>
        <v>0</v>
      </c>
      <c r="M42" s="130"/>
      <c r="N42" s="67">
        <f t="shared" si="3"/>
        <v>0</v>
      </c>
      <c r="O42" s="67">
        <f t="shared" si="4"/>
        <v>0</v>
      </c>
      <c r="P42" s="4"/>
    </row>
    <row r="43" spans="2:16">
      <c r="B43" t="str">
        <f t="shared" si="0"/>
        <v/>
      </c>
      <c r="C43" s="62">
        <f>IF(D11="","-",+C42+1)</f>
        <v>2046</v>
      </c>
      <c r="D43" s="71">
        <f>IF(F42+SUM(E$17:E42)=D$10,F42,D$10-SUM(E$17:E42))</f>
        <v>676469.94972944912</v>
      </c>
      <c r="E43" s="69">
        <f t="shared" si="7"/>
        <v>120044.0493548387</v>
      </c>
      <c r="F43" s="68">
        <f t="shared" si="8"/>
        <v>556425.90037461044</v>
      </c>
      <c r="G43" s="70">
        <f t="shared" si="9"/>
        <v>190276.96820951224</v>
      </c>
      <c r="H43" s="52">
        <f t="shared" si="10"/>
        <v>190276.96820951224</v>
      </c>
      <c r="I43" s="65">
        <f t="shared" si="1"/>
        <v>0</v>
      </c>
      <c r="J43" s="65"/>
      <c r="K43" s="130"/>
      <c r="L43" s="67">
        <f t="shared" si="6"/>
        <v>0</v>
      </c>
      <c r="M43" s="130"/>
      <c r="N43" s="67">
        <f t="shared" si="3"/>
        <v>0</v>
      </c>
      <c r="O43" s="67">
        <f t="shared" si="4"/>
        <v>0</v>
      </c>
      <c r="P43" s="4"/>
    </row>
    <row r="44" spans="2:16">
      <c r="B44" t="str">
        <f t="shared" si="0"/>
        <v/>
      </c>
      <c r="C44" s="62">
        <f>IF(D11="","-",+C43+1)</f>
        <v>2047</v>
      </c>
      <c r="D44" s="71">
        <f>IF(F43+SUM(E$17:E43)=D$10,F43,D$10-SUM(E$17:E43))</f>
        <v>556425.90037461044</v>
      </c>
      <c r="E44" s="69">
        <f t="shared" si="7"/>
        <v>120044.0493548387</v>
      </c>
      <c r="F44" s="68">
        <f t="shared" si="8"/>
        <v>436381.85101977177</v>
      </c>
      <c r="G44" s="70">
        <f t="shared" si="9"/>
        <v>176600.15361627113</v>
      </c>
      <c r="H44" s="52">
        <f t="shared" si="10"/>
        <v>176600.15361627113</v>
      </c>
      <c r="I44" s="65">
        <f t="shared" si="1"/>
        <v>0</v>
      </c>
      <c r="J44" s="65"/>
      <c r="K44" s="130"/>
      <c r="L44" s="67">
        <f t="shared" si="6"/>
        <v>0</v>
      </c>
      <c r="M44" s="130"/>
      <c r="N44" s="67">
        <f t="shared" si="3"/>
        <v>0</v>
      </c>
      <c r="O44" s="67">
        <f t="shared" si="4"/>
        <v>0</v>
      </c>
      <c r="P44" s="4"/>
    </row>
    <row r="45" spans="2:16">
      <c r="B45" t="str">
        <f t="shared" si="0"/>
        <v/>
      </c>
      <c r="C45" s="62">
        <f>IF(D11="","-",+C44+1)</f>
        <v>2048</v>
      </c>
      <c r="D45" s="71">
        <f>IF(F44+SUM(E$17:E44)=D$10,F44,D$10-SUM(E$17:E44))</f>
        <v>436381.85101977177</v>
      </c>
      <c r="E45" s="69">
        <f t="shared" si="7"/>
        <v>120044.0493548387</v>
      </c>
      <c r="F45" s="68">
        <f t="shared" si="8"/>
        <v>316337.8016649331</v>
      </c>
      <c r="G45" s="70">
        <f t="shared" si="9"/>
        <v>162923.33902303001</v>
      </c>
      <c r="H45" s="52">
        <f t="shared" si="10"/>
        <v>162923.33902303001</v>
      </c>
      <c r="I45" s="65">
        <f t="shared" si="1"/>
        <v>0</v>
      </c>
      <c r="J45" s="65"/>
      <c r="K45" s="130"/>
      <c r="L45" s="67">
        <f t="shared" si="6"/>
        <v>0</v>
      </c>
      <c r="M45" s="130"/>
      <c r="N45" s="67">
        <f t="shared" si="3"/>
        <v>0</v>
      </c>
      <c r="O45" s="67">
        <f t="shared" si="4"/>
        <v>0</v>
      </c>
      <c r="P45" s="4"/>
    </row>
    <row r="46" spans="2:16">
      <c r="B46" t="str">
        <f t="shared" si="0"/>
        <v/>
      </c>
      <c r="C46" s="62">
        <f>IF(D11="","-",+C45+1)</f>
        <v>2049</v>
      </c>
      <c r="D46" s="71">
        <f>IF(F45+SUM(E$17:E45)=D$10,F45,D$10-SUM(E$17:E45))</f>
        <v>316337.8016649331</v>
      </c>
      <c r="E46" s="69">
        <f t="shared" si="7"/>
        <v>120044.0493548387</v>
      </c>
      <c r="F46" s="68">
        <f t="shared" si="8"/>
        <v>196293.75231009439</v>
      </c>
      <c r="G46" s="70">
        <f t="shared" si="9"/>
        <v>149246.52442978887</v>
      </c>
      <c r="H46" s="52">
        <f t="shared" si="10"/>
        <v>149246.52442978887</v>
      </c>
      <c r="I46" s="65">
        <f t="shared" si="1"/>
        <v>0</v>
      </c>
      <c r="J46" s="65"/>
      <c r="K46" s="130"/>
      <c r="L46" s="67">
        <f t="shared" si="6"/>
        <v>0</v>
      </c>
      <c r="M46" s="130"/>
      <c r="N46" s="67">
        <f t="shared" si="3"/>
        <v>0</v>
      </c>
      <c r="O46" s="67">
        <f t="shared" si="4"/>
        <v>0</v>
      </c>
      <c r="P46" s="4"/>
    </row>
    <row r="47" spans="2:16">
      <c r="B47" t="str">
        <f t="shared" si="0"/>
        <v/>
      </c>
      <c r="C47" s="62">
        <f>IF(D11="","-",+C46+1)</f>
        <v>2050</v>
      </c>
      <c r="D47" s="71">
        <f>IF(F46+SUM(E$17:E46)=D$10,F46,D$10-SUM(E$17:E46))</f>
        <v>196293.75231009439</v>
      </c>
      <c r="E47" s="69">
        <f t="shared" si="7"/>
        <v>120044.0493548387</v>
      </c>
      <c r="F47" s="68">
        <f t="shared" si="8"/>
        <v>76249.702955255692</v>
      </c>
      <c r="G47" s="70">
        <f t="shared" si="9"/>
        <v>135569.70983654776</v>
      </c>
      <c r="H47" s="52">
        <f t="shared" si="10"/>
        <v>135569.70983654776</v>
      </c>
      <c r="I47" s="65">
        <f t="shared" si="1"/>
        <v>0</v>
      </c>
      <c r="J47" s="65"/>
      <c r="K47" s="130"/>
      <c r="L47" s="67">
        <f t="shared" si="6"/>
        <v>0</v>
      </c>
      <c r="M47" s="130"/>
      <c r="N47" s="67">
        <f t="shared" si="3"/>
        <v>0</v>
      </c>
      <c r="O47" s="67">
        <f t="shared" si="4"/>
        <v>0</v>
      </c>
      <c r="P47" s="4"/>
    </row>
    <row r="48" spans="2:16">
      <c r="B48" t="str">
        <f t="shared" si="0"/>
        <v/>
      </c>
      <c r="C48" s="62">
        <f>IF(D11="","-",+C47+1)</f>
        <v>2051</v>
      </c>
      <c r="D48" s="71">
        <f>IF(F47+SUM(E$17:E47)=D$10,F47,D$10-SUM(E$17:E47))</f>
        <v>76249.702955255692</v>
      </c>
      <c r="E48" s="69">
        <f t="shared" si="7"/>
        <v>76249.702955255692</v>
      </c>
      <c r="F48" s="68">
        <f t="shared" si="8"/>
        <v>0</v>
      </c>
      <c r="G48" s="70">
        <f t="shared" si="9"/>
        <v>80593.329547799935</v>
      </c>
      <c r="H48" s="52">
        <f t="shared" si="10"/>
        <v>80593.329547799935</v>
      </c>
      <c r="I48" s="65">
        <f t="shared" si="1"/>
        <v>0</v>
      </c>
      <c r="J48" s="65"/>
      <c r="K48" s="130"/>
      <c r="L48" s="67">
        <f t="shared" si="6"/>
        <v>0</v>
      </c>
      <c r="M48" s="130"/>
      <c r="N48" s="67">
        <f t="shared" si="3"/>
        <v>0</v>
      </c>
      <c r="O48" s="67">
        <f t="shared" si="4"/>
        <v>0</v>
      </c>
      <c r="P48" s="4"/>
    </row>
    <row r="49" spans="2:16">
      <c r="B49" t="str">
        <f t="shared" si="0"/>
        <v/>
      </c>
      <c r="C49" s="62">
        <f>IF(D11="","-",+C48+1)</f>
        <v>2052</v>
      </c>
      <c r="D49" s="71">
        <f>IF(F48+SUM(E$17:E48)=D$10,F48,D$10-SUM(E$17:E48))</f>
        <v>0</v>
      </c>
      <c r="E49" s="69">
        <f t="shared" si="7"/>
        <v>0</v>
      </c>
      <c r="F49" s="68">
        <f t="shared" si="8"/>
        <v>0</v>
      </c>
      <c r="G49" s="70">
        <f t="shared" si="9"/>
        <v>0</v>
      </c>
      <c r="H49" s="52">
        <f t="shared" si="10"/>
        <v>0</v>
      </c>
      <c r="I49" s="65">
        <f t="shared" si="1"/>
        <v>0</v>
      </c>
      <c r="J49" s="65"/>
      <c r="K49" s="130"/>
      <c r="L49" s="67">
        <f t="shared" si="6"/>
        <v>0</v>
      </c>
      <c r="M49" s="130"/>
      <c r="N49" s="67">
        <f t="shared" si="3"/>
        <v>0</v>
      </c>
      <c r="O49" s="67">
        <f t="shared" si="4"/>
        <v>0</v>
      </c>
      <c r="P49" s="4"/>
    </row>
    <row r="50" spans="2:16">
      <c r="B50" t="str">
        <f t="shared" si="0"/>
        <v/>
      </c>
      <c r="C50" s="62">
        <f>IF(D11="","-",+C49+1)</f>
        <v>2053</v>
      </c>
      <c r="D50" s="71">
        <f>IF(F49+SUM(E$17:E49)=D$10,F49,D$10-SUM(E$17:E49))</f>
        <v>0</v>
      </c>
      <c r="E50" s="69">
        <f t="shared" si="7"/>
        <v>0</v>
      </c>
      <c r="F50" s="68">
        <f t="shared" si="8"/>
        <v>0</v>
      </c>
      <c r="G50" s="70">
        <f t="shared" si="9"/>
        <v>0</v>
      </c>
      <c r="H50" s="52">
        <f t="shared" si="10"/>
        <v>0</v>
      </c>
      <c r="I50" s="65">
        <f t="shared" si="1"/>
        <v>0</v>
      </c>
      <c r="J50" s="65"/>
      <c r="K50" s="130"/>
      <c r="L50" s="67">
        <f t="shared" si="6"/>
        <v>0</v>
      </c>
      <c r="M50" s="130"/>
      <c r="N50" s="67">
        <f t="shared" si="3"/>
        <v>0</v>
      </c>
      <c r="O50" s="67">
        <f t="shared" si="4"/>
        <v>0</v>
      </c>
      <c r="P50" s="4"/>
    </row>
    <row r="51" spans="2:16">
      <c r="B51" t="str">
        <f t="shared" si="0"/>
        <v/>
      </c>
      <c r="C51" s="62">
        <f>IF(D11="","-",+C50+1)</f>
        <v>2054</v>
      </c>
      <c r="D51" s="71">
        <f>IF(F50+SUM(E$17:E50)=D$10,F50,D$10-SUM(E$17:E50))</f>
        <v>0</v>
      </c>
      <c r="E51" s="69">
        <f t="shared" si="7"/>
        <v>0</v>
      </c>
      <c r="F51" s="68">
        <f t="shared" si="8"/>
        <v>0</v>
      </c>
      <c r="G51" s="70">
        <f t="shared" si="9"/>
        <v>0</v>
      </c>
      <c r="H51" s="52">
        <f t="shared" si="10"/>
        <v>0</v>
      </c>
      <c r="I51" s="65">
        <f t="shared" si="1"/>
        <v>0</v>
      </c>
      <c r="J51" s="65"/>
      <c r="K51" s="130"/>
      <c r="L51" s="67">
        <f t="shared" si="6"/>
        <v>0</v>
      </c>
      <c r="M51" s="130"/>
      <c r="N51" s="67">
        <f t="shared" si="3"/>
        <v>0</v>
      </c>
      <c r="O51" s="67">
        <f t="shared" si="4"/>
        <v>0</v>
      </c>
      <c r="P51" s="4"/>
    </row>
    <row r="52" spans="2:16">
      <c r="B52" t="str">
        <f t="shared" si="0"/>
        <v/>
      </c>
      <c r="C52" s="62">
        <f>IF(D11="","-",+C51+1)</f>
        <v>2055</v>
      </c>
      <c r="D52" s="71">
        <f>IF(F51+SUM(E$17:E51)=D$10,F51,D$10-SUM(E$17:E51))</f>
        <v>0</v>
      </c>
      <c r="E52" s="69">
        <f t="shared" si="7"/>
        <v>0</v>
      </c>
      <c r="F52" s="68">
        <f t="shared" si="8"/>
        <v>0</v>
      </c>
      <c r="G52" s="70">
        <f t="shared" si="9"/>
        <v>0</v>
      </c>
      <c r="H52" s="52">
        <f t="shared" si="10"/>
        <v>0</v>
      </c>
      <c r="I52" s="65">
        <f t="shared" si="1"/>
        <v>0</v>
      </c>
      <c r="J52" s="65"/>
      <c r="K52" s="130"/>
      <c r="L52" s="67">
        <f t="shared" si="6"/>
        <v>0</v>
      </c>
      <c r="M52" s="130"/>
      <c r="N52" s="67">
        <f t="shared" si="3"/>
        <v>0</v>
      </c>
      <c r="O52" s="67">
        <f t="shared" si="4"/>
        <v>0</v>
      </c>
      <c r="P52" s="4"/>
    </row>
    <row r="53" spans="2:16">
      <c r="B53" t="str">
        <f t="shared" si="0"/>
        <v/>
      </c>
      <c r="C53" s="62">
        <f>IF(D11="","-",+C52+1)</f>
        <v>2056</v>
      </c>
      <c r="D53" s="71">
        <f>IF(F52+SUM(E$17:E52)=D$10,F52,D$10-SUM(E$17:E52))</f>
        <v>0</v>
      </c>
      <c r="E53" s="69">
        <f t="shared" si="7"/>
        <v>0</v>
      </c>
      <c r="F53" s="68">
        <f t="shared" si="8"/>
        <v>0</v>
      </c>
      <c r="G53" s="70">
        <f t="shared" si="9"/>
        <v>0</v>
      </c>
      <c r="H53" s="52">
        <f t="shared" si="10"/>
        <v>0</v>
      </c>
      <c r="I53" s="65">
        <f t="shared" si="1"/>
        <v>0</v>
      </c>
      <c r="J53" s="65"/>
      <c r="K53" s="130"/>
      <c r="L53" s="67">
        <f t="shared" si="6"/>
        <v>0</v>
      </c>
      <c r="M53" s="130"/>
      <c r="N53" s="67">
        <f t="shared" si="3"/>
        <v>0</v>
      </c>
      <c r="O53" s="67">
        <f t="shared" si="4"/>
        <v>0</v>
      </c>
      <c r="P53" s="4"/>
    </row>
    <row r="54" spans="2:16">
      <c r="B54" t="str">
        <f t="shared" si="0"/>
        <v/>
      </c>
      <c r="C54" s="62">
        <f>IF(D11="","-",+C53+1)</f>
        <v>2057</v>
      </c>
      <c r="D54" s="71">
        <f>IF(F53+SUM(E$17:E53)=D$10,F53,D$10-SUM(E$17:E53))</f>
        <v>0</v>
      </c>
      <c r="E54" s="69">
        <f t="shared" si="7"/>
        <v>0</v>
      </c>
      <c r="F54" s="68">
        <f t="shared" si="8"/>
        <v>0</v>
      </c>
      <c r="G54" s="70">
        <f t="shared" si="9"/>
        <v>0</v>
      </c>
      <c r="H54" s="52">
        <f t="shared" si="10"/>
        <v>0</v>
      </c>
      <c r="I54" s="65">
        <f t="shared" si="1"/>
        <v>0</v>
      </c>
      <c r="J54" s="65"/>
      <c r="K54" s="130"/>
      <c r="L54" s="67">
        <f t="shared" si="6"/>
        <v>0</v>
      </c>
      <c r="M54" s="130"/>
      <c r="N54" s="67">
        <f t="shared" si="3"/>
        <v>0</v>
      </c>
      <c r="O54" s="67">
        <f t="shared" si="4"/>
        <v>0</v>
      </c>
      <c r="P54" s="4"/>
    </row>
    <row r="55" spans="2:16">
      <c r="B55" t="str">
        <f t="shared" si="0"/>
        <v/>
      </c>
      <c r="C55" s="62">
        <f>IF(D11="","-",+C54+1)</f>
        <v>2058</v>
      </c>
      <c r="D55" s="71">
        <f>IF(F54+SUM(E$17:E54)=D$10,F54,D$10-SUM(E$17:E54))</f>
        <v>0</v>
      </c>
      <c r="E55" s="69">
        <f t="shared" si="7"/>
        <v>0</v>
      </c>
      <c r="F55" s="68">
        <f t="shared" si="8"/>
        <v>0</v>
      </c>
      <c r="G55" s="70">
        <f t="shared" si="9"/>
        <v>0</v>
      </c>
      <c r="H55" s="52">
        <f t="shared" si="10"/>
        <v>0</v>
      </c>
      <c r="I55" s="65">
        <f t="shared" si="1"/>
        <v>0</v>
      </c>
      <c r="J55" s="65"/>
      <c r="K55" s="130"/>
      <c r="L55" s="67">
        <f t="shared" si="6"/>
        <v>0</v>
      </c>
      <c r="M55" s="130"/>
      <c r="N55" s="67">
        <f t="shared" si="3"/>
        <v>0</v>
      </c>
      <c r="O55" s="67">
        <f t="shared" si="4"/>
        <v>0</v>
      </c>
      <c r="P55" s="4"/>
    </row>
    <row r="56" spans="2:16">
      <c r="B56" t="str">
        <f t="shared" si="0"/>
        <v/>
      </c>
      <c r="C56" s="62">
        <f>IF(D11="","-",+C55+1)</f>
        <v>2059</v>
      </c>
      <c r="D56" s="71">
        <f>IF(F55+SUM(E$17:E55)=D$10,F55,D$10-SUM(E$17:E55))</f>
        <v>0</v>
      </c>
      <c r="E56" s="69">
        <f t="shared" si="7"/>
        <v>0</v>
      </c>
      <c r="F56" s="68">
        <f t="shared" si="8"/>
        <v>0</v>
      </c>
      <c r="G56" s="70">
        <f t="shared" si="9"/>
        <v>0</v>
      </c>
      <c r="H56" s="52">
        <f t="shared" si="10"/>
        <v>0</v>
      </c>
      <c r="I56" s="65">
        <f t="shared" si="1"/>
        <v>0</v>
      </c>
      <c r="J56" s="65"/>
      <c r="K56" s="130"/>
      <c r="L56" s="67">
        <f t="shared" si="6"/>
        <v>0</v>
      </c>
      <c r="M56" s="130"/>
      <c r="N56" s="67">
        <f t="shared" si="3"/>
        <v>0</v>
      </c>
      <c r="O56" s="67">
        <f t="shared" si="4"/>
        <v>0</v>
      </c>
      <c r="P56" s="4"/>
    </row>
    <row r="57" spans="2:16">
      <c r="B57" t="str">
        <f t="shared" si="0"/>
        <v/>
      </c>
      <c r="C57" s="62">
        <f>IF(D11="","-",+C56+1)</f>
        <v>2060</v>
      </c>
      <c r="D57" s="71">
        <f>IF(F56+SUM(E$17:E56)=D$10,F56,D$10-SUM(E$17:E56))</f>
        <v>0</v>
      </c>
      <c r="E57" s="69">
        <f t="shared" si="7"/>
        <v>0</v>
      </c>
      <c r="F57" s="68">
        <f t="shared" si="8"/>
        <v>0</v>
      </c>
      <c r="G57" s="70">
        <f t="shared" si="9"/>
        <v>0</v>
      </c>
      <c r="H57" s="52">
        <f t="shared" si="10"/>
        <v>0</v>
      </c>
      <c r="I57" s="65">
        <f t="shared" si="1"/>
        <v>0</v>
      </c>
      <c r="J57" s="65"/>
      <c r="K57" s="130"/>
      <c r="L57" s="67">
        <f t="shared" si="6"/>
        <v>0</v>
      </c>
      <c r="M57" s="130"/>
      <c r="N57" s="67">
        <f t="shared" si="3"/>
        <v>0</v>
      </c>
      <c r="O57" s="67">
        <f t="shared" si="4"/>
        <v>0</v>
      </c>
      <c r="P57" s="4"/>
    </row>
    <row r="58" spans="2:16">
      <c r="B58" t="str">
        <f t="shared" si="0"/>
        <v/>
      </c>
      <c r="C58" s="62">
        <f>IF(D11="","-",+C57+1)</f>
        <v>2061</v>
      </c>
      <c r="D58" s="71">
        <f>IF(F57+SUM(E$17:E57)=D$10,F57,D$10-SUM(E$17:E57))</f>
        <v>0</v>
      </c>
      <c r="E58" s="69">
        <f t="shared" si="7"/>
        <v>0</v>
      </c>
      <c r="F58" s="68">
        <f t="shared" si="8"/>
        <v>0</v>
      </c>
      <c r="G58" s="70">
        <f t="shared" si="9"/>
        <v>0</v>
      </c>
      <c r="H58" s="52">
        <f t="shared" si="10"/>
        <v>0</v>
      </c>
      <c r="I58" s="65">
        <f t="shared" si="1"/>
        <v>0</v>
      </c>
      <c r="J58" s="65"/>
      <c r="K58" s="130"/>
      <c r="L58" s="67">
        <f t="shared" si="6"/>
        <v>0</v>
      </c>
      <c r="M58" s="130"/>
      <c r="N58" s="67">
        <f t="shared" si="3"/>
        <v>0</v>
      </c>
      <c r="O58" s="67">
        <f t="shared" si="4"/>
        <v>0</v>
      </c>
      <c r="P58" s="4"/>
    </row>
    <row r="59" spans="2:16">
      <c r="B59" t="str">
        <f t="shared" si="0"/>
        <v/>
      </c>
      <c r="C59" s="62">
        <f>IF(D11="","-",+C58+1)</f>
        <v>2062</v>
      </c>
      <c r="D59" s="71">
        <f>IF(F58+SUM(E$17:E58)=D$10,F58,D$10-SUM(E$17:E58))</f>
        <v>0</v>
      </c>
      <c r="E59" s="69">
        <f t="shared" si="7"/>
        <v>0</v>
      </c>
      <c r="F59" s="68">
        <f t="shared" si="8"/>
        <v>0</v>
      </c>
      <c r="G59" s="70">
        <f t="shared" si="9"/>
        <v>0</v>
      </c>
      <c r="H59" s="52">
        <f t="shared" si="10"/>
        <v>0</v>
      </c>
      <c r="I59" s="65">
        <f t="shared" si="1"/>
        <v>0</v>
      </c>
      <c r="J59" s="65"/>
      <c r="K59" s="130"/>
      <c r="L59" s="67">
        <f t="shared" si="6"/>
        <v>0</v>
      </c>
      <c r="M59" s="130"/>
      <c r="N59" s="67">
        <f t="shared" si="3"/>
        <v>0</v>
      </c>
      <c r="O59" s="67">
        <f t="shared" si="4"/>
        <v>0</v>
      </c>
      <c r="P59" s="4"/>
    </row>
    <row r="60" spans="2:16">
      <c r="B60" t="str">
        <f t="shared" si="0"/>
        <v/>
      </c>
      <c r="C60" s="62">
        <f>IF(D11="","-",+C59+1)</f>
        <v>2063</v>
      </c>
      <c r="D60" s="71">
        <f>IF(F59+SUM(E$17:E59)=D$10,F59,D$10-SUM(E$17:E59))</f>
        <v>0</v>
      </c>
      <c r="E60" s="69">
        <f t="shared" si="7"/>
        <v>0</v>
      </c>
      <c r="F60" s="68">
        <f t="shared" si="8"/>
        <v>0</v>
      </c>
      <c r="G60" s="70">
        <f t="shared" si="9"/>
        <v>0</v>
      </c>
      <c r="H60" s="52">
        <f t="shared" si="10"/>
        <v>0</v>
      </c>
      <c r="I60" s="65">
        <f t="shared" si="1"/>
        <v>0</v>
      </c>
      <c r="J60" s="65"/>
      <c r="K60" s="130"/>
      <c r="L60" s="67">
        <f t="shared" si="6"/>
        <v>0</v>
      </c>
      <c r="M60" s="130"/>
      <c r="N60" s="67">
        <f t="shared" si="3"/>
        <v>0</v>
      </c>
      <c r="O60" s="67">
        <f t="shared" si="4"/>
        <v>0</v>
      </c>
      <c r="P60" s="4"/>
    </row>
    <row r="61" spans="2:16">
      <c r="B61" t="str">
        <f t="shared" si="0"/>
        <v/>
      </c>
      <c r="C61" s="62">
        <f>IF(D11="","-",+C60+1)</f>
        <v>2064</v>
      </c>
      <c r="D61" s="71">
        <f>IF(F60+SUM(E$17:E60)=D$10,F60,D$10-SUM(E$17:E60))</f>
        <v>0</v>
      </c>
      <c r="E61" s="69">
        <f t="shared" si="7"/>
        <v>0</v>
      </c>
      <c r="F61" s="68">
        <f t="shared" si="8"/>
        <v>0</v>
      </c>
      <c r="G61" s="72">
        <f t="shared" si="9"/>
        <v>0</v>
      </c>
      <c r="H61" s="52">
        <f t="shared" si="10"/>
        <v>0</v>
      </c>
      <c r="I61" s="65">
        <f t="shared" si="1"/>
        <v>0</v>
      </c>
      <c r="J61" s="65"/>
      <c r="K61" s="130"/>
      <c r="L61" s="67">
        <f t="shared" si="6"/>
        <v>0</v>
      </c>
      <c r="M61" s="130"/>
      <c r="N61" s="67">
        <f t="shared" si="3"/>
        <v>0</v>
      </c>
      <c r="O61" s="67">
        <f t="shared" si="4"/>
        <v>0</v>
      </c>
      <c r="P61" s="4"/>
    </row>
    <row r="62" spans="2:16">
      <c r="B62" t="str">
        <f t="shared" si="0"/>
        <v/>
      </c>
      <c r="C62" s="62">
        <f>IF(D11="","-",+C61+1)</f>
        <v>2065</v>
      </c>
      <c r="D62" s="71">
        <f>IF(F61+SUM(E$17:E61)=D$10,F61,D$10-SUM(E$17:E61))</f>
        <v>0</v>
      </c>
      <c r="E62" s="69">
        <f t="shared" si="7"/>
        <v>0</v>
      </c>
      <c r="F62" s="68">
        <f t="shared" si="8"/>
        <v>0</v>
      </c>
      <c r="G62" s="72">
        <f t="shared" si="9"/>
        <v>0</v>
      </c>
      <c r="H62" s="52">
        <f t="shared" si="10"/>
        <v>0</v>
      </c>
      <c r="I62" s="65">
        <f t="shared" si="1"/>
        <v>0</v>
      </c>
      <c r="J62" s="65"/>
      <c r="K62" s="130"/>
      <c r="L62" s="67">
        <f t="shared" si="6"/>
        <v>0</v>
      </c>
      <c r="M62" s="130"/>
      <c r="N62" s="67">
        <f t="shared" si="3"/>
        <v>0</v>
      </c>
      <c r="O62" s="67">
        <f t="shared" si="4"/>
        <v>0</v>
      </c>
      <c r="P62" s="4"/>
    </row>
    <row r="63" spans="2:16">
      <c r="B63" t="str">
        <f t="shared" si="0"/>
        <v/>
      </c>
      <c r="C63" s="62">
        <f>IF(D11="","-",+C62+1)</f>
        <v>2066</v>
      </c>
      <c r="D63" s="71">
        <f>IF(F62+SUM(E$17:E62)=D$10,F62,D$10-SUM(E$17:E62))</f>
        <v>0</v>
      </c>
      <c r="E63" s="69">
        <f t="shared" si="7"/>
        <v>0</v>
      </c>
      <c r="F63" s="68">
        <f t="shared" si="8"/>
        <v>0</v>
      </c>
      <c r="G63" s="72">
        <f t="shared" si="9"/>
        <v>0</v>
      </c>
      <c r="H63" s="52">
        <f t="shared" si="10"/>
        <v>0</v>
      </c>
      <c r="I63" s="65">
        <f t="shared" si="1"/>
        <v>0</v>
      </c>
      <c r="J63" s="65"/>
      <c r="K63" s="130"/>
      <c r="L63" s="67">
        <f t="shared" si="6"/>
        <v>0</v>
      </c>
      <c r="M63" s="130"/>
      <c r="N63" s="67">
        <f t="shared" si="3"/>
        <v>0</v>
      </c>
      <c r="O63" s="67">
        <f t="shared" si="4"/>
        <v>0</v>
      </c>
      <c r="P63" s="4"/>
    </row>
    <row r="64" spans="2:16">
      <c r="B64" t="str">
        <f t="shared" si="0"/>
        <v/>
      </c>
      <c r="C64" s="62">
        <f>IF(D11="","-",+C63+1)</f>
        <v>2067</v>
      </c>
      <c r="D64" s="71">
        <f>IF(F63+SUM(E$17:E63)=D$10,F63,D$10-SUM(E$17:E63))</f>
        <v>0</v>
      </c>
      <c r="E64" s="69">
        <f t="shared" si="7"/>
        <v>0</v>
      </c>
      <c r="F64" s="68">
        <f t="shared" si="8"/>
        <v>0</v>
      </c>
      <c r="G64" s="72">
        <f t="shared" si="9"/>
        <v>0</v>
      </c>
      <c r="H64" s="52">
        <f t="shared" si="10"/>
        <v>0</v>
      </c>
      <c r="I64" s="65">
        <f t="shared" si="1"/>
        <v>0</v>
      </c>
      <c r="J64" s="65"/>
      <c r="K64" s="130"/>
      <c r="L64" s="67">
        <f t="shared" si="6"/>
        <v>0</v>
      </c>
      <c r="M64" s="130"/>
      <c r="N64" s="67">
        <f t="shared" si="3"/>
        <v>0</v>
      </c>
      <c r="O64" s="67">
        <f t="shared" si="4"/>
        <v>0</v>
      </c>
      <c r="P64" s="4"/>
    </row>
    <row r="65" spans="2:16">
      <c r="B65" t="str">
        <f t="shared" si="0"/>
        <v/>
      </c>
      <c r="C65" s="62">
        <f>IF(D11="","-",+C64+1)</f>
        <v>2068</v>
      </c>
      <c r="D65" s="71">
        <f>IF(F64+SUM(E$17:E64)=D$10,F64,D$10-SUM(E$17:E64))</f>
        <v>0</v>
      </c>
      <c r="E65" s="69">
        <f t="shared" si="7"/>
        <v>0</v>
      </c>
      <c r="F65" s="68">
        <f t="shared" si="8"/>
        <v>0</v>
      </c>
      <c r="G65" s="72">
        <f t="shared" si="9"/>
        <v>0</v>
      </c>
      <c r="H65" s="52">
        <f t="shared" si="10"/>
        <v>0</v>
      </c>
      <c r="I65" s="65">
        <f t="shared" si="1"/>
        <v>0</v>
      </c>
      <c r="J65" s="65"/>
      <c r="K65" s="130"/>
      <c r="L65" s="67">
        <f t="shared" si="6"/>
        <v>0</v>
      </c>
      <c r="M65" s="130"/>
      <c r="N65" s="67">
        <f t="shared" si="3"/>
        <v>0</v>
      </c>
      <c r="O65" s="67">
        <f t="shared" si="4"/>
        <v>0</v>
      </c>
      <c r="P65" s="4"/>
    </row>
    <row r="66" spans="2:16">
      <c r="B66" t="str">
        <f t="shared" si="0"/>
        <v/>
      </c>
      <c r="C66" s="62">
        <f>IF(D11="","-",+C65+1)</f>
        <v>2069</v>
      </c>
      <c r="D66" s="71">
        <f>IF(F65+SUM(E$17:E65)=D$10,F65,D$10-SUM(E$17:E65))</f>
        <v>0</v>
      </c>
      <c r="E66" s="69">
        <f t="shared" si="7"/>
        <v>0</v>
      </c>
      <c r="F66" s="68">
        <f t="shared" si="8"/>
        <v>0</v>
      </c>
      <c r="G66" s="72">
        <f t="shared" si="9"/>
        <v>0</v>
      </c>
      <c r="H66" s="52">
        <f t="shared" si="10"/>
        <v>0</v>
      </c>
      <c r="I66" s="65">
        <f t="shared" si="1"/>
        <v>0</v>
      </c>
      <c r="J66" s="65"/>
      <c r="K66" s="130"/>
      <c r="L66" s="67">
        <f t="shared" si="6"/>
        <v>0</v>
      </c>
      <c r="M66" s="130"/>
      <c r="N66" s="67">
        <f t="shared" si="3"/>
        <v>0</v>
      </c>
      <c r="O66" s="67">
        <f t="shared" si="4"/>
        <v>0</v>
      </c>
      <c r="P66" s="4"/>
    </row>
    <row r="67" spans="2:16">
      <c r="B67" t="str">
        <f t="shared" si="0"/>
        <v/>
      </c>
      <c r="C67" s="62">
        <f>IF(D11="","-",+C66+1)</f>
        <v>2070</v>
      </c>
      <c r="D67" s="71">
        <f>IF(F66+SUM(E$17:E66)=D$10,F66,D$10-SUM(E$17:E66))</f>
        <v>0</v>
      </c>
      <c r="E67" s="69">
        <f t="shared" si="7"/>
        <v>0</v>
      </c>
      <c r="F67" s="68">
        <f t="shared" si="8"/>
        <v>0</v>
      </c>
      <c r="G67" s="72">
        <f t="shared" si="9"/>
        <v>0</v>
      </c>
      <c r="H67" s="52">
        <f t="shared" si="10"/>
        <v>0</v>
      </c>
      <c r="I67" s="65">
        <f t="shared" si="1"/>
        <v>0</v>
      </c>
      <c r="J67" s="65"/>
      <c r="K67" s="130"/>
      <c r="L67" s="67">
        <f t="shared" si="6"/>
        <v>0</v>
      </c>
      <c r="M67" s="130"/>
      <c r="N67" s="67">
        <f t="shared" si="3"/>
        <v>0</v>
      </c>
      <c r="O67" s="67">
        <f t="shared" si="4"/>
        <v>0</v>
      </c>
      <c r="P67" s="4"/>
    </row>
    <row r="68" spans="2:16">
      <c r="B68" t="str">
        <f t="shared" si="0"/>
        <v/>
      </c>
      <c r="C68" s="62">
        <f>IF(D11="","-",+C67+1)</f>
        <v>2071</v>
      </c>
      <c r="D68" s="71">
        <f>IF(F67+SUM(E$17:E67)=D$10,F67,D$10-SUM(E$17:E67))</f>
        <v>0</v>
      </c>
      <c r="E68" s="69">
        <f t="shared" si="7"/>
        <v>0</v>
      </c>
      <c r="F68" s="68">
        <f t="shared" si="8"/>
        <v>0</v>
      </c>
      <c r="G68" s="72">
        <f t="shared" si="9"/>
        <v>0</v>
      </c>
      <c r="H68" s="52">
        <f t="shared" si="10"/>
        <v>0</v>
      </c>
      <c r="I68" s="65">
        <f t="shared" si="1"/>
        <v>0</v>
      </c>
      <c r="J68" s="65"/>
      <c r="K68" s="130"/>
      <c r="L68" s="67">
        <f t="shared" si="6"/>
        <v>0</v>
      </c>
      <c r="M68" s="130"/>
      <c r="N68" s="67">
        <f t="shared" si="3"/>
        <v>0</v>
      </c>
      <c r="O68" s="67">
        <f t="shared" si="4"/>
        <v>0</v>
      </c>
      <c r="P68" s="4"/>
    </row>
    <row r="69" spans="2:16">
      <c r="B69" t="str">
        <f t="shared" si="0"/>
        <v/>
      </c>
      <c r="C69" s="62">
        <f>IF(D11="","-",+C68+1)</f>
        <v>2072</v>
      </c>
      <c r="D69" s="71">
        <f>IF(F68+SUM(E$17:E68)=D$10,F68,D$10-SUM(E$17:E68))</f>
        <v>0</v>
      </c>
      <c r="E69" s="69">
        <f t="shared" si="7"/>
        <v>0</v>
      </c>
      <c r="F69" s="68">
        <f t="shared" si="8"/>
        <v>0</v>
      </c>
      <c r="G69" s="72">
        <f t="shared" si="9"/>
        <v>0</v>
      </c>
      <c r="H69" s="52">
        <f t="shared" si="10"/>
        <v>0</v>
      </c>
      <c r="I69" s="65">
        <f t="shared" si="1"/>
        <v>0</v>
      </c>
      <c r="J69" s="65"/>
      <c r="K69" s="130"/>
      <c r="L69" s="67">
        <f t="shared" si="6"/>
        <v>0</v>
      </c>
      <c r="M69" s="130"/>
      <c r="N69" s="67">
        <f t="shared" si="3"/>
        <v>0</v>
      </c>
      <c r="O69" s="67">
        <f t="shared" si="4"/>
        <v>0</v>
      </c>
      <c r="P69" s="4"/>
    </row>
    <row r="70" spans="2:16">
      <c r="B70" t="str">
        <f t="shared" si="0"/>
        <v/>
      </c>
      <c r="C70" s="62">
        <f>IF(D11="","-",+C69+1)</f>
        <v>2073</v>
      </c>
      <c r="D70" s="71">
        <f>IF(F69+SUM(E$17:E69)=D$10,F69,D$10-SUM(E$17:E69))</f>
        <v>0</v>
      </c>
      <c r="E70" s="69">
        <f t="shared" si="7"/>
        <v>0</v>
      </c>
      <c r="F70" s="68">
        <f t="shared" si="8"/>
        <v>0</v>
      </c>
      <c r="G70" s="72">
        <f t="shared" si="9"/>
        <v>0</v>
      </c>
      <c r="H70" s="52">
        <f t="shared" si="10"/>
        <v>0</v>
      </c>
      <c r="I70" s="65">
        <f t="shared" si="1"/>
        <v>0</v>
      </c>
      <c r="J70" s="65"/>
      <c r="K70" s="130"/>
      <c r="L70" s="67">
        <f t="shared" si="6"/>
        <v>0</v>
      </c>
      <c r="M70" s="130"/>
      <c r="N70" s="67">
        <f t="shared" si="3"/>
        <v>0</v>
      </c>
      <c r="O70" s="67">
        <f t="shared" si="4"/>
        <v>0</v>
      </c>
      <c r="P70" s="4"/>
    </row>
    <row r="71" spans="2:16">
      <c r="B71" t="str">
        <f t="shared" si="0"/>
        <v/>
      </c>
      <c r="C71" s="62">
        <f>IF(D11="","-",+C70+1)</f>
        <v>2074</v>
      </c>
      <c r="D71" s="71">
        <f>IF(F70+SUM(E$17:E70)=D$10,F70,D$10-SUM(E$17:E70))</f>
        <v>0</v>
      </c>
      <c r="E71" s="69">
        <f t="shared" si="7"/>
        <v>0</v>
      </c>
      <c r="F71" s="68">
        <f t="shared" si="8"/>
        <v>0</v>
      </c>
      <c r="G71" s="72">
        <f t="shared" si="9"/>
        <v>0</v>
      </c>
      <c r="H71" s="52">
        <f t="shared" si="10"/>
        <v>0</v>
      </c>
      <c r="I71" s="65">
        <f t="shared" si="1"/>
        <v>0</v>
      </c>
      <c r="J71" s="65"/>
      <c r="K71" s="130"/>
      <c r="L71" s="67">
        <f t="shared" si="6"/>
        <v>0</v>
      </c>
      <c r="M71" s="130"/>
      <c r="N71" s="67">
        <f t="shared" si="3"/>
        <v>0</v>
      </c>
      <c r="O71" s="67">
        <f t="shared" si="4"/>
        <v>0</v>
      </c>
      <c r="P71" s="4"/>
    </row>
    <row r="72" spans="2:16">
      <c r="C72" s="62">
        <f>IF(D12="","-",+C71+1)</f>
        <v>2075</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2076</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3721365.5300000003</v>
      </c>
      <c r="F74" s="19"/>
      <c r="G74" s="19">
        <f>SUM(G17:G73)</f>
        <v>10295640.415261868</v>
      </c>
      <c r="H74" s="19">
        <f>SUM(H17:H73)</f>
        <v>10295640.415261868</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20 of 24</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2021</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541054.66812252079</v>
      </c>
      <c r="N88" s="83">
        <f>IF(J93&lt;D11,0,VLOOKUP(J93,C17:O73,11))</f>
        <v>541054.66812252079</v>
      </c>
      <c r="O88" s="84">
        <f>+N88-M88</f>
        <v>0</v>
      </c>
      <c r="P88" s="1"/>
    </row>
    <row r="89" spans="1:16" ht="15.75">
      <c r="C89" s="8"/>
      <c r="D89" s="2"/>
      <c r="E89" s="1"/>
      <c r="F89" s="1"/>
      <c r="G89" s="1"/>
      <c r="H89" s="1"/>
      <c r="I89" s="26"/>
      <c r="J89" s="26"/>
      <c r="K89" s="124"/>
      <c r="L89" s="125" t="s">
        <v>254</v>
      </c>
      <c r="M89" s="85">
        <f>IF(J93&lt;D11,0,VLOOKUP(J93,C100:P155,6))</f>
        <v>554268.97375299619</v>
      </c>
      <c r="N89" s="85">
        <f>IF(J93&lt;D11,0,VLOOKUP(J93,C100:P155,7))</f>
        <v>554268.97375299619</v>
      </c>
      <c r="O89" s="86">
        <f>+N89-M89</f>
        <v>0</v>
      </c>
      <c r="P89" s="1"/>
    </row>
    <row r="90" spans="1:16" ht="13.5" thickBot="1">
      <c r="C90" s="31" t="s">
        <v>82</v>
      </c>
      <c r="D90" s="113" t="str">
        <f>+D7</f>
        <v>Keystone Dam - Wekiwa 138 kV</v>
      </c>
      <c r="E90" s="1"/>
      <c r="F90" s="1"/>
      <c r="G90" s="1"/>
      <c r="H90" s="1"/>
      <c r="I90" s="3"/>
      <c r="J90" s="3"/>
      <c r="K90" s="126"/>
      <c r="L90" s="127" t="s">
        <v>135</v>
      </c>
      <c r="M90" s="88">
        <f>+M89-M88</f>
        <v>13214.305630475399</v>
      </c>
      <c r="N90" s="88">
        <f>+N89-N88</f>
        <v>13214.305630475399</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TP2015118</v>
      </c>
      <c r="E92" s="91"/>
      <c r="F92" s="91"/>
      <c r="G92" s="91"/>
      <c r="H92" s="91"/>
      <c r="I92" s="91"/>
      <c r="J92" s="91"/>
      <c r="K92" s="92"/>
      <c r="P92" s="41"/>
    </row>
    <row r="93" spans="1:16">
      <c r="C93" s="46" t="s">
        <v>49</v>
      </c>
      <c r="D93" s="653">
        <v>3608350</v>
      </c>
      <c r="E93" s="9" t="s">
        <v>84</v>
      </c>
      <c r="H93" s="44"/>
      <c r="I93" s="44"/>
      <c r="J93" s="45">
        <f>+'OKT.WS.G.BPU.ATRR.True-up'!M16</f>
        <v>2021</v>
      </c>
      <c r="K93" s="40"/>
      <c r="L93" s="19" t="s">
        <v>85</v>
      </c>
      <c r="P93" s="4"/>
    </row>
    <row r="94" spans="1:16">
      <c r="C94" s="46" t="s">
        <v>52</v>
      </c>
      <c r="D94" s="102">
        <f>IF(D11="","",D11)</f>
        <v>2020</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6</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5" thickBot="1">
      <c r="C97" s="46" t="s">
        <v>60</v>
      </c>
      <c r="D97" s="103" t="str">
        <f>+D14</f>
        <v>No</v>
      </c>
      <c r="E97" s="87" t="s">
        <v>62</v>
      </c>
      <c r="F97" s="93"/>
      <c r="G97" s="93"/>
      <c r="H97" s="94"/>
      <c r="I97" s="94"/>
      <c r="J97" s="34">
        <f>IF(D93=0,0,D93/D96)</f>
        <v>144334</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1">IF(D100=F99,"","IU")</f>
        <v>IU</v>
      </c>
      <c r="C100" s="62">
        <f>IF(D94= "","-",D94)</f>
        <v>2020</v>
      </c>
      <c r="D100" s="654">
        <v>0</v>
      </c>
      <c r="E100" s="498">
        <v>61039.07142857142</v>
      </c>
      <c r="F100" s="655">
        <v>3357148.9285714286</v>
      </c>
      <c r="G100" s="655">
        <v>1678574.4642857143</v>
      </c>
      <c r="H100" s="655">
        <v>239662.05345541207</v>
      </c>
      <c r="I100" s="499">
        <v>239662.05345541207</v>
      </c>
      <c r="J100" s="67">
        <f t="shared" ref="J100:J131" si="12">+I100-H100</f>
        <v>0</v>
      </c>
      <c r="K100" s="67"/>
      <c r="L100" s="506">
        <f>+H100</f>
        <v>239662.05345541207</v>
      </c>
      <c r="M100" s="652">
        <f t="shared" ref="M100" si="13">IF(L100&lt;&gt;0,+H100-L100,0)</f>
        <v>0</v>
      </c>
      <c r="N100" s="506">
        <f>+I100</f>
        <v>239662.05345541207</v>
      </c>
      <c r="O100" s="66">
        <f t="shared" ref="O100:O131" si="14">IF(N100&lt;&gt;0,+I100-N100,0)</f>
        <v>0</v>
      </c>
      <c r="P100" s="66">
        <f t="shared" ref="P100:P131" si="15">+O100-M100</f>
        <v>0</v>
      </c>
    </row>
    <row r="101" spans="1:16">
      <c r="B101" t="str">
        <f t="shared" si="11"/>
        <v>IU</v>
      </c>
      <c r="C101" s="62">
        <f>IF(D94="","-",+C100+1)</f>
        <v>2021</v>
      </c>
      <c r="D101" s="647">
        <f>IF(F100+SUM(E$100:E100)=D$93,F100,D$93-SUM(E$100:E100))</f>
        <v>3547310.9285714286</v>
      </c>
      <c r="E101" s="509">
        <f t="shared" ref="E101:E155" si="16">IF(+J$97&lt;F100,J$97,D101)</f>
        <v>144334</v>
      </c>
      <c r="F101" s="648">
        <f t="shared" ref="F101:F155" si="17">+D101-E101</f>
        <v>3402976.9285714286</v>
      </c>
      <c r="G101" s="648">
        <f t="shared" ref="G101:G155" si="18">+(F101+D101)/2</f>
        <v>3475143.9285714286</v>
      </c>
      <c r="H101" s="649">
        <f t="shared" ref="H101:H155" si="19">(D101+F101)/2*J$95+E101</f>
        <v>554268.97375299619</v>
      </c>
      <c r="I101" s="628">
        <f t="shared" ref="I101:I155" si="20">+J$96*G101+E101</f>
        <v>554268.97375299619</v>
      </c>
      <c r="J101" s="67">
        <f t="shared" si="12"/>
        <v>0</v>
      </c>
      <c r="K101" s="67"/>
      <c r="L101" s="130"/>
      <c r="M101" s="67">
        <f t="shared" ref="M101:M131" si="21">IF(L101&lt;&gt;0,+H101-L101,0)</f>
        <v>0</v>
      </c>
      <c r="N101" s="130"/>
      <c r="O101" s="67">
        <f t="shared" si="14"/>
        <v>0</v>
      </c>
      <c r="P101" s="67">
        <f t="shared" si="15"/>
        <v>0</v>
      </c>
    </row>
    <row r="102" spans="1:16">
      <c r="B102" t="str">
        <f t="shared" si="11"/>
        <v/>
      </c>
      <c r="C102" s="62">
        <f>IF(D94="","-",+C101+1)</f>
        <v>2022</v>
      </c>
      <c r="D102" s="647">
        <f>IF(F101+SUM(E$100:E101)=D$93,F101,D$93-SUM(E$100:E101))</f>
        <v>3402976.9285714286</v>
      </c>
      <c r="E102" s="509">
        <f t="shared" si="16"/>
        <v>144334</v>
      </c>
      <c r="F102" s="648">
        <f t="shared" si="17"/>
        <v>3258642.9285714286</v>
      </c>
      <c r="G102" s="648">
        <f t="shared" si="18"/>
        <v>3330809.9285714286</v>
      </c>
      <c r="H102" s="649">
        <f t="shared" si="19"/>
        <v>537243.0445489682</v>
      </c>
      <c r="I102" s="628">
        <f t="shared" si="20"/>
        <v>537243.0445489682</v>
      </c>
      <c r="J102" s="67">
        <f t="shared" si="12"/>
        <v>0</v>
      </c>
      <c r="K102" s="67"/>
      <c r="L102" s="130"/>
      <c r="M102" s="67">
        <f t="shared" si="21"/>
        <v>0</v>
      </c>
      <c r="N102" s="130"/>
      <c r="O102" s="67">
        <f t="shared" si="14"/>
        <v>0</v>
      </c>
      <c r="P102" s="67">
        <f t="shared" si="15"/>
        <v>0</v>
      </c>
    </row>
    <row r="103" spans="1:16">
      <c r="B103" t="str">
        <f t="shared" si="11"/>
        <v/>
      </c>
      <c r="C103" s="62">
        <f>IF(D94="","-",+C102+1)</f>
        <v>2023</v>
      </c>
      <c r="D103" s="647">
        <f>IF(F102+SUM(E$100:E102)=D$93,F102,D$93-SUM(E$100:E102))</f>
        <v>3258642.9285714286</v>
      </c>
      <c r="E103" s="509">
        <f t="shared" si="16"/>
        <v>144334</v>
      </c>
      <c r="F103" s="648">
        <f t="shared" si="17"/>
        <v>3114308.9285714286</v>
      </c>
      <c r="G103" s="648">
        <f t="shared" si="18"/>
        <v>3186475.9285714286</v>
      </c>
      <c r="H103" s="649">
        <f t="shared" si="19"/>
        <v>520217.11534494022</v>
      </c>
      <c r="I103" s="628">
        <f t="shared" si="20"/>
        <v>520217.11534494022</v>
      </c>
      <c r="J103" s="67">
        <f t="shared" si="12"/>
        <v>0</v>
      </c>
      <c r="K103" s="67"/>
      <c r="L103" s="130"/>
      <c r="M103" s="67">
        <f t="shared" si="21"/>
        <v>0</v>
      </c>
      <c r="N103" s="130"/>
      <c r="O103" s="67">
        <f t="shared" si="14"/>
        <v>0</v>
      </c>
      <c r="P103" s="67">
        <f t="shared" si="15"/>
        <v>0</v>
      </c>
    </row>
    <row r="104" spans="1:16">
      <c r="B104" t="str">
        <f t="shared" si="11"/>
        <v/>
      </c>
      <c r="C104" s="62">
        <f>IF(D94="","-",+C103+1)</f>
        <v>2024</v>
      </c>
      <c r="D104" s="647">
        <f>IF(F103+SUM(E$100:E103)=D$93,F103,D$93-SUM(E$100:E103))</f>
        <v>3114308.9285714286</v>
      </c>
      <c r="E104" s="509">
        <f t="shared" si="16"/>
        <v>144334</v>
      </c>
      <c r="F104" s="648">
        <f t="shared" si="17"/>
        <v>2969974.9285714286</v>
      </c>
      <c r="G104" s="648">
        <f t="shared" si="18"/>
        <v>3042141.9285714286</v>
      </c>
      <c r="H104" s="649">
        <f t="shared" si="19"/>
        <v>503191.18614091218</v>
      </c>
      <c r="I104" s="628">
        <f t="shared" si="20"/>
        <v>503191.18614091218</v>
      </c>
      <c r="J104" s="67">
        <f t="shared" si="12"/>
        <v>0</v>
      </c>
      <c r="K104" s="67"/>
      <c r="L104" s="130"/>
      <c r="M104" s="67">
        <f t="shared" si="21"/>
        <v>0</v>
      </c>
      <c r="N104" s="130"/>
      <c r="O104" s="67">
        <f t="shared" si="14"/>
        <v>0</v>
      </c>
      <c r="P104" s="67">
        <f t="shared" si="15"/>
        <v>0</v>
      </c>
    </row>
    <row r="105" spans="1:16">
      <c r="B105" t="str">
        <f t="shared" si="11"/>
        <v/>
      </c>
      <c r="C105" s="62">
        <f>IF(D94="","-",+C104+1)</f>
        <v>2025</v>
      </c>
      <c r="D105" s="647">
        <f>IF(F104+SUM(E$100:E104)=D$93,F104,D$93-SUM(E$100:E104))</f>
        <v>2969974.9285714286</v>
      </c>
      <c r="E105" s="509">
        <f t="shared" si="16"/>
        <v>144334</v>
      </c>
      <c r="F105" s="648">
        <f t="shared" si="17"/>
        <v>2825640.9285714286</v>
      </c>
      <c r="G105" s="648">
        <f t="shared" si="18"/>
        <v>2897807.9285714286</v>
      </c>
      <c r="H105" s="649">
        <f t="shared" si="19"/>
        <v>486165.25693688414</v>
      </c>
      <c r="I105" s="628">
        <f t="shared" si="20"/>
        <v>486165.25693688414</v>
      </c>
      <c r="J105" s="67">
        <f t="shared" si="12"/>
        <v>0</v>
      </c>
      <c r="K105" s="67"/>
      <c r="L105" s="130"/>
      <c r="M105" s="67">
        <f t="shared" si="21"/>
        <v>0</v>
      </c>
      <c r="N105" s="130"/>
      <c r="O105" s="67">
        <f t="shared" si="14"/>
        <v>0</v>
      </c>
      <c r="P105" s="67">
        <f t="shared" si="15"/>
        <v>0</v>
      </c>
    </row>
    <row r="106" spans="1:16">
      <c r="B106" t="str">
        <f t="shared" si="11"/>
        <v/>
      </c>
      <c r="C106" s="62">
        <f>IF(D94="","-",+C105+1)</f>
        <v>2026</v>
      </c>
      <c r="D106" s="647">
        <f>IF(F105+SUM(E$100:E105)=D$93,F105,D$93-SUM(E$100:E105))</f>
        <v>2825640.9285714286</v>
      </c>
      <c r="E106" s="509">
        <f t="shared" si="16"/>
        <v>144334</v>
      </c>
      <c r="F106" s="648">
        <f t="shared" si="17"/>
        <v>2681306.9285714286</v>
      </c>
      <c r="G106" s="648">
        <f t="shared" si="18"/>
        <v>2753473.9285714286</v>
      </c>
      <c r="H106" s="649">
        <f t="shared" si="19"/>
        <v>469139.32773285615</v>
      </c>
      <c r="I106" s="628">
        <f t="shared" si="20"/>
        <v>469139.32773285615</v>
      </c>
      <c r="J106" s="67">
        <f t="shared" si="12"/>
        <v>0</v>
      </c>
      <c r="K106" s="67"/>
      <c r="L106" s="130"/>
      <c r="M106" s="67">
        <f t="shared" si="21"/>
        <v>0</v>
      </c>
      <c r="N106" s="130"/>
      <c r="O106" s="67">
        <f t="shared" si="14"/>
        <v>0</v>
      </c>
      <c r="P106" s="67">
        <f t="shared" si="15"/>
        <v>0</v>
      </c>
    </row>
    <row r="107" spans="1:16">
      <c r="B107" t="str">
        <f t="shared" si="11"/>
        <v/>
      </c>
      <c r="C107" s="62">
        <f>IF(D94="","-",+C106+1)</f>
        <v>2027</v>
      </c>
      <c r="D107" s="647">
        <f>IF(F106+SUM(E$100:E106)=D$93,F106,D$93-SUM(E$100:E106))</f>
        <v>2681306.9285714286</v>
      </c>
      <c r="E107" s="509">
        <f t="shared" si="16"/>
        <v>144334</v>
      </c>
      <c r="F107" s="648">
        <f t="shared" si="17"/>
        <v>2536972.9285714286</v>
      </c>
      <c r="G107" s="648">
        <f t="shared" si="18"/>
        <v>2609139.9285714286</v>
      </c>
      <c r="H107" s="649">
        <f t="shared" si="19"/>
        <v>452113.39852882811</v>
      </c>
      <c r="I107" s="628">
        <f t="shared" si="20"/>
        <v>452113.39852882811</v>
      </c>
      <c r="J107" s="67">
        <f t="shared" si="12"/>
        <v>0</v>
      </c>
      <c r="K107" s="67"/>
      <c r="L107" s="130"/>
      <c r="M107" s="67">
        <f t="shared" si="21"/>
        <v>0</v>
      </c>
      <c r="N107" s="130"/>
      <c r="O107" s="67">
        <f t="shared" si="14"/>
        <v>0</v>
      </c>
      <c r="P107" s="67">
        <f t="shared" si="15"/>
        <v>0</v>
      </c>
    </row>
    <row r="108" spans="1:16">
      <c r="B108" t="str">
        <f t="shared" si="11"/>
        <v/>
      </c>
      <c r="C108" s="62">
        <f>IF(D94="","-",+C107+1)</f>
        <v>2028</v>
      </c>
      <c r="D108" s="647">
        <f>IF(F107+SUM(E$100:E107)=D$93,F107,D$93-SUM(E$100:E107))</f>
        <v>2536972.9285714286</v>
      </c>
      <c r="E108" s="509">
        <f t="shared" si="16"/>
        <v>144334</v>
      </c>
      <c r="F108" s="648">
        <f t="shared" si="17"/>
        <v>2392638.9285714286</v>
      </c>
      <c r="G108" s="648">
        <f t="shared" si="18"/>
        <v>2464805.9285714286</v>
      </c>
      <c r="H108" s="649">
        <f t="shared" si="19"/>
        <v>435087.46932480007</v>
      </c>
      <c r="I108" s="628">
        <f t="shared" si="20"/>
        <v>435087.46932480007</v>
      </c>
      <c r="J108" s="67">
        <f t="shared" si="12"/>
        <v>0</v>
      </c>
      <c r="K108" s="67"/>
      <c r="L108" s="130"/>
      <c r="M108" s="67">
        <f t="shared" si="21"/>
        <v>0</v>
      </c>
      <c r="N108" s="130"/>
      <c r="O108" s="67">
        <f t="shared" si="14"/>
        <v>0</v>
      </c>
      <c r="P108" s="67">
        <f t="shared" si="15"/>
        <v>0</v>
      </c>
    </row>
    <row r="109" spans="1:16">
      <c r="B109" t="str">
        <f t="shared" si="11"/>
        <v/>
      </c>
      <c r="C109" s="62">
        <f>IF(D94="","-",+C108+1)</f>
        <v>2029</v>
      </c>
      <c r="D109" s="647">
        <f>IF(F108+SUM(E$100:E108)=D$93,F108,D$93-SUM(E$100:E108))</f>
        <v>2392638.9285714286</v>
      </c>
      <c r="E109" s="509">
        <f t="shared" si="16"/>
        <v>144334</v>
      </c>
      <c r="F109" s="648">
        <f t="shared" si="17"/>
        <v>2248304.9285714286</v>
      </c>
      <c r="G109" s="648">
        <f t="shared" si="18"/>
        <v>2320471.9285714286</v>
      </c>
      <c r="H109" s="649">
        <f t="shared" si="19"/>
        <v>418061.54012077209</v>
      </c>
      <c r="I109" s="628">
        <f t="shared" si="20"/>
        <v>418061.54012077209</v>
      </c>
      <c r="J109" s="67">
        <f t="shared" si="12"/>
        <v>0</v>
      </c>
      <c r="K109" s="67"/>
      <c r="L109" s="130"/>
      <c r="M109" s="67">
        <f t="shared" si="21"/>
        <v>0</v>
      </c>
      <c r="N109" s="130"/>
      <c r="O109" s="67">
        <f t="shared" si="14"/>
        <v>0</v>
      </c>
      <c r="P109" s="67">
        <f t="shared" si="15"/>
        <v>0</v>
      </c>
    </row>
    <row r="110" spans="1:16">
      <c r="B110" t="str">
        <f t="shared" si="11"/>
        <v/>
      </c>
      <c r="C110" s="62">
        <f>IF(D94="","-",+C109+1)</f>
        <v>2030</v>
      </c>
      <c r="D110" s="647">
        <f>IF(F109+SUM(E$100:E109)=D$93,F109,D$93-SUM(E$100:E109))</f>
        <v>2248304.9285714286</v>
      </c>
      <c r="E110" s="509">
        <f t="shared" si="16"/>
        <v>144334</v>
      </c>
      <c r="F110" s="648">
        <f t="shared" si="17"/>
        <v>2103970.9285714286</v>
      </c>
      <c r="G110" s="648">
        <f t="shared" si="18"/>
        <v>2176137.9285714286</v>
      </c>
      <c r="H110" s="649">
        <f t="shared" si="19"/>
        <v>401035.61091674404</v>
      </c>
      <c r="I110" s="628">
        <f t="shared" si="20"/>
        <v>401035.61091674404</v>
      </c>
      <c r="J110" s="67">
        <f t="shared" si="12"/>
        <v>0</v>
      </c>
      <c r="K110" s="67"/>
      <c r="L110" s="130"/>
      <c r="M110" s="67">
        <f t="shared" si="21"/>
        <v>0</v>
      </c>
      <c r="N110" s="130"/>
      <c r="O110" s="67">
        <f t="shared" si="14"/>
        <v>0</v>
      </c>
      <c r="P110" s="67">
        <f t="shared" si="15"/>
        <v>0</v>
      </c>
    </row>
    <row r="111" spans="1:16">
      <c r="B111" t="str">
        <f t="shared" si="11"/>
        <v/>
      </c>
      <c r="C111" s="62">
        <f>IF(D94="","-",+C110+1)</f>
        <v>2031</v>
      </c>
      <c r="D111" s="647">
        <f>IF(F110+SUM(E$100:E110)=D$93,F110,D$93-SUM(E$100:E110))</f>
        <v>2103970.9285714286</v>
      </c>
      <c r="E111" s="509">
        <f t="shared" si="16"/>
        <v>144334</v>
      </c>
      <c r="F111" s="648">
        <f t="shared" si="17"/>
        <v>1959636.9285714286</v>
      </c>
      <c r="G111" s="648">
        <f t="shared" si="18"/>
        <v>2031803.9285714286</v>
      </c>
      <c r="H111" s="649">
        <f t="shared" si="19"/>
        <v>384009.681712716</v>
      </c>
      <c r="I111" s="628">
        <f t="shared" si="20"/>
        <v>384009.681712716</v>
      </c>
      <c r="J111" s="67">
        <f t="shared" si="12"/>
        <v>0</v>
      </c>
      <c r="K111" s="67"/>
      <c r="L111" s="130"/>
      <c r="M111" s="67">
        <f t="shared" si="21"/>
        <v>0</v>
      </c>
      <c r="N111" s="130"/>
      <c r="O111" s="67">
        <f t="shared" si="14"/>
        <v>0</v>
      </c>
      <c r="P111" s="67">
        <f t="shared" si="15"/>
        <v>0</v>
      </c>
    </row>
    <row r="112" spans="1:16">
      <c r="B112" t="str">
        <f t="shared" si="11"/>
        <v/>
      </c>
      <c r="C112" s="62">
        <f>IF(D94="","-",+C111+1)</f>
        <v>2032</v>
      </c>
      <c r="D112" s="647">
        <f>IF(F111+SUM(E$100:E111)=D$93,F111,D$93-SUM(E$100:E111))</f>
        <v>1959636.9285714286</v>
      </c>
      <c r="E112" s="509">
        <f t="shared" si="16"/>
        <v>144334</v>
      </c>
      <c r="F112" s="648">
        <f t="shared" si="17"/>
        <v>1815302.9285714286</v>
      </c>
      <c r="G112" s="648">
        <f t="shared" si="18"/>
        <v>1887469.9285714286</v>
      </c>
      <c r="H112" s="649">
        <f t="shared" si="19"/>
        <v>366983.75250868802</v>
      </c>
      <c r="I112" s="628">
        <f t="shared" si="20"/>
        <v>366983.75250868802</v>
      </c>
      <c r="J112" s="67">
        <f t="shared" si="12"/>
        <v>0</v>
      </c>
      <c r="K112" s="67"/>
      <c r="L112" s="130"/>
      <c r="M112" s="67">
        <f t="shared" si="21"/>
        <v>0</v>
      </c>
      <c r="N112" s="130"/>
      <c r="O112" s="67">
        <f t="shared" si="14"/>
        <v>0</v>
      </c>
      <c r="P112" s="67">
        <f t="shared" si="15"/>
        <v>0</v>
      </c>
    </row>
    <row r="113" spans="2:16">
      <c r="B113" t="str">
        <f t="shared" si="11"/>
        <v/>
      </c>
      <c r="C113" s="62">
        <f>IF(D94="","-",+C112+1)</f>
        <v>2033</v>
      </c>
      <c r="D113" s="647">
        <f>IF(F112+SUM(E$100:E112)=D$93,F112,D$93-SUM(E$100:E112))</f>
        <v>1815302.9285714286</v>
      </c>
      <c r="E113" s="509">
        <f t="shared" si="16"/>
        <v>144334</v>
      </c>
      <c r="F113" s="648">
        <f t="shared" si="17"/>
        <v>1670968.9285714286</v>
      </c>
      <c r="G113" s="648">
        <f t="shared" si="18"/>
        <v>1743135.9285714286</v>
      </c>
      <c r="H113" s="649">
        <f t="shared" si="19"/>
        <v>349957.82330465998</v>
      </c>
      <c r="I113" s="628">
        <f t="shared" si="20"/>
        <v>349957.82330465998</v>
      </c>
      <c r="J113" s="67">
        <f t="shared" si="12"/>
        <v>0</v>
      </c>
      <c r="K113" s="67"/>
      <c r="L113" s="130"/>
      <c r="M113" s="67">
        <f t="shared" si="21"/>
        <v>0</v>
      </c>
      <c r="N113" s="130"/>
      <c r="O113" s="67">
        <f t="shared" si="14"/>
        <v>0</v>
      </c>
      <c r="P113" s="67">
        <f t="shared" si="15"/>
        <v>0</v>
      </c>
    </row>
    <row r="114" spans="2:16">
      <c r="B114" t="str">
        <f t="shared" si="11"/>
        <v/>
      </c>
      <c r="C114" s="62">
        <f>IF(D94="","-",+C113+1)</f>
        <v>2034</v>
      </c>
      <c r="D114" s="647">
        <f>IF(F113+SUM(E$100:E113)=D$93,F113,D$93-SUM(E$100:E113))</f>
        <v>1670968.9285714286</v>
      </c>
      <c r="E114" s="509">
        <f t="shared" si="16"/>
        <v>144334</v>
      </c>
      <c r="F114" s="648">
        <f t="shared" si="17"/>
        <v>1526634.9285714286</v>
      </c>
      <c r="G114" s="648">
        <f t="shared" si="18"/>
        <v>1598801.9285714286</v>
      </c>
      <c r="H114" s="649">
        <f t="shared" si="19"/>
        <v>332931.89410063194</v>
      </c>
      <c r="I114" s="628">
        <f t="shared" si="20"/>
        <v>332931.89410063194</v>
      </c>
      <c r="J114" s="67">
        <f t="shared" si="12"/>
        <v>0</v>
      </c>
      <c r="K114" s="67"/>
      <c r="L114" s="130"/>
      <c r="M114" s="67">
        <f t="shared" si="21"/>
        <v>0</v>
      </c>
      <c r="N114" s="130"/>
      <c r="O114" s="67">
        <f t="shared" si="14"/>
        <v>0</v>
      </c>
      <c r="P114" s="67">
        <f t="shared" si="15"/>
        <v>0</v>
      </c>
    </row>
    <row r="115" spans="2:16">
      <c r="B115" t="str">
        <f t="shared" si="11"/>
        <v/>
      </c>
      <c r="C115" s="62">
        <f>IF(D94="","-",+C114+1)</f>
        <v>2035</v>
      </c>
      <c r="D115" s="647">
        <f>IF(F114+SUM(E$100:E114)=D$93,F114,D$93-SUM(E$100:E114))</f>
        <v>1526634.9285714286</v>
      </c>
      <c r="E115" s="509">
        <f t="shared" si="16"/>
        <v>144334</v>
      </c>
      <c r="F115" s="648">
        <f t="shared" si="17"/>
        <v>1382300.9285714286</v>
      </c>
      <c r="G115" s="648">
        <f t="shared" si="18"/>
        <v>1454467.9285714286</v>
      </c>
      <c r="H115" s="649">
        <f t="shared" si="19"/>
        <v>315905.96489660395</v>
      </c>
      <c r="I115" s="628">
        <f t="shared" si="20"/>
        <v>315905.96489660395</v>
      </c>
      <c r="J115" s="67">
        <f t="shared" si="12"/>
        <v>0</v>
      </c>
      <c r="K115" s="67"/>
      <c r="L115" s="130"/>
      <c r="M115" s="67">
        <f t="shared" si="21"/>
        <v>0</v>
      </c>
      <c r="N115" s="130"/>
      <c r="O115" s="67">
        <f t="shared" si="14"/>
        <v>0</v>
      </c>
      <c r="P115" s="67">
        <f t="shared" si="15"/>
        <v>0</v>
      </c>
    </row>
    <row r="116" spans="2:16">
      <c r="B116" t="str">
        <f t="shared" si="11"/>
        <v/>
      </c>
      <c r="C116" s="62">
        <f>IF(D94="","-",+C115+1)</f>
        <v>2036</v>
      </c>
      <c r="D116" s="647">
        <f>IF(F115+SUM(E$100:E115)=D$93,F115,D$93-SUM(E$100:E115))</f>
        <v>1382300.9285714286</v>
      </c>
      <c r="E116" s="509">
        <f t="shared" si="16"/>
        <v>144334</v>
      </c>
      <c r="F116" s="648">
        <f t="shared" si="17"/>
        <v>1237966.9285714286</v>
      </c>
      <c r="G116" s="648">
        <f t="shared" si="18"/>
        <v>1310133.9285714286</v>
      </c>
      <c r="H116" s="649">
        <f t="shared" si="19"/>
        <v>298880.03569257591</v>
      </c>
      <c r="I116" s="628">
        <f t="shared" si="20"/>
        <v>298880.03569257591</v>
      </c>
      <c r="J116" s="67">
        <f t="shared" si="12"/>
        <v>0</v>
      </c>
      <c r="K116" s="67"/>
      <c r="L116" s="130"/>
      <c r="M116" s="67">
        <f t="shared" si="21"/>
        <v>0</v>
      </c>
      <c r="N116" s="130"/>
      <c r="O116" s="67">
        <f t="shared" si="14"/>
        <v>0</v>
      </c>
      <c r="P116" s="67">
        <f t="shared" si="15"/>
        <v>0</v>
      </c>
    </row>
    <row r="117" spans="2:16">
      <c r="B117" t="str">
        <f t="shared" si="11"/>
        <v/>
      </c>
      <c r="C117" s="62">
        <f>IF(D94="","-",+C116+1)</f>
        <v>2037</v>
      </c>
      <c r="D117" s="647">
        <f>IF(F116+SUM(E$100:E116)=D$93,F116,D$93-SUM(E$100:E116))</f>
        <v>1237966.9285714286</v>
      </c>
      <c r="E117" s="509">
        <f t="shared" si="16"/>
        <v>144334</v>
      </c>
      <c r="F117" s="648">
        <f t="shared" si="17"/>
        <v>1093632.9285714286</v>
      </c>
      <c r="G117" s="648">
        <f t="shared" si="18"/>
        <v>1165799.9285714286</v>
      </c>
      <c r="H117" s="649">
        <f t="shared" si="19"/>
        <v>281854.10648854787</v>
      </c>
      <c r="I117" s="628">
        <f t="shared" si="20"/>
        <v>281854.10648854787</v>
      </c>
      <c r="J117" s="67">
        <f t="shared" si="12"/>
        <v>0</v>
      </c>
      <c r="K117" s="67"/>
      <c r="L117" s="130"/>
      <c r="M117" s="67">
        <f t="shared" si="21"/>
        <v>0</v>
      </c>
      <c r="N117" s="130"/>
      <c r="O117" s="67">
        <f t="shared" si="14"/>
        <v>0</v>
      </c>
      <c r="P117" s="67">
        <f t="shared" si="15"/>
        <v>0</v>
      </c>
    </row>
    <row r="118" spans="2:16">
      <c r="B118" t="str">
        <f t="shared" si="11"/>
        <v/>
      </c>
      <c r="C118" s="62">
        <f>IF(D94="","-",+C117+1)</f>
        <v>2038</v>
      </c>
      <c r="D118" s="647">
        <f>IF(F117+SUM(E$100:E117)=D$93,F117,D$93-SUM(E$100:E117))</f>
        <v>1093632.9285714286</v>
      </c>
      <c r="E118" s="509">
        <f t="shared" si="16"/>
        <v>144334</v>
      </c>
      <c r="F118" s="648">
        <f t="shared" si="17"/>
        <v>949298.92857142864</v>
      </c>
      <c r="G118" s="648">
        <f t="shared" si="18"/>
        <v>1021465.9285714286</v>
      </c>
      <c r="H118" s="649">
        <f t="shared" si="19"/>
        <v>264828.17728451989</v>
      </c>
      <c r="I118" s="628">
        <f t="shared" si="20"/>
        <v>264828.17728451989</v>
      </c>
      <c r="J118" s="67">
        <f t="shared" si="12"/>
        <v>0</v>
      </c>
      <c r="K118" s="67"/>
      <c r="L118" s="130"/>
      <c r="M118" s="67">
        <f t="shared" si="21"/>
        <v>0</v>
      </c>
      <c r="N118" s="130"/>
      <c r="O118" s="67">
        <f t="shared" si="14"/>
        <v>0</v>
      </c>
      <c r="P118" s="67">
        <f t="shared" si="15"/>
        <v>0</v>
      </c>
    </row>
    <row r="119" spans="2:16">
      <c r="B119" t="str">
        <f t="shared" si="11"/>
        <v/>
      </c>
      <c r="C119" s="62">
        <f>IF(D94="","-",+C118+1)</f>
        <v>2039</v>
      </c>
      <c r="D119" s="647">
        <f>IF(F118+SUM(E$100:E118)=D$93,F118,D$93-SUM(E$100:E118))</f>
        <v>949298.92857142864</v>
      </c>
      <c r="E119" s="509">
        <f t="shared" si="16"/>
        <v>144334</v>
      </c>
      <c r="F119" s="648">
        <f t="shared" si="17"/>
        <v>804964.92857142864</v>
      </c>
      <c r="G119" s="648">
        <f t="shared" si="18"/>
        <v>877131.92857142864</v>
      </c>
      <c r="H119" s="649">
        <f t="shared" si="19"/>
        <v>247802.24808049185</v>
      </c>
      <c r="I119" s="628">
        <f t="shared" si="20"/>
        <v>247802.24808049185</v>
      </c>
      <c r="J119" s="67">
        <f t="shared" si="12"/>
        <v>0</v>
      </c>
      <c r="K119" s="67"/>
      <c r="L119" s="130"/>
      <c r="M119" s="67">
        <f t="shared" si="21"/>
        <v>0</v>
      </c>
      <c r="N119" s="130"/>
      <c r="O119" s="67">
        <f t="shared" si="14"/>
        <v>0</v>
      </c>
      <c r="P119" s="67">
        <f t="shared" si="15"/>
        <v>0</v>
      </c>
    </row>
    <row r="120" spans="2:16">
      <c r="B120" t="str">
        <f t="shared" si="11"/>
        <v/>
      </c>
      <c r="C120" s="62">
        <f>IF(D94="","-",+C119+1)</f>
        <v>2040</v>
      </c>
      <c r="D120" s="647">
        <f>IF(F119+SUM(E$100:E119)=D$93,F119,D$93-SUM(E$100:E119))</f>
        <v>804964.92857142864</v>
      </c>
      <c r="E120" s="509">
        <f t="shared" si="16"/>
        <v>144334</v>
      </c>
      <c r="F120" s="648">
        <f t="shared" si="17"/>
        <v>660630.92857142864</v>
      </c>
      <c r="G120" s="648">
        <f t="shared" si="18"/>
        <v>732797.92857142864</v>
      </c>
      <c r="H120" s="649">
        <f t="shared" si="19"/>
        <v>230776.3188764638</v>
      </c>
      <c r="I120" s="628">
        <f t="shared" si="20"/>
        <v>230776.3188764638</v>
      </c>
      <c r="J120" s="67">
        <f t="shared" si="12"/>
        <v>0</v>
      </c>
      <c r="K120" s="67"/>
      <c r="L120" s="130"/>
      <c r="M120" s="67">
        <f t="shared" si="21"/>
        <v>0</v>
      </c>
      <c r="N120" s="130"/>
      <c r="O120" s="67">
        <f t="shared" si="14"/>
        <v>0</v>
      </c>
      <c r="P120" s="67">
        <f t="shared" si="15"/>
        <v>0</v>
      </c>
    </row>
    <row r="121" spans="2:16">
      <c r="B121" t="str">
        <f t="shared" si="11"/>
        <v/>
      </c>
      <c r="C121" s="62">
        <f>IF(D94="","-",+C120+1)</f>
        <v>2041</v>
      </c>
      <c r="D121" s="647">
        <f>IF(F120+SUM(E$100:E120)=D$93,F120,D$93-SUM(E$100:E120))</f>
        <v>660630.92857142864</v>
      </c>
      <c r="E121" s="509">
        <f t="shared" si="16"/>
        <v>144334</v>
      </c>
      <c r="F121" s="648">
        <f t="shared" si="17"/>
        <v>516296.92857142864</v>
      </c>
      <c r="G121" s="648">
        <f t="shared" si="18"/>
        <v>588463.92857142864</v>
      </c>
      <c r="H121" s="649">
        <f t="shared" si="19"/>
        <v>213750.38967243579</v>
      </c>
      <c r="I121" s="628">
        <f t="shared" si="20"/>
        <v>213750.38967243579</v>
      </c>
      <c r="J121" s="67">
        <f t="shared" si="12"/>
        <v>0</v>
      </c>
      <c r="K121" s="67"/>
      <c r="L121" s="130"/>
      <c r="M121" s="67">
        <f t="shared" si="21"/>
        <v>0</v>
      </c>
      <c r="N121" s="130"/>
      <c r="O121" s="67">
        <f t="shared" si="14"/>
        <v>0</v>
      </c>
      <c r="P121" s="67">
        <f t="shared" si="15"/>
        <v>0</v>
      </c>
    </row>
    <row r="122" spans="2:16">
      <c r="B122" t="str">
        <f t="shared" si="11"/>
        <v/>
      </c>
      <c r="C122" s="62">
        <f>IF(D94="","-",+C121+1)</f>
        <v>2042</v>
      </c>
      <c r="D122" s="647">
        <f>IF(F121+SUM(E$100:E121)=D$93,F121,D$93-SUM(E$100:E121))</f>
        <v>516296.92857142864</v>
      </c>
      <c r="E122" s="509">
        <f t="shared" si="16"/>
        <v>144334</v>
      </c>
      <c r="F122" s="648">
        <f t="shared" si="17"/>
        <v>371962.92857142864</v>
      </c>
      <c r="G122" s="648">
        <f t="shared" si="18"/>
        <v>444129.92857142864</v>
      </c>
      <c r="H122" s="649">
        <f t="shared" si="19"/>
        <v>196724.46046840778</v>
      </c>
      <c r="I122" s="628">
        <f t="shared" si="20"/>
        <v>196724.46046840778</v>
      </c>
      <c r="J122" s="67">
        <f t="shared" si="12"/>
        <v>0</v>
      </c>
      <c r="K122" s="67"/>
      <c r="L122" s="130"/>
      <c r="M122" s="67">
        <f t="shared" si="21"/>
        <v>0</v>
      </c>
      <c r="N122" s="130"/>
      <c r="O122" s="67">
        <f t="shared" si="14"/>
        <v>0</v>
      </c>
      <c r="P122" s="67">
        <f t="shared" si="15"/>
        <v>0</v>
      </c>
    </row>
    <row r="123" spans="2:16">
      <c r="B123" t="str">
        <f t="shared" si="11"/>
        <v/>
      </c>
      <c r="C123" s="62">
        <f>IF(D94="","-",+C122+1)</f>
        <v>2043</v>
      </c>
      <c r="D123" s="647">
        <f>IF(F122+SUM(E$100:E122)=D$93,F122,D$93-SUM(E$100:E122))</f>
        <v>371962.92857142864</v>
      </c>
      <c r="E123" s="509">
        <f t="shared" si="16"/>
        <v>144334</v>
      </c>
      <c r="F123" s="648">
        <f t="shared" si="17"/>
        <v>227628.92857142864</v>
      </c>
      <c r="G123" s="648">
        <f t="shared" si="18"/>
        <v>299795.92857142864</v>
      </c>
      <c r="H123" s="649">
        <f t="shared" si="19"/>
        <v>179698.53126437974</v>
      </c>
      <c r="I123" s="628">
        <f t="shared" si="20"/>
        <v>179698.53126437974</v>
      </c>
      <c r="J123" s="67">
        <f t="shared" si="12"/>
        <v>0</v>
      </c>
      <c r="K123" s="67"/>
      <c r="L123" s="130"/>
      <c r="M123" s="67">
        <f t="shared" si="21"/>
        <v>0</v>
      </c>
      <c r="N123" s="130"/>
      <c r="O123" s="67">
        <f t="shared" si="14"/>
        <v>0</v>
      </c>
      <c r="P123" s="67">
        <f t="shared" si="15"/>
        <v>0</v>
      </c>
    </row>
    <row r="124" spans="2:16">
      <c r="B124" t="str">
        <f t="shared" si="11"/>
        <v/>
      </c>
      <c r="C124" s="62">
        <f>IF(D94="","-",+C123+1)</f>
        <v>2044</v>
      </c>
      <c r="D124" s="647">
        <f>IF(F123+SUM(E$100:E123)=D$93,F123,D$93-SUM(E$100:E123))</f>
        <v>227628.92857142864</v>
      </c>
      <c r="E124" s="509">
        <f t="shared" si="16"/>
        <v>144334</v>
      </c>
      <c r="F124" s="648">
        <f t="shared" si="17"/>
        <v>83294.928571428638</v>
      </c>
      <c r="G124" s="648">
        <f t="shared" si="18"/>
        <v>155461.92857142864</v>
      </c>
      <c r="H124" s="649">
        <f t="shared" si="19"/>
        <v>162672.60206035172</v>
      </c>
      <c r="I124" s="628">
        <f t="shared" si="20"/>
        <v>162672.60206035172</v>
      </c>
      <c r="J124" s="67">
        <f t="shared" si="12"/>
        <v>0</v>
      </c>
      <c r="K124" s="67"/>
      <c r="L124" s="130"/>
      <c r="M124" s="67">
        <f t="shared" si="21"/>
        <v>0</v>
      </c>
      <c r="N124" s="130"/>
      <c r="O124" s="67">
        <f t="shared" si="14"/>
        <v>0</v>
      </c>
      <c r="P124" s="67">
        <f t="shared" si="15"/>
        <v>0</v>
      </c>
    </row>
    <row r="125" spans="2:16">
      <c r="B125" t="str">
        <f t="shared" si="11"/>
        <v/>
      </c>
      <c r="C125" s="62">
        <f>IF(D94="","-",+C124+1)</f>
        <v>2045</v>
      </c>
      <c r="D125" s="647">
        <f>IF(F124+SUM(E$100:E124)=D$93,F124,D$93-SUM(E$100:E124))</f>
        <v>83294.928571428638</v>
      </c>
      <c r="E125" s="509">
        <f t="shared" si="16"/>
        <v>83294.928571428638</v>
      </c>
      <c r="F125" s="648">
        <f t="shared" si="17"/>
        <v>0</v>
      </c>
      <c r="G125" s="648">
        <f t="shared" si="18"/>
        <v>41647.464285714319</v>
      </c>
      <c r="H125" s="649">
        <f t="shared" si="19"/>
        <v>88207.74730059749</v>
      </c>
      <c r="I125" s="628">
        <f t="shared" si="20"/>
        <v>88207.74730059749</v>
      </c>
      <c r="J125" s="67">
        <f t="shared" si="12"/>
        <v>0</v>
      </c>
      <c r="K125" s="67"/>
      <c r="L125" s="130"/>
      <c r="M125" s="67">
        <f t="shared" si="21"/>
        <v>0</v>
      </c>
      <c r="N125" s="130"/>
      <c r="O125" s="67">
        <f t="shared" si="14"/>
        <v>0</v>
      </c>
      <c r="P125" s="67">
        <f t="shared" si="15"/>
        <v>0</v>
      </c>
    </row>
    <row r="126" spans="2:16">
      <c r="B126" t="str">
        <f t="shared" si="11"/>
        <v/>
      </c>
      <c r="C126" s="62">
        <f>IF(D94="","-",+C125+1)</f>
        <v>2046</v>
      </c>
      <c r="D126" s="647">
        <f>IF(F125+SUM(E$100:E125)=D$93,F125,D$93-SUM(E$100:E125))</f>
        <v>0</v>
      </c>
      <c r="E126" s="509">
        <f t="shared" si="16"/>
        <v>0</v>
      </c>
      <c r="F126" s="648">
        <f t="shared" si="17"/>
        <v>0</v>
      </c>
      <c r="G126" s="648">
        <f t="shared" si="18"/>
        <v>0</v>
      </c>
      <c r="H126" s="649">
        <f t="shared" si="19"/>
        <v>0</v>
      </c>
      <c r="I126" s="628">
        <f t="shared" si="20"/>
        <v>0</v>
      </c>
      <c r="J126" s="67">
        <f t="shared" si="12"/>
        <v>0</v>
      </c>
      <c r="K126" s="67"/>
      <c r="L126" s="130"/>
      <c r="M126" s="67">
        <f t="shared" si="21"/>
        <v>0</v>
      </c>
      <c r="N126" s="130"/>
      <c r="O126" s="67">
        <f t="shared" si="14"/>
        <v>0</v>
      </c>
      <c r="P126" s="67">
        <f t="shared" si="15"/>
        <v>0</v>
      </c>
    </row>
    <row r="127" spans="2:16">
      <c r="B127" t="str">
        <f t="shared" si="11"/>
        <v/>
      </c>
      <c r="C127" s="62">
        <f>IF(D94="","-",+C126+1)</f>
        <v>2047</v>
      </c>
      <c r="D127" s="647">
        <f>IF(F126+SUM(E$100:E126)=D$93,F126,D$93-SUM(E$100:E126))</f>
        <v>0</v>
      </c>
      <c r="E127" s="509">
        <f t="shared" si="16"/>
        <v>0</v>
      </c>
      <c r="F127" s="648">
        <f t="shared" si="17"/>
        <v>0</v>
      </c>
      <c r="G127" s="648">
        <f t="shared" si="18"/>
        <v>0</v>
      </c>
      <c r="H127" s="649">
        <f t="shared" si="19"/>
        <v>0</v>
      </c>
      <c r="I127" s="628">
        <f t="shared" si="20"/>
        <v>0</v>
      </c>
      <c r="J127" s="67">
        <f t="shared" si="12"/>
        <v>0</v>
      </c>
      <c r="K127" s="67"/>
      <c r="L127" s="130"/>
      <c r="M127" s="67">
        <f t="shared" si="21"/>
        <v>0</v>
      </c>
      <c r="N127" s="130"/>
      <c r="O127" s="67">
        <f t="shared" si="14"/>
        <v>0</v>
      </c>
      <c r="P127" s="67">
        <f t="shared" si="15"/>
        <v>0</v>
      </c>
    </row>
    <row r="128" spans="2:16">
      <c r="B128" t="str">
        <f t="shared" si="11"/>
        <v/>
      </c>
      <c r="C128" s="62">
        <f>IF(D94="","-",+C127+1)</f>
        <v>2048</v>
      </c>
      <c r="D128" s="647">
        <f>IF(F127+SUM(E$100:E127)=D$93,F127,D$93-SUM(E$100:E127))</f>
        <v>0</v>
      </c>
      <c r="E128" s="509">
        <f t="shared" si="16"/>
        <v>0</v>
      </c>
      <c r="F128" s="648">
        <f t="shared" si="17"/>
        <v>0</v>
      </c>
      <c r="G128" s="648">
        <f t="shared" si="18"/>
        <v>0</v>
      </c>
      <c r="H128" s="649">
        <f t="shared" si="19"/>
        <v>0</v>
      </c>
      <c r="I128" s="628">
        <f t="shared" si="20"/>
        <v>0</v>
      </c>
      <c r="J128" s="67">
        <f t="shared" si="12"/>
        <v>0</v>
      </c>
      <c r="K128" s="67"/>
      <c r="L128" s="130"/>
      <c r="M128" s="67">
        <f t="shared" si="21"/>
        <v>0</v>
      </c>
      <c r="N128" s="130"/>
      <c r="O128" s="67">
        <f t="shared" si="14"/>
        <v>0</v>
      </c>
      <c r="P128" s="67">
        <f t="shared" si="15"/>
        <v>0</v>
      </c>
    </row>
    <row r="129" spans="2:16">
      <c r="B129" t="str">
        <f t="shared" si="11"/>
        <v/>
      </c>
      <c r="C129" s="62">
        <f>IF(D94="","-",+C128+1)</f>
        <v>2049</v>
      </c>
      <c r="D129" s="647">
        <f>IF(F128+SUM(E$100:E128)=D$93,F128,D$93-SUM(E$100:E128))</f>
        <v>0</v>
      </c>
      <c r="E129" s="509">
        <f t="shared" si="16"/>
        <v>0</v>
      </c>
      <c r="F129" s="648">
        <f t="shared" si="17"/>
        <v>0</v>
      </c>
      <c r="G129" s="648">
        <f t="shared" si="18"/>
        <v>0</v>
      </c>
      <c r="H129" s="649">
        <f t="shared" si="19"/>
        <v>0</v>
      </c>
      <c r="I129" s="628">
        <f t="shared" si="20"/>
        <v>0</v>
      </c>
      <c r="J129" s="67">
        <f t="shared" si="12"/>
        <v>0</v>
      </c>
      <c r="K129" s="67"/>
      <c r="L129" s="130"/>
      <c r="M129" s="67">
        <f t="shared" si="21"/>
        <v>0</v>
      </c>
      <c r="N129" s="130"/>
      <c r="O129" s="67">
        <f t="shared" si="14"/>
        <v>0</v>
      </c>
      <c r="P129" s="67">
        <f t="shared" si="15"/>
        <v>0</v>
      </c>
    </row>
    <row r="130" spans="2:16">
      <c r="B130" t="str">
        <f t="shared" si="11"/>
        <v/>
      </c>
      <c r="C130" s="62">
        <f>IF(D94="","-",+C129+1)</f>
        <v>2050</v>
      </c>
      <c r="D130" s="647">
        <f>IF(F129+SUM(E$100:E129)=D$93,F129,D$93-SUM(E$100:E129))</f>
        <v>0</v>
      </c>
      <c r="E130" s="509">
        <f t="shared" si="16"/>
        <v>0</v>
      </c>
      <c r="F130" s="648">
        <f t="shared" si="17"/>
        <v>0</v>
      </c>
      <c r="G130" s="648">
        <f t="shared" si="18"/>
        <v>0</v>
      </c>
      <c r="H130" s="649">
        <f t="shared" si="19"/>
        <v>0</v>
      </c>
      <c r="I130" s="628">
        <f t="shared" si="20"/>
        <v>0</v>
      </c>
      <c r="J130" s="67">
        <f t="shared" si="12"/>
        <v>0</v>
      </c>
      <c r="K130" s="67"/>
      <c r="L130" s="130"/>
      <c r="M130" s="67">
        <f t="shared" si="21"/>
        <v>0</v>
      </c>
      <c r="N130" s="130"/>
      <c r="O130" s="67">
        <f t="shared" si="14"/>
        <v>0</v>
      </c>
      <c r="P130" s="67">
        <f t="shared" si="15"/>
        <v>0</v>
      </c>
    </row>
    <row r="131" spans="2:16">
      <c r="B131" t="str">
        <f t="shared" si="11"/>
        <v/>
      </c>
      <c r="C131" s="62">
        <f>IF(D94="","-",+C130+1)</f>
        <v>2051</v>
      </c>
      <c r="D131" s="647">
        <f>IF(F130+SUM(E$100:E130)=D$93,F130,D$93-SUM(E$100:E130))</f>
        <v>0</v>
      </c>
      <c r="E131" s="509">
        <f t="shared" si="16"/>
        <v>0</v>
      </c>
      <c r="F131" s="648">
        <f t="shared" si="17"/>
        <v>0</v>
      </c>
      <c r="G131" s="648">
        <f t="shared" si="18"/>
        <v>0</v>
      </c>
      <c r="H131" s="649">
        <f t="shared" si="19"/>
        <v>0</v>
      </c>
      <c r="I131" s="628">
        <f t="shared" si="20"/>
        <v>0</v>
      </c>
      <c r="J131" s="67">
        <f t="shared" si="12"/>
        <v>0</v>
      </c>
      <c r="K131" s="67"/>
      <c r="L131" s="130"/>
      <c r="M131" s="67">
        <f t="shared" si="21"/>
        <v>0</v>
      </c>
      <c r="N131" s="130"/>
      <c r="O131" s="67">
        <f t="shared" si="14"/>
        <v>0</v>
      </c>
      <c r="P131" s="67">
        <f t="shared" si="15"/>
        <v>0</v>
      </c>
    </row>
    <row r="132" spans="2:16">
      <c r="B132" t="str">
        <f t="shared" si="11"/>
        <v/>
      </c>
      <c r="C132" s="62">
        <f>IF(D94="","-",+C131+1)</f>
        <v>2052</v>
      </c>
      <c r="D132" s="647">
        <f>IF(F131+SUM(E$100:E131)=D$93,F131,D$93-SUM(E$100:E131))</f>
        <v>0</v>
      </c>
      <c r="E132" s="509">
        <f t="shared" si="16"/>
        <v>0</v>
      </c>
      <c r="F132" s="648">
        <f t="shared" si="17"/>
        <v>0</v>
      </c>
      <c r="G132" s="648">
        <f t="shared" si="18"/>
        <v>0</v>
      </c>
      <c r="H132" s="649">
        <f t="shared" si="19"/>
        <v>0</v>
      </c>
      <c r="I132" s="628">
        <f t="shared" si="20"/>
        <v>0</v>
      </c>
      <c r="J132" s="67">
        <f t="shared" ref="J132:J155" si="22">+I542-H542</f>
        <v>0</v>
      </c>
      <c r="K132" s="67"/>
      <c r="L132" s="130"/>
      <c r="M132" s="67">
        <f t="shared" ref="M132:M155" si="23">IF(L542&lt;&gt;0,+H542-L542,0)</f>
        <v>0</v>
      </c>
      <c r="N132" s="130"/>
      <c r="O132" s="67">
        <f t="shared" ref="O132:O155" si="24">IF(N542&lt;&gt;0,+I542-N542,0)</f>
        <v>0</v>
      </c>
      <c r="P132" s="67">
        <f t="shared" ref="P132:P155" si="25">+O542-M542</f>
        <v>0</v>
      </c>
    </row>
    <row r="133" spans="2:16">
      <c r="B133" t="str">
        <f t="shared" si="11"/>
        <v/>
      </c>
      <c r="C133" s="62">
        <f>IF(D94="","-",+C132+1)</f>
        <v>2053</v>
      </c>
      <c r="D133" s="647">
        <f>IF(F132+SUM(E$100:E132)=D$93,F132,D$93-SUM(E$100:E132))</f>
        <v>0</v>
      </c>
      <c r="E133" s="509">
        <f t="shared" si="16"/>
        <v>0</v>
      </c>
      <c r="F133" s="648">
        <f t="shared" si="17"/>
        <v>0</v>
      </c>
      <c r="G133" s="648">
        <f t="shared" si="18"/>
        <v>0</v>
      </c>
      <c r="H133" s="649">
        <f t="shared" si="19"/>
        <v>0</v>
      </c>
      <c r="I133" s="628">
        <f t="shared" si="20"/>
        <v>0</v>
      </c>
      <c r="J133" s="67">
        <f t="shared" si="22"/>
        <v>0</v>
      </c>
      <c r="K133" s="67"/>
      <c r="L133" s="130"/>
      <c r="M133" s="67">
        <f t="shared" si="23"/>
        <v>0</v>
      </c>
      <c r="N133" s="130"/>
      <c r="O133" s="67">
        <f t="shared" si="24"/>
        <v>0</v>
      </c>
      <c r="P133" s="67">
        <f t="shared" si="25"/>
        <v>0</v>
      </c>
    </row>
    <row r="134" spans="2:16">
      <c r="B134" t="str">
        <f t="shared" si="11"/>
        <v/>
      </c>
      <c r="C134" s="62">
        <f>IF(D94="","-",+C133+1)</f>
        <v>2054</v>
      </c>
      <c r="D134" s="647">
        <f>IF(F133+SUM(E$100:E133)=D$93,F133,D$93-SUM(E$100:E133))</f>
        <v>0</v>
      </c>
      <c r="E134" s="509">
        <f t="shared" si="16"/>
        <v>0</v>
      </c>
      <c r="F134" s="648">
        <f t="shared" si="17"/>
        <v>0</v>
      </c>
      <c r="G134" s="648">
        <f t="shared" si="18"/>
        <v>0</v>
      </c>
      <c r="H134" s="649">
        <f t="shared" si="19"/>
        <v>0</v>
      </c>
      <c r="I134" s="628">
        <f t="shared" si="20"/>
        <v>0</v>
      </c>
      <c r="J134" s="67">
        <f t="shared" si="22"/>
        <v>0</v>
      </c>
      <c r="K134" s="67"/>
      <c r="L134" s="130"/>
      <c r="M134" s="67">
        <f t="shared" si="23"/>
        <v>0</v>
      </c>
      <c r="N134" s="130"/>
      <c r="O134" s="67">
        <f t="shared" si="24"/>
        <v>0</v>
      </c>
      <c r="P134" s="67">
        <f t="shared" si="25"/>
        <v>0</v>
      </c>
    </row>
    <row r="135" spans="2:16">
      <c r="B135" t="str">
        <f t="shared" si="11"/>
        <v/>
      </c>
      <c r="C135" s="62">
        <f>IF(D94="","-",+C134+1)</f>
        <v>2055</v>
      </c>
      <c r="D135" s="647">
        <f>IF(F134+SUM(E$100:E134)=D$93,F134,D$93-SUM(E$100:E134))</f>
        <v>0</v>
      </c>
      <c r="E135" s="509">
        <f t="shared" si="16"/>
        <v>0</v>
      </c>
      <c r="F135" s="648">
        <f t="shared" si="17"/>
        <v>0</v>
      </c>
      <c r="G135" s="648">
        <f t="shared" si="18"/>
        <v>0</v>
      </c>
      <c r="H135" s="649">
        <f t="shared" si="19"/>
        <v>0</v>
      </c>
      <c r="I135" s="628">
        <f t="shared" si="20"/>
        <v>0</v>
      </c>
      <c r="J135" s="67">
        <f t="shared" si="22"/>
        <v>0</v>
      </c>
      <c r="K135" s="67"/>
      <c r="L135" s="130"/>
      <c r="M135" s="67">
        <f t="shared" si="23"/>
        <v>0</v>
      </c>
      <c r="N135" s="130"/>
      <c r="O135" s="67">
        <f t="shared" si="24"/>
        <v>0</v>
      </c>
      <c r="P135" s="67">
        <f t="shared" si="25"/>
        <v>0</v>
      </c>
    </row>
    <row r="136" spans="2:16">
      <c r="B136" t="str">
        <f t="shared" si="11"/>
        <v/>
      </c>
      <c r="C136" s="62">
        <f>IF(D94="","-",+C135+1)</f>
        <v>2056</v>
      </c>
      <c r="D136" s="647">
        <f>IF(F135+SUM(E$100:E135)=D$93,F135,D$93-SUM(E$100:E135))</f>
        <v>0</v>
      </c>
      <c r="E136" s="509">
        <f t="shared" si="16"/>
        <v>0</v>
      </c>
      <c r="F136" s="648">
        <f t="shared" si="17"/>
        <v>0</v>
      </c>
      <c r="G136" s="648">
        <f t="shared" si="18"/>
        <v>0</v>
      </c>
      <c r="H136" s="649">
        <f t="shared" si="19"/>
        <v>0</v>
      </c>
      <c r="I136" s="628">
        <f t="shared" si="20"/>
        <v>0</v>
      </c>
      <c r="J136" s="67">
        <f t="shared" si="22"/>
        <v>0</v>
      </c>
      <c r="K136" s="67"/>
      <c r="L136" s="130"/>
      <c r="M136" s="67">
        <f t="shared" si="23"/>
        <v>0</v>
      </c>
      <c r="N136" s="130"/>
      <c r="O136" s="67">
        <f t="shared" si="24"/>
        <v>0</v>
      </c>
      <c r="P136" s="67">
        <f t="shared" si="25"/>
        <v>0</v>
      </c>
    </row>
    <row r="137" spans="2:16">
      <c r="B137" t="str">
        <f t="shared" si="11"/>
        <v/>
      </c>
      <c r="C137" s="62">
        <f>IF(D94="","-",+C136+1)</f>
        <v>2057</v>
      </c>
      <c r="D137" s="647">
        <f>IF(F136+SUM(E$100:E136)=D$93,F136,D$93-SUM(E$100:E136))</f>
        <v>0</v>
      </c>
      <c r="E137" s="509">
        <f t="shared" si="16"/>
        <v>0</v>
      </c>
      <c r="F137" s="648">
        <f t="shared" si="17"/>
        <v>0</v>
      </c>
      <c r="G137" s="648">
        <f t="shared" si="18"/>
        <v>0</v>
      </c>
      <c r="H137" s="649">
        <f t="shared" si="19"/>
        <v>0</v>
      </c>
      <c r="I137" s="628">
        <f t="shared" si="20"/>
        <v>0</v>
      </c>
      <c r="J137" s="67">
        <f t="shared" si="22"/>
        <v>0</v>
      </c>
      <c r="K137" s="67"/>
      <c r="L137" s="130"/>
      <c r="M137" s="67">
        <f t="shared" si="23"/>
        <v>0</v>
      </c>
      <c r="N137" s="130"/>
      <c r="O137" s="67">
        <f t="shared" si="24"/>
        <v>0</v>
      </c>
      <c r="P137" s="67">
        <f t="shared" si="25"/>
        <v>0</v>
      </c>
    </row>
    <row r="138" spans="2:16">
      <c r="B138" t="str">
        <f t="shared" si="11"/>
        <v/>
      </c>
      <c r="C138" s="62">
        <f>IF(D94="","-",+C137+1)</f>
        <v>2058</v>
      </c>
      <c r="D138" s="647">
        <f>IF(F137+SUM(E$100:E137)=D$93,F137,D$93-SUM(E$100:E137))</f>
        <v>0</v>
      </c>
      <c r="E138" s="509">
        <f t="shared" si="16"/>
        <v>0</v>
      </c>
      <c r="F138" s="648">
        <f t="shared" si="17"/>
        <v>0</v>
      </c>
      <c r="G138" s="648">
        <f t="shared" si="18"/>
        <v>0</v>
      </c>
      <c r="H138" s="649">
        <f t="shared" si="19"/>
        <v>0</v>
      </c>
      <c r="I138" s="628">
        <f t="shared" si="20"/>
        <v>0</v>
      </c>
      <c r="J138" s="67">
        <f t="shared" si="22"/>
        <v>0</v>
      </c>
      <c r="K138" s="67"/>
      <c r="L138" s="130"/>
      <c r="M138" s="67">
        <f t="shared" si="23"/>
        <v>0</v>
      </c>
      <c r="N138" s="130"/>
      <c r="O138" s="67">
        <f t="shared" si="24"/>
        <v>0</v>
      </c>
      <c r="P138" s="67">
        <f t="shared" si="25"/>
        <v>0</v>
      </c>
    </row>
    <row r="139" spans="2:16">
      <c r="B139" t="str">
        <f t="shared" si="11"/>
        <v/>
      </c>
      <c r="C139" s="62">
        <f>IF(D94="","-",+C138+1)</f>
        <v>2059</v>
      </c>
      <c r="D139" s="647">
        <f>IF(F138+SUM(E$100:E138)=D$93,F138,D$93-SUM(E$100:E138))</f>
        <v>0</v>
      </c>
      <c r="E139" s="509">
        <f t="shared" si="16"/>
        <v>0</v>
      </c>
      <c r="F139" s="648">
        <f t="shared" si="17"/>
        <v>0</v>
      </c>
      <c r="G139" s="648">
        <f t="shared" si="18"/>
        <v>0</v>
      </c>
      <c r="H139" s="649">
        <f t="shared" si="19"/>
        <v>0</v>
      </c>
      <c r="I139" s="628">
        <f t="shared" si="20"/>
        <v>0</v>
      </c>
      <c r="J139" s="67">
        <f t="shared" si="22"/>
        <v>0</v>
      </c>
      <c r="K139" s="67"/>
      <c r="L139" s="130"/>
      <c r="M139" s="67">
        <f t="shared" si="23"/>
        <v>0</v>
      </c>
      <c r="N139" s="130"/>
      <c r="O139" s="67">
        <f t="shared" si="24"/>
        <v>0</v>
      </c>
      <c r="P139" s="67">
        <f t="shared" si="25"/>
        <v>0</v>
      </c>
    </row>
    <row r="140" spans="2:16">
      <c r="B140" t="str">
        <f t="shared" si="11"/>
        <v/>
      </c>
      <c r="C140" s="62">
        <f>IF(D94="","-",+C139+1)</f>
        <v>2060</v>
      </c>
      <c r="D140" s="647">
        <f>IF(F139+SUM(E$100:E139)=D$93,F139,D$93-SUM(E$100:E139))</f>
        <v>0</v>
      </c>
      <c r="E140" s="509">
        <f t="shared" si="16"/>
        <v>0</v>
      </c>
      <c r="F140" s="648">
        <f t="shared" si="17"/>
        <v>0</v>
      </c>
      <c r="G140" s="648">
        <f t="shared" si="18"/>
        <v>0</v>
      </c>
      <c r="H140" s="649">
        <f t="shared" si="19"/>
        <v>0</v>
      </c>
      <c r="I140" s="628">
        <f t="shared" si="20"/>
        <v>0</v>
      </c>
      <c r="J140" s="67">
        <f t="shared" si="22"/>
        <v>0</v>
      </c>
      <c r="K140" s="67"/>
      <c r="L140" s="130"/>
      <c r="M140" s="67">
        <f t="shared" si="23"/>
        <v>0</v>
      </c>
      <c r="N140" s="130"/>
      <c r="O140" s="67">
        <f t="shared" si="24"/>
        <v>0</v>
      </c>
      <c r="P140" s="67">
        <f t="shared" si="25"/>
        <v>0</v>
      </c>
    </row>
    <row r="141" spans="2:16">
      <c r="B141" t="str">
        <f t="shared" si="11"/>
        <v/>
      </c>
      <c r="C141" s="62">
        <f>IF(D94="","-",+C140+1)</f>
        <v>2061</v>
      </c>
      <c r="D141" s="647">
        <f>IF(F140+SUM(E$100:E140)=D$93,F140,D$93-SUM(E$100:E140))</f>
        <v>0</v>
      </c>
      <c r="E141" s="509">
        <f t="shared" si="16"/>
        <v>0</v>
      </c>
      <c r="F141" s="648">
        <f t="shared" si="17"/>
        <v>0</v>
      </c>
      <c r="G141" s="648">
        <f t="shared" si="18"/>
        <v>0</v>
      </c>
      <c r="H141" s="649">
        <f t="shared" si="19"/>
        <v>0</v>
      </c>
      <c r="I141" s="628">
        <f t="shared" si="20"/>
        <v>0</v>
      </c>
      <c r="J141" s="67">
        <f t="shared" si="22"/>
        <v>0</v>
      </c>
      <c r="K141" s="67"/>
      <c r="L141" s="130"/>
      <c r="M141" s="67">
        <f t="shared" si="23"/>
        <v>0</v>
      </c>
      <c r="N141" s="130"/>
      <c r="O141" s="67">
        <f t="shared" si="24"/>
        <v>0</v>
      </c>
      <c r="P141" s="67">
        <f t="shared" si="25"/>
        <v>0</v>
      </c>
    </row>
    <row r="142" spans="2:16">
      <c r="B142" t="str">
        <f t="shared" si="11"/>
        <v/>
      </c>
      <c r="C142" s="62">
        <f>IF(D94="","-",+C141+1)</f>
        <v>2062</v>
      </c>
      <c r="D142" s="647">
        <f>IF(F141+SUM(E$100:E141)=D$93,F141,D$93-SUM(E$100:E141))</f>
        <v>0</v>
      </c>
      <c r="E142" s="509">
        <f t="shared" si="16"/>
        <v>0</v>
      </c>
      <c r="F142" s="648">
        <f t="shared" si="17"/>
        <v>0</v>
      </c>
      <c r="G142" s="648">
        <f t="shared" si="18"/>
        <v>0</v>
      </c>
      <c r="H142" s="649">
        <f t="shared" si="19"/>
        <v>0</v>
      </c>
      <c r="I142" s="628">
        <f t="shared" si="20"/>
        <v>0</v>
      </c>
      <c r="J142" s="67">
        <f t="shared" si="22"/>
        <v>0</v>
      </c>
      <c r="K142" s="67"/>
      <c r="L142" s="130"/>
      <c r="M142" s="67">
        <f t="shared" si="23"/>
        <v>0</v>
      </c>
      <c r="N142" s="130"/>
      <c r="O142" s="67">
        <f t="shared" si="24"/>
        <v>0</v>
      </c>
      <c r="P142" s="67">
        <f t="shared" si="25"/>
        <v>0</v>
      </c>
    </row>
    <row r="143" spans="2:16">
      <c r="B143" t="str">
        <f t="shared" si="11"/>
        <v/>
      </c>
      <c r="C143" s="62">
        <f>IF(D94="","-",+C142+1)</f>
        <v>2063</v>
      </c>
      <c r="D143" s="647">
        <f>IF(F142+SUM(E$100:E142)=D$93,F142,D$93-SUM(E$100:E142))</f>
        <v>0</v>
      </c>
      <c r="E143" s="509">
        <f t="shared" si="16"/>
        <v>0</v>
      </c>
      <c r="F143" s="648">
        <f t="shared" si="17"/>
        <v>0</v>
      </c>
      <c r="G143" s="648">
        <f t="shared" si="18"/>
        <v>0</v>
      </c>
      <c r="H143" s="649">
        <f t="shared" si="19"/>
        <v>0</v>
      </c>
      <c r="I143" s="628">
        <f t="shared" si="20"/>
        <v>0</v>
      </c>
      <c r="J143" s="67">
        <f t="shared" si="22"/>
        <v>0</v>
      </c>
      <c r="K143" s="67"/>
      <c r="L143" s="130"/>
      <c r="M143" s="67">
        <f t="shared" si="23"/>
        <v>0</v>
      </c>
      <c r="N143" s="130"/>
      <c r="O143" s="67">
        <f t="shared" si="24"/>
        <v>0</v>
      </c>
      <c r="P143" s="67">
        <f t="shared" si="25"/>
        <v>0</v>
      </c>
    </row>
    <row r="144" spans="2:16">
      <c r="B144" t="str">
        <f t="shared" si="11"/>
        <v/>
      </c>
      <c r="C144" s="62">
        <f>IF(D94="","-",+C143+1)</f>
        <v>2064</v>
      </c>
      <c r="D144" s="647">
        <f>IF(F143+SUM(E$100:E143)=D$93,F143,D$93-SUM(E$100:E143))</f>
        <v>0</v>
      </c>
      <c r="E144" s="509">
        <f t="shared" si="16"/>
        <v>0</v>
      </c>
      <c r="F144" s="648">
        <f t="shared" si="17"/>
        <v>0</v>
      </c>
      <c r="G144" s="648">
        <f t="shared" si="18"/>
        <v>0</v>
      </c>
      <c r="H144" s="649">
        <f t="shared" si="19"/>
        <v>0</v>
      </c>
      <c r="I144" s="628">
        <f t="shared" si="20"/>
        <v>0</v>
      </c>
      <c r="J144" s="67">
        <f t="shared" si="22"/>
        <v>0</v>
      </c>
      <c r="K144" s="67"/>
      <c r="L144" s="130"/>
      <c r="M144" s="67">
        <f t="shared" si="23"/>
        <v>0</v>
      </c>
      <c r="N144" s="130"/>
      <c r="O144" s="67">
        <f t="shared" si="24"/>
        <v>0</v>
      </c>
      <c r="P144" s="67">
        <f t="shared" si="25"/>
        <v>0</v>
      </c>
    </row>
    <row r="145" spans="2:16">
      <c r="B145" t="str">
        <f t="shared" si="11"/>
        <v/>
      </c>
      <c r="C145" s="62">
        <f>IF(D94="","-",+C144+1)</f>
        <v>2065</v>
      </c>
      <c r="D145" s="647">
        <f>IF(F144+SUM(E$100:E144)=D$93,F144,D$93-SUM(E$100:E144))</f>
        <v>0</v>
      </c>
      <c r="E145" s="509">
        <f t="shared" si="16"/>
        <v>0</v>
      </c>
      <c r="F145" s="648">
        <f t="shared" si="17"/>
        <v>0</v>
      </c>
      <c r="G145" s="648">
        <f t="shared" si="18"/>
        <v>0</v>
      </c>
      <c r="H145" s="649">
        <f t="shared" si="19"/>
        <v>0</v>
      </c>
      <c r="I145" s="628">
        <f t="shared" si="20"/>
        <v>0</v>
      </c>
      <c r="J145" s="67">
        <f t="shared" si="22"/>
        <v>0</v>
      </c>
      <c r="K145" s="67"/>
      <c r="L145" s="130"/>
      <c r="M145" s="67">
        <f t="shared" si="23"/>
        <v>0</v>
      </c>
      <c r="N145" s="130"/>
      <c r="O145" s="67">
        <f t="shared" si="24"/>
        <v>0</v>
      </c>
      <c r="P145" s="67">
        <f t="shared" si="25"/>
        <v>0</v>
      </c>
    </row>
    <row r="146" spans="2:16">
      <c r="B146" t="str">
        <f t="shared" si="11"/>
        <v/>
      </c>
      <c r="C146" s="62">
        <f>IF(D94="","-",+C145+1)</f>
        <v>2066</v>
      </c>
      <c r="D146" s="647">
        <f>IF(F145+SUM(E$100:E145)=D$93,F145,D$93-SUM(E$100:E145))</f>
        <v>0</v>
      </c>
      <c r="E146" s="509">
        <f t="shared" si="16"/>
        <v>0</v>
      </c>
      <c r="F146" s="648">
        <f t="shared" si="17"/>
        <v>0</v>
      </c>
      <c r="G146" s="648">
        <f t="shared" si="18"/>
        <v>0</v>
      </c>
      <c r="H146" s="649">
        <f t="shared" si="19"/>
        <v>0</v>
      </c>
      <c r="I146" s="628">
        <f t="shared" si="20"/>
        <v>0</v>
      </c>
      <c r="J146" s="67">
        <f t="shared" si="22"/>
        <v>0</v>
      </c>
      <c r="K146" s="67"/>
      <c r="L146" s="130"/>
      <c r="M146" s="67">
        <f t="shared" si="23"/>
        <v>0</v>
      </c>
      <c r="N146" s="130"/>
      <c r="O146" s="67">
        <f t="shared" si="24"/>
        <v>0</v>
      </c>
      <c r="P146" s="67">
        <f t="shared" si="25"/>
        <v>0</v>
      </c>
    </row>
    <row r="147" spans="2:16">
      <c r="B147" t="str">
        <f t="shared" si="11"/>
        <v/>
      </c>
      <c r="C147" s="62">
        <f>IF(D94="","-",+C146+1)</f>
        <v>2067</v>
      </c>
      <c r="D147" s="647">
        <f>IF(F146+SUM(E$100:E146)=D$93,F146,D$93-SUM(E$100:E146))</f>
        <v>0</v>
      </c>
      <c r="E147" s="509">
        <f t="shared" si="16"/>
        <v>0</v>
      </c>
      <c r="F147" s="648">
        <f t="shared" si="17"/>
        <v>0</v>
      </c>
      <c r="G147" s="648">
        <f t="shared" si="18"/>
        <v>0</v>
      </c>
      <c r="H147" s="649">
        <f t="shared" si="19"/>
        <v>0</v>
      </c>
      <c r="I147" s="628">
        <f t="shared" si="20"/>
        <v>0</v>
      </c>
      <c r="J147" s="67">
        <f t="shared" si="22"/>
        <v>0</v>
      </c>
      <c r="K147" s="67"/>
      <c r="L147" s="130"/>
      <c r="M147" s="67">
        <f t="shared" si="23"/>
        <v>0</v>
      </c>
      <c r="N147" s="130"/>
      <c r="O147" s="67">
        <f t="shared" si="24"/>
        <v>0</v>
      </c>
      <c r="P147" s="67">
        <f t="shared" si="25"/>
        <v>0</v>
      </c>
    </row>
    <row r="148" spans="2:16">
      <c r="B148" t="str">
        <f t="shared" si="11"/>
        <v/>
      </c>
      <c r="C148" s="62">
        <f>IF(D94="","-",+C147+1)</f>
        <v>2068</v>
      </c>
      <c r="D148" s="647">
        <f>IF(F147+SUM(E$100:E147)=D$93,F147,D$93-SUM(E$100:E147))</f>
        <v>0</v>
      </c>
      <c r="E148" s="509">
        <f t="shared" si="16"/>
        <v>0</v>
      </c>
      <c r="F148" s="648">
        <f t="shared" si="17"/>
        <v>0</v>
      </c>
      <c r="G148" s="648">
        <f t="shared" si="18"/>
        <v>0</v>
      </c>
      <c r="H148" s="649">
        <f t="shared" si="19"/>
        <v>0</v>
      </c>
      <c r="I148" s="628">
        <f t="shared" si="20"/>
        <v>0</v>
      </c>
      <c r="J148" s="67">
        <f t="shared" si="22"/>
        <v>0</v>
      </c>
      <c r="K148" s="67"/>
      <c r="L148" s="130"/>
      <c r="M148" s="67">
        <f t="shared" si="23"/>
        <v>0</v>
      </c>
      <c r="N148" s="130"/>
      <c r="O148" s="67">
        <f t="shared" si="24"/>
        <v>0</v>
      </c>
      <c r="P148" s="67">
        <f t="shared" si="25"/>
        <v>0</v>
      </c>
    </row>
    <row r="149" spans="2:16">
      <c r="B149" t="str">
        <f t="shared" si="11"/>
        <v/>
      </c>
      <c r="C149" s="62">
        <f>IF(D94="","-",+C148+1)</f>
        <v>2069</v>
      </c>
      <c r="D149" s="647">
        <f>IF(F148+SUM(E$100:E148)=D$93,F148,D$93-SUM(E$100:E148))</f>
        <v>0</v>
      </c>
      <c r="E149" s="509">
        <f t="shared" si="16"/>
        <v>0</v>
      </c>
      <c r="F149" s="648">
        <f t="shared" si="17"/>
        <v>0</v>
      </c>
      <c r="G149" s="648">
        <f t="shared" si="18"/>
        <v>0</v>
      </c>
      <c r="H149" s="649">
        <f t="shared" si="19"/>
        <v>0</v>
      </c>
      <c r="I149" s="628">
        <f t="shared" si="20"/>
        <v>0</v>
      </c>
      <c r="J149" s="67">
        <f t="shared" si="22"/>
        <v>0</v>
      </c>
      <c r="K149" s="67"/>
      <c r="L149" s="130"/>
      <c r="M149" s="67">
        <f t="shared" si="23"/>
        <v>0</v>
      </c>
      <c r="N149" s="130"/>
      <c r="O149" s="67">
        <f t="shared" si="24"/>
        <v>0</v>
      </c>
      <c r="P149" s="67">
        <f t="shared" si="25"/>
        <v>0</v>
      </c>
    </row>
    <row r="150" spans="2:16">
      <c r="B150" t="str">
        <f t="shared" si="11"/>
        <v/>
      </c>
      <c r="C150" s="62">
        <f>IF(D94="","-",+C149+1)</f>
        <v>2070</v>
      </c>
      <c r="D150" s="647">
        <f>IF(F149+SUM(E$100:E149)=D$93,F149,D$93-SUM(E$100:E149))</f>
        <v>0</v>
      </c>
      <c r="E150" s="509">
        <f t="shared" si="16"/>
        <v>0</v>
      </c>
      <c r="F150" s="648">
        <f t="shared" si="17"/>
        <v>0</v>
      </c>
      <c r="G150" s="648">
        <f t="shared" si="18"/>
        <v>0</v>
      </c>
      <c r="H150" s="649">
        <f t="shared" si="19"/>
        <v>0</v>
      </c>
      <c r="I150" s="628">
        <f t="shared" si="20"/>
        <v>0</v>
      </c>
      <c r="J150" s="67">
        <f t="shared" si="22"/>
        <v>0</v>
      </c>
      <c r="K150" s="67"/>
      <c r="L150" s="130"/>
      <c r="M150" s="67">
        <f t="shared" si="23"/>
        <v>0</v>
      </c>
      <c r="N150" s="130"/>
      <c r="O150" s="67">
        <f t="shared" si="24"/>
        <v>0</v>
      </c>
      <c r="P150" s="67">
        <f t="shared" si="25"/>
        <v>0</v>
      </c>
    </row>
    <row r="151" spans="2:16">
      <c r="B151" t="str">
        <f t="shared" si="11"/>
        <v/>
      </c>
      <c r="C151" s="62">
        <f>IF(D94="","-",+C150+1)</f>
        <v>2071</v>
      </c>
      <c r="D151" s="647">
        <f>IF(F150+SUM(E$100:E150)=D$93,F150,D$93-SUM(E$100:E150))</f>
        <v>0</v>
      </c>
      <c r="E151" s="509">
        <f t="shared" si="16"/>
        <v>0</v>
      </c>
      <c r="F151" s="648">
        <f t="shared" si="17"/>
        <v>0</v>
      </c>
      <c r="G151" s="648">
        <f t="shared" si="18"/>
        <v>0</v>
      </c>
      <c r="H151" s="649">
        <f t="shared" si="19"/>
        <v>0</v>
      </c>
      <c r="I151" s="628">
        <f t="shared" si="20"/>
        <v>0</v>
      </c>
      <c r="J151" s="67">
        <f t="shared" si="22"/>
        <v>0</v>
      </c>
      <c r="K151" s="67"/>
      <c r="L151" s="130"/>
      <c r="M151" s="67">
        <f t="shared" si="23"/>
        <v>0</v>
      </c>
      <c r="N151" s="130"/>
      <c r="O151" s="67">
        <f t="shared" si="24"/>
        <v>0</v>
      </c>
      <c r="P151" s="67">
        <f t="shared" si="25"/>
        <v>0</v>
      </c>
    </row>
    <row r="152" spans="2:16">
      <c r="B152" t="str">
        <f t="shared" si="11"/>
        <v/>
      </c>
      <c r="C152" s="62">
        <f>IF(D94="","-",+C151+1)</f>
        <v>2072</v>
      </c>
      <c r="D152" s="647">
        <f>IF(F151+SUM(E$100:E151)=D$93,F151,D$93-SUM(E$100:E151))</f>
        <v>0</v>
      </c>
      <c r="E152" s="509">
        <f t="shared" si="16"/>
        <v>0</v>
      </c>
      <c r="F152" s="648">
        <f t="shared" si="17"/>
        <v>0</v>
      </c>
      <c r="G152" s="648">
        <f t="shared" si="18"/>
        <v>0</v>
      </c>
      <c r="H152" s="649">
        <f t="shared" si="19"/>
        <v>0</v>
      </c>
      <c r="I152" s="628">
        <f t="shared" si="20"/>
        <v>0</v>
      </c>
      <c r="J152" s="67">
        <f t="shared" si="22"/>
        <v>0</v>
      </c>
      <c r="K152" s="67"/>
      <c r="L152" s="130"/>
      <c r="M152" s="67">
        <f t="shared" si="23"/>
        <v>0</v>
      </c>
      <c r="N152" s="130"/>
      <c r="O152" s="67">
        <f t="shared" si="24"/>
        <v>0</v>
      </c>
      <c r="P152" s="67">
        <f t="shared" si="25"/>
        <v>0</v>
      </c>
    </row>
    <row r="153" spans="2:16">
      <c r="B153" t="str">
        <f t="shared" si="11"/>
        <v/>
      </c>
      <c r="C153" s="62">
        <f>IF(D94="","-",+C152+1)</f>
        <v>2073</v>
      </c>
      <c r="D153" s="647">
        <f>IF(F152+SUM(E$100:E152)=D$93,F152,D$93-SUM(E$100:E152))</f>
        <v>0</v>
      </c>
      <c r="E153" s="509">
        <f t="shared" si="16"/>
        <v>0</v>
      </c>
      <c r="F153" s="648">
        <f t="shared" si="17"/>
        <v>0</v>
      </c>
      <c r="G153" s="648">
        <f t="shared" si="18"/>
        <v>0</v>
      </c>
      <c r="H153" s="649">
        <f t="shared" si="19"/>
        <v>0</v>
      </c>
      <c r="I153" s="628">
        <f t="shared" si="20"/>
        <v>0</v>
      </c>
      <c r="J153" s="67">
        <f t="shared" si="22"/>
        <v>0</v>
      </c>
      <c r="K153" s="67"/>
      <c r="L153" s="130"/>
      <c r="M153" s="67">
        <f t="shared" si="23"/>
        <v>0</v>
      </c>
      <c r="N153" s="130"/>
      <c r="O153" s="67">
        <f t="shared" si="24"/>
        <v>0</v>
      </c>
      <c r="P153" s="67">
        <f t="shared" si="25"/>
        <v>0</v>
      </c>
    </row>
    <row r="154" spans="2:16">
      <c r="B154" t="str">
        <f t="shared" si="11"/>
        <v/>
      </c>
      <c r="C154" s="62">
        <f>IF(D94="","-",+C153+1)</f>
        <v>2074</v>
      </c>
      <c r="D154" s="647">
        <f>IF(F153+SUM(E$100:E153)=D$93,F153,D$93-SUM(E$100:E153))</f>
        <v>0</v>
      </c>
      <c r="E154" s="509">
        <f t="shared" si="16"/>
        <v>0</v>
      </c>
      <c r="F154" s="648">
        <f t="shared" si="17"/>
        <v>0</v>
      </c>
      <c r="G154" s="648">
        <f t="shared" si="18"/>
        <v>0</v>
      </c>
      <c r="H154" s="649">
        <f t="shared" si="19"/>
        <v>0</v>
      </c>
      <c r="I154" s="628">
        <f t="shared" si="20"/>
        <v>0</v>
      </c>
      <c r="J154" s="67">
        <f t="shared" si="22"/>
        <v>0</v>
      </c>
      <c r="K154" s="67"/>
      <c r="L154" s="130"/>
      <c r="M154" s="67">
        <f t="shared" si="23"/>
        <v>0</v>
      </c>
      <c r="N154" s="130"/>
      <c r="O154" s="67">
        <f t="shared" si="24"/>
        <v>0</v>
      </c>
      <c r="P154" s="67">
        <f t="shared" si="25"/>
        <v>0</v>
      </c>
    </row>
    <row r="155" spans="2:16" ht="13.5" thickBot="1">
      <c r="B155" t="str">
        <f t="shared" si="11"/>
        <v/>
      </c>
      <c r="C155" s="73">
        <f>IF(D94="","-",+C154+1)</f>
        <v>2075</v>
      </c>
      <c r="D155" s="650">
        <f>IF(F154+SUM(E$100:E154)=D$93,F154,D$93-SUM(E$100:E154))</f>
        <v>0</v>
      </c>
      <c r="E155" s="526">
        <f t="shared" si="16"/>
        <v>0</v>
      </c>
      <c r="F155" s="651">
        <f t="shared" si="17"/>
        <v>0</v>
      </c>
      <c r="G155" s="651">
        <f t="shared" si="18"/>
        <v>0</v>
      </c>
      <c r="H155" s="649">
        <f t="shared" si="19"/>
        <v>0</v>
      </c>
      <c r="I155" s="624">
        <f t="shared" si="20"/>
        <v>0</v>
      </c>
      <c r="J155" s="78">
        <f t="shared" si="22"/>
        <v>0</v>
      </c>
      <c r="K155" s="67"/>
      <c r="L155" s="131"/>
      <c r="M155" s="78">
        <f t="shared" si="23"/>
        <v>0</v>
      </c>
      <c r="N155" s="131"/>
      <c r="O155" s="78">
        <f t="shared" si="24"/>
        <v>0</v>
      </c>
      <c r="P155" s="78">
        <f t="shared" si="25"/>
        <v>0</v>
      </c>
    </row>
    <row r="156" spans="2:16">
      <c r="C156" s="63" t="s">
        <v>75</v>
      </c>
      <c r="D156" s="19"/>
      <c r="E156" s="19">
        <f>SUM(E100:E155)</f>
        <v>3608350</v>
      </c>
      <c r="F156" s="19"/>
      <c r="G156" s="19"/>
      <c r="H156" s="19">
        <f>SUM(H100:H155)</f>
        <v>8931168.7105161846</v>
      </c>
      <c r="I156" s="19">
        <f>SUM(I100:I155)</f>
        <v>8931168.7105161846</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conditionalFormatting sqref="C17:C71 C73">
    <cfRule type="cellIs" dxfId="17" priority="2" stopIfTrue="1" operator="equal">
      <formula>$I$10</formula>
    </cfRule>
  </conditionalFormatting>
  <conditionalFormatting sqref="C100:C155">
    <cfRule type="cellIs" dxfId="16" priority="3" stopIfTrue="1" operator="equal">
      <formula>$J$93</formula>
    </cfRule>
  </conditionalFormatting>
  <conditionalFormatting sqref="C72">
    <cfRule type="cellIs" dxfId="15" priority="1" stopIfTrue="1" operator="equal">
      <formula>$I$10</formula>
    </cfRule>
  </conditionalFormatting>
  <pageMargins left="0.5" right="0.25" top="1" bottom="0.5" header="0.25" footer="0.5"/>
  <pageSetup scale="47" orientation="landscape" r:id="rId1"/>
  <headerFooter>
    <oddHeader xml:space="preserve">&amp;R&amp;18AEPTCo - SPP Formula Rate
&amp;A TCOS - Worksheets F and G
Section IV -- (BPU Project Tables)
Page: &amp;P of &amp;N
</oddHeader>
    <oddFooter>&amp;L&amp;A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163"/>
  <sheetViews>
    <sheetView zoomScale="80" zoomScaleNormal="80" workbookViewId="0">
      <selection activeCell="D10" sqref="D10"/>
    </sheetView>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21 of 24</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539184.39064758178</v>
      </c>
      <c r="P5" s="1"/>
    </row>
    <row r="6" spans="1:16" ht="15.75">
      <c r="C6" s="8"/>
      <c r="D6" s="2"/>
      <c r="E6" s="1"/>
      <c r="F6" s="1"/>
      <c r="G6" s="1"/>
      <c r="H6" s="26"/>
      <c r="I6" s="26"/>
      <c r="J6" s="27"/>
      <c r="K6" s="28" t="s">
        <v>243</v>
      </c>
      <c r="L6" s="29"/>
      <c r="M6" s="4"/>
      <c r="N6" s="30">
        <f>VLOOKUP(I10,C17:I73,6)</f>
        <v>539184.39064758178</v>
      </c>
      <c r="O6" s="1"/>
      <c r="P6" s="1"/>
    </row>
    <row r="7" spans="1:16" ht="13.5" thickBot="1">
      <c r="C7" s="31" t="s">
        <v>46</v>
      </c>
      <c r="D7" s="637" t="s">
        <v>315</v>
      </c>
      <c r="E7" s="1"/>
      <c r="F7" s="1"/>
      <c r="G7" s="1"/>
      <c r="H7" s="3"/>
      <c r="I7" s="3"/>
      <c r="J7" s="19"/>
      <c r="K7" s="32" t="s">
        <v>47</v>
      </c>
      <c r="L7" s="33"/>
      <c r="M7" s="33"/>
      <c r="N7" s="34">
        <f>+N6-N5</f>
        <v>0</v>
      </c>
      <c r="O7" s="1"/>
      <c r="P7" s="1"/>
    </row>
    <row r="8" spans="1:16" ht="13.5" thickBot="1">
      <c r="C8" s="35"/>
      <c r="D8" s="35"/>
      <c r="E8" s="36"/>
      <c r="F8" s="36"/>
      <c r="G8" s="36"/>
      <c r="H8" s="36"/>
      <c r="I8" s="36"/>
      <c r="J8" s="15"/>
      <c r="K8" s="36"/>
      <c r="L8" s="36"/>
      <c r="M8" s="36"/>
      <c r="N8" s="36"/>
      <c r="O8" s="15"/>
      <c r="P8" s="9"/>
    </row>
    <row r="9" spans="1:16" ht="13.5" thickBot="1">
      <c r="C9" s="37" t="s">
        <v>48</v>
      </c>
      <c r="D9" s="106" t="s">
        <v>316</v>
      </c>
      <c r="E9" s="646" t="s">
        <v>320</v>
      </c>
      <c r="F9" s="38"/>
      <c r="G9" s="38"/>
      <c r="H9" s="38"/>
      <c r="I9" s="39"/>
      <c r="J9" s="40"/>
      <c r="O9" s="41"/>
      <c r="P9" s="4"/>
    </row>
    <row r="10" spans="1:16">
      <c r="C10" s="42" t="s">
        <v>49</v>
      </c>
      <c r="D10" s="43">
        <v>3900312.47</v>
      </c>
      <c r="E10" s="11" t="s">
        <v>50</v>
      </c>
      <c r="F10" s="41"/>
      <c r="G10" s="44"/>
      <c r="H10" s="44"/>
      <c r="I10" s="45">
        <f>+'OKT.WS.F.BPU.ATRR.Projected'!R101</f>
        <v>2024</v>
      </c>
      <c r="J10" s="40"/>
      <c r="K10" s="19" t="s">
        <v>51</v>
      </c>
      <c r="O10" s="4"/>
      <c r="P10" s="4"/>
    </row>
    <row r="11" spans="1:16">
      <c r="C11" s="46" t="s">
        <v>52</v>
      </c>
      <c r="D11" s="47">
        <v>2022</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6</v>
      </c>
      <c r="E12" s="46" t="s">
        <v>55</v>
      </c>
      <c r="F12" s="44"/>
      <c r="G12" s="7"/>
      <c r="H12" s="7"/>
      <c r="I12" s="50">
        <f>'OKT.WS.F.BPU.ATRR.Projected'!$F$79</f>
        <v>0.11393163315254198</v>
      </c>
      <c r="J12" s="51"/>
      <c r="K12" t="s">
        <v>56</v>
      </c>
      <c r="O12" s="4"/>
      <c r="P12" s="4"/>
    </row>
    <row r="13" spans="1:16">
      <c r="C13" s="46" t="s">
        <v>57</v>
      </c>
      <c r="D13" s="48">
        <f>+'OKT.WS.F.BPU.ATRR.Projected'!F$90</f>
        <v>31</v>
      </c>
      <c r="E13" s="46" t="s">
        <v>58</v>
      </c>
      <c r="F13" s="44"/>
      <c r="G13" s="7"/>
      <c r="H13" s="7"/>
      <c r="I13" s="50">
        <f>IF(G5="",I12,'OKT.WS.F.BPU.ATRR.Projected'!$F$78)</f>
        <v>0.11393163315254198</v>
      </c>
      <c r="J13" s="51"/>
      <c r="K13" s="19" t="s">
        <v>59</v>
      </c>
      <c r="L13" s="10"/>
      <c r="M13" s="10"/>
      <c r="N13" s="10"/>
      <c r="O13" s="4"/>
      <c r="P13" s="4"/>
    </row>
    <row r="14" spans="1:16" ht="13.5" thickBot="1">
      <c r="C14" s="46" t="s">
        <v>60</v>
      </c>
      <c r="D14" s="47" t="s">
        <v>61</v>
      </c>
      <c r="E14" s="4" t="s">
        <v>62</v>
      </c>
      <c r="F14" s="44"/>
      <c r="G14" s="7"/>
      <c r="H14" s="7"/>
      <c r="I14" s="52">
        <f>IF(D10=0,0,D10/D13)</f>
        <v>125816.53129032259</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67">
        <f>IF(D11= "","-",D11)</f>
        <v>2022</v>
      </c>
      <c r="D17" s="641">
        <v>0</v>
      </c>
      <c r="E17" s="642">
        <v>10694.898989898989</v>
      </c>
      <c r="F17" s="643">
        <v>2106895.1010101009</v>
      </c>
      <c r="G17" s="642">
        <v>131587.24825136422</v>
      </c>
      <c r="H17" s="644">
        <v>131587.24825136422</v>
      </c>
      <c r="I17" s="65">
        <f t="shared" ref="I17:I71" si="1">H17-G17</f>
        <v>0</v>
      </c>
      <c r="J17" s="65"/>
      <c r="K17" s="501">
        <f>+G17</f>
        <v>131587.24825136422</v>
      </c>
      <c r="L17" s="503">
        <f t="shared" ref="L17" si="2">IF(K17&lt;&gt;0,+G17-K17,0)</f>
        <v>0</v>
      </c>
      <c r="M17" s="501">
        <f>+H17</f>
        <v>131587.24825136422</v>
      </c>
      <c r="N17" s="66">
        <f t="shared" ref="N17:N71" si="3">IF(M17&lt;&gt;0,+H17-M17,0)</f>
        <v>0</v>
      </c>
      <c r="O17" s="67">
        <f t="shared" ref="O17:O71" si="4">+N17-L17</f>
        <v>0</v>
      </c>
      <c r="P17" s="4"/>
    </row>
    <row r="18" spans="2:16">
      <c r="B18" t="str">
        <f t="shared" si="0"/>
        <v>IU</v>
      </c>
      <c r="C18" s="62">
        <f>IF(D11="","-",+C17+1)</f>
        <v>2023</v>
      </c>
      <c r="D18" s="614">
        <v>6142792.1010101009</v>
      </c>
      <c r="E18" s="613">
        <v>198499.5806451613</v>
      </c>
      <c r="F18" s="614">
        <v>5944292.5203649392</v>
      </c>
      <c r="G18" s="613">
        <v>881618.42255373427</v>
      </c>
      <c r="H18" s="617">
        <v>881618.42255373427</v>
      </c>
      <c r="I18" s="65">
        <f t="shared" si="1"/>
        <v>0</v>
      </c>
      <c r="J18" s="65"/>
      <c r="K18" s="130"/>
      <c r="L18" s="67">
        <f t="shared" ref="L18:L71" si="5">IF(K18&lt;&gt;0,+G18-K18,0)</f>
        <v>0</v>
      </c>
      <c r="M18" s="130"/>
      <c r="N18" s="67">
        <f t="shared" si="3"/>
        <v>0</v>
      </c>
      <c r="O18" s="67">
        <f t="shared" si="4"/>
        <v>0</v>
      </c>
      <c r="P18" s="4"/>
    </row>
    <row r="19" spans="2:16">
      <c r="B19" t="str">
        <f t="shared" si="0"/>
        <v>IU</v>
      </c>
      <c r="C19" s="62">
        <f>IF(D11="","-",+C18+1)</f>
        <v>2024</v>
      </c>
      <c r="D19" s="71">
        <f>IF(F18+SUM(E$17:E18)=D$10,F18,D$10-SUM(E$17:E18))</f>
        <v>3691117.9903649399</v>
      </c>
      <c r="E19" s="69">
        <f t="shared" ref="E19:E71" si="6">IF(+I$14&lt;F18,I$14,D19)</f>
        <v>125816.53129032259</v>
      </c>
      <c r="F19" s="68">
        <f t="shared" ref="F19:F71" si="7">+D19-E19</f>
        <v>3565301.4590746174</v>
      </c>
      <c r="G19" s="70">
        <f t="shared" ref="G19:G71" si="8">(D19+F19)/2*I$12+E19</f>
        <v>539184.39064758178</v>
      </c>
      <c r="H19" s="52">
        <f t="shared" ref="H19:H71" si="9">+(D19+F19)/2*I$13+E19</f>
        <v>539184.39064758178</v>
      </c>
      <c r="I19" s="65">
        <f t="shared" si="1"/>
        <v>0</v>
      </c>
      <c r="J19" s="65"/>
      <c r="K19" s="130"/>
      <c r="L19" s="67">
        <f t="shared" si="5"/>
        <v>0</v>
      </c>
      <c r="M19" s="130"/>
      <c r="N19" s="67">
        <f t="shared" si="3"/>
        <v>0</v>
      </c>
      <c r="O19" s="67">
        <f t="shared" si="4"/>
        <v>0</v>
      </c>
      <c r="P19" s="4"/>
    </row>
    <row r="20" spans="2:16">
      <c r="B20" t="str">
        <f t="shared" si="0"/>
        <v/>
      </c>
      <c r="C20" s="62">
        <f>IF(D11="","-",+C19+1)</f>
        <v>2025</v>
      </c>
      <c r="D20" s="71">
        <f>IF(F19+SUM(E$17:E19)=D$10,F19,D$10-SUM(E$17:E19))</f>
        <v>3565301.4590746174</v>
      </c>
      <c r="E20" s="69">
        <f t="shared" si="6"/>
        <v>125816.53129032259</v>
      </c>
      <c r="F20" s="68">
        <f t="shared" si="7"/>
        <v>3439484.9277842948</v>
      </c>
      <c r="G20" s="70">
        <f t="shared" si="8"/>
        <v>524849.9077600874</v>
      </c>
      <c r="H20" s="52">
        <f t="shared" si="9"/>
        <v>524849.9077600874</v>
      </c>
      <c r="I20" s="65">
        <f t="shared" si="1"/>
        <v>0</v>
      </c>
      <c r="J20" s="65"/>
      <c r="K20" s="130"/>
      <c r="L20" s="67">
        <f t="shared" si="5"/>
        <v>0</v>
      </c>
      <c r="M20" s="130"/>
      <c r="N20" s="67">
        <f t="shared" si="3"/>
        <v>0</v>
      </c>
      <c r="O20" s="67">
        <f t="shared" si="4"/>
        <v>0</v>
      </c>
      <c r="P20" s="4"/>
    </row>
    <row r="21" spans="2:16">
      <c r="B21" t="str">
        <f t="shared" si="0"/>
        <v/>
      </c>
      <c r="C21" s="62">
        <f>IF(D11="","-",+C20+1)</f>
        <v>2026</v>
      </c>
      <c r="D21" s="71">
        <f>IF(F20+SUM(E$17:E20)=D$10,F20,D$10-SUM(E$17:E20))</f>
        <v>3439484.9277842948</v>
      </c>
      <c r="E21" s="69">
        <f t="shared" si="6"/>
        <v>125816.53129032259</v>
      </c>
      <c r="F21" s="68">
        <f t="shared" si="7"/>
        <v>3313668.3964939723</v>
      </c>
      <c r="G21" s="70">
        <f t="shared" si="8"/>
        <v>510515.42487259308</v>
      </c>
      <c r="H21" s="52">
        <f t="shared" si="9"/>
        <v>510515.42487259308</v>
      </c>
      <c r="I21" s="65">
        <f t="shared" si="1"/>
        <v>0</v>
      </c>
      <c r="J21" s="65"/>
      <c r="K21" s="130"/>
      <c r="L21" s="67">
        <f t="shared" si="5"/>
        <v>0</v>
      </c>
      <c r="M21" s="130"/>
      <c r="N21" s="67">
        <f t="shared" si="3"/>
        <v>0</v>
      </c>
      <c r="O21" s="67">
        <f t="shared" si="4"/>
        <v>0</v>
      </c>
      <c r="P21" s="4"/>
    </row>
    <row r="22" spans="2:16">
      <c r="B22" t="str">
        <f t="shared" si="0"/>
        <v/>
      </c>
      <c r="C22" s="62">
        <f>IF(D11="","-",+C21+1)</f>
        <v>2027</v>
      </c>
      <c r="D22" s="71">
        <f>IF(F21+SUM(E$17:E21)=D$10,F21,D$10-SUM(E$17:E21))</f>
        <v>3313668.3964939723</v>
      </c>
      <c r="E22" s="69">
        <f t="shared" si="6"/>
        <v>125816.53129032259</v>
      </c>
      <c r="F22" s="68">
        <f t="shared" si="7"/>
        <v>3187851.8652036497</v>
      </c>
      <c r="G22" s="70">
        <f t="shared" si="8"/>
        <v>496180.9419850987</v>
      </c>
      <c r="H22" s="52">
        <f t="shared" si="9"/>
        <v>496180.9419850987</v>
      </c>
      <c r="I22" s="65">
        <f t="shared" si="1"/>
        <v>0</v>
      </c>
      <c r="J22" s="65"/>
      <c r="K22" s="130"/>
      <c r="L22" s="67">
        <f t="shared" si="5"/>
        <v>0</v>
      </c>
      <c r="M22" s="130"/>
      <c r="N22" s="67">
        <f t="shared" si="3"/>
        <v>0</v>
      </c>
      <c r="O22" s="67">
        <f t="shared" si="4"/>
        <v>0</v>
      </c>
      <c r="P22" s="4"/>
    </row>
    <row r="23" spans="2:16">
      <c r="B23" t="str">
        <f t="shared" si="0"/>
        <v/>
      </c>
      <c r="C23" s="62">
        <f>IF(D11="","-",+C22+1)</f>
        <v>2028</v>
      </c>
      <c r="D23" s="71">
        <f>IF(F22+SUM(E$17:E22)=D$10,F22,D$10-SUM(E$17:E22))</f>
        <v>3187851.8652036497</v>
      </c>
      <c r="E23" s="69">
        <f t="shared" si="6"/>
        <v>125816.53129032259</v>
      </c>
      <c r="F23" s="68">
        <f t="shared" si="7"/>
        <v>3062035.3339133272</v>
      </c>
      <c r="G23" s="70">
        <f t="shared" si="8"/>
        <v>481846.45909760438</v>
      </c>
      <c r="H23" s="52">
        <f t="shared" si="9"/>
        <v>481846.45909760438</v>
      </c>
      <c r="I23" s="65">
        <f t="shared" si="1"/>
        <v>0</v>
      </c>
      <c r="J23" s="65"/>
      <c r="K23" s="130"/>
      <c r="L23" s="67">
        <f t="shared" si="5"/>
        <v>0</v>
      </c>
      <c r="M23" s="130"/>
      <c r="N23" s="67">
        <f t="shared" si="3"/>
        <v>0</v>
      </c>
      <c r="O23" s="67">
        <f t="shared" si="4"/>
        <v>0</v>
      </c>
      <c r="P23" s="4"/>
    </row>
    <row r="24" spans="2:16">
      <c r="B24" t="str">
        <f t="shared" si="0"/>
        <v/>
      </c>
      <c r="C24" s="62">
        <f>IF(D11="","-",+C23+1)</f>
        <v>2029</v>
      </c>
      <c r="D24" s="71">
        <f>IF(F23+SUM(E$17:E23)=D$10,F23,D$10-SUM(E$17:E23))</f>
        <v>3062035.3339133272</v>
      </c>
      <c r="E24" s="69">
        <f t="shared" si="6"/>
        <v>125816.53129032259</v>
      </c>
      <c r="F24" s="68">
        <f t="shared" si="7"/>
        <v>2936218.8026230047</v>
      </c>
      <c r="G24" s="70">
        <f t="shared" si="8"/>
        <v>467511.97621011001</v>
      </c>
      <c r="H24" s="52">
        <f t="shared" si="9"/>
        <v>467511.97621011001</v>
      </c>
      <c r="I24" s="65">
        <f t="shared" si="1"/>
        <v>0</v>
      </c>
      <c r="J24" s="65"/>
      <c r="K24" s="130"/>
      <c r="L24" s="67">
        <f t="shared" si="5"/>
        <v>0</v>
      </c>
      <c r="M24" s="130"/>
      <c r="N24" s="67">
        <f t="shared" si="3"/>
        <v>0</v>
      </c>
      <c r="O24" s="67">
        <f t="shared" si="4"/>
        <v>0</v>
      </c>
      <c r="P24" s="4"/>
    </row>
    <row r="25" spans="2:16">
      <c r="B25" t="str">
        <f t="shared" si="0"/>
        <v/>
      </c>
      <c r="C25" s="62">
        <f>IF(D11="","-",+C24+1)</f>
        <v>2030</v>
      </c>
      <c r="D25" s="71">
        <f>IF(F24+SUM(E$17:E24)=D$10,F24,D$10-SUM(E$17:E24))</f>
        <v>2936218.8026230047</v>
      </c>
      <c r="E25" s="69">
        <f t="shared" si="6"/>
        <v>125816.53129032259</v>
      </c>
      <c r="F25" s="68">
        <f t="shared" si="7"/>
        <v>2810402.2713326821</v>
      </c>
      <c r="G25" s="70">
        <f t="shared" si="8"/>
        <v>453177.49332261569</v>
      </c>
      <c r="H25" s="52">
        <f t="shared" si="9"/>
        <v>453177.49332261569</v>
      </c>
      <c r="I25" s="65">
        <f t="shared" si="1"/>
        <v>0</v>
      </c>
      <c r="J25" s="65"/>
      <c r="K25" s="130"/>
      <c r="L25" s="67">
        <f t="shared" si="5"/>
        <v>0</v>
      </c>
      <c r="M25" s="130"/>
      <c r="N25" s="67">
        <f t="shared" si="3"/>
        <v>0</v>
      </c>
      <c r="O25" s="67">
        <f t="shared" si="4"/>
        <v>0</v>
      </c>
      <c r="P25" s="4"/>
    </row>
    <row r="26" spans="2:16">
      <c r="B26" t="str">
        <f t="shared" si="0"/>
        <v/>
      </c>
      <c r="C26" s="62">
        <f>IF(D11="","-",+C25+1)</f>
        <v>2031</v>
      </c>
      <c r="D26" s="71">
        <f>IF(F25+SUM(E$17:E25)=D$10,F25,D$10-SUM(E$17:E25))</f>
        <v>2810402.2713326821</v>
      </c>
      <c r="E26" s="69">
        <f t="shared" si="6"/>
        <v>125816.53129032259</v>
      </c>
      <c r="F26" s="68">
        <f t="shared" si="7"/>
        <v>2684585.7400423596</v>
      </c>
      <c r="G26" s="70">
        <f t="shared" si="8"/>
        <v>438843.01043512131</v>
      </c>
      <c r="H26" s="52">
        <f t="shared" si="9"/>
        <v>438843.01043512131</v>
      </c>
      <c r="I26" s="65">
        <f t="shared" si="1"/>
        <v>0</v>
      </c>
      <c r="J26" s="65"/>
      <c r="K26" s="130"/>
      <c r="L26" s="67">
        <f t="shared" si="5"/>
        <v>0</v>
      </c>
      <c r="M26" s="130"/>
      <c r="N26" s="67">
        <f t="shared" si="3"/>
        <v>0</v>
      </c>
      <c r="O26" s="67">
        <f t="shared" si="4"/>
        <v>0</v>
      </c>
      <c r="P26" s="4"/>
    </row>
    <row r="27" spans="2:16">
      <c r="B27" t="str">
        <f t="shared" si="0"/>
        <v/>
      </c>
      <c r="C27" s="62">
        <f>IF(D11="","-",+C26+1)</f>
        <v>2032</v>
      </c>
      <c r="D27" s="71">
        <f>IF(F26+SUM(E$17:E26)=D$10,F26,D$10-SUM(E$17:E26))</f>
        <v>2684585.7400423596</v>
      </c>
      <c r="E27" s="69">
        <f t="shared" si="6"/>
        <v>125816.53129032259</v>
      </c>
      <c r="F27" s="68">
        <f t="shared" si="7"/>
        <v>2558769.208752037</v>
      </c>
      <c r="G27" s="70">
        <f t="shared" si="8"/>
        <v>424508.52754762699</v>
      </c>
      <c r="H27" s="52">
        <f t="shared" si="9"/>
        <v>424508.52754762699</v>
      </c>
      <c r="I27" s="65">
        <f t="shared" si="1"/>
        <v>0</v>
      </c>
      <c r="J27" s="65"/>
      <c r="K27" s="130"/>
      <c r="L27" s="67">
        <f t="shared" si="5"/>
        <v>0</v>
      </c>
      <c r="M27" s="130"/>
      <c r="N27" s="67">
        <f t="shared" si="3"/>
        <v>0</v>
      </c>
      <c r="O27" s="67">
        <f t="shared" si="4"/>
        <v>0</v>
      </c>
      <c r="P27" s="4"/>
    </row>
    <row r="28" spans="2:16">
      <c r="B28" t="str">
        <f t="shared" si="0"/>
        <v/>
      </c>
      <c r="C28" s="62">
        <f>IF(D11="","-",+C27+1)</f>
        <v>2033</v>
      </c>
      <c r="D28" s="71">
        <f>IF(F27+SUM(E$17:E27)=D$10,F27,D$10-SUM(E$17:E27))</f>
        <v>2558769.208752037</v>
      </c>
      <c r="E28" s="69">
        <f t="shared" si="6"/>
        <v>125816.53129032259</v>
      </c>
      <c r="F28" s="68">
        <f t="shared" si="7"/>
        <v>2432952.6774617145</v>
      </c>
      <c r="G28" s="70">
        <f t="shared" si="8"/>
        <v>410174.04466013261</v>
      </c>
      <c r="H28" s="52">
        <f t="shared" si="9"/>
        <v>410174.04466013261</v>
      </c>
      <c r="I28" s="65">
        <f t="shared" si="1"/>
        <v>0</v>
      </c>
      <c r="J28" s="65"/>
      <c r="K28" s="130"/>
      <c r="L28" s="67">
        <f t="shared" si="5"/>
        <v>0</v>
      </c>
      <c r="M28" s="130"/>
      <c r="N28" s="67">
        <f t="shared" si="3"/>
        <v>0</v>
      </c>
      <c r="O28" s="67">
        <f t="shared" si="4"/>
        <v>0</v>
      </c>
      <c r="P28" s="4"/>
    </row>
    <row r="29" spans="2:16">
      <c r="B29" t="str">
        <f t="shared" si="0"/>
        <v/>
      </c>
      <c r="C29" s="62">
        <f>IF(D11="","-",+C28+1)</f>
        <v>2034</v>
      </c>
      <c r="D29" s="71">
        <f>IF(F28+SUM(E$17:E28)=D$10,F28,D$10-SUM(E$17:E28))</f>
        <v>2432952.6774617145</v>
      </c>
      <c r="E29" s="69">
        <f t="shared" si="6"/>
        <v>125816.53129032259</v>
      </c>
      <c r="F29" s="68">
        <f t="shared" si="7"/>
        <v>2307136.1461713919</v>
      </c>
      <c r="G29" s="70">
        <f t="shared" si="8"/>
        <v>395839.56177263829</v>
      </c>
      <c r="H29" s="52">
        <f t="shared" si="9"/>
        <v>395839.56177263829</v>
      </c>
      <c r="I29" s="65">
        <f t="shared" si="1"/>
        <v>0</v>
      </c>
      <c r="J29" s="65"/>
      <c r="K29" s="130"/>
      <c r="L29" s="67">
        <f t="shared" si="5"/>
        <v>0</v>
      </c>
      <c r="M29" s="130"/>
      <c r="N29" s="67">
        <f t="shared" si="3"/>
        <v>0</v>
      </c>
      <c r="O29" s="67">
        <f t="shared" si="4"/>
        <v>0</v>
      </c>
      <c r="P29" s="4"/>
    </row>
    <row r="30" spans="2:16">
      <c r="B30" t="str">
        <f t="shared" si="0"/>
        <v/>
      </c>
      <c r="C30" s="62">
        <f>IF(D11="","-",+C29+1)</f>
        <v>2035</v>
      </c>
      <c r="D30" s="71">
        <f>IF(F29+SUM(E$17:E29)=D$10,F29,D$10-SUM(E$17:E29))</f>
        <v>2307136.1461713919</v>
      </c>
      <c r="E30" s="69">
        <f t="shared" si="6"/>
        <v>125816.53129032259</v>
      </c>
      <c r="F30" s="68">
        <f t="shared" si="7"/>
        <v>2181319.6148810694</v>
      </c>
      <c r="G30" s="70">
        <f t="shared" si="8"/>
        <v>381505.07888514391</v>
      </c>
      <c r="H30" s="52">
        <f t="shared" si="9"/>
        <v>381505.07888514391</v>
      </c>
      <c r="I30" s="65">
        <f t="shared" si="1"/>
        <v>0</v>
      </c>
      <c r="J30" s="65"/>
      <c r="K30" s="130"/>
      <c r="L30" s="67">
        <f t="shared" si="5"/>
        <v>0</v>
      </c>
      <c r="M30" s="130"/>
      <c r="N30" s="67">
        <f t="shared" si="3"/>
        <v>0</v>
      </c>
      <c r="O30" s="67">
        <f t="shared" si="4"/>
        <v>0</v>
      </c>
      <c r="P30" s="4"/>
    </row>
    <row r="31" spans="2:16">
      <c r="B31" t="str">
        <f t="shared" si="0"/>
        <v/>
      </c>
      <c r="C31" s="62">
        <f>IF(D11="","-",+C30+1)</f>
        <v>2036</v>
      </c>
      <c r="D31" s="71">
        <f>IF(F30+SUM(E$17:E30)=D$10,F30,D$10-SUM(E$17:E30))</f>
        <v>2181319.6148810694</v>
      </c>
      <c r="E31" s="69">
        <f t="shared" si="6"/>
        <v>125816.53129032259</v>
      </c>
      <c r="F31" s="68">
        <f t="shared" si="7"/>
        <v>2055503.0835907469</v>
      </c>
      <c r="G31" s="70">
        <f t="shared" si="8"/>
        <v>367170.59599764959</v>
      </c>
      <c r="H31" s="52">
        <f t="shared" si="9"/>
        <v>367170.59599764959</v>
      </c>
      <c r="I31" s="65">
        <f t="shared" si="1"/>
        <v>0</v>
      </c>
      <c r="J31" s="65"/>
      <c r="K31" s="130"/>
      <c r="L31" s="67">
        <f t="shared" si="5"/>
        <v>0</v>
      </c>
      <c r="M31" s="130"/>
      <c r="N31" s="67">
        <f t="shared" si="3"/>
        <v>0</v>
      </c>
      <c r="O31" s="67">
        <f t="shared" si="4"/>
        <v>0</v>
      </c>
      <c r="P31" s="4"/>
    </row>
    <row r="32" spans="2:16">
      <c r="B32" t="str">
        <f t="shared" si="0"/>
        <v/>
      </c>
      <c r="C32" s="62">
        <f>IF(D11="","-",+C31+1)</f>
        <v>2037</v>
      </c>
      <c r="D32" s="71">
        <f>IF(F31+SUM(E$17:E31)=D$10,F31,D$10-SUM(E$17:E31))</f>
        <v>2055503.0835907469</v>
      </c>
      <c r="E32" s="69">
        <f t="shared" si="6"/>
        <v>125816.53129032259</v>
      </c>
      <c r="F32" s="68">
        <f t="shared" si="7"/>
        <v>1929686.5523004243</v>
      </c>
      <c r="G32" s="70">
        <f t="shared" si="8"/>
        <v>352836.11311015522</v>
      </c>
      <c r="H32" s="52">
        <f t="shared" si="9"/>
        <v>352836.11311015522</v>
      </c>
      <c r="I32" s="65">
        <f t="shared" si="1"/>
        <v>0</v>
      </c>
      <c r="J32" s="65"/>
      <c r="K32" s="130"/>
      <c r="L32" s="67">
        <f t="shared" si="5"/>
        <v>0</v>
      </c>
      <c r="M32" s="130"/>
      <c r="N32" s="67">
        <f t="shared" si="3"/>
        <v>0</v>
      </c>
      <c r="O32" s="67">
        <f t="shared" si="4"/>
        <v>0</v>
      </c>
      <c r="P32" s="4"/>
    </row>
    <row r="33" spans="2:16">
      <c r="B33" t="str">
        <f t="shared" si="0"/>
        <v/>
      </c>
      <c r="C33" s="62">
        <f>IF(D11="","-",+C32+1)</f>
        <v>2038</v>
      </c>
      <c r="D33" s="71">
        <f>IF(F32+SUM(E$17:E32)=D$10,F32,D$10-SUM(E$17:E32))</f>
        <v>1929686.5523004243</v>
      </c>
      <c r="E33" s="69">
        <f t="shared" si="6"/>
        <v>125816.53129032259</v>
      </c>
      <c r="F33" s="68">
        <f t="shared" si="7"/>
        <v>1803870.0210101018</v>
      </c>
      <c r="G33" s="70">
        <f t="shared" si="8"/>
        <v>338501.6302226609</v>
      </c>
      <c r="H33" s="52">
        <f t="shared" si="9"/>
        <v>338501.6302226609</v>
      </c>
      <c r="I33" s="65">
        <f t="shared" si="1"/>
        <v>0</v>
      </c>
      <c r="J33" s="65"/>
      <c r="K33" s="130"/>
      <c r="L33" s="67">
        <f t="shared" si="5"/>
        <v>0</v>
      </c>
      <c r="M33" s="130"/>
      <c r="N33" s="67">
        <f t="shared" si="3"/>
        <v>0</v>
      </c>
      <c r="O33" s="67">
        <f t="shared" si="4"/>
        <v>0</v>
      </c>
      <c r="P33" s="4"/>
    </row>
    <row r="34" spans="2:16">
      <c r="B34" t="str">
        <f t="shared" si="0"/>
        <v/>
      </c>
      <c r="C34" s="62">
        <f>IF(D11="","-",+C33+1)</f>
        <v>2039</v>
      </c>
      <c r="D34" s="71">
        <f>IF(F33+SUM(E$17:E33)=D$10,F33,D$10-SUM(E$17:E33))</f>
        <v>1803870.0210101018</v>
      </c>
      <c r="E34" s="69">
        <f t="shared" si="6"/>
        <v>125816.53129032259</v>
      </c>
      <c r="F34" s="68">
        <f t="shared" si="7"/>
        <v>1678053.4897197792</v>
      </c>
      <c r="G34" s="70">
        <f t="shared" si="8"/>
        <v>324167.14733516652</v>
      </c>
      <c r="H34" s="52">
        <f t="shared" si="9"/>
        <v>324167.14733516652</v>
      </c>
      <c r="I34" s="65">
        <f t="shared" si="1"/>
        <v>0</v>
      </c>
      <c r="J34" s="65"/>
      <c r="K34" s="130"/>
      <c r="L34" s="67">
        <f t="shared" si="5"/>
        <v>0</v>
      </c>
      <c r="M34" s="130"/>
      <c r="N34" s="67">
        <f t="shared" si="3"/>
        <v>0</v>
      </c>
      <c r="O34" s="67">
        <f t="shared" si="4"/>
        <v>0</v>
      </c>
      <c r="P34" s="4"/>
    </row>
    <row r="35" spans="2:16">
      <c r="B35" t="str">
        <f t="shared" si="0"/>
        <v/>
      </c>
      <c r="C35" s="62">
        <f>IF(D11="","-",+C34+1)</f>
        <v>2040</v>
      </c>
      <c r="D35" s="71">
        <f>IF(F34+SUM(E$17:E34)=D$10,F34,D$10-SUM(E$17:E34))</f>
        <v>1678053.4897197792</v>
      </c>
      <c r="E35" s="69">
        <f t="shared" si="6"/>
        <v>125816.53129032259</v>
      </c>
      <c r="F35" s="68">
        <f t="shared" si="7"/>
        <v>1552236.9584294567</v>
      </c>
      <c r="G35" s="70">
        <f t="shared" si="8"/>
        <v>309832.6644476722</v>
      </c>
      <c r="H35" s="52">
        <f t="shared" si="9"/>
        <v>309832.6644476722</v>
      </c>
      <c r="I35" s="65">
        <f t="shared" si="1"/>
        <v>0</v>
      </c>
      <c r="J35" s="65"/>
      <c r="K35" s="130"/>
      <c r="L35" s="67">
        <f t="shared" si="5"/>
        <v>0</v>
      </c>
      <c r="M35" s="130"/>
      <c r="N35" s="67">
        <f t="shared" si="3"/>
        <v>0</v>
      </c>
      <c r="O35" s="67">
        <f t="shared" si="4"/>
        <v>0</v>
      </c>
      <c r="P35" s="4"/>
    </row>
    <row r="36" spans="2:16">
      <c r="B36" t="str">
        <f t="shared" si="0"/>
        <v/>
      </c>
      <c r="C36" s="62">
        <f>IF(D11="","-",+C35+1)</f>
        <v>2041</v>
      </c>
      <c r="D36" s="71">
        <f>IF(F35+SUM(E$17:E35)=D$10,F35,D$10-SUM(E$17:E35))</f>
        <v>1552236.9584294567</v>
      </c>
      <c r="E36" s="69">
        <f t="shared" si="6"/>
        <v>125816.53129032259</v>
      </c>
      <c r="F36" s="68">
        <f t="shared" si="7"/>
        <v>1426420.4271391341</v>
      </c>
      <c r="G36" s="70">
        <f t="shared" si="8"/>
        <v>295498.18156017782</v>
      </c>
      <c r="H36" s="52">
        <f t="shared" si="9"/>
        <v>295498.18156017782</v>
      </c>
      <c r="I36" s="65">
        <f t="shared" si="1"/>
        <v>0</v>
      </c>
      <c r="J36" s="65"/>
      <c r="K36" s="130"/>
      <c r="L36" s="67">
        <f t="shared" si="5"/>
        <v>0</v>
      </c>
      <c r="M36" s="130"/>
      <c r="N36" s="67">
        <f t="shared" si="3"/>
        <v>0</v>
      </c>
      <c r="O36" s="67">
        <f t="shared" si="4"/>
        <v>0</v>
      </c>
      <c r="P36" s="4"/>
    </row>
    <row r="37" spans="2:16">
      <c r="B37" t="str">
        <f t="shared" si="0"/>
        <v/>
      </c>
      <c r="C37" s="62">
        <f>IF(D11="","-",+C36+1)</f>
        <v>2042</v>
      </c>
      <c r="D37" s="71">
        <f>IF(F36+SUM(E$17:E36)=D$10,F36,D$10-SUM(E$17:E36))</f>
        <v>1426420.4271391341</v>
      </c>
      <c r="E37" s="69">
        <f t="shared" si="6"/>
        <v>125816.53129032259</v>
      </c>
      <c r="F37" s="68">
        <f t="shared" si="7"/>
        <v>1300603.8958488116</v>
      </c>
      <c r="G37" s="70">
        <f t="shared" si="8"/>
        <v>281163.6986726835</v>
      </c>
      <c r="H37" s="52">
        <f t="shared" si="9"/>
        <v>281163.6986726835</v>
      </c>
      <c r="I37" s="65">
        <f t="shared" si="1"/>
        <v>0</v>
      </c>
      <c r="J37" s="65"/>
      <c r="K37" s="130"/>
      <c r="L37" s="67">
        <f t="shared" si="5"/>
        <v>0</v>
      </c>
      <c r="M37" s="130"/>
      <c r="N37" s="67">
        <f t="shared" si="3"/>
        <v>0</v>
      </c>
      <c r="O37" s="67">
        <f t="shared" si="4"/>
        <v>0</v>
      </c>
      <c r="P37" s="4"/>
    </row>
    <row r="38" spans="2:16">
      <c r="B38" t="str">
        <f t="shared" si="0"/>
        <v/>
      </c>
      <c r="C38" s="62">
        <f>IF(D11="","-",+C37+1)</f>
        <v>2043</v>
      </c>
      <c r="D38" s="71">
        <f>IF(F37+SUM(E$17:E37)=D$10,F37,D$10-SUM(E$17:E37))</f>
        <v>1300603.8958488116</v>
      </c>
      <c r="E38" s="69">
        <f t="shared" si="6"/>
        <v>125816.53129032259</v>
      </c>
      <c r="F38" s="68">
        <f t="shared" si="7"/>
        <v>1174787.3645584891</v>
      </c>
      <c r="G38" s="70">
        <f t="shared" si="8"/>
        <v>266829.21578518912</v>
      </c>
      <c r="H38" s="52">
        <f t="shared" si="9"/>
        <v>266829.21578518912</v>
      </c>
      <c r="I38" s="65">
        <f t="shared" si="1"/>
        <v>0</v>
      </c>
      <c r="J38" s="65"/>
      <c r="K38" s="130"/>
      <c r="L38" s="67">
        <f t="shared" si="5"/>
        <v>0</v>
      </c>
      <c r="M38" s="130"/>
      <c r="N38" s="67">
        <f t="shared" si="3"/>
        <v>0</v>
      </c>
      <c r="O38" s="67">
        <f t="shared" si="4"/>
        <v>0</v>
      </c>
      <c r="P38" s="4"/>
    </row>
    <row r="39" spans="2:16">
      <c r="B39" t="str">
        <f t="shared" si="0"/>
        <v/>
      </c>
      <c r="C39" s="62">
        <f>IF(D11="","-",+C38+1)</f>
        <v>2044</v>
      </c>
      <c r="D39" s="71">
        <f>IF(F38+SUM(E$17:E38)=D$10,F38,D$10-SUM(E$17:E38))</f>
        <v>1174787.3645584891</v>
      </c>
      <c r="E39" s="69">
        <f t="shared" si="6"/>
        <v>125816.53129032259</v>
      </c>
      <c r="F39" s="68">
        <f t="shared" si="7"/>
        <v>1048970.8332681665</v>
      </c>
      <c r="G39" s="70">
        <f t="shared" si="8"/>
        <v>252494.7328976948</v>
      </c>
      <c r="H39" s="52">
        <f t="shared" si="9"/>
        <v>252494.7328976948</v>
      </c>
      <c r="I39" s="65">
        <f t="shared" si="1"/>
        <v>0</v>
      </c>
      <c r="J39" s="65"/>
      <c r="K39" s="130"/>
      <c r="L39" s="67">
        <f t="shared" si="5"/>
        <v>0</v>
      </c>
      <c r="M39" s="130"/>
      <c r="N39" s="67">
        <f t="shared" si="3"/>
        <v>0</v>
      </c>
      <c r="O39" s="67">
        <f t="shared" si="4"/>
        <v>0</v>
      </c>
      <c r="P39" s="4"/>
    </row>
    <row r="40" spans="2:16">
      <c r="B40" t="str">
        <f t="shared" si="0"/>
        <v/>
      </c>
      <c r="C40" s="62">
        <f>IF(D11="","-",+C39+1)</f>
        <v>2045</v>
      </c>
      <c r="D40" s="71">
        <f>IF(F39+SUM(E$17:E39)=D$10,F39,D$10-SUM(E$17:E39))</f>
        <v>1048970.8332681665</v>
      </c>
      <c r="E40" s="69">
        <f t="shared" si="6"/>
        <v>125816.53129032259</v>
      </c>
      <c r="F40" s="68">
        <f t="shared" si="7"/>
        <v>923154.30197784398</v>
      </c>
      <c r="G40" s="70">
        <f t="shared" si="8"/>
        <v>238160.25001020043</v>
      </c>
      <c r="H40" s="52">
        <f t="shared" si="9"/>
        <v>238160.25001020043</v>
      </c>
      <c r="I40" s="65">
        <f t="shared" si="1"/>
        <v>0</v>
      </c>
      <c r="J40" s="65"/>
      <c r="K40" s="130"/>
      <c r="L40" s="67">
        <f t="shared" si="5"/>
        <v>0</v>
      </c>
      <c r="M40" s="130"/>
      <c r="N40" s="67">
        <f t="shared" si="3"/>
        <v>0</v>
      </c>
      <c r="O40" s="67">
        <f t="shared" si="4"/>
        <v>0</v>
      </c>
      <c r="P40" s="4"/>
    </row>
    <row r="41" spans="2:16">
      <c r="B41" t="str">
        <f t="shared" si="0"/>
        <v/>
      </c>
      <c r="C41" s="62">
        <f>IF(D11="","-",+C40+1)</f>
        <v>2046</v>
      </c>
      <c r="D41" s="71">
        <f>IF(F40+SUM(E$17:E40)=D$10,F40,D$10-SUM(E$17:E40))</f>
        <v>923154.30197784398</v>
      </c>
      <c r="E41" s="69">
        <f t="shared" si="6"/>
        <v>125816.53129032259</v>
      </c>
      <c r="F41" s="68">
        <f t="shared" si="7"/>
        <v>797337.77068752144</v>
      </c>
      <c r="G41" s="70">
        <f t="shared" si="8"/>
        <v>223825.76712270611</v>
      </c>
      <c r="H41" s="52">
        <f t="shared" si="9"/>
        <v>223825.76712270611</v>
      </c>
      <c r="I41" s="65">
        <f t="shared" si="1"/>
        <v>0</v>
      </c>
      <c r="J41" s="65"/>
      <c r="K41" s="130"/>
      <c r="L41" s="67">
        <f t="shared" si="5"/>
        <v>0</v>
      </c>
      <c r="M41" s="130"/>
      <c r="N41" s="67">
        <f t="shared" si="3"/>
        <v>0</v>
      </c>
      <c r="O41" s="67">
        <f t="shared" si="4"/>
        <v>0</v>
      </c>
      <c r="P41" s="4"/>
    </row>
    <row r="42" spans="2:16">
      <c r="B42" t="str">
        <f t="shared" si="0"/>
        <v/>
      </c>
      <c r="C42" s="62">
        <f>IF(D11="","-",+C41+1)</f>
        <v>2047</v>
      </c>
      <c r="D42" s="71">
        <f>IF(F41+SUM(E$17:E41)=D$10,F41,D$10-SUM(E$17:E41))</f>
        <v>797337.77068752144</v>
      </c>
      <c r="E42" s="69">
        <f t="shared" si="6"/>
        <v>125816.53129032259</v>
      </c>
      <c r="F42" s="68">
        <f t="shared" si="7"/>
        <v>671521.23939719889</v>
      </c>
      <c r="G42" s="70">
        <f t="shared" si="8"/>
        <v>209491.28423521173</v>
      </c>
      <c r="H42" s="52">
        <f t="shared" si="9"/>
        <v>209491.28423521173</v>
      </c>
      <c r="I42" s="65">
        <f t="shared" si="1"/>
        <v>0</v>
      </c>
      <c r="J42" s="65"/>
      <c r="K42" s="130"/>
      <c r="L42" s="67">
        <f t="shared" si="5"/>
        <v>0</v>
      </c>
      <c r="M42" s="130"/>
      <c r="N42" s="67">
        <f t="shared" si="3"/>
        <v>0</v>
      </c>
      <c r="O42" s="67">
        <f t="shared" si="4"/>
        <v>0</v>
      </c>
      <c r="P42" s="4"/>
    </row>
    <row r="43" spans="2:16">
      <c r="B43" t="str">
        <f t="shared" si="0"/>
        <v/>
      </c>
      <c r="C43" s="62">
        <f>IF(D11="","-",+C42+1)</f>
        <v>2048</v>
      </c>
      <c r="D43" s="71">
        <f>IF(F42+SUM(E$17:E42)=D$10,F42,D$10-SUM(E$17:E42))</f>
        <v>671521.23939719889</v>
      </c>
      <c r="E43" s="69">
        <f t="shared" si="6"/>
        <v>125816.53129032259</v>
      </c>
      <c r="F43" s="68">
        <f t="shared" si="7"/>
        <v>545704.70810687635</v>
      </c>
      <c r="G43" s="70">
        <f t="shared" si="8"/>
        <v>195156.80134771741</v>
      </c>
      <c r="H43" s="52">
        <f t="shared" si="9"/>
        <v>195156.80134771741</v>
      </c>
      <c r="I43" s="65">
        <f t="shared" si="1"/>
        <v>0</v>
      </c>
      <c r="J43" s="65"/>
      <c r="K43" s="130"/>
      <c r="L43" s="67">
        <f t="shared" si="5"/>
        <v>0</v>
      </c>
      <c r="M43" s="130"/>
      <c r="N43" s="67">
        <f t="shared" si="3"/>
        <v>0</v>
      </c>
      <c r="O43" s="67">
        <f t="shared" si="4"/>
        <v>0</v>
      </c>
      <c r="P43" s="4"/>
    </row>
    <row r="44" spans="2:16">
      <c r="B44" t="str">
        <f t="shared" si="0"/>
        <v/>
      </c>
      <c r="C44" s="62">
        <f>IF(D11="","-",+C43+1)</f>
        <v>2049</v>
      </c>
      <c r="D44" s="71">
        <f>IF(F43+SUM(E$17:E43)=D$10,F43,D$10-SUM(E$17:E43))</f>
        <v>545704.70810687635</v>
      </c>
      <c r="E44" s="69">
        <f t="shared" si="6"/>
        <v>125816.53129032259</v>
      </c>
      <c r="F44" s="68">
        <f t="shared" si="7"/>
        <v>419888.17681655375</v>
      </c>
      <c r="G44" s="70">
        <f t="shared" si="8"/>
        <v>180822.31846022306</v>
      </c>
      <c r="H44" s="52">
        <f t="shared" si="9"/>
        <v>180822.31846022306</v>
      </c>
      <c r="I44" s="65">
        <f t="shared" si="1"/>
        <v>0</v>
      </c>
      <c r="J44" s="65"/>
      <c r="K44" s="130"/>
      <c r="L44" s="67">
        <f t="shared" si="5"/>
        <v>0</v>
      </c>
      <c r="M44" s="130"/>
      <c r="N44" s="67">
        <f t="shared" si="3"/>
        <v>0</v>
      </c>
      <c r="O44" s="67">
        <f t="shared" si="4"/>
        <v>0</v>
      </c>
      <c r="P44" s="4"/>
    </row>
    <row r="45" spans="2:16">
      <c r="B45" t="str">
        <f t="shared" si="0"/>
        <v/>
      </c>
      <c r="C45" s="62">
        <f>IF(D11="","-",+C44+1)</f>
        <v>2050</v>
      </c>
      <c r="D45" s="71">
        <f>IF(F44+SUM(E$17:E44)=D$10,F44,D$10-SUM(E$17:E44))</f>
        <v>419888.17681655375</v>
      </c>
      <c r="E45" s="69">
        <f t="shared" si="6"/>
        <v>125816.53129032259</v>
      </c>
      <c r="F45" s="68">
        <f t="shared" si="7"/>
        <v>294071.64552623115</v>
      </c>
      <c r="G45" s="70">
        <f t="shared" si="8"/>
        <v>166487.83557272868</v>
      </c>
      <c r="H45" s="52">
        <f t="shared" si="9"/>
        <v>166487.83557272868</v>
      </c>
      <c r="I45" s="65">
        <f t="shared" si="1"/>
        <v>0</v>
      </c>
      <c r="J45" s="65"/>
      <c r="K45" s="130"/>
      <c r="L45" s="67">
        <f t="shared" si="5"/>
        <v>0</v>
      </c>
      <c r="M45" s="130"/>
      <c r="N45" s="67">
        <f t="shared" si="3"/>
        <v>0</v>
      </c>
      <c r="O45" s="67">
        <f t="shared" si="4"/>
        <v>0</v>
      </c>
      <c r="P45" s="4"/>
    </row>
    <row r="46" spans="2:16">
      <c r="B46" t="str">
        <f t="shared" si="0"/>
        <v/>
      </c>
      <c r="C46" s="62">
        <f>IF(D11="","-",+C45+1)</f>
        <v>2051</v>
      </c>
      <c r="D46" s="71">
        <f>IF(F45+SUM(E$17:E45)=D$10,F45,D$10-SUM(E$17:E45))</f>
        <v>294071.64552623115</v>
      </c>
      <c r="E46" s="69">
        <f t="shared" si="6"/>
        <v>125816.53129032259</v>
      </c>
      <c r="F46" s="68">
        <f t="shared" si="7"/>
        <v>168255.11423590855</v>
      </c>
      <c r="G46" s="70">
        <f t="shared" si="8"/>
        <v>152153.35268523433</v>
      </c>
      <c r="H46" s="52">
        <f t="shared" si="9"/>
        <v>152153.35268523433</v>
      </c>
      <c r="I46" s="65">
        <f t="shared" si="1"/>
        <v>0</v>
      </c>
      <c r="J46" s="65"/>
      <c r="K46" s="130"/>
      <c r="L46" s="67">
        <f t="shared" si="5"/>
        <v>0</v>
      </c>
      <c r="M46" s="130"/>
      <c r="N46" s="67">
        <f t="shared" si="3"/>
        <v>0</v>
      </c>
      <c r="O46" s="67">
        <f t="shared" si="4"/>
        <v>0</v>
      </c>
      <c r="P46" s="4"/>
    </row>
    <row r="47" spans="2:16">
      <c r="B47" t="str">
        <f t="shared" si="0"/>
        <v/>
      </c>
      <c r="C47" s="62">
        <f>IF(D11="","-",+C46+1)</f>
        <v>2052</v>
      </c>
      <c r="D47" s="71">
        <f>IF(F46+SUM(E$17:E46)=D$10,F46,D$10-SUM(E$17:E46))</f>
        <v>168255.11423590855</v>
      </c>
      <c r="E47" s="69">
        <f t="shared" si="6"/>
        <v>125816.53129032259</v>
      </c>
      <c r="F47" s="68">
        <f t="shared" si="7"/>
        <v>42438.582945585964</v>
      </c>
      <c r="G47" s="70">
        <f t="shared" si="8"/>
        <v>137818.86979773999</v>
      </c>
      <c r="H47" s="52">
        <f t="shared" si="9"/>
        <v>137818.86979773999</v>
      </c>
      <c r="I47" s="65">
        <f t="shared" si="1"/>
        <v>0</v>
      </c>
      <c r="J47" s="65"/>
      <c r="K47" s="130"/>
      <c r="L47" s="67">
        <f t="shared" si="5"/>
        <v>0</v>
      </c>
      <c r="M47" s="130"/>
      <c r="N47" s="67">
        <f t="shared" si="3"/>
        <v>0</v>
      </c>
      <c r="O47" s="67">
        <f t="shared" si="4"/>
        <v>0</v>
      </c>
      <c r="P47" s="4"/>
    </row>
    <row r="48" spans="2:16">
      <c r="B48" t="str">
        <f t="shared" si="0"/>
        <v/>
      </c>
      <c r="C48" s="62">
        <f>IF(D11="","-",+C47+1)</f>
        <v>2053</v>
      </c>
      <c r="D48" s="71">
        <f>IF(F47+SUM(E$17:E47)=D$10,F47,D$10-SUM(E$17:E47))</f>
        <v>42438.582945585964</v>
      </c>
      <c r="E48" s="69">
        <f t="shared" si="6"/>
        <v>42438.582945585964</v>
      </c>
      <c r="F48" s="68">
        <f t="shared" si="7"/>
        <v>0</v>
      </c>
      <c r="G48" s="70">
        <f t="shared" si="8"/>
        <v>44856.131477421077</v>
      </c>
      <c r="H48" s="52">
        <f t="shared" si="9"/>
        <v>44856.131477421077</v>
      </c>
      <c r="I48" s="65">
        <f t="shared" si="1"/>
        <v>0</v>
      </c>
      <c r="J48" s="65"/>
      <c r="K48" s="130"/>
      <c r="L48" s="67">
        <f t="shared" si="5"/>
        <v>0</v>
      </c>
      <c r="M48" s="130"/>
      <c r="N48" s="67">
        <f t="shared" si="3"/>
        <v>0</v>
      </c>
      <c r="O48" s="67">
        <f t="shared" si="4"/>
        <v>0</v>
      </c>
      <c r="P48" s="4"/>
    </row>
    <row r="49" spans="2:16">
      <c r="B49" t="str">
        <f t="shared" si="0"/>
        <v/>
      </c>
      <c r="C49" s="62">
        <f>IF(D11="","-",+C48+1)</f>
        <v>2054</v>
      </c>
      <c r="D49" s="71">
        <f>IF(F48+SUM(E$17:E48)=D$10,F48,D$10-SUM(E$17:E48))</f>
        <v>0</v>
      </c>
      <c r="E49" s="69">
        <f t="shared" si="6"/>
        <v>0</v>
      </c>
      <c r="F49" s="68">
        <f t="shared" si="7"/>
        <v>0</v>
      </c>
      <c r="G49" s="70">
        <f t="shared" si="8"/>
        <v>0</v>
      </c>
      <c r="H49" s="52">
        <f t="shared" si="9"/>
        <v>0</v>
      </c>
      <c r="I49" s="65">
        <f t="shared" si="1"/>
        <v>0</v>
      </c>
      <c r="J49" s="65"/>
      <c r="K49" s="130"/>
      <c r="L49" s="67">
        <f t="shared" si="5"/>
        <v>0</v>
      </c>
      <c r="M49" s="130"/>
      <c r="N49" s="67">
        <f t="shared" si="3"/>
        <v>0</v>
      </c>
      <c r="O49" s="67">
        <f t="shared" si="4"/>
        <v>0</v>
      </c>
      <c r="P49" s="4"/>
    </row>
    <row r="50" spans="2:16">
      <c r="B50" t="str">
        <f t="shared" si="0"/>
        <v/>
      </c>
      <c r="C50" s="62">
        <f>IF(D11="","-",+C49+1)</f>
        <v>2055</v>
      </c>
      <c r="D50" s="71">
        <f>IF(F49+SUM(E$17:E49)=D$10,F49,D$10-SUM(E$17:E49))</f>
        <v>0</v>
      </c>
      <c r="E50" s="69">
        <f t="shared" si="6"/>
        <v>0</v>
      </c>
      <c r="F50" s="68">
        <f t="shared" si="7"/>
        <v>0</v>
      </c>
      <c r="G50" s="70">
        <f t="shared" si="8"/>
        <v>0</v>
      </c>
      <c r="H50" s="52">
        <f t="shared" si="9"/>
        <v>0</v>
      </c>
      <c r="I50" s="65">
        <f t="shared" si="1"/>
        <v>0</v>
      </c>
      <c r="J50" s="65"/>
      <c r="K50" s="130"/>
      <c r="L50" s="67">
        <f t="shared" si="5"/>
        <v>0</v>
      </c>
      <c r="M50" s="130"/>
      <c r="N50" s="67">
        <f t="shared" si="3"/>
        <v>0</v>
      </c>
      <c r="O50" s="67">
        <f t="shared" si="4"/>
        <v>0</v>
      </c>
      <c r="P50" s="4"/>
    </row>
    <row r="51" spans="2:16">
      <c r="B51" t="str">
        <f t="shared" si="0"/>
        <v/>
      </c>
      <c r="C51" s="62">
        <f>IF(D11="","-",+C50+1)</f>
        <v>2056</v>
      </c>
      <c r="D51" s="71">
        <f>IF(F50+SUM(E$17:E50)=D$10,F50,D$10-SUM(E$17:E50))</f>
        <v>0</v>
      </c>
      <c r="E51" s="69">
        <f t="shared" si="6"/>
        <v>0</v>
      </c>
      <c r="F51" s="68">
        <f t="shared" si="7"/>
        <v>0</v>
      </c>
      <c r="G51" s="70">
        <f t="shared" si="8"/>
        <v>0</v>
      </c>
      <c r="H51" s="52">
        <f t="shared" si="9"/>
        <v>0</v>
      </c>
      <c r="I51" s="65">
        <f t="shared" si="1"/>
        <v>0</v>
      </c>
      <c r="J51" s="65"/>
      <c r="K51" s="130"/>
      <c r="L51" s="67">
        <f t="shared" si="5"/>
        <v>0</v>
      </c>
      <c r="M51" s="130"/>
      <c r="N51" s="67">
        <f t="shared" si="3"/>
        <v>0</v>
      </c>
      <c r="O51" s="67">
        <f t="shared" si="4"/>
        <v>0</v>
      </c>
      <c r="P51" s="4"/>
    </row>
    <row r="52" spans="2:16">
      <c r="B52" t="str">
        <f t="shared" si="0"/>
        <v/>
      </c>
      <c r="C52" s="62">
        <f>IF(D11="","-",+C51+1)</f>
        <v>2057</v>
      </c>
      <c r="D52" s="71">
        <f>IF(F51+SUM(E$17:E51)=D$10,F51,D$10-SUM(E$17:E51))</f>
        <v>0</v>
      </c>
      <c r="E52" s="69">
        <f t="shared" si="6"/>
        <v>0</v>
      </c>
      <c r="F52" s="68">
        <f t="shared" si="7"/>
        <v>0</v>
      </c>
      <c r="G52" s="70">
        <f t="shared" si="8"/>
        <v>0</v>
      </c>
      <c r="H52" s="52">
        <f t="shared" si="9"/>
        <v>0</v>
      </c>
      <c r="I52" s="65">
        <f t="shared" si="1"/>
        <v>0</v>
      </c>
      <c r="J52" s="65"/>
      <c r="K52" s="130"/>
      <c r="L52" s="67">
        <f t="shared" si="5"/>
        <v>0</v>
      </c>
      <c r="M52" s="130"/>
      <c r="N52" s="67">
        <f t="shared" si="3"/>
        <v>0</v>
      </c>
      <c r="O52" s="67">
        <f t="shared" si="4"/>
        <v>0</v>
      </c>
      <c r="P52" s="4"/>
    </row>
    <row r="53" spans="2:16">
      <c r="B53" t="str">
        <f t="shared" si="0"/>
        <v/>
      </c>
      <c r="C53" s="62">
        <f>IF(D11="","-",+C52+1)</f>
        <v>2058</v>
      </c>
      <c r="D53" s="71">
        <f>IF(F52+SUM(E$17:E52)=D$10,F52,D$10-SUM(E$17:E52))</f>
        <v>0</v>
      </c>
      <c r="E53" s="69">
        <f t="shared" si="6"/>
        <v>0</v>
      </c>
      <c r="F53" s="68">
        <f t="shared" si="7"/>
        <v>0</v>
      </c>
      <c r="G53" s="70">
        <f t="shared" si="8"/>
        <v>0</v>
      </c>
      <c r="H53" s="52">
        <f t="shared" si="9"/>
        <v>0</v>
      </c>
      <c r="I53" s="65">
        <f t="shared" si="1"/>
        <v>0</v>
      </c>
      <c r="J53" s="65"/>
      <c r="K53" s="130"/>
      <c r="L53" s="67">
        <f t="shared" si="5"/>
        <v>0</v>
      </c>
      <c r="M53" s="130"/>
      <c r="N53" s="67">
        <f t="shared" si="3"/>
        <v>0</v>
      </c>
      <c r="O53" s="67">
        <f t="shared" si="4"/>
        <v>0</v>
      </c>
      <c r="P53" s="4"/>
    </row>
    <row r="54" spans="2:16">
      <c r="B54" t="str">
        <f t="shared" si="0"/>
        <v/>
      </c>
      <c r="C54" s="62">
        <f>IF(D11="","-",+C53+1)</f>
        <v>2059</v>
      </c>
      <c r="D54" s="71">
        <f>IF(F53+SUM(E$17:E53)=D$10,F53,D$10-SUM(E$17:E53))</f>
        <v>0</v>
      </c>
      <c r="E54" s="69">
        <f t="shared" si="6"/>
        <v>0</v>
      </c>
      <c r="F54" s="68">
        <f t="shared" si="7"/>
        <v>0</v>
      </c>
      <c r="G54" s="70">
        <f t="shared" si="8"/>
        <v>0</v>
      </c>
      <c r="H54" s="52">
        <f t="shared" si="9"/>
        <v>0</v>
      </c>
      <c r="I54" s="65">
        <f t="shared" si="1"/>
        <v>0</v>
      </c>
      <c r="J54" s="65"/>
      <c r="K54" s="130"/>
      <c r="L54" s="67">
        <f t="shared" si="5"/>
        <v>0</v>
      </c>
      <c r="M54" s="130"/>
      <c r="N54" s="67">
        <f t="shared" si="3"/>
        <v>0</v>
      </c>
      <c r="O54" s="67">
        <f t="shared" si="4"/>
        <v>0</v>
      </c>
      <c r="P54" s="4"/>
    </row>
    <row r="55" spans="2:16">
      <c r="B55" t="str">
        <f t="shared" si="0"/>
        <v/>
      </c>
      <c r="C55" s="62">
        <f>IF(D11="","-",+C54+1)</f>
        <v>2060</v>
      </c>
      <c r="D55" s="71">
        <f>IF(F54+SUM(E$17:E54)=D$10,F54,D$10-SUM(E$17:E54))</f>
        <v>0</v>
      </c>
      <c r="E55" s="69">
        <f t="shared" si="6"/>
        <v>0</v>
      </c>
      <c r="F55" s="68">
        <f t="shared" si="7"/>
        <v>0</v>
      </c>
      <c r="G55" s="70">
        <f t="shared" si="8"/>
        <v>0</v>
      </c>
      <c r="H55" s="52">
        <f t="shared" si="9"/>
        <v>0</v>
      </c>
      <c r="I55" s="65">
        <f t="shared" si="1"/>
        <v>0</v>
      </c>
      <c r="J55" s="65"/>
      <c r="K55" s="130"/>
      <c r="L55" s="67">
        <f t="shared" si="5"/>
        <v>0</v>
      </c>
      <c r="M55" s="130"/>
      <c r="N55" s="67">
        <f t="shared" si="3"/>
        <v>0</v>
      </c>
      <c r="O55" s="67">
        <f t="shared" si="4"/>
        <v>0</v>
      </c>
      <c r="P55" s="4"/>
    </row>
    <row r="56" spans="2:16">
      <c r="B56" t="str">
        <f t="shared" si="0"/>
        <v/>
      </c>
      <c r="C56" s="62">
        <f>IF(D11="","-",+C55+1)</f>
        <v>2061</v>
      </c>
      <c r="D56" s="71">
        <f>IF(F55+SUM(E$17:E55)=D$10,F55,D$10-SUM(E$17:E55))</f>
        <v>0</v>
      </c>
      <c r="E56" s="69">
        <f t="shared" si="6"/>
        <v>0</v>
      </c>
      <c r="F56" s="68">
        <f t="shared" si="7"/>
        <v>0</v>
      </c>
      <c r="G56" s="70">
        <f t="shared" si="8"/>
        <v>0</v>
      </c>
      <c r="H56" s="52">
        <f t="shared" si="9"/>
        <v>0</v>
      </c>
      <c r="I56" s="65">
        <f t="shared" si="1"/>
        <v>0</v>
      </c>
      <c r="J56" s="65"/>
      <c r="K56" s="130"/>
      <c r="L56" s="67">
        <f t="shared" si="5"/>
        <v>0</v>
      </c>
      <c r="M56" s="130"/>
      <c r="N56" s="67">
        <f t="shared" si="3"/>
        <v>0</v>
      </c>
      <c r="O56" s="67">
        <f t="shared" si="4"/>
        <v>0</v>
      </c>
      <c r="P56" s="4"/>
    </row>
    <row r="57" spans="2:16">
      <c r="B57" t="str">
        <f t="shared" si="0"/>
        <v/>
      </c>
      <c r="C57" s="62">
        <f>IF(D11="","-",+C56+1)</f>
        <v>2062</v>
      </c>
      <c r="D57" s="71">
        <f>IF(F56+SUM(E$17:E56)=D$10,F56,D$10-SUM(E$17:E56))</f>
        <v>0</v>
      </c>
      <c r="E57" s="69">
        <f t="shared" si="6"/>
        <v>0</v>
      </c>
      <c r="F57" s="68">
        <f t="shared" si="7"/>
        <v>0</v>
      </c>
      <c r="G57" s="70">
        <f t="shared" si="8"/>
        <v>0</v>
      </c>
      <c r="H57" s="52">
        <f t="shared" si="9"/>
        <v>0</v>
      </c>
      <c r="I57" s="65">
        <f t="shared" si="1"/>
        <v>0</v>
      </c>
      <c r="J57" s="65"/>
      <c r="K57" s="130"/>
      <c r="L57" s="67">
        <f t="shared" si="5"/>
        <v>0</v>
      </c>
      <c r="M57" s="130"/>
      <c r="N57" s="67">
        <f t="shared" si="3"/>
        <v>0</v>
      </c>
      <c r="O57" s="67">
        <f t="shared" si="4"/>
        <v>0</v>
      </c>
      <c r="P57" s="4"/>
    </row>
    <row r="58" spans="2:16">
      <c r="B58" t="str">
        <f t="shared" si="0"/>
        <v/>
      </c>
      <c r="C58" s="62">
        <f>IF(D11="","-",+C57+1)</f>
        <v>2063</v>
      </c>
      <c r="D58" s="71">
        <f>IF(F57+SUM(E$17:E57)=D$10,F57,D$10-SUM(E$17:E57))</f>
        <v>0</v>
      </c>
      <c r="E58" s="69">
        <f t="shared" si="6"/>
        <v>0</v>
      </c>
      <c r="F58" s="68">
        <f t="shared" si="7"/>
        <v>0</v>
      </c>
      <c r="G58" s="70">
        <f t="shared" si="8"/>
        <v>0</v>
      </c>
      <c r="H58" s="52">
        <f t="shared" si="9"/>
        <v>0</v>
      </c>
      <c r="I58" s="65">
        <f t="shared" si="1"/>
        <v>0</v>
      </c>
      <c r="J58" s="65"/>
      <c r="K58" s="130"/>
      <c r="L58" s="67">
        <f t="shared" si="5"/>
        <v>0</v>
      </c>
      <c r="M58" s="130"/>
      <c r="N58" s="67">
        <f t="shared" si="3"/>
        <v>0</v>
      </c>
      <c r="O58" s="67">
        <f t="shared" si="4"/>
        <v>0</v>
      </c>
      <c r="P58" s="4"/>
    </row>
    <row r="59" spans="2:16">
      <c r="B59" t="str">
        <f t="shared" si="0"/>
        <v/>
      </c>
      <c r="C59" s="62">
        <f>IF(D11="","-",+C58+1)</f>
        <v>2064</v>
      </c>
      <c r="D59" s="71">
        <f>IF(F58+SUM(E$17:E58)=D$10,F58,D$10-SUM(E$17:E58))</f>
        <v>0</v>
      </c>
      <c r="E59" s="69">
        <f t="shared" si="6"/>
        <v>0</v>
      </c>
      <c r="F59" s="68">
        <f t="shared" si="7"/>
        <v>0</v>
      </c>
      <c r="G59" s="70">
        <f t="shared" si="8"/>
        <v>0</v>
      </c>
      <c r="H59" s="52">
        <f t="shared" si="9"/>
        <v>0</v>
      </c>
      <c r="I59" s="65">
        <f t="shared" si="1"/>
        <v>0</v>
      </c>
      <c r="J59" s="65"/>
      <c r="K59" s="130"/>
      <c r="L59" s="67">
        <f t="shared" si="5"/>
        <v>0</v>
      </c>
      <c r="M59" s="130"/>
      <c r="N59" s="67">
        <f t="shared" si="3"/>
        <v>0</v>
      </c>
      <c r="O59" s="67">
        <f t="shared" si="4"/>
        <v>0</v>
      </c>
      <c r="P59" s="4"/>
    </row>
    <row r="60" spans="2:16">
      <c r="B60" t="str">
        <f t="shared" si="0"/>
        <v/>
      </c>
      <c r="C60" s="62">
        <f>IF(D11="","-",+C59+1)</f>
        <v>2065</v>
      </c>
      <c r="D60" s="71">
        <f>IF(F59+SUM(E$17:E59)=D$10,F59,D$10-SUM(E$17:E59))</f>
        <v>0</v>
      </c>
      <c r="E60" s="69">
        <f t="shared" si="6"/>
        <v>0</v>
      </c>
      <c r="F60" s="68">
        <f t="shared" si="7"/>
        <v>0</v>
      </c>
      <c r="G60" s="70">
        <f t="shared" si="8"/>
        <v>0</v>
      </c>
      <c r="H60" s="52">
        <f t="shared" si="9"/>
        <v>0</v>
      </c>
      <c r="I60" s="65">
        <f t="shared" si="1"/>
        <v>0</v>
      </c>
      <c r="J60" s="65"/>
      <c r="K60" s="130"/>
      <c r="L60" s="67">
        <f t="shared" si="5"/>
        <v>0</v>
      </c>
      <c r="M60" s="130"/>
      <c r="N60" s="67">
        <f t="shared" si="3"/>
        <v>0</v>
      </c>
      <c r="O60" s="67">
        <f t="shared" si="4"/>
        <v>0</v>
      </c>
      <c r="P60" s="4"/>
    </row>
    <row r="61" spans="2:16">
      <c r="B61" t="str">
        <f t="shared" si="0"/>
        <v/>
      </c>
      <c r="C61" s="62">
        <f>IF(D11="","-",+C60+1)</f>
        <v>2066</v>
      </c>
      <c r="D61" s="71">
        <f>IF(F60+SUM(E$17:E60)=D$10,F60,D$10-SUM(E$17:E60))</f>
        <v>0</v>
      </c>
      <c r="E61" s="69">
        <f t="shared" si="6"/>
        <v>0</v>
      </c>
      <c r="F61" s="68">
        <f t="shared" si="7"/>
        <v>0</v>
      </c>
      <c r="G61" s="72">
        <f t="shared" si="8"/>
        <v>0</v>
      </c>
      <c r="H61" s="52">
        <f t="shared" si="9"/>
        <v>0</v>
      </c>
      <c r="I61" s="65">
        <f t="shared" si="1"/>
        <v>0</v>
      </c>
      <c r="J61" s="65"/>
      <c r="K61" s="130"/>
      <c r="L61" s="67">
        <f t="shared" si="5"/>
        <v>0</v>
      </c>
      <c r="M61" s="130"/>
      <c r="N61" s="67">
        <f t="shared" si="3"/>
        <v>0</v>
      </c>
      <c r="O61" s="67">
        <f t="shared" si="4"/>
        <v>0</v>
      </c>
      <c r="P61" s="4"/>
    </row>
    <row r="62" spans="2:16">
      <c r="B62" t="str">
        <f t="shared" si="0"/>
        <v/>
      </c>
      <c r="C62" s="62">
        <f>IF(D11="","-",+C61+1)</f>
        <v>2067</v>
      </c>
      <c r="D62" s="71">
        <f>IF(F61+SUM(E$17:E61)=D$10,F61,D$10-SUM(E$17:E61))</f>
        <v>0</v>
      </c>
      <c r="E62" s="69">
        <f t="shared" si="6"/>
        <v>0</v>
      </c>
      <c r="F62" s="68">
        <f t="shared" si="7"/>
        <v>0</v>
      </c>
      <c r="G62" s="72">
        <f t="shared" si="8"/>
        <v>0</v>
      </c>
      <c r="H62" s="52">
        <f t="shared" si="9"/>
        <v>0</v>
      </c>
      <c r="I62" s="65">
        <f t="shared" si="1"/>
        <v>0</v>
      </c>
      <c r="J62" s="65"/>
      <c r="K62" s="130"/>
      <c r="L62" s="67">
        <f t="shared" si="5"/>
        <v>0</v>
      </c>
      <c r="M62" s="130"/>
      <c r="N62" s="67">
        <f t="shared" si="3"/>
        <v>0</v>
      </c>
      <c r="O62" s="67">
        <f t="shared" si="4"/>
        <v>0</v>
      </c>
      <c r="P62" s="4"/>
    </row>
    <row r="63" spans="2:16">
      <c r="B63" t="str">
        <f t="shared" si="0"/>
        <v/>
      </c>
      <c r="C63" s="62">
        <f>IF(D11="","-",+C62+1)</f>
        <v>2068</v>
      </c>
      <c r="D63" s="71">
        <f>IF(F62+SUM(E$17:E62)=D$10,F62,D$10-SUM(E$17:E62))</f>
        <v>0</v>
      </c>
      <c r="E63" s="69">
        <f t="shared" si="6"/>
        <v>0</v>
      </c>
      <c r="F63" s="68">
        <f t="shared" si="7"/>
        <v>0</v>
      </c>
      <c r="G63" s="72">
        <f t="shared" si="8"/>
        <v>0</v>
      </c>
      <c r="H63" s="52">
        <f t="shared" si="9"/>
        <v>0</v>
      </c>
      <c r="I63" s="65">
        <f t="shared" si="1"/>
        <v>0</v>
      </c>
      <c r="J63" s="65"/>
      <c r="K63" s="130"/>
      <c r="L63" s="67">
        <f t="shared" si="5"/>
        <v>0</v>
      </c>
      <c r="M63" s="130"/>
      <c r="N63" s="67">
        <f t="shared" si="3"/>
        <v>0</v>
      </c>
      <c r="O63" s="67">
        <f t="shared" si="4"/>
        <v>0</v>
      </c>
      <c r="P63" s="4"/>
    </row>
    <row r="64" spans="2:16">
      <c r="B64" t="str">
        <f t="shared" si="0"/>
        <v/>
      </c>
      <c r="C64" s="62">
        <f>IF(D11="","-",+C63+1)</f>
        <v>2069</v>
      </c>
      <c r="D64" s="71">
        <f>IF(F63+SUM(E$17:E63)=D$10,F63,D$10-SUM(E$17:E63))</f>
        <v>0</v>
      </c>
      <c r="E64" s="69">
        <f t="shared" si="6"/>
        <v>0</v>
      </c>
      <c r="F64" s="68">
        <f t="shared" si="7"/>
        <v>0</v>
      </c>
      <c r="G64" s="72">
        <f t="shared" si="8"/>
        <v>0</v>
      </c>
      <c r="H64" s="52">
        <f t="shared" si="9"/>
        <v>0</v>
      </c>
      <c r="I64" s="65">
        <f t="shared" si="1"/>
        <v>0</v>
      </c>
      <c r="J64" s="65"/>
      <c r="K64" s="130"/>
      <c r="L64" s="67">
        <f t="shared" si="5"/>
        <v>0</v>
      </c>
      <c r="M64" s="130"/>
      <c r="N64" s="67">
        <f t="shared" si="3"/>
        <v>0</v>
      </c>
      <c r="O64" s="67">
        <f t="shared" si="4"/>
        <v>0</v>
      </c>
      <c r="P64" s="4"/>
    </row>
    <row r="65" spans="2:16">
      <c r="B65" t="str">
        <f t="shared" si="0"/>
        <v/>
      </c>
      <c r="C65" s="62">
        <f>IF(D11="","-",+C64+1)</f>
        <v>2070</v>
      </c>
      <c r="D65" s="71">
        <f>IF(F64+SUM(E$17:E64)=D$10,F64,D$10-SUM(E$17:E64))</f>
        <v>0</v>
      </c>
      <c r="E65" s="69">
        <f t="shared" si="6"/>
        <v>0</v>
      </c>
      <c r="F65" s="68">
        <f t="shared" si="7"/>
        <v>0</v>
      </c>
      <c r="G65" s="72">
        <f t="shared" si="8"/>
        <v>0</v>
      </c>
      <c r="H65" s="52">
        <f t="shared" si="9"/>
        <v>0</v>
      </c>
      <c r="I65" s="65">
        <f t="shared" si="1"/>
        <v>0</v>
      </c>
      <c r="J65" s="65"/>
      <c r="K65" s="130"/>
      <c r="L65" s="67">
        <f t="shared" si="5"/>
        <v>0</v>
      </c>
      <c r="M65" s="130"/>
      <c r="N65" s="67">
        <f t="shared" si="3"/>
        <v>0</v>
      </c>
      <c r="O65" s="67">
        <f t="shared" si="4"/>
        <v>0</v>
      </c>
      <c r="P65" s="4"/>
    </row>
    <row r="66" spans="2:16">
      <c r="B66" t="str">
        <f t="shared" si="0"/>
        <v/>
      </c>
      <c r="C66" s="62">
        <f>IF(D11="","-",+C65+1)</f>
        <v>2071</v>
      </c>
      <c r="D66" s="71">
        <f>IF(F65+SUM(E$17:E65)=D$10,F65,D$10-SUM(E$17:E65))</f>
        <v>0</v>
      </c>
      <c r="E66" s="69">
        <f t="shared" si="6"/>
        <v>0</v>
      </c>
      <c r="F66" s="68">
        <f t="shared" si="7"/>
        <v>0</v>
      </c>
      <c r="G66" s="72">
        <f t="shared" si="8"/>
        <v>0</v>
      </c>
      <c r="H66" s="52">
        <f t="shared" si="9"/>
        <v>0</v>
      </c>
      <c r="I66" s="65">
        <f t="shared" si="1"/>
        <v>0</v>
      </c>
      <c r="J66" s="65"/>
      <c r="K66" s="130"/>
      <c r="L66" s="67">
        <f t="shared" si="5"/>
        <v>0</v>
      </c>
      <c r="M66" s="130"/>
      <c r="N66" s="67">
        <f t="shared" si="3"/>
        <v>0</v>
      </c>
      <c r="O66" s="67">
        <f t="shared" si="4"/>
        <v>0</v>
      </c>
      <c r="P66" s="4"/>
    </row>
    <row r="67" spans="2:16">
      <c r="B67" t="str">
        <f t="shared" si="0"/>
        <v/>
      </c>
      <c r="C67" s="62">
        <f>IF(D11="","-",+C66+1)</f>
        <v>2072</v>
      </c>
      <c r="D67" s="71">
        <f>IF(F66+SUM(E$17:E66)=D$10,F66,D$10-SUM(E$17:E66))</f>
        <v>0</v>
      </c>
      <c r="E67" s="69">
        <f t="shared" si="6"/>
        <v>0</v>
      </c>
      <c r="F67" s="68">
        <f t="shared" si="7"/>
        <v>0</v>
      </c>
      <c r="G67" s="72">
        <f t="shared" si="8"/>
        <v>0</v>
      </c>
      <c r="H67" s="52">
        <f t="shared" si="9"/>
        <v>0</v>
      </c>
      <c r="I67" s="65">
        <f t="shared" si="1"/>
        <v>0</v>
      </c>
      <c r="J67" s="65"/>
      <c r="K67" s="130"/>
      <c r="L67" s="67">
        <f t="shared" si="5"/>
        <v>0</v>
      </c>
      <c r="M67" s="130"/>
      <c r="N67" s="67">
        <f t="shared" si="3"/>
        <v>0</v>
      </c>
      <c r="O67" s="67">
        <f t="shared" si="4"/>
        <v>0</v>
      </c>
      <c r="P67" s="4"/>
    </row>
    <row r="68" spans="2:16">
      <c r="B68" t="str">
        <f t="shared" si="0"/>
        <v/>
      </c>
      <c r="C68" s="62">
        <f>IF(D11="","-",+C67+1)</f>
        <v>2073</v>
      </c>
      <c r="D68" s="71">
        <f>IF(F67+SUM(E$17:E67)=D$10,F67,D$10-SUM(E$17:E67))</f>
        <v>0</v>
      </c>
      <c r="E68" s="69">
        <f t="shared" si="6"/>
        <v>0</v>
      </c>
      <c r="F68" s="68">
        <f t="shared" si="7"/>
        <v>0</v>
      </c>
      <c r="G68" s="72">
        <f t="shared" si="8"/>
        <v>0</v>
      </c>
      <c r="H68" s="52">
        <f t="shared" si="9"/>
        <v>0</v>
      </c>
      <c r="I68" s="65">
        <f t="shared" si="1"/>
        <v>0</v>
      </c>
      <c r="J68" s="65"/>
      <c r="K68" s="130"/>
      <c r="L68" s="67">
        <f t="shared" si="5"/>
        <v>0</v>
      </c>
      <c r="M68" s="130"/>
      <c r="N68" s="67">
        <f t="shared" si="3"/>
        <v>0</v>
      </c>
      <c r="O68" s="67">
        <f t="shared" si="4"/>
        <v>0</v>
      </c>
      <c r="P68" s="4"/>
    </row>
    <row r="69" spans="2:16">
      <c r="B69" t="str">
        <f t="shared" si="0"/>
        <v/>
      </c>
      <c r="C69" s="62">
        <f>IF(D11="","-",+C68+1)</f>
        <v>2074</v>
      </c>
      <c r="D69" s="71">
        <f>IF(F68+SUM(E$17:E68)=D$10,F68,D$10-SUM(E$17:E68))</f>
        <v>0</v>
      </c>
      <c r="E69" s="69">
        <f t="shared" si="6"/>
        <v>0</v>
      </c>
      <c r="F69" s="68">
        <f t="shared" si="7"/>
        <v>0</v>
      </c>
      <c r="G69" s="72">
        <f t="shared" si="8"/>
        <v>0</v>
      </c>
      <c r="H69" s="52">
        <f t="shared" si="9"/>
        <v>0</v>
      </c>
      <c r="I69" s="65">
        <f t="shared" si="1"/>
        <v>0</v>
      </c>
      <c r="J69" s="65"/>
      <c r="K69" s="130"/>
      <c r="L69" s="67">
        <f t="shared" si="5"/>
        <v>0</v>
      </c>
      <c r="M69" s="130"/>
      <c r="N69" s="67">
        <f t="shared" si="3"/>
        <v>0</v>
      </c>
      <c r="O69" s="67">
        <f t="shared" si="4"/>
        <v>0</v>
      </c>
      <c r="P69" s="4"/>
    </row>
    <row r="70" spans="2:16">
      <c r="B70" t="str">
        <f t="shared" si="0"/>
        <v/>
      </c>
      <c r="C70" s="62">
        <f>IF(D11="","-",+C69+1)</f>
        <v>2075</v>
      </c>
      <c r="D70" s="71">
        <f>IF(F69+SUM(E$17:E69)=D$10,F69,D$10-SUM(E$17:E69))</f>
        <v>0</v>
      </c>
      <c r="E70" s="69">
        <f t="shared" si="6"/>
        <v>0</v>
      </c>
      <c r="F70" s="68">
        <f t="shared" si="7"/>
        <v>0</v>
      </c>
      <c r="G70" s="72">
        <f t="shared" si="8"/>
        <v>0</v>
      </c>
      <c r="H70" s="52">
        <f t="shared" si="9"/>
        <v>0</v>
      </c>
      <c r="I70" s="65">
        <f t="shared" si="1"/>
        <v>0</v>
      </c>
      <c r="J70" s="65"/>
      <c r="K70" s="130"/>
      <c r="L70" s="67">
        <f t="shared" si="5"/>
        <v>0</v>
      </c>
      <c r="M70" s="130"/>
      <c r="N70" s="67">
        <f t="shared" si="3"/>
        <v>0</v>
      </c>
      <c r="O70" s="67">
        <f t="shared" si="4"/>
        <v>0</v>
      </c>
      <c r="P70" s="4"/>
    </row>
    <row r="71" spans="2:16">
      <c r="B71" t="str">
        <f t="shared" si="0"/>
        <v/>
      </c>
      <c r="C71" s="62">
        <f>IF(D11="","-",+C70+1)</f>
        <v>2076</v>
      </c>
      <c r="D71" s="71">
        <f>IF(F70+SUM(E$17:E70)=D$10,F70,D$10-SUM(E$17:E70))</f>
        <v>0</v>
      </c>
      <c r="E71" s="69">
        <f t="shared" si="6"/>
        <v>0</v>
      </c>
      <c r="F71" s="68">
        <f t="shared" si="7"/>
        <v>0</v>
      </c>
      <c r="G71" s="72">
        <f t="shared" si="8"/>
        <v>0</v>
      </c>
      <c r="H71" s="52">
        <f t="shared" si="9"/>
        <v>0</v>
      </c>
      <c r="I71" s="65">
        <f t="shared" si="1"/>
        <v>0</v>
      </c>
      <c r="J71" s="65"/>
      <c r="K71" s="130"/>
      <c r="L71" s="67">
        <f t="shared" si="5"/>
        <v>0</v>
      </c>
      <c r="M71" s="130"/>
      <c r="N71" s="67">
        <f t="shared" si="3"/>
        <v>0</v>
      </c>
      <c r="O71" s="67">
        <f t="shared" si="4"/>
        <v>0</v>
      </c>
      <c r="P71" s="4"/>
    </row>
    <row r="72" spans="2:16">
      <c r="C72" s="62">
        <f>IF(D12="","-",+C71+1)</f>
        <v>2077</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2078</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3900312.4700000007</v>
      </c>
      <c r="F74" s="19"/>
      <c r="G74" s="19">
        <f>SUM(G17:G73)</f>
        <v>10874609.07873968</v>
      </c>
      <c r="H74" s="19">
        <f>SUM(H17:H73)</f>
        <v>10874609.07873968</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21 of 24</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2021</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Tulsa SE - S Hudson 138 kV</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TP2020033</v>
      </c>
      <c r="E92" s="91"/>
      <c r="F92" s="91"/>
      <c r="G92" s="91"/>
      <c r="H92" s="91"/>
      <c r="I92" s="91"/>
      <c r="J92" s="91"/>
      <c r="K92" s="92"/>
      <c r="P92" s="41"/>
    </row>
    <row r="93" spans="1:16">
      <c r="C93" s="46" t="s">
        <v>49</v>
      </c>
      <c r="D93" s="653">
        <v>0</v>
      </c>
      <c r="E93" s="9" t="s">
        <v>84</v>
      </c>
      <c r="H93" s="44"/>
      <c r="I93" s="44"/>
      <c r="J93" s="45">
        <f>+'OKT.WS.G.BPU.ATRR.True-up'!M16</f>
        <v>2021</v>
      </c>
      <c r="K93" s="40"/>
      <c r="L93" s="19" t="s">
        <v>85</v>
      </c>
      <c r="P93" s="4"/>
    </row>
    <row r="94" spans="1:16">
      <c r="C94" s="46" t="s">
        <v>52</v>
      </c>
      <c r="D94" s="102">
        <f>IF(D11="","",D11)</f>
        <v>2022</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6</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2022</v>
      </c>
      <c r="D100" s="63">
        <f>IF(D94=C100,0,IF(D93&lt;100000,0,D93))</f>
        <v>0</v>
      </c>
      <c r="E100" s="70">
        <f>IF(D93&lt;100000,0,J$97/12*(12-D95))</f>
        <v>0</v>
      </c>
      <c r="F100" s="68">
        <f>IF(D94=C100,+D93-E100,+D100-E100)</f>
        <v>0</v>
      </c>
      <c r="G100" s="98">
        <f>+(F100+D100)/2</f>
        <v>0</v>
      </c>
      <c r="H100" s="98">
        <f t="shared" ref="H100:H107" si="11">+J$95*G100+E100</f>
        <v>0</v>
      </c>
      <c r="I100" s="98">
        <f>+J$96*G100+E100</f>
        <v>0</v>
      </c>
      <c r="J100" s="67">
        <f t="shared" ref="J100:J107" si="12">+I100-H100</f>
        <v>0</v>
      </c>
      <c r="K100" s="67"/>
      <c r="L100" s="506">
        <f>+H100</f>
        <v>0</v>
      </c>
      <c r="M100" s="652">
        <f t="shared" ref="M100:M131" si="13">IF(L100&lt;&gt;0,+H100-L100,0)</f>
        <v>0</v>
      </c>
      <c r="N100" s="506">
        <f>+I100</f>
        <v>0</v>
      </c>
      <c r="O100" s="66">
        <f t="shared" ref="O100:O131" si="14">IF(N100&lt;&gt;0,+I100-N100,0)</f>
        <v>0</v>
      </c>
      <c r="P100" s="66">
        <f t="shared" ref="P100:P131" si="15">+O100-M100</f>
        <v>0</v>
      </c>
    </row>
    <row r="101" spans="1:16">
      <c r="B101" t="str">
        <f t="shared" si="10"/>
        <v/>
      </c>
      <c r="C101" s="62">
        <f>IF(D94="","-",+C100+1)</f>
        <v>2023</v>
      </c>
      <c r="D101" s="647">
        <f>IF(F100+SUM(E$100:E100)=D$93,F100,D$93-SUM(E$100:E100))</f>
        <v>0</v>
      </c>
      <c r="E101" s="509">
        <f t="shared" ref="E101:E102" si="16">IF(+J$97&lt;F100,J$97,D101)</f>
        <v>0</v>
      </c>
      <c r="F101" s="648">
        <f t="shared" ref="F101:F102" si="17">+D101-E101</f>
        <v>0</v>
      </c>
      <c r="G101" s="648">
        <f t="shared" ref="G101:G102" si="18">+(F101+D101)/2</f>
        <v>0</v>
      </c>
      <c r="H101" s="649">
        <f t="shared" ref="H101:H102" si="19">(D101+F101)/2*J$95+E101</f>
        <v>0</v>
      </c>
      <c r="I101" s="628">
        <f t="shared" ref="I101:I102" si="20">+J$96*G101+E101</f>
        <v>0</v>
      </c>
      <c r="J101" s="67">
        <f t="shared" si="12"/>
        <v>0</v>
      </c>
      <c r="K101" s="67"/>
      <c r="L101" s="130"/>
      <c r="M101" s="67">
        <f t="shared" si="13"/>
        <v>0</v>
      </c>
      <c r="N101" s="130"/>
      <c r="O101" s="67">
        <f t="shared" si="14"/>
        <v>0</v>
      </c>
      <c r="P101" s="67">
        <f t="shared" si="15"/>
        <v>0</v>
      </c>
    </row>
    <row r="102" spans="1:16">
      <c r="B102" t="str">
        <f t="shared" si="10"/>
        <v/>
      </c>
      <c r="C102" s="62">
        <f>IF(D94="","-",+C101+1)</f>
        <v>2024</v>
      </c>
      <c r="D102" s="647">
        <f>IF(F101+SUM(E$100:E101)=D$93,F101,D$93-SUM(E$100:E101))</f>
        <v>0</v>
      </c>
      <c r="E102" s="509">
        <f t="shared" si="16"/>
        <v>0</v>
      </c>
      <c r="F102" s="648">
        <f t="shared" si="17"/>
        <v>0</v>
      </c>
      <c r="G102" s="648">
        <f t="shared" si="18"/>
        <v>0</v>
      </c>
      <c r="H102" s="649">
        <f t="shared" si="19"/>
        <v>0</v>
      </c>
      <c r="I102" s="628">
        <f t="shared" si="20"/>
        <v>0</v>
      </c>
      <c r="J102" s="67">
        <f t="shared" si="12"/>
        <v>0</v>
      </c>
      <c r="K102" s="67"/>
      <c r="L102" s="130"/>
      <c r="M102" s="67">
        <f t="shared" si="13"/>
        <v>0</v>
      </c>
      <c r="N102" s="130"/>
      <c r="O102" s="67">
        <f t="shared" si="14"/>
        <v>0</v>
      </c>
      <c r="P102" s="67">
        <f t="shared" si="15"/>
        <v>0</v>
      </c>
    </row>
    <row r="103" spans="1:16">
      <c r="B103" t="str">
        <f t="shared" si="10"/>
        <v/>
      </c>
      <c r="C103" s="62">
        <f>IF(D94="","-",+C102+1)</f>
        <v>2025</v>
      </c>
      <c r="D103" s="63">
        <f>IF(F102+SUM(E$100:E102)=D$93,F102,D$93-SUM(E$100:E102))</f>
        <v>0</v>
      </c>
      <c r="E103" s="69">
        <f t="shared" ref="E103:E107" si="21">IF(+J$97&lt;F102,J$97,D103)</f>
        <v>0</v>
      </c>
      <c r="F103" s="68">
        <f t="shared" ref="F103:F107" si="22">+D103-E103</f>
        <v>0</v>
      </c>
      <c r="G103" s="68">
        <f t="shared" ref="G103:G107" si="23">+(F103+D103)/2</f>
        <v>0</v>
      </c>
      <c r="H103" s="128">
        <f t="shared" si="11"/>
        <v>0</v>
      </c>
      <c r="I103" s="137">
        <f t="shared" ref="I103:I107" si="24">+J$96*G103+E103</f>
        <v>0</v>
      </c>
      <c r="J103" s="67">
        <f t="shared" si="12"/>
        <v>0</v>
      </c>
      <c r="K103" s="67"/>
      <c r="L103" s="130"/>
      <c r="M103" s="67">
        <f t="shared" si="13"/>
        <v>0</v>
      </c>
      <c r="N103" s="130"/>
      <c r="O103" s="67">
        <f t="shared" si="14"/>
        <v>0</v>
      </c>
      <c r="P103" s="67">
        <f t="shared" si="15"/>
        <v>0</v>
      </c>
    </row>
    <row r="104" spans="1:16">
      <c r="B104" t="str">
        <f t="shared" si="10"/>
        <v/>
      </c>
      <c r="C104" s="62">
        <f>IF(D94="","-",+C103+1)</f>
        <v>2026</v>
      </c>
      <c r="D104" s="63">
        <f>IF(F103+SUM(E$100:E103)=D$93,F103,D$93-SUM(E$100:E103))</f>
        <v>0</v>
      </c>
      <c r="E104" s="69">
        <f t="shared" si="21"/>
        <v>0</v>
      </c>
      <c r="F104" s="68">
        <f t="shared" si="22"/>
        <v>0</v>
      </c>
      <c r="G104" s="68">
        <f t="shared" si="23"/>
        <v>0</v>
      </c>
      <c r="H104" s="128">
        <f t="shared" si="11"/>
        <v>0</v>
      </c>
      <c r="I104" s="137">
        <f t="shared" si="24"/>
        <v>0</v>
      </c>
      <c r="J104" s="67">
        <f t="shared" si="12"/>
        <v>0</v>
      </c>
      <c r="K104" s="67"/>
      <c r="L104" s="130"/>
      <c r="M104" s="67">
        <f t="shared" si="13"/>
        <v>0</v>
      </c>
      <c r="N104" s="130"/>
      <c r="O104" s="67">
        <f t="shared" si="14"/>
        <v>0</v>
      </c>
      <c r="P104" s="67">
        <f t="shared" si="15"/>
        <v>0</v>
      </c>
    </row>
    <row r="105" spans="1:16">
      <c r="B105" t="str">
        <f t="shared" si="10"/>
        <v/>
      </c>
      <c r="C105" s="62">
        <f>IF(D94="","-",+C104+1)</f>
        <v>2027</v>
      </c>
      <c r="D105" s="63">
        <f>IF(F104+SUM(E$100:E104)=D$93,F104,D$93-SUM(E$100:E104))</f>
        <v>0</v>
      </c>
      <c r="E105" s="69">
        <f t="shared" si="21"/>
        <v>0</v>
      </c>
      <c r="F105" s="68">
        <f t="shared" si="22"/>
        <v>0</v>
      </c>
      <c r="G105" s="68">
        <f t="shared" si="23"/>
        <v>0</v>
      </c>
      <c r="H105" s="128">
        <f t="shared" si="11"/>
        <v>0</v>
      </c>
      <c r="I105" s="137">
        <f t="shared" si="24"/>
        <v>0</v>
      </c>
      <c r="J105" s="67">
        <f t="shared" si="12"/>
        <v>0</v>
      </c>
      <c r="K105" s="67"/>
      <c r="L105" s="130"/>
      <c r="M105" s="67">
        <f t="shared" si="13"/>
        <v>0</v>
      </c>
      <c r="N105" s="130"/>
      <c r="O105" s="67">
        <f t="shared" si="14"/>
        <v>0</v>
      </c>
      <c r="P105" s="67">
        <f t="shared" si="15"/>
        <v>0</v>
      </c>
    </row>
    <row r="106" spans="1:16">
      <c r="B106" t="str">
        <f t="shared" si="10"/>
        <v/>
      </c>
      <c r="C106" s="62">
        <f>IF(D94="","-",+C105+1)</f>
        <v>2028</v>
      </c>
      <c r="D106" s="63">
        <f>IF(F105+SUM(E$100:E105)=D$93,F105,D$93-SUM(E$100:E105))</f>
        <v>0</v>
      </c>
      <c r="E106" s="69">
        <f t="shared" si="21"/>
        <v>0</v>
      </c>
      <c r="F106" s="68">
        <f t="shared" si="22"/>
        <v>0</v>
      </c>
      <c r="G106" s="68">
        <f t="shared" si="23"/>
        <v>0</v>
      </c>
      <c r="H106" s="128">
        <f t="shared" si="11"/>
        <v>0</v>
      </c>
      <c r="I106" s="137">
        <f t="shared" si="24"/>
        <v>0</v>
      </c>
      <c r="J106" s="67">
        <f t="shared" si="12"/>
        <v>0</v>
      </c>
      <c r="K106" s="67"/>
      <c r="L106" s="130"/>
      <c r="M106" s="67">
        <f t="shared" si="13"/>
        <v>0</v>
      </c>
      <c r="N106" s="130"/>
      <c r="O106" s="67">
        <f t="shared" si="14"/>
        <v>0</v>
      </c>
      <c r="P106" s="67">
        <f t="shared" si="15"/>
        <v>0</v>
      </c>
    </row>
    <row r="107" spans="1:16">
      <c r="B107" t="str">
        <f t="shared" si="10"/>
        <v/>
      </c>
      <c r="C107" s="62">
        <f>IF(D94="","-",+C106+1)</f>
        <v>2029</v>
      </c>
      <c r="D107" s="63">
        <f>IF(F106+SUM(E$100:E106)=D$93,F106,D$93-SUM(E$100:E106))</f>
        <v>0</v>
      </c>
      <c r="E107" s="69">
        <f t="shared" si="21"/>
        <v>0</v>
      </c>
      <c r="F107" s="68">
        <f t="shared" si="22"/>
        <v>0</v>
      </c>
      <c r="G107" s="68">
        <f t="shared" si="23"/>
        <v>0</v>
      </c>
      <c r="H107" s="128">
        <f t="shared" si="11"/>
        <v>0</v>
      </c>
      <c r="I107" s="137">
        <f t="shared" si="24"/>
        <v>0</v>
      </c>
      <c r="J107" s="67">
        <f t="shared" si="12"/>
        <v>0</v>
      </c>
      <c r="K107" s="67"/>
      <c r="L107" s="130"/>
      <c r="M107" s="67">
        <f t="shared" si="13"/>
        <v>0</v>
      </c>
      <c r="N107" s="130"/>
      <c r="O107" s="67">
        <f t="shared" si="14"/>
        <v>0</v>
      </c>
      <c r="P107" s="67">
        <f t="shared" si="15"/>
        <v>0</v>
      </c>
    </row>
    <row r="108" spans="1:16">
      <c r="B108" t="str">
        <f t="shared" si="10"/>
        <v/>
      </c>
      <c r="C108" s="62">
        <f>IF(D94="","-",+C107+1)</f>
        <v>2030</v>
      </c>
      <c r="D108" s="647">
        <f>IF(F107+SUM(E$100:E107)=D$93,F107,D$93-SUM(E$100:E107))</f>
        <v>0</v>
      </c>
      <c r="E108" s="509">
        <f t="shared" ref="E108:E155" si="25">IF(+J$97&lt;F107,J$97,D108)</f>
        <v>0</v>
      </c>
      <c r="F108" s="648">
        <f t="shared" ref="F108:F155" si="26">+D108-E108</f>
        <v>0</v>
      </c>
      <c r="G108" s="648">
        <f t="shared" ref="G108:G155" si="27">+(F108+D108)/2</f>
        <v>0</v>
      </c>
      <c r="H108" s="649">
        <f t="shared" ref="H108:H155" si="28">(D108+F108)/2*J$95+E108</f>
        <v>0</v>
      </c>
      <c r="I108" s="628">
        <f t="shared" ref="I108:I155" si="29">+J$96*G108+E108</f>
        <v>0</v>
      </c>
      <c r="J108" s="67">
        <f t="shared" ref="J108:J131" si="30">+I108-H108</f>
        <v>0</v>
      </c>
      <c r="K108" s="67"/>
      <c r="L108" s="130"/>
      <c r="M108" s="67">
        <f t="shared" si="13"/>
        <v>0</v>
      </c>
      <c r="N108" s="130"/>
      <c r="O108" s="67">
        <f t="shared" si="14"/>
        <v>0</v>
      </c>
      <c r="P108" s="67">
        <f t="shared" si="15"/>
        <v>0</v>
      </c>
    </row>
    <row r="109" spans="1:16">
      <c r="B109" t="str">
        <f t="shared" si="10"/>
        <v/>
      </c>
      <c r="C109" s="62">
        <f>IF(D94="","-",+C108+1)</f>
        <v>2031</v>
      </c>
      <c r="D109" s="647">
        <f>IF(F108+SUM(E$100:E108)=D$93,F108,D$93-SUM(E$100:E108))</f>
        <v>0</v>
      </c>
      <c r="E109" s="509">
        <f t="shared" si="25"/>
        <v>0</v>
      </c>
      <c r="F109" s="648">
        <f t="shared" si="26"/>
        <v>0</v>
      </c>
      <c r="G109" s="648">
        <f t="shared" si="27"/>
        <v>0</v>
      </c>
      <c r="H109" s="649">
        <f t="shared" si="28"/>
        <v>0</v>
      </c>
      <c r="I109" s="628">
        <f t="shared" si="29"/>
        <v>0</v>
      </c>
      <c r="J109" s="67">
        <f t="shared" si="30"/>
        <v>0</v>
      </c>
      <c r="K109" s="67"/>
      <c r="L109" s="130"/>
      <c r="M109" s="67">
        <f t="shared" si="13"/>
        <v>0</v>
      </c>
      <c r="N109" s="130"/>
      <c r="O109" s="67">
        <f t="shared" si="14"/>
        <v>0</v>
      </c>
      <c r="P109" s="67">
        <f t="shared" si="15"/>
        <v>0</v>
      </c>
    </row>
    <row r="110" spans="1:16">
      <c r="B110" t="str">
        <f t="shared" si="10"/>
        <v/>
      </c>
      <c r="C110" s="62">
        <f>IF(D94="","-",+C109+1)</f>
        <v>2032</v>
      </c>
      <c r="D110" s="647">
        <f>IF(F109+SUM(E$100:E109)=D$93,F109,D$93-SUM(E$100:E109))</f>
        <v>0</v>
      </c>
      <c r="E110" s="509">
        <f t="shared" si="25"/>
        <v>0</v>
      </c>
      <c r="F110" s="648">
        <f t="shared" si="26"/>
        <v>0</v>
      </c>
      <c r="G110" s="648">
        <f t="shared" si="27"/>
        <v>0</v>
      </c>
      <c r="H110" s="649">
        <f t="shared" si="28"/>
        <v>0</v>
      </c>
      <c r="I110" s="628">
        <f t="shared" si="29"/>
        <v>0</v>
      </c>
      <c r="J110" s="67">
        <f t="shared" si="30"/>
        <v>0</v>
      </c>
      <c r="K110" s="67"/>
      <c r="L110" s="130"/>
      <c r="M110" s="67">
        <f t="shared" si="13"/>
        <v>0</v>
      </c>
      <c r="N110" s="130"/>
      <c r="O110" s="67">
        <f t="shared" si="14"/>
        <v>0</v>
      </c>
      <c r="P110" s="67">
        <f t="shared" si="15"/>
        <v>0</v>
      </c>
    </row>
    <row r="111" spans="1:16">
      <c r="B111" t="str">
        <f t="shared" si="10"/>
        <v/>
      </c>
      <c r="C111" s="62">
        <f>IF(D94="","-",+C110+1)</f>
        <v>2033</v>
      </c>
      <c r="D111" s="647">
        <f>IF(F110+SUM(E$100:E110)=D$93,F110,D$93-SUM(E$100:E110))</f>
        <v>0</v>
      </c>
      <c r="E111" s="509">
        <f t="shared" si="25"/>
        <v>0</v>
      </c>
      <c r="F111" s="648">
        <f t="shared" si="26"/>
        <v>0</v>
      </c>
      <c r="G111" s="648">
        <f t="shared" si="27"/>
        <v>0</v>
      </c>
      <c r="H111" s="649">
        <f t="shared" si="28"/>
        <v>0</v>
      </c>
      <c r="I111" s="628">
        <f t="shared" si="29"/>
        <v>0</v>
      </c>
      <c r="J111" s="67">
        <f t="shared" si="30"/>
        <v>0</v>
      </c>
      <c r="K111" s="67"/>
      <c r="L111" s="130"/>
      <c r="M111" s="67">
        <f t="shared" si="13"/>
        <v>0</v>
      </c>
      <c r="N111" s="130"/>
      <c r="O111" s="67">
        <f t="shared" si="14"/>
        <v>0</v>
      </c>
      <c r="P111" s="67">
        <f t="shared" si="15"/>
        <v>0</v>
      </c>
    </row>
    <row r="112" spans="1:16">
      <c r="B112" t="str">
        <f t="shared" si="10"/>
        <v/>
      </c>
      <c r="C112" s="62">
        <f>IF(D94="","-",+C111+1)</f>
        <v>2034</v>
      </c>
      <c r="D112" s="647">
        <f>IF(F111+SUM(E$100:E111)=D$93,F111,D$93-SUM(E$100:E111))</f>
        <v>0</v>
      </c>
      <c r="E112" s="509">
        <f t="shared" si="25"/>
        <v>0</v>
      </c>
      <c r="F112" s="648">
        <f t="shared" si="26"/>
        <v>0</v>
      </c>
      <c r="G112" s="648">
        <f t="shared" si="27"/>
        <v>0</v>
      </c>
      <c r="H112" s="649">
        <f t="shared" si="28"/>
        <v>0</v>
      </c>
      <c r="I112" s="628">
        <f t="shared" si="29"/>
        <v>0</v>
      </c>
      <c r="J112" s="67">
        <f t="shared" si="30"/>
        <v>0</v>
      </c>
      <c r="K112" s="67"/>
      <c r="L112" s="130"/>
      <c r="M112" s="67">
        <f t="shared" si="13"/>
        <v>0</v>
      </c>
      <c r="N112" s="130"/>
      <c r="O112" s="67">
        <f t="shared" si="14"/>
        <v>0</v>
      </c>
      <c r="P112" s="67">
        <f t="shared" si="15"/>
        <v>0</v>
      </c>
    </row>
    <row r="113" spans="2:16">
      <c r="B113" t="str">
        <f t="shared" si="10"/>
        <v/>
      </c>
      <c r="C113" s="62">
        <f>IF(D94="","-",+C112+1)</f>
        <v>2035</v>
      </c>
      <c r="D113" s="647">
        <f>IF(F112+SUM(E$100:E112)=D$93,F112,D$93-SUM(E$100:E112))</f>
        <v>0</v>
      </c>
      <c r="E113" s="509">
        <f t="shared" si="25"/>
        <v>0</v>
      </c>
      <c r="F113" s="648">
        <f t="shared" si="26"/>
        <v>0</v>
      </c>
      <c r="G113" s="648">
        <f t="shared" si="27"/>
        <v>0</v>
      </c>
      <c r="H113" s="649">
        <f t="shared" si="28"/>
        <v>0</v>
      </c>
      <c r="I113" s="628">
        <f t="shared" si="29"/>
        <v>0</v>
      </c>
      <c r="J113" s="67">
        <f t="shared" si="30"/>
        <v>0</v>
      </c>
      <c r="K113" s="67"/>
      <c r="L113" s="130"/>
      <c r="M113" s="67">
        <f t="shared" si="13"/>
        <v>0</v>
      </c>
      <c r="N113" s="130"/>
      <c r="O113" s="67">
        <f t="shared" si="14"/>
        <v>0</v>
      </c>
      <c r="P113" s="67">
        <f t="shared" si="15"/>
        <v>0</v>
      </c>
    </row>
    <row r="114" spans="2:16">
      <c r="B114" t="str">
        <f t="shared" si="10"/>
        <v/>
      </c>
      <c r="C114" s="62">
        <f>IF(D94="","-",+C113+1)</f>
        <v>2036</v>
      </c>
      <c r="D114" s="647">
        <f>IF(F113+SUM(E$100:E113)=D$93,F113,D$93-SUM(E$100:E113))</f>
        <v>0</v>
      </c>
      <c r="E114" s="509">
        <f t="shared" si="25"/>
        <v>0</v>
      </c>
      <c r="F114" s="648">
        <f t="shared" si="26"/>
        <v>0</v>
      </c>
      <c r="G114" s="648">
        <f t="shared" si="27"/>
        <v>0</v>
      </c>
      <c r="H114" s="649">
        <f t="shared" si="28"/>
        <v>0</v>
      </c>
      <c r="I114" s="628">
        <f t="shared" si="29"/>
        <v>0</v>
      </c>
      <c r="J114" s="67">
        <f t="shared" si="30"/>
        <v>0</v>
      </c>
      <c r="K114" s="67"/>
      <c r="L114" s="130"/>
      <c r="M114" s="67">
        <f t="shared" si="13"/>
        <v>0</v>
      </c>
      <c r="N114" s="130"/>
      <c r="O114" s="67">
        <f t="shared" si="14"/>
        <v>0</v>
      </c>
      <c r="P114" s="67">
        <f t="shared" si="15"/>
        <v>0</v>
      </c>
    </row>
    <row r="115" spans="2:16">
      <c r="B115" t="str">
        <f t="shared" si="10"/>
        <v/>
      </c>
      <c r="C115" s="62">
        <f>IF(D94="","-",+C114+1)</f>
        <v>2037</v>
      </c>
      <c r="D115" s="647">
        <f>IF(F114+SUM(E$100:E114)=D$93,F114,D$93-SUM(E$100:E114))</f>
        <v>0</v>
      </c>
      <c r="E115" s="509">
        <f t="shared" si="25"/>
        <v>0</v>
      </c>
      <c r="F115" s="648">
        <f t="shared" si="26"/>
        <v>0</v>
      </c>
      <c r="G115" s="648">
        <f t="shared" si="27"/>
        <v>0</v>
      </c>
      <c r="H115" s="649">
        <f t="shared" si="28"/>
        <v>0</v>
      </c>
      <c r="I115" s="628">
        <f t="shared" si="29"/>
        <v>0</v>
      </c>
      <c r="J115" s="67">
        <f t="shared" si="30"/>
        <v>0</v>
      </c>
      <c r="K115" s="67"/>
      <c r="L115" s="130"/>
      <c r="M115" s="67">
        <f t="shared" si="13"/>
        <v>0</v>
      </c>
      <c r="N115" s="130"/>
      <c r="O115" s="67">
        <f t="shared" si="14"/>
        <v>0</v>
      </c>
      <c r="P115" s="67">
        <f t="shared" si="15"/>
        <v>0</v>
      </c>
    </row>
    <row r="116" spans="2:16">
      <c r="B116" t="str">
        <f t="shared" si="10"/>
        <v/>
      </c>
      <c r="C116" s="62">
        <f>IF(D94="","-",+C115+1)</f>
        <v>2038</v>
      </c>
      <c r="D116" s="647">
        <f>IF(F115+SUM(E$100:E115)=D$93,F115,D$93-SUM(E$100:E115))</f>
        <v>0</v>
      </c>
      <c r="E116" s="509">
        <f t="shared" si="25"/>
        <v>0</v>
      </c>
      <c r="F116" s="648">
        <f t="shared" si="26"/>
        <v>0</v>
      </c>
      <c r="G116" s="648">
        <f t="shared" si="27"/>
        <v>0</v>
      </c>
      <c r="H116" s="649">
        <f t="shared" si="28"/>
        <v>0</v>
      </c>
      <c r="I116" s="628">
        <f t="shared" si="29"/>
        <v>0</v>
      </c>
      <c r="J116" s="67">
        <f t="shared" si="30"/>
        <v>0</v>
      </c>
      <c r="K116" s="67"/>
      <c r="L116" s="130"/>
      <c r="M116" s="67">
        <f t="shared" si="13"/>
        <v>0</v>
      </c>
      <c r="N116" s="130"/>
      <c r="O116" s="67">
        <f t="shared" si="14"/>
        <v>0</v>
      </c>
      <c r="P116" s="67">
        <f t="shared" si="15"/>
        <v>0</v>
      </c>
    </row>
    <row r="117" spans="2:16">
      <c r="B117" t="str">
        <f t="shared" si="10"/>
        <v/>
      </c>
      <c r="C117" s="62">
        <f>IF(D94="","-",+C116+1)</f>
        <v>2039</v>
      </c>
      <c r="D117" s="647">
        <f>IF(F116+SUM(E$100:E116)=D$93,F116,D$93-SUM(E$100:E116))</f>
        <v>0</v>
      </c>
      <c r="E117" s="509">
        <f t="shared" si="25"/>
        <v>0</v>
      </c>
      <c r="F117" s="648">
        <f t="shared" si="26"/>
        <v>0</v>
      </c>
      <c r="G117" s="648">
        <f t="shared" si="27"/>
        <v>0</v>
      </c>
      <c r="H117" s="649">
        <f t="shared" si="28"/>
        <v>0</v>
      </c>
      <c r="I117" s="628">
        <f t="shared" si="29"/>
        <v>0</v>
      </c>
      <c r="J117" s="67">
        <f t="shared" si="30"/>
        <v>0</v>
      </c>
      <c r="K117" s="67"/>
      <c r="L117" s="130"/>
      <c r="M117" s="67">
        <f t="shared" si="13"/>
        <v>0</v>
      </c>
      <c r="N117" s="130"/>
      <c r="O117" s="67">
        <f t="shared" si="14"/>
        <v>0</v>
      </c>
      <c r="P117" s="67">
        <f t="shared" si="15"/>
        <v>0</v>
      </c>
    </row>
    <row r="118" spans="2:16">
      <c r="B118" t="str">
        <f t="shared" si="10"/>
        <v/>
      </c>
      <c r="C118" s="62">
        <f>IF(D94="","-",+C117+1)</f>
        <v>2040</v>
      </c>
      <c r="D118" s="647">
        <f>IF(F117+SUM(E$100:E117)=D$93,F117,D$93-SUM(E$100:E117))</f>
        <v>0</v>
      </c>
      <c r="E118" s="509">
        <f t="shared" si="25"/>
        <v>0</v>
      </c>
      <c r="F118" s="648">
        <f t="shared" si="26"/>
        <v>0</v>
      </c>
      <c r="G118" s="648">
        <f t="shared" si="27"/>
        <v>0</v>
      </c>
      <c r="H118" s="649">
        <f t="shared" si="28"/>
        <v>0</v>
      </c>
      <c r="I118" s="628">
        <f t="shared" si="29"/>
        <v>0</v>
      </c>
      <c r="J118" s="67">
        <f t="shared" si="30"/>
        <v>0</v>
      </c>
      <c r="K118" s="67"/>
      <c r="L118" s="130"/>
      <c r="M118" s="67">
        <f t="shared" si="13"/>
        <v>0</v>
      </c>
      <c r="N118" s="130"/>
      <c r="O118" s="67">
        <f t="shared" si="14"/>
        <v>0</v>
      </c>
      <c r="P118" s="67">
        <f t="shared" si="15"/>
        <v>0</v>
      </c>
    </row>
    <row r="119" spans="2:16">
      <c r="B119" t="str">
        <f t="shared" si="10"/>
        <v/>
      </c>
      <c r="C119" s="62">
        <f>IF(D94="","-",+C118+1)</f>
        <v>2041</v>
      </c>
      <c r="D119" s="647">
        <f>IF(F118+SUM(E$100:E118)=D$93,F118,D$93-SUM(E$100:E118))</f>
        <v>0</v>
      </c>
      <c r="E119" s="509">
        <f t="shared" si="25"/>
        <v>0</v>
      </c>
      <c r="F119" s="648">
        <f t="shared" si="26"/>
        <v>0</v>
      </c>
      <c r="G119" s="648">
        <f t="shared" si="27"/>
        <v>0</v>
      </c>
      <c r="H119" s="649">
        <f t="shared" si="28"/>
        <v>0</v>
      </c>
      <c r="I119" s="628">
        <f t="shared" si="29"/>
        <v>0</v>
      </c>
      <c r="J119" s="67">
        <f t="shared" si="30"/>
        <v>0</v>
      </c>
      <c r="K119" s="67"/>
      <c r="L119" s="130"/>
      <c r="M119" s="67">
        <f t="shared" si="13"/>
        <v>0</v>
      </c>
      <c r="N119" s="130"/>
      <c r="O119" s="67">
        <f t="shared" si="14"/>
        <v>0</v>
      </c>
      <c r="P119" s="67">
        <f t="shared" si="15"/>
        <v>0</v>
      </c>
    </row>
    <row r="120" spans="2:16">
      <c r="B120" t="str">
        <f t="shared" si="10"/>
        <v/>
      </c>
      <c r="C120" s="62">
        <f>IF(D94="","-",+C119+1)</f>
        <v>2042</v>
      </c>
      <c r="D120" s="647">
        <f>IF(F119+SUM(E$100:E119)=D$93,F119,D$93-SUM(E$100:E119))</f>
        <v>0</v>
      </c>
      <c r="E120" s="509">
        <f t="shared" si="25"/>
        <v>0</v>
      </c>
      <c r="F120" s="648">
        <f t="shared" si="26"/>
        <v>0</v>
      </c>
      <c r="G120" s="648">
        <f t="shared" si="27"/>
        <v>0</v>
      </c>
      <c r="H120" s="649">
        <f t="shared" si="28"/>
        <v>0</v>
      </c>
      <c r="I120" s="628">
        <f t="shared" si="29"/>
        <v>0</v>
      </c>
      <c r="J120" s="67">
        <f t="shared" si="30"/>
        <v>0</v>
      </c>
      <c r="K120" s="67"/>
      <c r="L120" s="130"/>
      <c r="M120" s="67">
        <f t="shared" si="13"/>
        <v>0</v>
      </c>
      <c r="N120" s="130"/>
      <c r="O120" s="67">
        <f t="shared" si="14"/>
        <v>0</v>
      </c>
      <c r="P120" s="67">
        <f t="shared" si="15"/>
        <v>0</v>
      </c>
    </row>
    <row r="121" spans="2:16">
      <c r="B121" t="str">
        <f t="shared" si="10"/>
        <v/>
      </c>
      <c r="C121" s="62">
        <f>IF(D94="","-",+C120+1)</f>
        <v>2043</v>
      </c>
      <c r="D121" s="647">
        <f>IF(F120+SUM(E$100:E120)=D$93,F120,D$93-SUM(E$100:E120))</f>
        <v>0</v>
      </c>
      <c r="E121" s="509">
        <f t="shared" si="25"/>
        <v>0</v>
      </c>
      <c r="F121" s="648">
        <f t="shared" si="26"/>
        <v>0</v>
      </c>
      <c r="G121" s="648">
        <f t="shared" si="27"/>
        <v>0</v>
      </c>
      <c r="H121" s="649">
        <f t="shared" si="28"/>
        <v>0</v>
      </c>
      <c r="I121" s="628">
        <f t="shared" si="29"/>
        <v>0</v>
      </c>
      <c r="J121" s="67">
        <f t="shared" si="30"/>
        <v>0</v>
      </c>
      <c r="K121" s="67"/>
      <c r="L121" s="130"/>
      <c r="M121" s="67">
        <f t="shared" si="13"/>
        <v>0</v>
      </c>
      <c r="N121" s="130"/>
      <c r="O121" s="67">
        <f t="shared" si="14"/>
        <v>0</v>
      </c>
      <c r="P121" s="67">
        <f t="shared" si="15"/>
        <v>0</v>
      </c>
    </row>
    <row r="122" spans="2:16">
      <c r="B122" t="str">
        <f t="shared" si="10"/>
        <v/>
      </c>
      <c r="C122" s="62">
        <f>IF(D94="","-",+C121+1)</f>
        <v>2044</v>
      </c>
      <c r="D122" s="647">
        <f>IF(F121+SUM(E$100:E121)=D$93,F121,D$93-SUM(E$100:E121))</f>
        <v>0</v>
      </c>
      <c r="E122" s="509">
        <f t="shared" si="25"/>
        <v>0</v>
      </c>
      <c r="F122" s="648">
        <f t="shared" si="26"/>
        <v>0</v>
      </c>
      <c r="G122" s="648">
        <f t="shared" si="27"/>
        <v>0</v>
      </c>
      <c r="H122" s="649">
        <f t="shared" si="28"/>
        <v>0</v>
      </c>
      <c r="I122" s="628">
        <f t="shared" si="29"/>
        <v>0</v>
      </c>
      <c r="J122" s="67">
        <f t="shared" si="30"/>
        <v>0</v>
      </c>
      <c r="K122" s="67"/>
      <c r="L122" s="130"/>
      <c r="M122" s="67">
        <f t="shared" si="13"/>
        <v>0</v>
      </c>
      <c r="N122" s="130"/>
      <c r="O122" s="67">
        <f t="shared" si="14"/>
        <v>0</v>
      </c>
      <c r="P122" s="67">
        <f t="shared" si="15"/>
        <v>0</v>
      </c>
    </row>
    <row r="123" spans="2:16">
      <c r="B123" t="str">
        <f t="shared" si="10"/>
        <v/>
      </c>
      <c r="C123" s="62">
        <f>IF(D94="","-",+C122+1)</f>
        <v>2045</v>
      </c>
      <c r="D123" s="647">
        <f>IF(F122+SUM(E$100:E122)=D$93,F122,D$93-SUM(E$100:E122))</f>
        <v>0</v>
      </c>
      <c r="E123" s="509">
        <f t="shared" si="25"/>
        <v>0</v>
      </c>
      <c r="F123" s="648">
        <f t="shared" si="26"/>
        <v>0</v>
      </c>
      <c r="G123" s="648">
        <f t="shared" si="27"/>
        <v>0</v>
      </c>
      <c r="H123" s="649">
        <f t="shared" si="28"/>
        <v>0</v>
      </c>
      <c r="I123" s="628">
        <f t="shared" si="29"/>
        <v>0</v>
      </c>
      <c r="J123" s="67">
        <f t="shared" si="30"/>
        <v>0</v>
      </c>
      <c r="K123" s="67"/>
      <c r="L123" s="130"/>
      <c r="M123" s="67">
        <f t="shared" si="13"/>
        <v>0</v>
      </c>
      <c r="N123" s="130"/>
      <c r="O123" s="67">
        <f t="shared" si="14"/>
        <v>0</v>
      </c>
      <c r="P123" s="67">
        <f t="shared" si="15"/>
        <v>0</v>
      </c>
    </row>
    <row r="124" spans="2:16">
      <c r="B124" t="str">
        <f t="shared" si="10"/>
        <v/>
      </c>
      <c r="C124" s="62">
        <f>IF(D94="","-",+C123+1)</f>
        <v>2046</v>
      </c>
      <c r="D124" s="647">
        <f>IF(F123+SUM(E$100:E123)=D$93,F123,D$93-SUM(E$100:E123))</f>
        <v>0</v>
      </c>
      <c r="E124" s="509">
        <f t="shared" si="25"/>
        <v>0</v>
      </c>
      <c r="F124" s="648">
        <f t="shared" si="26"/>
        <v>0</v>
      </c>
      <c r="G124" s="648">
        <f t="shared" si="27"/>
        <v>0</v>
      </c>
      <c r="H124" s="649">
        <f t="shared" si="28"/>
        <v>0</v>
      </c>
      <c r="I124" s="628">
        <f t="shared" si="29"/>
        <v>0</v>
      </c>
      <c r="J124" s="67">
        <f t="shared" si="30"/>
        <v>0</v>
      </c>
      <c r="K124" s="67"/>
      <c r="L124" s="130"/>
      <c r="M124" s="67">
        <f t="shared" si="13"/>
        <v>0</v>
      </c>
      <c r="N124" s="130"/>
      <c r="O124" s="67">
        <f t="shared" si="14"/>
        <v>0</v>
      </c>
      <c r="P124" s="67">
        <f t="shared" si="15"/>
        <v>0</v>
      </c>
    </row>
    <row r="125" spans="2:16">
      <c r="B125" t="str">
        <f t="shared" si="10"/>
        <v/>
      </c>
      <c r="C125" s="62">
        <f>IF(D94="","-",+C124+1)</f>
        <v>2047</v>
      </c>
      <c r="D125" s="647">
        <f>IF(F124+SUM(E$100:E124)=D$93,F124,D$93-SUM(E$100:E124))</f>
        <v>0</v>
      </c>
      <c r="E125" s="509">
        <f t="shared" si="25"/>
        <v>0</v>
      </c>
      <c r="F125" s="648">
        <f t="shared" si="26"/>
        <v>0</v>
      </c>
      <c r="G125" s="648">
        <f t="shared" si="27"/>
        <v>0</v>
      </c>
      <c r="H125" s="649">
        <f t="shared" si="28"/>
        <v>0</v>
      </c>
      <c r="I125" s="628">
        <f t="shared" si="29"/>
        <v>0</v>
      </c>
      <c r="J125" s="67">
        <f t="shared" si="30"/>
        <v>0</v>
      </c>
      <c r="K125" s="67"/>
      <c r="L125" s="130"/>
      <c r="M125" s="67">
        <f t="shared" si="13"/>
        <v>0</v>
      </c>
      <c r="N125" s="130"/>
      <c r="O125" s="67">
        <f t="shared" si="14"/>
        <v>0</v>
      </c>
      <c r="P125" s="67">
        <f t="shared" si="15"/>
        <v>0</v>
      </c>
    </row>
    <row r="126" spans="2:16">
      <c r="B126" t="str">
        <f t="shared" si="10"/>
        <v/>
      </c>
      <c r="C126" s="62">
        <f>IF(D94="","-",+C125+1)</f>
        <v>2048</v>
      </c>
      <c r="D126" s="647">
        <f>IF(F125+SUM(E$100:E125)=D$93,F125,D$93-SUM(E$100:E125))</f>
        <v>0</v>
      </c>
      <c r="E126" s="509">
        <f t="shared" si="25"/>
        <v>0</v>
      </c>
      <c r="F126" s="648">
        <f t="shared" si="26"/>
        <v>0</v>
      </c>
      <c r="G126" s="648">
        <f t="shared" si="27"/>
        <v>0</v>
      </c>
      <c r="H126" s="649">
        <f t="shared" si="28"/>
        <v>0</v>
      </c>
      <c r="I126" s="628">
        <f t="shared" si="29"/>
        <v>0</v>
      </c>
      <c r="J126" s="67">
        <f t="shared" si="30"/>
        <v>0</v>
      </c>
      <c r="K126" s="67"/>
      <c r="L126" s="130"/>
      <c r="M126" s="67">
        <f t="shared" si="13"/>
        <v>0</v>
      </c>
      <c r="N126" s="130"/>
      <c r="O126" s="67">
        <f t="shared" si="14"/>
        <v>0</v>
      </c>
      <c r="P126" s="67">
        <f t="shared" si="15"/>
        <v>0</v>
      </c>
    </row>
    <row r="127" spans="2:16">
      <c r="B127" t="str">
        <f t="shared" si="10"/>
        <v/>
      </c>
      <c r="C127" s="62">
        <f>IF(D94="","-",+C126+1)</f>
        <v>2049</v>
      </c>
      <c r="D127" s="647">
        <f>IF(F126+SUM(E$100:E126)=D$93,F126,D$93-SUM(E$100:E126))</f>
        <v>0</v>
      </c>
      <c r="E127" s="509">
        <f t="shared" si="25"/>
        <v>0</v>
      </c>
      <c r="F127" s="648">
        <f t="shared" si="26"/>
        <v>0</v>
      </c>
      <c r="G127" s="648">
        <f t="shared" si="27"/>
        <v>0</v>
      </c>
      <c r="H127" s="649">
        <f t="shared" si="28"/>
        <v>0</v>
      </c>
      <c r="I127" s="628">
        <f t="shared" si="29"/>
        <v>0</v>
      </c>
      <c r="J127" s="67">
        <f t="shared" si="30"/>
        <v>0</v>
      </c>
      <c r="K127" s="67"/>
      <c r="L127" s="130"/>
      <c r="M127" s="67">
        <f t="shared" si="13"/>
        <v>0</v>
      </c>
      <c r="N127" s="130"/>
      <c r="O127" s="67">
        <f t="shared" si="14"/>
        <v>0</v>
      </c>
      <c r="P127" s="67">
        <f t="shared" si="15"/>
        <v>0</v>
      </c>
    </row>
    <row r="128" spans="2:16">
      <c r="B128" t="str">
        <f t="shared" si="10"/>
        <v/>
      </c>
      <c r="C128" s="62">
        <f>IF(D94="","-",+C127+1)</f>
        <v>2050</v>
      </c>
      <c r="D128" s="647">
        <f>IF(F127+SUM(E$100:E127)=D$93,F127,D$93-SUM(E$100:E127))</f>
        <v>0</v>
      </c>
      <c r="E128" s="509">
        <f t="shared" si="25"/>
        <v>0</v>
      </c>
      <c r="F128" s="648">
        <f t="shared" si="26"/>
        <v>0</v>
      </c>
      <c r="G128" s="648">
        <f t="shared" si="27"/>
        <v>0</v>
      </c>
      <c r="H128" s="649">
        <f t="shared" si="28"/>
        <v>0</v>
      </c>
      <c r="I128" s="628">
        <f t="shared" si="29"/>
        <v>0</v>
      </c>
      <c r="J128" s="67">
        <f t="shared" si="30"/>
        <v>0</v>
      </c>
      <c r="K128" s="67"/>
      <c r="L128" s="130"/>
      <c r="M128" s="67">
        <f t="shared" si="13"/>
        <v>0</v>
      </c>
      <c r="N128" s="130"/>
      <c r="O128" s="67">
        <f t="shared" si="14"/>
        <v>0</v>
      </c>
      <c r="P128" s="67">
        <f t="shared" si="15"/>
        <v>0</v>
      </c>
    </row>
    <row r="129" spans="2:16">
      <c r="B129" t="str">
        <f t="shared" si="10"/>
        <v/>
      </c>
      <c r="C129" s="62">
        <f>IF(D94="","-",+C128+1)</f>
        <v>2051</v>
      </c>
      <c r="D129" s="647">
        <f>IF(F128+SUM(E$100:E128)=D$93,F128,D$93-SUM(E$100:E128))</f>
        <v>0</v>
      </c>
      <c r="E129" s="509">
        <f t="shared" si="25"/>
        <v>0</v>
      </c>
      <c r="F129" s="648">
        <f t="shared" si="26"/>
        <v>0</v>
      </c>
      <c r="G129" s="648">
        <f t="shared" si="27"/>
        <v>0</v>
      </c>
      <c r="H129" s="649">
        <f t="shared" si="28"/>
        <v>0</v>
      </c>
      <c r="I129" s="628">
        <f t="shared" si="29"/>
        <v>0</v>
      </c>
      <c r="J129" s="67">
        <f t="shared" si="30"/>
        <v>0</v>
      </c>
      <c r="K129" s="67"/>
      <c r="L129" s="130"/>
      <c r="M129" s="67">
        <f t="shared" si="13"/>
        <v>0</v>
      </c>
      <c r="N129" s="130"/>
      <c r="O129" s="67">
        <f t="shared" si="14"/>
        <v>0</v>
      </c>
      <c r="P129" s="67">
        <f t="shared" si="15"/>
        <v>0</v>
      </c>
    </row>
    <row r="130" spans="2:16">
      <c r="B130" t="str">
        <f t="shared" si="10"/>
        <v/>
      </c>
      <c r="C130" s="62">
        <f>IF(D94="","-",+C129+1)</f>
        <v>2052</v>
      </c>
      <c r="D130" s="647">
        <f>IF(F129+SUM(E$100:E129)=D$93,F129,D$93-SUM(E$100:E129))</f>
        <v>0</v>
      </c>
      <c r="E130" s="509">
        <f t="shared" si="25"/>
        <v>0</v>
      </c>
      <c r="F130" s="648">
        <f t="shared" si="26"/>
        <v>0</v>
      </c>
      <c r="G130" s="648">
        <f t="shared" si="27"/>
        <v>0</v>
      </c>
      <c r="H130" s="649">
        <f t="shared" si="28"/>
        <v>0</v>
      </c>
      <c r="I130" s="628">
        <f t="shared" si="29"/>
        <v>0</v>
      </c>
      <c r="J130" s="67">
        <f t="shared" si="30"/>
        <v>0</v>
      </c>
      <c r="K130" s="67"/>
      <c r="L130" s="130"/>
      <c r="M130" s="67">
        <f t="shared" si="13"/>
        <v>0</v>
      </c>
      <c r="N130" s="130"/>
      <c r="O130" s="67">
        <f t="shared" si="14"/>
        <v>0</v>
      </c>
      <c r="P130" s="67">
        <f t="shared" si="15"/>
        <v>0</v>
      </c>
    </row>
    <row r="131" spans="2:16">
      <c r="B131" t="str">
        <f t="shared" si="10"/>
        <v/>
      </c>
      <c r="C131" s="62">
        <f>IF(D94="","-",+C130+1)</f>
        <v>2053</v>
      </c>
      <c r="D131" s="647">
        <f>IF(F130+SUM(E$100:E130)=D$93,F130,D$93-SUM(E$100:E130))</f>
        <v>0</v>
      </c>
      <c r="E131" s="509">
        <f t="shared" si="25"/>
        <v>0</v>
      </c>
      <c r="F131" s="648">
        <f t="shared" si="26"/>
        <v>0</v>
      </c>
      <c r="G131" s="648">
        <f t="shared" si="27"/>
        <v>0</v>
      </c>
      <c r="H131" s="649">
        <f t="shared" si="28"/>
        <v>0</v>
      </c>
      <c r="I131" s="628">
        <f t="shared" si="29"/>
        <v>0</v>
      </c>
      <c r="J131" s="67">
        <f t="shared" si="30"/>
        <v>0</v>
      </c>
      <c r="K131" s="67"/>
      <c r="L131" s="130"/>
      <c r="M131" s="67">
        <f t="shared" si="13"/>
        <v>0</v>
      </c>
      <c r="N131" s="130"/>
      <c r="O131" s="67">
        <f t="shared" si="14"/>
        <v>0</v>
      </c>
      <c r="P131" s="67">
        <f t="shared" si="15"/>
        <v>0</v>
      </c>
    </row>
    <row r="132" spans="2:16">
      <c r="B132" t="str">
        <f t="shared" si="10"/>
        <v/>
      </c>
      <c r="C132" s="62">
        <f>IF(D94="","-",+C131+1)</f>
        <v>2054</v>
      </c>
      <c r="D132" s="647">
        <f>IF(F131+SUM(E$100:E131)=D$93,F131,D$93-SUM(E$100:E131))</f>
        <v>0</v>
      </c>
      <c r="E132" s="509">
        <f t="shared" si="25"/>
        <v>0</v>
      </c>
      <c r="F132" s="648">
        <f t="shared" si="26"/>
        <v>0</v>
      </c>
      <c r="G132" s="648">
        <f t="shared" si="27"/>
        <v>0</v>
      </c>
      <c r="H132" s="649">
        <f t="shared" si="28"/>
        <v>0</v>
      </c>
      <c r="I132" s="628">
        <f t="shared" si="29"/>
        <v>0</v>
      </c>
      <c r="J132" s="67">
        <f t="shared" ref="J132:J155" si="31">+I542-H542</f>
        <v>0</v>
      </c>
      <c r="K132" s="67"/>
      <c r="L132" s="130"/>
      <c r="M132" s="67">
        <f t="shared" ref="M132:M155" si="32">IF(L542&lt;&gt;0,+H542-L542,0)</f>
        <v>0</v>
      </c>
      <c r="N132" s="130"/>
      <c r="O132" s="67">
        <f t="shared" ref="O132:O155" si="33">IF(N542&lt;&gt;0,+I542-N542,0)</f>
        <v>0</v>
      </c>
      <c r="P132" s="67">
        <f t="shared" ref="P132:P155" si="34">+O542-M542</f>
        <v>0</v>
      </c>
    </row>
    <row r="133" spans="2:16">
      <c r="B133" t="str">
        <f t="shared" si="10"/>
        <v/>
      </c>
      <c r="C133" s="62">
        <f>IF(D94="","-",+C132+1)</f>
        <v>2055</v>
      </c>
      <c r="D133" s="647">
        <f>IF(F132+SUM(E$100:E132)=D$93,F132,D$93-SUM(E$100:E132))</f>
        <v>0</v>
      </c>
      <c r="E133" s="509">
        <f t="shared" si="25"/>
        <v>0</v>
      </c>
      <c r="F133" s="648">
        <f t="shared" si="26"/>
        <v>0</v>
      </c>
      <c r="G133" s="648">
        <f t="shared" si="27"/>
        <v>0</v>
      </c>
      <c r="H133" s="649">
        <f t="shared" si="28"/>
        <v>0</v>
      </c>
      <c r="I133" s="628">
        <f t="shared" si="29"/>
        <v>0</v>
      </c>
      <c r="J133" s="67">
        <f t="shared" si="31"/>
        <v>0</v>
      </c>
      <c r="K133" s="67"/>
      <c r="L133" s="130"/>
      <c r="M133" s="67">
        <f t="shared" si="32"/>
        <v>0</v>
      </c>
      <c r="N133" s="130"/>
      <c r="O133" s="67">
        <f t="shared" si="33"/>
        <v>0</v>
      </c>
      <c r="P133" s="67">
        <f t="shared" si="34"/>
        <v>0</v>
      </c>
    </row>
    <row r="134" spans="2:16">
      <c r="B134" t="str">
        <f t="shared" si="10"/>
        <v/>
      </c>
      <c r="C134" s="62">
        <f>IF(D94="","-",+C133+1)</f>
        <v>2056</v>
      </c>
      <c r="D134" s="647">
        <f>IF(F133+SUM(E$100:E133)=D$93,F133,D$93-SUM(E$100:E133))</f>
        <v>0</v>
      </c>
      <c r="E134" s="509">
        <f t="shared" si="25"/>
        <v>0</v>
      </c>
      <c r="F134" s="648">
        <f t="shared" si="26"/>
        <v>0</v>
      </c>
      <c r="G134" s="648">
        <f t="shared" si="27"/>
        <v>0</v>
      </c>
      <c r="H134" s="649">
        <f t="shared" si="28"/>
        <v>0</v>
      </c>
      <c r="I134" s="628">
        <f t="shared" si="29"/>
        <v>0</v>
      </c>
      <c r="J134" s="67">
        <f t="shared" si="31"/>
        <v>0</v>
      </c>
      <c r="K134" s="67"/>
      <c r="L134" s="130"/>
      <c r="M134" s="67">
        <f t="shared" si="32"/>
        <v>0</v>
      </c>
      <c r="N134" s="130"/>
      <c r="O134" s="67">
        <f t="shared" si="33"/>
        <v>0</v>
      </c>
      <c r="P134" s="67">
        <f t="shared" si="34"/>
        <v>0</v>
      </c>
    </row>
    <row r="135" spans="2:16">
      <c r="B135" t="str">
        <f t="shared" si="10"/>
        <v/>
      </c>
      <c r="C135" s="62">
        <f>IF(D94="","-",+C134+1)</f>
        <v>2057</v>
      </c>
      <c r="D135" s="647">
        <f>IF(F134+SUM(E$100:E134)=D$93,F134,D$93-SUM(E$100:E134))</f>
        <v>0</v>
      </c>
      <c r="E135" s="509">
        <f t="shared" si="25"/>
        <v>0</v>
      </c>
      <c r="F135" s="648">
        <f t="shared" si="26"/>
        <v>0</v>
      </c>
      <c r="G135" s="648">
        <f t="shared" si="27"/>
        <v>0</v>
      </c>
      <c r="H135" s="649">
        <f t="shared" si="28"/>
        <v>0</v>
      </c>
      <c r="I135" s="628">
        <f t="shared" si="29"/>
        <v>0</v>
      </c>
      <c r="J135" s="67">
        <f t="shared" si="31"/>
        <v>0</v>
      </c>
      <c r="K135" s="67"/>
      <c r="L135" s="130"/>
      <c r="M135" s="67">
        <f t="shared" si="32"/>
        <v>0</v>
      </c>
      <c r="N135" s="130"/>
      <c r="O135" s="67">
        <f t="shared" si="33"/>
        <v>0</v>
      </c>
      <c r="P135" s="67">
        <f t="shared" si="34"/>
        <v>0</v>
      </c>
    </row>
    <row r="136" spans="2:16">
      <c r="B136" t="str">
        <f t="shared" si="10"/>
        <v/>
      </c>
      <c r="C136" s="62">
        <f>IF(D94="","-",+C135+1)</f>
        <v>2058</v>
      </c>
      <c r="D136" s="647">
        <f>IF(F135+SUM(E$100:E135)=D$93,F135,D$93-SUM(E$100:E135))</f>
        <v>0</v>
      </c>
      <c r="E136" s="509">
        <f t="shared" si="25"/>
        <v>0</v>
      </c>
      <c r="F136" s="648">
        <f t="shared" si="26"/>
        <v>0</v>
      </c>
      <c r="G136" s="648">
        <f t="shared" si="27"/>
        <v>0</v>
      </c>
      <c r="H136" s="649">
        <f t="shared" si="28"/>
        <v>0</v>
      </c>
      <c r="I136" s="628">
        <f t="shared" si="29"/>
        <v>0</v>
      </c>
      <c r="J136" s="67">
        <f t="shared" si="31"/>
        <v>0</v>
      </c>
      <c r="K136" s="67"/>
      <c r="L136" s="130"/>
      <c r="M136" s="67">
        <f t="shared" si="32"/>
        <v>0</v>
      </c>
      <c r="N136" s="130"/>
      <c r="O136" s="67">
        <f t="shared" si="33"/>
        <v>0</v>
      </c>
      <c r="P136" s="67">
        <f t="shared" si="34"/>
        <v>0</v>
      </c>
    </row>
    <row r="137" spans="2:16">
      <c r="B137" t="str">
        <f t="shared" si="10"/>
        <v/>
      </c>
      <c r="C137" s="62">
        <f>IF(D94="","-",+C136+1)</f>
        <v>2059</v>
      </c>
      <c r="D137" s="647">
        <f>IF(F136+SUM(E$100:E136)=D$93,F136,D$93-SUM(E$100:E136))</f>
        <v>0</v>
      </c>
      <c r="E137" s="509">
        <f t="shared" si="25"/>
        <v>0</v>
      </c>
      <c r="F137" s="648">
        <f t="shared" si="26"/>
        <v>0</v>
      </c>
      <c r="G137" s="648">
        <f t="shared" si="27"/>
        <v>0</v>
      </c>
      <c r="H137" s="649">
        <f t="shared" si="28"/>
        <v>0</v>
      </c>
      <c r="I137" s="628">
        <f t="shared" si="29"/>
        <v>0</v>
      </c>
      <c r="J137" s="67">
        <f t="shared" si="31"/>
        <v>0</v>
      </c>
      <c r="K137" s="67"/>
      <c r="L137" s="130"/>
      <c r="M137" s="67">
        <f t="shared" si="32"/>
        <v>0</v>
      </c>
      <c r="N137" s="130"/>
      <c r="O137" s="67">
        <f t="shared" si="33"/>
        <v>0</v>
      </c>
      <c r="P137" s="67">
        <f t="shared" si="34"/>
        <v>0</v>
      </c>
    </row>
    <row r="138" spans="2:16">
      <c r="B138" t="str">
        <f t="shared" si="10"/>
        <v/>
      </c>
      <c r="C138" s="62">
        <f>IF(D94="","-",+C137+1)</f>
        <v>2060</v>
      </c>
      <c r="D138" s="647">
        <f>IF(F137+SUM(E$100:E137)=D$93,F137,D$93-SUM(E$100:E137))</f>
        <v>0</v>
      </c>
      <c r="E138" s="509">
        <f t="shared" si="25"/>
        <v>0</v>
      </c>
      <c r="F138" s="648">
        <f t="shared" si="26"/>
        <v>0</v>
      </c>
      <c r="G138" s="648">
        <f t="shared" si="27"/>
        <v>0</v>
      </c>
      <c r="H138" s="649">
        <f t="shared" si="28"/>
        <v>0</v>
      </c>
      <c r="I138" s="628">
        <f t="shared" si="29"/>
        <v>0</v>
      </c>
      <c r="J138" s="67">
        <f t="shared" si="31"/>
        <v>0</v>
      </c>
      <c r="K138" s="67"/>
      <c r="L138" s="130"/>
      <c r="M138" s="67">
        <f t="shared" si="32"/>
        <v>0</v>
      </c>
      <c r="N138" s="130"/>
      <c r="O138" s="67">
        <f t="shared" si="33"/>
        <v>0</v>
      </c>
      <c r="P138" s="67">
        <f t="shared" si="34"/>
        <v>0</v>
      </c>
    </row>
    <row r="139" spans="2:16">
      <c r="B139" t="str">
        <f t="shared" si="10"/>
        <v/>
      </c>
      <c r="C139" s="62">
        <f>IF(D94="","-",+C138+1)</f>
        <v>2061</v>
      </c>
      <c r="D139" s="647">
        <f>IF(F138+SUM(E$100:E138)=D$93,F138,D$93-SUM(E$100:E138))</f>
        <v>0</v>
      </c>
      <c r="E139" s="509">
        <f t="shared" si="25"/>
        <v>0</v>
      </c>
      <c r="F139" s="648">
        <f t="shared" si="26"/>
        <v>0</v>
      </c>
      <c r="G139" s="648">
        <f t="shared" si="27"/>
        <v>0</v>
      </c>
      <c r="H139" s="649">
        <f t="shared" si="28"/>
        <v>0</v>
      </c>
      <c r="I139" s="628">
        <f t="shared" si="29"/>
        <v>0</v>
      </c>
      <c r="J139" s="67">
        <f t="shared" si="31"/>
        <v>0</v>
      </c>
      <c r="K139" s="67"/>
      <c r="L139" s="130"/>
      <c r="M139" s="67">
        <f t="shared" si="32"/>
        <v>0</v>
      </c>
      <c r="N139" s="130"/>
      <c r="O139" s="67">
        <f t="shared" si="33"/>
        <v>0</v>
      </c>
      <c r="P139" s="67">
        <f t="shared" si="34"/>
        <v>0</v>
      </c>
    </row>
    <row r="140" spans="2:16">
      <c r="B140" t="str">
        <f t="shared" si="10"/>
        <v/>
      </c>
      <c r="C140" s="62">
        <f>IF(D94="","-",+C139+1)</f>
        <v>2062</v>
      </c>
      <c r="D140" s="647">
        <f>IF(F139+SUM(E$100:E139)=D$93,F139,D$93-SUM(E$100:E139))</f>
        <v>0</v>
      </c>
      <c r="E140" s="509">
        <f t="shared" si="25"/>
        <v>0</v>
      </c>
      <c r="F140" s="648">
        <f t="shared" si="26"/>
        <v>0</v>
      </c>
      <c r="G140" s="648">
        <f t="shared" si="27"/>
        <v>0</v>
      </c>
      <c r="H140" s="649">
        <f t="shared" si="28"/>
        <v>0</v>
      </c>
      <c r="I140" s="628">
        <f t="shared" si="29"/>
        <v>0</v>
      </c>
      <c r="J140" s="67">
        <f t="shared" si="31"/>
        <v>0</v>
      </c>
      <c r="K140" s="67"/>
      <c r="L140" s="130"/>
      <c r="M140" s="67">
        <f t="shared" si="32"/>
        <v>0</v>
      </c>
      <c r="N140" s="130"/>
      <c r="O140" s="67">
        <f t="shared" si="33"/>
        <v>0</v>
      </c>
      <c r="P140" s="67">
        <f t="shared" si="34"/>
        <v>0</v>
      </c>
    </row>
    <row r="141" spans="2:16">
      <c r="B141" t="str">
        <f t="shared" si="10"/>
        <v/>
      </c>
      <c r="C141" s="62">
        <f>IF(D94="","-",+C140+1)</f>
        <v>2063</v>
      </c>
      <c r="D141" s="647">
        <f>IF(F140+SUM(E$100:E140)=D$93,F140,D$93-SUM(E$100:E140))</f>
        <v>0</v>
      </c>
      <c r="E141" s="509">
        <f t="shared" si="25"/>
        <v>0</v>
      </c>
      <c r="F141" s="648">
        <f t="shared" si="26"/>
        <v>0</v>
      </c>
      <c r="G141" s="648">
        <f t="shared" si="27"/>
        <v>0</v>
      </c>
      <c r="H141" s="649">
        <f t="shared" si="28"/>
        <v>0</v>
      </c>
      <c r="I141" s="628">
        <f t="shared" si="29"/>
        <v>0</v>
      </c>
      <c r="J141" s="67">
        <f t="shared" si="31"/>
        <v>0</v>
      </c>
      <c r="K141" s="67"/>
      <c r="L141" s="130"/>
      <c r="M141" s="67">
        <f t="shared" si="32"/>
        <v>0</v>
      </c>
      <c r="N141" s="130"/>
      <c r="O141" s="67">
        <f t="shared" si="33"/>
        <v>0</v>
      </c>
      <c r="P141" s="67">
        <f t="shared" si="34"/>
        <v>0</v>
      </c>
    </row>
    <row r="142" spans="2:16">
      <c r="B142" t="str">
        <f t="shared" si="10"/>
        <v/>
      </c>
      <c r="C142" s="62">
        <f>IF(D94="","-",+C141+1)</f>
        <v>2064</v>
      </c>
      <c r="D142" s="647">
        <f>IF(F141+SUM(E$100:E141)=D$93,F141,D$93-SUM(E$100:E141))</f>
        <v>0</v>
      </c>
      <c r="E142" s="509">
        <f t="shared" si="25"/>
        <v>0</v>
      </c>
      <c r="F142" s="648">
        <f t="shared" si="26"/>
        <v>0</v>
      </c>
      <c r="G142" s="648">
        <f t="shared" si="27"/>
        <v>0</v>
      </c>
      <c r="H142" s="649">
        <f t="shared" si="28"/>
        <v>0</v>
      </c>
      <c r="I142" s="628">
        <f t="shared" si="29"/>
        <v>0</v>
      </c>
      <c r="J142" s="67">
        <f t="shared" si="31"/>
        <v>0</v>
      </c>
      <c r="K142" s="67"/>
      <c r="L142" s="130"/>
      <c r="M142" s="67">
        <f t="shared" si="32"/>
        <v>0</v>
      </c>
      <c r="N142" s="130"/>
      <c r="O142" s="67">
        <f t="shared" si="33"/>
        <v>0</v>
      </c>
      <c r="P142" s="67">
        <f t="shared" si="34"/>
        <v>0</v>
      </c>
    </row>
    <row r="143" spans="2:16">
      <c r="B143" t="str">
        <f t="shared" si="10"/>
        <v/>
      </c>
      <c r="C143" s="62">
        <f>IF(D94="","-",+C142+1)</f>
        <v>2065</v>
      </c>
      <c r="D143" s="647">
        <f>IF(F142+SUM(E$100:E142)=D$93,F142,D$93-SUM(E$100:E142))</f>
        <v>0</v>
      </c>
      <c r="E143" s="509">
        <f t="shared" si="25"/>
        <v>0</v>
      </c>
      <c r="F143" s="648">
        <f t="shared" si="26"/>
        <v>0</v>
      </c>
      <c r="G143" s="648">
        <f t="shared" si="27"/>
        <v>0</v>
      </c>
      <c r="H143" s="649">
        <f t="shared" si="28"/>
        <v>0</v>
      </c>
      <c r="I143" s="628">
        <f t="shared" si="29"/>
        <v>0</v>
      </c>
      <c r="J143" s="67">
        <f t="shared" si="31"/>
        <v>0</v>
      </c>
      <c r="K143" s="67"/>
      <c r="L143" s="130"/>
      <c r="M143" s="67">
        <f t="shared" si="32"/>
        <v>0</v>
      </c>
      <c r="N143" s="130"/>
      <c r="O143" s="67">
        <f t="shared" si="33"/>
        <v>0</v>
      </c>
      <c r="P143" s="67">
        <f t="shared" si="34"/>
        <v>0</v>
      </c>
    </row>
    <row r="144" spans="2:16">
      <c r="B144" t="str">
        <f t="shared" si="10"/>
        <v/>
      </c>
      <c r="C144" s="62">
        <f>IF(D94="","-",+C143+1)</f>
        <v>2066</v>
      </c>
      <c r="D144" s="647">
        <f>IF(F143+SUM(E$100:E143)=D$93,F143,D$93-SUM(E$100:E143))</f>
        <v>0</v>
      </c>
      <c r="E144" s="509">
        <f t="shared" si="25"/>
        <v>0</v>
      </c>
      <c r="F144" s="648">
        <f t="shared" si="26"/>
        <v>0</v>
      </c>
      <c r="G144" s="648">
        <f t="shared" si="27"/>
        <v>0</v>
      </c>
      <c r="H144" s="649">
        <f t="shared" si="28"/>
        <v>0</v>
      </c>
      <c r="I144" s="628">
        <f t="shared" si="29"/>
        <v>0</v>
      </c>
      <c r="J144" s="67">
        <f t="shared" si="31"/>
        <v>0</v>
      </c>
      <c r="K144" s="67"/>
      <c r="L144" s="130"/>
      <c r="M144" s="67">
        <f t="shared" si="32"/>
        <v>0</v>
      </c>
      <c r="N144" s="130"/>
      <c r="O144" s="67">
        <f t="shared" si="33"/>
        <v>0</v>
      </c>
      <c r="P144" s="67">
        <f t="shared" si="34"/>
        <v>0</v>
      </c>
    </row>
    <row r="145" spans="2:16">
      <c r="B145" t="str">
        <f t="shared" si="10"/>
        <v/>
      </c>
      <c r="C145" s="62">
        <f>IF(D94="","-",+C144+1)</f>
        <v>2067</v>
      </c>
      <c r="D145" s="647">
        <f>IF(F144+SUM(E$100:E144)=D$93,F144,D$93-SUM(E$100:E144))</f>
        <v>0</v>
      </c>
      <c r="E145" s="509">
        <f t="shared" si="25"/>
        <v>0</v>
      </c>
      <c r="F145" s="648">
        <f t="shared" si="26"/>
        <v>0</v>
      </c>
      <c r="G145" s="648">
        <f t="shared" si="27"/>
        <v>0</v>
      </c>
      <c r="H145" s="649">
        <f t="shared" si="28"/>
        <v>0</v>
      </c>
      <c r="I145" s="628">
        <f t="shared" si="29"/>
        <v>0</v>
      </c>
      <c r="J145" s="67">
        <f t="shared" si="31"/>
        <v>0</v>
      </c>
      <c r="K145" s="67"/>
      <c r="L145" s="130"/>
      <c r="M145" s="67">
        <f t="shared" si="32"/>
        <v>0</v>
      </c>
      <c r="N145" s="130"/>
      <c r="O145" s="67">
        <f t="shared" si="33"/>
        <v>0</v>
      </c>
      <c r="P145" s="67">
        <f t="shared" si="34"/>
        <v>0</v>
      </c>
    </row>
    <row r="146" spans="2:16">
      <c r="B146" t="str">
        <f t="shared" si="10"/>
        <v/>
      </c>
      <c r="C146" s="62">
        <f>IF(D94="","-",+C145+1)</f>
        <v>2068</v>
      </c>
      <c r="D146" s="647">
        <f>IF(F145+SUM(E$100:E145)=D$93,F145,D$93-SUM(E$100:E145))</f>
        <v>0</v>
      </c>
      <c r="E146" s="509">
        <f t="shared" si="25"/>
        <v>0</v>
      </c>
      <c r="F146" s="648">
        <f t="shared" si="26"/>
        <v>0</v>
      </c>
      <c r="G146" s="648">
        <f t="shared" si="27"/>
        <v>0</v>
      </c>
      <c r="H146" s="649">
        <f t="shared" si="28"/>
        <v>0</v>
      </c>
      <c r="I146" s="628">
        <f t="shared" si="29"/>
        <v>0</v>
      </c>
      <c r="J146" s="67">
        <f t="shared" si="31"/>
        <v>0</v>
      </c>
      <c r="K146" s="67"/>
      <c r="L146" s="130"/>
      <c r="M146" s="67">
        <f t="shared" si="32"/>
        <v>0</v>
      </c>
      <c r="N146" s="130"/>
      <c r="O146" s="67">
        <f t="shared" si="33"/>
        <v>0</v>
      </c>
      <c r="P146" s="67">
        <f t="shared" si="34"/>
        <v>0</v>
      </c>
    </row>
    <row r="147" spans="2:16">
      <c r="B147" t="str">
        <f t="shared" si="10"/>
        <v/>
      </c>
      <c r="C147" s="62">
        <f>IF(D94="","-",+C146+1)</f>
        <v>2069</v>
      </c>
      <c r="D147" s="647">
        <f>IF(F146+SUM(E$100:E146)=D$93,F146,D$93-SUM(E$100:E146))</f>
        <v>0</v>
      </c>
      <c r="E147" s="509">
        <f t="shared" si="25"/>
        <v>0</v>
      </c>
      <c r="F147" s="648">
        <f t="shared" si="26"/>
        <v>0</v>
      </c>
      <c r="G147" s="648">
        <f t="shared" si="27"/>
        <v>0</v>
      </c>
      <c r="H147" s="649">
        <f t="shared" si="28"/>
        <v>0</v>
      </c>
      <c r="I147" s="628">
        <f t="shared" si="29"/>
        <v>0</v>
      </c>
      <c r="J147" s="67">
        <f t="shared" si="31"/>
        <v>0</v>
      </c>
      <c r="K147" s="67"/>
      <c r="L147" s="130"/>
      <c r="M147" s="67">
        <f t="shared" si="32"/>
        <v>0</v>
      </c>
      <c r="N147" s="130"/>
      <c r="O147" s="67">
        <f t="shared" si="33"/>
        <v>0</v>
      </c>
      <c r="P147" s="67">
        <f t="shared" si="34"/>
        <v>0</v>
      </c>
    </row>
    <row r="148" spans="2:16">
      <c r="B148" t="str">
        <f t="shared" si="10"/>
        <v/>
      </c>
      <c r="C148" s="62">
        <f>IF(D94="","-",+C147+1)</f>
        <v>2070</v>
      </c>
      <c r="D148" s="647">
        <f>IF(F147+SUM(E$100:E147)=D$93,F147,D$93-SUM(E$100:E147))</f>
        <v>0</v>
      </c>
      <c r="E148" s="509">
        <f t="shared" si="25"/>
        <v>0</v>
      </c>
      <c r="F148" s="648">
        <f t="shared" si="26"/>
        <v>0</v>
      </c>
      <c r="G148" s="648">
        <f t="shared" si="27"/>
        <v>0</v>
      </c>
      <c r="H148" s="649">
        <f t="shared" si="28"/>
        <v>0</v>
      </c>
      <c r="I148" s="628">
        <f t="shared" si="29"/>
        <v>0</v>
      </c>
      <c r="J148" s="67">
        <f t="shared" si="31"/>
        <v>0</v>
      </c>
      <c r="K148" s="67"/>
      <c r="L148" s="130"/>
      <c r="M148" s="67">
        <f t="shared" si="32"/>
        <v>0</v>
      </c>
      <c r="N148" s="130"/>
      <c r="O148" s="67">
        <f t="shared" si="33"/>
        <v>0</v>
      </c>
      <c r="P148" s="67">
        <f t="shared" si="34"/>
        <v>0</v>
      </c>
    </row>
    <row r="149" spans="2:16">
      <c r="B149" t="str">
        <f t="shared" si="10"/>
        <v/>
      </c>
      <c r="C149" s="62">
        <f>IF(D94="","-",+C148+1)</f>
        <v>2071</v>
      </c>
      <c r="D149" s="647">
        <f>IF(F148+SUM(E$100:E148)=D$93,F148,D$93-SUM(E$100:E148))</f>
        <v>0</v>
      </c>
      <c r="E149" s="509">
        <f t="shared" si="25"/>
        <v>0</v>
      </c>
      <c r="F149" s="648">
        <f t="shared" si="26"/>
        <v>0</v>
      </c>
      <c r="G149" s="648">
        <f t="shared" si="27"/>
        <v>0</v>
      </c>
      <c r="H149" s="649">
        <f t="shared" si="28"/>
        <v>0</v>
      </c>
      <c r="I149" s="628">
        <f t="shared" si="29"/>
        <v>0</v>
      </c>
      <c r="J149" s="67">
        <f t="shared" si="31"/>
        <v>0</v>
      </c>
      <c r="K149" s="67"/>
      <c r="L149" s="130"/>
      <c r="M149" s="67">
        <f t="shared" si="32"/>
        <v>0</v>
      </c>
      <c r="N149" s="130"/>
      <c r="O149" s="67">
        <f t="shared" si="33"/>
        <v>0</v>
      </c>
      <c r="P149" s="67">
        <f t="shared" si="34"/>
        <v>0</v>
      </c>
    </row>
    <row r="150" spans="2:16">
      <c r="B150" t="str">
        <f t="shared" si="10"/>
        <v/>
      </c>
      <c r="C150" s="62">
        <f>IF(D94="","-",+C149+1)</f>
        <v>2072</v>
      </c>
      <c r="D150" s="647">
        <f>IF(F149+SUM(E$100:E149)=D$93,F149,D$93-SUM(E$100:E149))</f>
        <v>0</v>
      </c>
      <c r="E150" s="509">
        <f t="shared" si="25"/>
        <v>0</v>
      </c>
      <c r="F150" s="648">
        <f t="shared" si="26"/>
        <v>0</v>
      </c>
      <c r="G150" s="648">
        <f t="shared" si="27"/>
        <v>0</v>
      </c>
      <c r="H150" s="649">
        <f t="shared" si="28"/>
        <v>0</v>
      </c>
      <c r="I150" s="628">
        <f t="shared" si="29"/>
        <v>0</v>
      </c>
      <c r="J150" s="67">
        <f t="shared" si="31"/>
        <v>0</v>
      </c>
      <c r="K150" s="67"/>
      <c r="L150" s="130"/>
      <c r="M150" s="67">
        <f t="shared" si="32"/>
        <v>0</v>
      </c>
      <c r="N150" s="130"/>
      <c r="O150" s="67">
        <f t="shared" si="33"/>
        <v>0</v>
      </c>
      <c r="P150" s="67">
        <f t="shared" si="34"/>
        <v>0</v>
      </c>
    </row>
    <row r="151" spans="2:16">
      <c r="B151" t="str">
        <f t="shared" si="10"/>
        <v/>
      </c>
      <c r="C151" s="62">
        <f>IF(D94="","-",+C150+1)</f>
        <v>2073</v>
      </c>
      <c r="D151" s="647">
        <f>IF(F150+SUM(E$100:E150)=D$93,F150,D$93-SUM(E$100:E150))</f>
        <v>0</v>
      </c>
      <c r="E151" s="509">
        <f t="shared" si="25"/>
        <v>0</v>
      </c>
      <c r="F151" s="648">
        <f t="shared" si="26"/>
        <v>0</v>
      </c>
      <c r="G151" s="648">
        <f t="shared" si="27"/>
        <v>0</v>
      </c>
      <c r="H151" s="649">
        <f t="shared" si="28"/>
        <v>0</v>
      </c>
      <c r="I151" s="628">
        <f t="shared" si="29"/>
        <v>0</v>
      </c>
      <c r="J151" s="67">
        <f t="shared" si="31"/>
        <v>0</v>
      </c>
      <c r="K151" s="67"/>
      <c r="L151" s="130"/>
      <c r="M151" s="67">
        <f t="shared" si="32"/>
        <v>0</v>
      </c>
      <c r="N151" s="130"/>
      <c r="O151" s="67">
        <f t="shared" si="33"/>
        <v>0</v>
      </c>
      <c r="P151" s="67">
        <f t="shared" si="34"/>
        <v>0</v>
      </c>
    </row>
    <row r="152" spans="2:16">
      <c r="B152" t="str">
        <f t="shared" si="10"/>
        <v/>
      </c>
      <c r="C152" s="62">
        <f>IF(D94="","-",+C151+1)</f>
        <v>2074</v>
      </c>
      <c r="D152" s="647">
        <f>IF(F151+SUM(E$100:E151)=D$93,F151,D$93-SUM(E$100:E151))</f>
        <v>0</v>
      </c>
      <c r="E152" s="509">
        <f t="shared" si="25"/>
        <v>0</v>
      </c>
      <c r="F152" s="648">
        <f t="shared" si="26"/>
        <v>0</v>
      </c>
      <c r="G152" s="648">
        <f t="shared" si="27"/>
        <v>0</v>
      </c>
      <c r="H152" s="649">
        <f t="shared" si="28"/>
        <v>0</v>
      </c>
      <c r="I152" s="628">
        <f t="shared" si="29"/>
        <v>0</v>
      </c>
      <c r="J152" s="67">
        <f t="shared" si="31"/>
        <v>0</v>
      </c>
      <c r="K152" s="67"/>
      <c r="L152" s="130"/>
      <c r="M152" s="67">
        <f t="shared" si="32"/>
        <v>0</v>
      </c>
      <c r="N152" s="130"/>
      <c r="O152" s="67">
        <f t="shared" si="33"/>
        <v>0</v>
      </c>
      <c r="P152" s="67">
        <f t="shared" si="34"/>
        <v>0</v>
      </c>
    </row>
    <row r="153" spans="2:16">
      <c r="B153" t="str">
        <f t="shared" si="10"/>
        <v/>
      </c>
      <c r="C153" s="62">
        <f>IF(D94="","-",+C152+1)</f>
        <v>2075</v>
      </c>
      <c r="D153" s="647">
        <f>IF(F152+SUM(E$100:E152)=D$93,F152,D$93-SUM(E$100:E152))</f>
        <v>0</v>
      </c>
      <c r="E153" s="509">
        <f t="shared" si="25"/>
        <v>0</v>
      </c>
      <c r="F153" s="648">
        <f t="shared" si="26"/>
        <v>0</v>
      </c>
      <c r="G153" s="648">
        <f t="shared" si="27"/>
        <v>0</v>
      </c>
      <c r="H153" s="649">
        <f t="shared" si="28"/>
        <v>0</v>
      </c>
      <c r="I153" s="628">
        <f t="shared" si="29"/>
        <v>0</v>
      </c>
      <c r="J153" s="67">
        <f t="shared" si="31"/>
        <v>0</v>
      </c>
      <c r="K153" s="67"/>
      <c r="L153" s="130"/>
      <c r="M153" s="67">
        <f t="shared" si="32"/>
        <v>0</v>
      </c>
      <c r="N153" s="130"/>
      <c r="O153" s="67">
        <f t="shared" si="33"/>
        <v>0</v>
      </c>
      <c r="P153" s="67">
        <f t="shared" si="34"/>
        <v>0</v>
      </c>
    </row>
    <row r="154" spans="2:16">
      <c r="B154" t="str">
        <f t="shared" si="10"/>
        <v/>
      </c>
      <c r="C154" s="62">
        <f>IF(D94="","-",+C153+1)</f>
        <v>2076</v>
      </c>
      <c r="D154" s="647">
        <f>IF(F153+SUM(E$100:E153)=D$93,F153,D$93-SUM(E$100:E153))</f>
        <v>0</v>
      </c>
      <c r="E154" s="509">
        <f t="shared" si="25"/>
        <v>0</v>
      </c>
      <c r="F154" s="648">
        <f t="shared" si="26"/>
        <v>0</v>
      </c>
      <c r="G154" s="648">
        <f t="shared" si="27"/>
        <v>0</v>
      </c>
      <c r="H154" s="649">
        <f t="shared" si="28"/>
        <v>0</v>
      </c>
      <c r="I154" s="628">
        <f t="shared" si="29"/>
        <v>0</v>
      </c>
      <c r="J154" s="67">
        <f t="shared" si="31"/>
        <v>0</v>
      </c>
      <c r="K154" s="67"/>
      <c r="L154" s="130"/>
      <c r="M154" s="67">
        <f t="shared" si="32"/>
        <v>0</v>
      </c>
      <c r="N154" s="130"/>
      <c r="O154" s="67">
        <f t="shared" si="33"/>
        <v>0</v>
      </c>
      <c r="P154" s="67">
        <f t="shared" si="34"/>
        <v>0</v>
      </c>
    </row>
    <row r="155" spans="2:16" ht="13.5" thickBot="1">
      <c r="B155" t="str">
        <f t="shared" si="10"/>
        <v/>
      </c>
      <c r="C155" s="73">
        <f>IF(D94="","-",+C154+1)</f>
        <v>2077</v>
      </c>
      <c r="D155" s="650">
        <f>IF(F154+SUM(E$100:E154)=D$93,F154,D$93-SUM(E$100:E154))</f>
        <v>0</v>
      </c>
      <c r="E155" s="526">
        <f t="shared" si="25"/>
        <v>0</v>
      </c>
      <c r="F155" s="651">
        <f t="shared" si="26"/>
        <v>0</v>
      </c>
      <c r="G155" s="651">
        <f t="shared" si="27"/>
        <v>0</v>
      </c>
      <c r="H155" s="649">
        <f t="shared" si="28"/>
        <v>0</v>
      </c>
      <c r="I155" s="624">
        <f t="shared" si="29"/>
        <v>0</v>
      </c>
      <c r="J155" s="78">
        <f t="shared" si="31"/>
        <v>0</v>
      </c>
      <c r="K155" s="67"/>
      <c r="L155" s="131"/>
      <c r="M155" s="78">
        <f t="shared" si="32"/>
        <v>0</v>
      </c>
      <c r="N155" s="131"/>
      <c r="O155" s="78">
        <f t="shared" si="33"/>
        <v>0</v>
      </c>
      <c r="P155" s="78">
        <f t="shared" si="34"/>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5" header="0.25" footer="0.5"/>
  <pageSetup scale="47" orientation="landscape" r:id="rId1"/>
  <headerFooter>
    <oddHeader xml:space="preserve">&amp;R&amp;18AEPTCo - SPP Formula Rate
&amp;A TCOS - Worksheets F and G
Section IV -- (BPU Project Tables)
Page: &amp;P of &amp;N
</oddHeader>
    <oddFooter>&amp;L&amp;A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63"/>
  <sheetViews>
    <sheetView zoomScale="80" zoomScaleNormal="80" workbookViewId="0">
      <selection activeCell="D10" sqref="D10"/>
    </sheetView>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22 of 24</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934695.11944724119</v>
      </c>
      <c r="P5" s="1"/>
    </row>
    <row r="6" spans="1:16" ht="15.75">
      <c r="C6" s="8"/>
      <c r="D6" s="2"/>
      <c r="E6" s="1"/>
      <c r="F6" s="1"/>
      <c r="G6" s="1"/>
      <c r="H6" s="26"/>
      <c r="I6" s="26"/>
      <c r="J6" s="27"/>
      <c r="K6" s="28" t="s">
        <v>243</v>
      </c>
      <c r="L6" s="29"/>
      <c r="M6" s="4"/>
      <c r="N6" s="30">
        <f>VLOOKUP(I10,C17:I73,6)</f>
        <v>934695.11944724119</v>
      </c>
      <c r="O6" s="1"/>
      <c r="P6" s="1"/>
    </row>
    <row r="7" spans="1:16" ht="13.5" thickBot="1">
      <c r="C7" s="31" t="s">
        <v>46</v>
      </c>
      <c r="D7" s="637" t="s">
        <v>317</v>
      </c>
      <c r="E7" s="1"/>
      <c r="F7" s="1"/>
      <c r="G7" s="1"/>
      <c r="H7" s="3"/>
      <c r="I7" s="3"/>
      <c r="J7" s="19"/>
      <c r="K7" s="32" t="s">
        <v>47</v>
      </c>
      <c r="L7" s="33"/>
      <c r="M7" s="33"/>
      <c r="N7" s="34">
        <f>+N6-N5</f>
        <v>0</v>
      </c>
      <c r="O7" s="1"/>
      <c r="P7" s="1"/>
    </row>
    <row r="8" spans="1:16" ht="13.5" thickBot="1">
      <c r="C8" s="35"/>
      <c r="D8" s="35"/>
      <c r="E8" s="36"/>
      <c r="F8" s="36"/>
      <c r="G8" s="36"/>
      <c r="H8" s="36"/>
      <c r="I8" s="36"/>
      <c r="J8" s="15"/>
      <c r="K8" s="36"/>
      <c r="L8" s="36"/>
      <c r="M8" s="36"/>
      <c r="N8" s="36"/>
      <c r="O8" s="15"/>
      <c r="P8" s="9"/>
    </row>
    <row r="9" spans="1:16" ht="13.5" thickBot="1">
      <c r="C9" s="37" t="s">
        <v>48</v>
      </c>
      <c r="D9" s="106" t="s">
        <v>318</v>
      </c>
      <c r="E9" s="646" t="s">
        <v>321</v>
      </c>
      <c r="F9" s="38"/>
      <c r="G9" s="38"/>
      <c r="H9" s="38"/>
      <c r="I9" s="39"/>
      <c r="J9" s="40"/>
      <c r="O9" s="41"/>
      <c r="P9" s="4"/>
    </row>
    <row r="10" spans="1:16">
      <c r="C10" s="42" t="s">
        <v>49</v>
      </c>
      <c r="D10" s="43">
        <v>6667708</v>
      </c>
      <c r="E10" s="11" t="s">
        <v>50</v>
      </c>
      <c r="F10" s="41"/>
      <c r="G10" s="44"/>
      <c r="H10" s="44"/>
      <c r="I10" s="45">
        <f>+'OKT.WS.F.BPU.ATRR.Projected'!R101</f>
        <v>2024</v>
      </c>
      <c r="J10" s="40"/>
      <c r="K10" s="19" t="s">
        <v>51</v>
      </c>
      <c r="O10" s="4"/>
      <c r="P10" s="4"/>
    </row>
    <row r="11" spans="1:16">
      <c r="C11" s="46" t="s">
        <v>52</v>
      </c>
      <c r="D11" s="47">
        <v>2022</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6</v>
      </c>
      <c r="E12" s="46" t="s">
        <v>55</v>
      </c>
      <c r="F12" s="44"/>
      <c r="G12" s="7"/>
      <c r="H12" s="7"/>
      <c r="I12" s="50">
        <f>'OKT.WS.F.BPU.ATRR.Projected'!$F$79</f>
        <v>0.11393163315254198</v>
      </c>
      <c r="J12" s="51"/>
      <c r="K12" t="s">
        <v>56</v>
      </c>
      <c r="O12" s="4"/>
      <c r="P12" s="4"/>
    </row>
    <row r="13" spans="1:16">
      <c r="C13" s="46" t="s">
        <v>57</v>
      </c>
      <c r="D13" s="48">
        <f>+'OKT.WS.F.BPU.ATRR.Projected'!F$90</f>
        <v>31</v>
      </c>
      <c r="E13" s="46" t="s">
        <v>58</v>
      </c>
      <c r="F13" s="44"/>
      <c r="G13" s="7"/>
      <c r="H13" s="7"/>
      <c r="I13" s="50">
        <f>IF(G5="",I12,'OKT.WS.F.BPU.ATRR.Projected'!$F$78)</f>
        <v>0.11393163315254198</v>
      </c>
      <c r="J13" s="51"/>
      <c r="K13" s="19" t="s">
        <v>59</v>
      </c>
      <c r="L13" s="10"/>
      <c r="M13" s="10"/>
      <c r="N13" s="10"/>
      <c r="O13" s="4"/>
      <c r="P13" s="4"/>
    </row>
    <row r="14" spans="1:16" ht="13.5" thickBot="1">
      <c r="C14" s="46" t="s">
        <v>60</v>
      </c>
      <c r="D14" s="47" t="s">
        <v>61</v>
      </c>
      <c r="E14" s="4" t="s">
        <v>62</v>
      </c>
      <c r="F14" s="44"/>
      <c r="G14" s="7"/>
      <c r="H14" s="7"/>
      <c r="I14" s="52">
        <f>IF(D10=0,0,D10/D13)</f>
        <v>215087.35483870967</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67">
        <f>IF(D11= "","-",D11)</f>
        <v>2022</v>
      </c>
      <c r="D17" s="641">
        <v>0</v>
      </c>
      <c r="E17" s="642">
        <v>30556.858585858587</v>
      </c>
      <c r="F17" s="643">
        <v>6019701.1414141413</v>
      </c>
      <c r="G17" s="642">
        <v>375963.61969540955</v>
      </c>
      <c r="H17" s="644">
        <v>375963.61969540955</v>
      </c>
      <c r="I17" s="65">
        <f t="shared" ref="I17:I71" si="1">H17-G17</f>
        <v>0</v>
      </c>
      <c r="J17" s="65"/>
      <c r="K17" s="501">
        <f>+G17</f>
        <v>375963.61969540955</v>
      </c>
      <c r="L17" s="503">
        <f t="shared" ref="L17" si="2">IF(K17&lt;&gt;0,+G17-K17,0)</f>
        <v>0</v>
      </c>
      <c r="M17" s="501">
        <f>+H17</f>
        <v>375963.61969540955</v>
      </c>
      <c r="N17" s="66">
        <f t="shared" ref="N17:N71" si="3">IF(M17&lt;&gt;0,+H17-M17,0)</f>
        <v>0</v>
      </c>
      <c r="O17" s="67">
        <f t="shared" ref="O17:O71" si="4">+N17-L17</f>
        <v>0</v>
      </c>
      <c r="P17" s="4"/>
    </row>
    <row r="18" spans="2:16">
      <c r="B18" t="str">
        <f t="shared" si="0"/>
        <v>IU</v>
      </c>
      <c r="C18" s="62">
        <f>IF(D11="","-",+C17+1)</f>
        <v>2023</v>
      </c>
      <c r="D18" s="614">
        <v>6587038.1414141413</v>
      </c>
      <c r="E18" s="613">
        <v>213470.80645161291</v>
      </c>
      <c r="F18" s="614">
        <v>6373567.3349625282</v>
      </c>
      <c r="G18" s="613">
        <v>945957.92644739733</v>
      </c>
      <c r="H18" s="617">
        <v>945957.92644739733</v>
      </c>
      <c r="I18" s="65">
        <f t="shared" si="1"/>
        <v>0</v>
      </c>
      <c r="J18" s="65"/>
      <c r="K18" s="130"/>
      <c r="L18" s="67">
        <f t="shared" ref="L18:L71" si="5">IF(K18&lt;&gt;0,+G18-K18,0)</f>
        <v>0</v>
      </c>
      <c r="M18" s="130"/>
      <c r="N18" s="67">
        <f t="shared" si="3"/>
        <v>0</v>
      </c>
      <c r="O18" s="67">
        <f t="shared" si="4"/>
        <v>0</v>
      </c>
      <c r="P18" s="4"/>
    </row>
    <row r="19" spans="2:16">
      <c r="B19" t="str">
        <f t="shared" si="0"/>
        <v>IU</v>
      </c>
      <c r="C19" s="62">
        <f>IF(D11="","-",+C18+1)</f>
        <v>2024</v>
      </c>
      <c r="D19" s="71">
        <f>IF(F18+SUM(E$17:E18)=D$10,F18,D$10-SUM(E$17:E18))</f>
        <v>6423680.3349625282</v>
      </c>
      <c r="E19" s="69">
        <f t="shared" ref="E19:E71" si="6">IF(+I$14&lt;F18,I$14,D19)</f>
        <v>215087.35483870967</v>
      </c>
      <c r="F19" s="68">
        <f t="shared" ref="F19:F71" si="7">+D19-E19</f>
        <v>6208592.9801238189</v>
      </c>
      <c r="G19" s="70">
        <f t="shared" ref="G19:G71" si="8">(D19+F19)/2*I$12+E19</f>
        <v>934695.11944724119</v>
      </c>
      <c r="H19" s="52">
        <f t="shared" ref="H19:H71" si="9">+(D19+F19)/2*I$13+E19</f>
        <v>934695.11944724119</v>
      </c>
      <c r="I19" s="65">
        <f t="shared" si="1"/>
        <v>0</v>
      </c>
      <c r="J19" s="65"/>
      <c r="K19" s="130"/>
      <c r="L19" s="67">
        <f t="shared" si="5"/>
        <v>0</v>
      </c>
      <c r="M19" s="130"/>
      <c r="N19" s="67">
        <f t="shared" si="3"/>
        <v>0</v>
      </c>
      <c r="O19" s="67">
        <f t="shared" si="4"/>
        <v>0</v>
      </c>
      <c r="P19" s="4"/>
    </row>
    <row r="20" spans="2:16">
      <c r="B20" t="str">
        <f t="shared" si="0"/>
        <v/>
      </c>
      <c r="C20" s="62">
        <f>IF(D11="","-",+C19+1)</f>
        <v>2025</v>
      </c>
      <c r="D20" s="71">
        <f>IF(F19+SUM(E$17:E19)=D$10,F19,D$10-SUM(E$17:E19))</f>
        <v>6208592.9801238189</v>
      </c>
      <c r="E20" s="69">
        <f t="shared" si="6"/>
        <v>215087.35483870967</v>
      </c>
      <c r="F20" s="68">
        <f t="shared" si="7"/>
        <v>5993505.6252851095</v>
      </c>
      <c r="G20" s="70">
        <f t="shared" si="8"/>
        <v>910189.86584000685</v>
      </c>
      <c r="H20" s="52">
        <f t="shared" si="9"/>
        <v>910189.86584000685</v>
      </c>
      <c r="I20" s="65">
        <f t="shared" si="1"/>
        <v>0</v>
      </c>
      <c r="J20" s="65"/>
      <c r="K20" s="130"/>
      <c r="L20" s="67">
        <f t="shared" si="5"/>
        <v>0</v>
      </c>
      <c r="M20" s="130"/>
      <c r="N20" s="67">
        <f t="shared" si="3"/>
        <v>0</v>
      </c>
      <c r="O20" s="67">
        <f t="shared" si="4"/>
        <v>0</v>
      </c>
      <c r="P20" s="4"/>
    </row>
    <row r="21" spans="2:16">
      <c r="B21" t="str">
        <f t="shared" si="0"/>
        <v/>
      </c>
      <c r="C21" s="62">
        <f>IF(D11="","-",+C20+1)</f>
        <v>2026</v>
      </c>
      <c r="D21" s="71">
        <f>IF(F20+SUM(E$17:E20)=D$10,F20,D$10-SUM(E$17:E20))</f>
        <v>5993505.6252851095</v>
      </c>
      <c r="E21" s="69">
        <f t="shared" si="6"/>
        <v>215087.35483870967</v>
      </c>
      <c r="F21" s="68">
        <f t="shared" si="7"/>
        <v>5778418.2704464002</v>
      </c>
      <c r="G21" s="70">
        <f t="shared" si="8"/>
        <v>885684.61223277228</v>
      </c>
      <c r="H21" s="52">
        <f t="shared" si="9"/>
        <v>885684.61223277228</v>
      </c>
      <c r="I21" s="65">
        <f t="shared" si="1"/>
        <v>0</v>
      </c>
      <c r="J21" s="65"/>
      <c r="K21" s="130"/>
      <c r="L21" s="67">
        <f t="shared" si="5"/>
        <v>0</v>
      </c>
      <c r="M21" s="130"/>
      <c r="N21" s="67">
        <f t="shared" si="3"/>
        <v>0</v>
      </c>
      <c r="O21" s="67">
        <f t="shared" si="4"/>
        <v>0</v>
      </c>
      <c r="P21" s="4"/>
    </row>
    <row r="22" spans="2:16">
      <c r="B22" t="str">
        <f t="shared" si="0"/>
        <v/>
      </c>
      <c r="C22" s="62">
        <f>IF(D11="","-",+C21+1)</f>
        <v>2027</v>
      </c>
      <c r="D22" s="71">
        <f>IF(F21+SUM(E$17:E21)=D$10,F21,D$10-SUM(E$17:E21))</f>
        <v>5778418.2704464002</v>
      </c>
      <c r="E22" s="69">
        <f t="shared" si="6"/>
        <v>215087.35483870967</v>
      </c>
      <c r="F22" s="68">
        <f t="shared" si="7"/>
        <v>5563330.9156076908</v>
      </c>
      <c r="G22" s="70">
        <f t="shared" si="8"/>
        <v>861179.35862553795</v>
      </c>
      <c r="H22" s="52">
        <f t="shared" si="9"/>
        <v>861179.35862553795</v>
      </c>
      <c r="I22" s="65">
        <f t="shared" si="1"/>
        <v>0</v>
      </c>
      <c r="J22" s="65"/>
      <c r="K22" s="130"/>
      <c r="L22" s="67">
        <f t="shared" si="5"/>
        <v>0</v>
      </c>
      <c r="M22" s="130"/>
      <c r="N22" s="67">
        <f t="shared" si="3"/>
        <v>0</v>
      </c>
      <c r="O22" s="67">
        <f t="shared" si="4"/>
        <v>0</v>
      </c>
      <c r="P22" s="4"/>
    </row>
    <row r="23" spans="2:16">
      <c r="B23" t="str">
        <f t="shared" si="0"/>
        <v/>
      </c>
      <c r="C23" s="62">
        <f>IF(D11="","-",+C22+1)</f>
        <v>2028</v>
      </c>
      <c r="D23" s="71">
        <f>IF(F22+SUM(E$17:E22)=D$10,F22,D$10-SUM(E$17:E22))</f>
        <v>5563330.9156076908</v>
      </c>
      <c r="E23" s="69">
        <f t="shared" si="6"/>
        <v>215087.35483870967</v>
      </c>
      <c r="F23" s="68">
        <f t="shared" si="7"/>
        <v>5348243.5607689815</v>
      </c>
      <c r="G23" s="70">
        <f t="shared" si="8"/>
        <v>836674.10501830338</v>
      </c>
      <c r="H23" s="52">
        <f t="shared" si="9"/>
        <v>836674.10501830338</v>
      </c>
      <c r="I23" s="65">
        <f t="shared" si="1"/>
        <v>0</v>
      </c>
      <c r="J23" s="65"/>
      <c r="K23" s="130"/>
      <c r="L23" s="67">
        <f t="shared" si="5"/>
        <v>0</v>
      </c>
      <c r="M23" s="130"/>
      <c r="N23" s="67">
        <f t="shared" si="3"/>
        <v>0</v>
      </c>
      <c r="O23" s="67">
        <f t="shared" si="4"/>
        <v>0</v>
      </c>
      <c r="P23" s="4"/>
    </row>
    <row r="24" spans="2:16">
      <c r="B24" t="str">
        <f t="shared" si="0"/>
        <v/>
      </c>
      <c r="C24" s="62">
        <f>IF(D11="","-",+C23+1)</f>
        <v>2029</v>
      </c>
      <c r="D24" s="71">
        <f>IF(F23+SUM(E$17:E23)=D$10,F23,D$10-SUM(E$17:E23))</f>
        <v>5348243.5607689815</v>
      </c>
      <c r="E24" s="69">
        <f t="shared" si="6"/>
        <v>215087.35483870967</v>
      </c>
      <c r="F24" s="68">
        <f t="shared" si="7"/>
        <v>5133156.2059302721</v>
      </c>
      <c r="G24" s="70">
        <f t="shared" si="8"/>
        <v>812168.85141106904</v>
      </c>
      <c r="H24" s="52">
        <f t="shared" si="9"/>
        <v>812168.85141106904</v>
      </c>
      <c r="I24" s="65">
        <f t="shared" si="1"/>
        <v>0</v>
      </c>
      <c r="J24" s="65"/>
      <c r="K24" s="130"/>
      <c r="L24" s="67">
        <f t="shared" si="5"/>
        <v>0</v>
      </c>
      <c r="M24" s="130"/>
      <c r="N24" s="67">
        <f t="shared" si="3"/>
        <v>0</v>
      </c>
      <c r="O24" s="67">
        <f t="shared" si="4"/>
        <v>0</v>
      </c>
      <c r="P24" s="4"/>
    </row>
    <row r="25" spans="2:16">
      <c r="B25" t="str">
        <f t="shared" si="0"/>
        <v/>
      </c>
      <c r="C25" s="62">
        <f>IF(D11="","-",+C24+1)</f>
        <v>2030</v>
      </c>
      <c r="D25" s="71">
        <f>IF(F24+SUM(E$17:E24)=D$10,F24,D$10-SUM(E$17:E24))</f>
        <v>5133156.2059302721</v>
      </c>
      <c r="E25" s="69">
        <f t="shared" si="6"/>
        <v>215087.35483870967</v>
      </c>
      <c r="F25" s="68">
        <f t="shared" si="7"/>
        <v>4918068.8510915628</v>
      </c>
      <c r="G25" s="70">
        <f t="shared" si="8"/>
        <v>787663.59780383448</v>
      </c>
      <c r="H25" s="52">
        <f t="shared" si="9"/>
        <v>787663.59780383448</v>
      </c>
      <c r="I25" s="65">
        <f t="shared" si="1"/>
        <v>0</v>
      </c>
      <c r="J25" s="65"/>
      <c r="K25" s="130"/>
      <c r="L25" s="67">
        <f t="shared" si="5"/>
        <v>0</v>
      </c>
      <c r="M25" s="130"/>
      <c r="N25" s="67">
        <f t="shared" si="3"/>
        <v>0</v>
      </c>
      <c r="O25" s="67">
        <f t="shared" si="4"/>
        <v>0</v>
      </c>
      <c r="P25" s="4"/>
    </row>
    <row r="26" spans="2:16">
      <c r="B26" t="str">
        <f t="shared" si="0"/>
        <v/>
      </c>
      <c r="C26" s="62">
        <f>IF(D11="","-",+C25+1)</f>
        <v>2031</v>
      </c>
      <c r="D26" s="71">
        <f>IF(F25+SUM(E$17:E25)=D$10,F25,D$10-SUM(E$17:E25))</f>
        <v>4918068.8510915628</v>
      </c>
      <c r="E26" s="69">
        <f t="shared" si="6"/>
        <v>215087.35483870967</v>
      </c>
      <c r="F26" s="68">
        <f t="shared" si="7"/>
        <v>4702981.4962528534</v>
      </c>
      <c r="G26" s="70">
        <f t="shared" si="8"/>
        <v>763158.34419660002</v>
      </c>
      <c r="H26" s="52">
        <f t="shared" si="9"/>
        <v>763158.34419660002</v>
      </c>
      <c r="I26" s="65">
        <f t="shared" si="1"/>
        <v>0</v>
      </c>
      <c r="J26" s="65"/>
      <c r="K26" s="130"/>
      <c r="L26" s="67">
        <f t="shared" si="5"/>
        <v>0</v>
      </c>
      <c r="M26" s="130"/>
      <c r="N26" s="67">
        <f t="shared" si="3"/>
        <v>0</v>
      </c>
      <c r="O26" s="67">
        <f t="shared" si="4"/>
        <v>0</v>
      </c>
      <c r="P26" s="4"/>
    </row>
    <row r="27" spans="2:16">
      <c r="B27" t="str">
        <f t="shared" si="0"/>
        <v/>
      </c>
      <c r="C27" s="62">
        <f>IF(D11="","-",+C26+1)</f>
        <v>2032</v>
      </c>
      <c r="D27" s="71">
        <f>IF(F26+SUM(E$17:E26)=D$10,F26,D$10-SUM(E$17:E26))</f>
        <v>4702981.4962528534</v>
      </c>
      <c r="E27" s="69">
        <f t="shared" si="6"/>
        <v>215087.35483870967</v>
      </c>
      <c r="F27" s="68">
        <f t="shared" si="7"/>
        <v>4487894.1414141441</v>
      </c>
      <c r="G27" s="70">
        <f t="shared" si="8"/>
        <v>738653.09058936546</v>
      </c>
      <c r="H27" s="52">
        <f t="shared" si="9"/>
        <v>738653.09058936546</v>
      </c>
      <c r="I27" s="65">
        <f t="shared" si="1"/>
        <v>0</v>
      </c>
      <c r="J27" s="65"/>
      <c r="K27" s="130"/>
      <c r="L27" s="67">
        <f t="shared" si="5"/>
        <v>0</v>
      </c>
      <c r="M27" s="130"/>
      <c r="N27" s="67">
        <f t="shared" si="3"/>
        <v>0</v>
      </c>
      <c r="O27" s="67">
        <f t="shared" si="4"/>
        <v>0</v>
      </c>
      <c r="P27" s="4"/>
    </row>
    <row r="28" spans="2:16">
      <c r="B28" t="str">
        <f t="shared" si="0"/>
        <v/>
      </c>
      <c r="C28" s="62">
        <f>IF(D11="","-",+C27+1)</f>
        <v>2033</v>
      </c>
      <c r="D28" s="71">
        <f>IF(F27+SUM(E$17:E27)=D$10,F27,D$10-SUM(E$17:E27))</f>
        <v>4487894.1414141441</v>
      </c>
      <c r="E28" s="69">
        <f t="shared" si="6"/>
        <v>215087.35483870967</v>
      </c>
      <c r="F28" s="68">
        <f t="shared" si="7"/>
        <v>4272806.7865754347</v>
      </c>
      <c r="G28" s="70">
        <f t="shared" si="8"/>
        <v>714147.83698213112</v>
      </c>
      <c r="H28" s="52">
        <f t="shared" si="9"/>
        <v>714147.83698213112</v>
      </c>
      <c r="I28" s="65">
        <f t="shared" si="1"/>
        <v>0</v>
      </c>
      <c r="J28" s="65"/>
      <c r="K28" s="130"/>
      <c r="L28" s="67">
        <f t="shared" si="5"/>
        <v>0</v>
      </c>
      <c r="M28" s="130"/>
      <c r="N28" s="67">
        <f t="shared" si="3"/>
        <v>0</v>
      </c>
      <c r="O28" s="67">
        <f t="shared" si="4"/>
        <v>0</v>
      </c>
      <c r="P28" s="4"/>
    </row>
    <row r="29" spans="2:16">
      <c r="B29" t="str">
        <f t="shared" si="0"/>
        <v/>
      </c>
      <c r="C29" s="62">
        <f>IF(D11="","-",+C28+1)</f>
        <v>2034</v>
      </c>
      <c r="D29" s="71">
        <f>IF(F28+SUM(E$17:E28)=D$10,F28,D$10-SUM(E$17:E28))</f>
        <v>4272806.7865754347</v>
      </c>
      <c r="E29" s="69">
        <f t="shared" si="6"/>
        <v>215087.35483870967</v>
      </c>
      <c r="F29" s="68">
        <f t="shared" si="7"/>
        <v>4057719.4317367249</v>
      </c>
      <c r="G29" s="70">
        <f t="shared" si="8"/>
        <v>689642.58337489655</v>
      </c>
      <c r="H29" s="52">
        <f t="shared" si="9"/>
        <v>689642.58337489655</v>
      </c>
      <c r="I29" s="65">
        <f t="shared" si="1"/>
        <v>0</v>
      </c>
      <c r="J29" s="65"/>
      <c r="K29" s="130"/>
      <c r="L29" s="67">
        <f t="shared" si="5"/>
        <v>0</v>
      </c>
      <c r="M29" s="130"/>
      <c r="N29" s="67">
        <f t="shared" si="3"/>
        <v>0</v>
      </c>
      <c r="O29" s="67">
        <f t="shared" si="4"/>
        <v>0</v>
      </c>
      <c r="P29" s="4"/>
    </row>
    <row r="30" spans="2:16">
      <c r="B30" t="str">
        <f t="shared" si="0"/>
        <v/>
      </c>
      <c r="C30" s="62">
        <f>IF(D11="","-",+C29+1)</f>
        <v>2035</v>
      </c>
      <c r="D30" s="71">
        <f>IF(F29+SUM(E$17:E29)=D$10,F29,D$10-SUM(E$17:E29))</f>
        <v>4057719.4317367249</v>
      </c>
      <c r="E30" s="69">
        <f t="shared" si="6"/>
        <v>215087.35483870967</v>
      </c>
      <c r="F30" s="68">
        <f t="shared" si="7"/>
        <v>3842632.0768980151</v>
      </c>
      <c r="G30" s="70">
        <f t="shared" si="8"/>
        <v>665137.3297676621</v>
      </c>
      <c r="H30" s="52">
        <f t="shared" si="9"/>
        <v>665137.3297676621</v>
      </c>
      <c r="I30" s="65">
        <f t="shared" si="1"/>
        <v>0</v>
      </c>
      <c r="J30" s="65"/>
      <c r="K30" s="130"/>
      <c r="L30" s="67">
        <f t="shared" si="5"/>
        <v>0</v>
      </c>
      <c r="M30" s="130"/>
      <c r="N30" s="67">
        <f t="shared" si="3"/>
        <v>0</v>
      </c>
      <c r="O30" s="67">
        <f t="shared" si="4"/>
        <v>0</v>
      </c>
      <c r="P30" s="4"/>
    </row>
    <row r="31" spans="2:16">
      <c r="B31" t="str">
        <f t="shared" si="0"/>
        <v/>
      </c>
      <c r="C31" s="62">
        <f>IF(D11="","-",+C30+1)</f>
        <v>2036</v>
      </c>
      <c r="D31" s="71">
        <f>IF(F30+SUM(E$17:E30)=D$10,F30,D$10-SUM(E$17:E30))</f>
        <v>3842632.0768980151</v>
      </c>
      <c r="E31" s="69">
        <f t="shared" si="6"/>
        <v>215087.35483870967</v>
      </c>
      <c r="F31" s="68">
        <f t="shared" si="7"/>
        <v>3627544.7220593053</v>
      </c>
      <c r="G31" s="70">
        <f t="shared" si="8"/>
        <v>640632.07616042753</v>
      </c>
      <c r="H31" s="52">
        <f t="shared" si="9"/>
        <v>640632.07616042753</v>
      </c>
      <c r="I31" s="65">
        <f t="shared" si="1"/>
        <v>0</v>
      </c>
      <c r="J31" s="65"/>
      <c r="K31" s="130"/>
      <c r="L31" s="67">
        <f t="shared" si="5"/>
        <v>0</v>
      </c>
      <c r="M31" s="130"/>
      <c r="N31" s="67">
        <f t="shared" si="3"/>
        <v>0</v>
      </c>
      <c r="O31" s="67">
        <f t="shared" si="4"/>
        <v>0</v>
      </c>
      <c r="P31" s="4"/>
    </row>
    <row r="32" spans="2:16">
      <c r="B32" t="str">
        <f t="shared" si="0"/>
        <v/>
      </c>
      <c r="C32" s="62">
        <f>IF(D11="","-",+C31+1)</f>
        <v>2037</v>
      </c>
      <c r="D32" s="71">
        <f>IF(F31+SUM(E$17:E31)=D$10,F31,D$10-SUM(E$17:E31))</f>
        <v>3627544.7220593053</v>
      </c>
      <c r="E32" s="69">
        <f t="shared" si="6"/>
        <v>215087.35483870967</v>
      </c>
      <c r="F32" s="68">
        <f t="shared" si="7"/>
        <v>3412457.3672205955</v>
      </c>
      <c r="G32" s="70">
        <f t="shared" si="8"/>
        <v>616126.82255319308</v>
      </c>
      <c r="H32" s="52">
        <f t="shared" si="9"/>
        <v>616126.82255319308</v>
      </c>
      <c r="I32" s="65">
        <f t="shared" si="1"/>
        <v>0</v>
      </c>
      <c r="J32" s="65"/>
      <c r="K32" s="130"/>
      <c r="L32" s="67">
        <f t="shared" si="5"/>
        <v>0</v>
      </c>
      <c r="M32" s="130"/>
      <c r="N32" s="67">
        <f t="shared" si="3"/>
        <v>0</v>
      </c>
      <c r="O32" s="67">
        <f t="shared" si="4"/>
        <v>0</v>
      </c>
      <c r="P32" s="4"/>
    </row>
    <row r="33" spans="2:16">
      <c r="B33" t="str">
        <f t="shared" si="0"/>
        <v/>
      </c>
      <c r="C33" s="62">
        <f>IF(D11="","-",+C32+1)</f>
        <v>2038</v>
      </c>
      <c r="D33" s="71">
        <f>IF(F32+SUM(E$17:E32)=D$10,F32,D$10-SUM(E$17:E32))</f>
        <v>3412457.3672205955</v>
      </c>
      <c r="E33" s="69">
        <f t="shared" si="6"/>
        <v>215087.35483870967</v>
      </c>
      <c r="F33" s="68">
        <f t="shared" si="7"/>
        <v>3197370.0123818857</v>
      </c>
      <c r="G33" s="70">
        <f t="shared" si="8"/>
        <v>591621.56894595851</v>
      </c>
      <c r="H33" s="52">
        <f t="shared" si="9"/>
        <v>591621.56894595851</v>
      </c>
      <c r="I33" s="65">
        <f t="shared" si="1"/>
        <v>0</v>
      </c>
      <c r="J33" s="65"/>
      <c r="K33" s="130"/>
      <c r="L33" s="67">
        <f t="shared" si="5"/>
        <v>0</v>
      </c>
      <c r="M33" s="130"/>
      <c r="N33" s="67">
        <f t="shared" si="3"/>
        <v>0</v>
      </c>
      <c r="O33" s="67">
        <f t="shared" si="4"/>
        <v>0</v>
      </c>
      <c r="P33" s="4"/>
    </row>
    <row r="34" spans="2:16">
      <c r="B34" t="str">
        <f t="shared" si="0"/>
        <v/>
      </c>
      <c r="C34" s="62">
        <f>IF(D11="","-",+C33+1)</f>
        <v>2039</v>
      </c>
      <c r="D34" s="71">
        <f>IF(F33+SUM(E$17:E33)=D$10,F33,D$10-SUM(E$17:E33))</f>
        <v>3197370.0123818857</v>
      </c>
      <c r="E34" s="69">
        <f t="shared" si="6"/>
        <v>215087.35483870967</v>
      </c>
      <c r="F34" s="68">
        <f t="shared" si="7"/>
        <v>2982282.6575431759</v>
      </c>
      <c r="G34" s="70">
        <f t="shared" si="8"/>
        <v>567116.31533872406</v>
      </c>
      <c r="H34" s="52">
        <f t="shared" si="9"/>
        <v>567116.31533872406</v>
      </c>
      <c r="I34" s="65">
        <f t="shared" si="1"/>
        <v>0</v>
      </c>
      <c r="J34" s="65"/>
      <c r="K34" s="130"/>
      <c r="L34" s="67">
        <f t="shared" si="5"/>
        <v>0</v>
      </c>
      <c r="M34" s="130"/>
      <c r="N34" s="67">
        <f t="shared" si="3"/>
        <v>0</v>
      </c>
      <c r="O34" s="67">
        <f t="shared" si="4"/>
        <v>0</v>
      </c>
      <c r="P34" s="4"/>
    </row>
    <row r="35" spans="2:16">
      <c r="B35" t="str">
        <f t="shared" si="0"/>
        <v/>
      </c>
      <c r="C35" s="62">
        <f>IF(D11="","-",+C34+1)</f>
        <v>2040</v>
      </c>
      <c r="D35" s="71">
        <f>IF(F34+SUM(E$17:E34)=D$10,F34,D$10-SUM(E$17:E34))</f>
        <v>2982282.6575431759</v>
      </c>
      <c r="E35" s="69">
        <f t="shared" si="6"/>
        <v>215087.35483870967</v>
      </c>
      <c r="F35" s="68">
        <f t="shared" si="7"/>
        <v>2767195.302704466</v>
      </c>
      <c r="G35" s="70">
        <f t="shared" si="8"/>
        <v>542611.06173148949</v>
      </c>
      <c r="H35" s="52">
        <f t="shared" si="9"/>
        <v>542611.06173148949</v>
      </c>
      <c r="I35" s="65">
        <f t="shared" si="1"/>
        <v>0</v>
      </c>
      <c r="J35" s="65"/>
      <c r="K35" s="130"/>
      <c r="L35" s="67">
        <f t="shared" si="5"/>
        <v>0</v>
      </c>
      <c r="M35" s="130"/>
      <c r="N35" s="67">
        <f t="shared" si="3"/>
        <v>0</v>
      </c>
      <c r="O35" s="67">
        <f t="shared" si="4"/>
        <v>0</v>
      </c>
      <c r="P35" s="4"/>
    </row>
    <row r="36" spans="2:16">
      <c r="B36" t="str">
        <f t="shared" si="0"/>
        <v/>
      </c>
      <c r="C36" s="62">
        <f>IF(D11="","-",+C35+1)</f>
        <v>2041</v>
      </c>
      <c r="D36" s="71">
        <f>IF(F35+SUM(E$17:E35)=D$10,F35,D$10-SUM(E$17:E35))</f>
        <v>2767195.302704466</v>
      </c>
      <c r="E36" s="69">
        <f t="shared" si="6"/>
        <v>215087.35483870967</v>
      </c>
      <c r="F36" s="68">
        <f t="shared" si="7"/>
        <v>2552107.9478657562</v>
      </c>
      <c r="G36" s="70">
        <f t="shared" si="8"/>
        <v>518105.80812425504</v>
      </c>
      <c r="H36" s="52">
        <f t="shared" si="9"/>
        <v>518105.80812425504</v>
      </c>
      <c r="I36" s="65">
        <f t="shared" si="1"/>
        <v>0</v>
      </c>
      <c r="J36" s="65"/>
      <c r="K36" s="130"/>
      <c r="L36" s="67">
        <f t="shared" si="5"/>
        <v>0</v>
      </c>
      <c r="M36" s="130"/>
      <c r="N36" s="67">
        <f t="shared" si="3"/>
        <v>0</v>
      </c>
      <c r="O36" s="67">
        <f t="shared" si="4"/>
        <v>0</v>
      </c>
      <c r="P36" s="4"/>
    </row>
    <row r="37" spans="2:16">
      <c r="B37" t="str">
        <f t="shared" si="0"/>
        <v/>
      </c>
      <c r="C37" s="62">
        <f>IF(D11="","-",+C36+1)</f>
        <v>2042</v>
      </c>
      <c r="D37" s="71">
        <f>IF(F36+SUM(E$17:E36)=D$10,F36,D$10-SUM(E$17:E36))</f>
        <v>2552107.9478657562</v>
      </c>
      <c r="E37" s="69">
        <f t="shared" si="6"/>
        <v>215087.35483870967</v>
      </c>
      <c r="F37" s="68">
        <f t="shared" si="7"/>
        <v>2337020.5930270464</v>
      </c>
      <c r="G37" s="70">
        <f t="shared" si="8"/>
        <v>493600.55451702047</v>
      </c>
      <c r="H37" s="52">
        <f t="shared" si="9"/>
        <v>493600.55451702047</v>
      </c>
      <c r="I37" s="65">
        <f t="shared" si="1"/>
        <v>0</v>
      </c>
      <c r="J37" s="65"/>
      <c r="K37" s="130"/>
      <c r="L37" s="67">
        <f t="shared" si="5"/>
        <v>0</v>
      </c>
      <c r="M37" s="130"/>
      <c r="N37" s="67">
        <f t="shared" si="3"/>
        <v>0</v>
      </c>
      <c r="O37" s="67">
        <f t="shared" si="4"/>
        <v>0</v>
      </c>
      <c r="P37" s="4"/>
    </row>
    <row r="38" spans="2:16">
      <c r="B38" t="str">
        <f t="shared" si="0"/>
        <v/>
      </c>
      <c r="C38" s="62">
        <f>IF(D11="","-",+C37+1)</f>
        <v>2043</v>
      </c>
      <c r="D38" s="71">
        <f>IF(F37+SUM(E$17:E37)=D$10,F37,D$10-SUM(E$17:E37))</f>
        <v>2337020.5930270464</v>
      </c>
      <c r="E38" s="69">
        <f t="shared" si="6"/>
        <v>215087.35483870967</v>
      </c>
      <c r="F38" s="68">
        <f t="shared" si="7"/>
        <v>2121933.2381883366</v>
      </c>
      <c r="G38" s="70">
        <f t="shared" si="8"/>
        <v>469095.30090978602</v>
      </c>
      <c r="H38" s="52">
        <f t="shared" si="9"/>
        <v>469095.30090978602</v>
      </c>
      <c r="I38" s="65">
        <f t="shared" si="1"/>
        <v>0</v>
      </c>
      <c r="J38" s="65"/>
      <c r="K38" s="130"/>
      <c r="L38" s="67">
        <f t="shared" si="5"/>
        <v>0</v>
      </c>
      <c r="M38" s="130"/>
      <c r="N38" s="67">
        <f t="shared" si="3"/>
        <v>0</v>
      </c>
      <c r="O38" s="67">
        <f t="shared" si="4"/>
        <v>0</v>
      </c>
      <c r="P38" s="4"/>
    </row>
    <row r="39" spans="2:16">
      <c r="B39" t="str">
        <f t="shared" si="0"/>
        <v/>
      </c>
      <c r="C39" s="62">
        <f>IF(D11="","-",+C38+1)</f>
        <v>2044</v>
      </c>
      <c r="D39" s="71">
        <f>IF(F38+SUM(E$17:E38)=D$10,F38,D$10-SUM(E$17:E38))</f>
        <v>2121933.2381883366</v>
      </c>
      <c r="E39" s="69">
        <f t="shared" si="6"/>
        <v>215087.35483870967</v>
      </c>
      <c r="F39" s="68">
        <f t="shared" si="7"/>
        <v>1906845.883349627</v>
      </c>
      <c r="G39" s="70">
        <f t="shared" si="8"/>
        <v>444590.04730255145</v>
      </c>
      <c r="H39" s="52">
        <f t="shared" si="9"/>
        <v>444590.04730255145</v>
      </c>
      <c r="I39" s="65">
        <f t="shared" si="1"/>
        <v>0</v>
      </c>
      <c r="J39" s="65"/>
      <c r="K39" s="130"/>
      <c r="L39" s="67">
        <f t="shared" si="5"/>
        <v>0</v>
      </c>
      <c r="M39" s="130"/>
      <c r="N39" s="67">
        <f t="shared" si="3"/>
        <v>0</v>
      </c>
      <c r="O39" s="67">
        <f t="shared" si="4"/>
        <v>0</v>
      </c>
      <c r="P39" s="4"/>
    </row>
    <row r="40" spans="2:16">
      <c r="B40" t="str">
        <f t="shared" si="0"/>
        <v/>
      </c>
      <c r="C40" s="62">
        <f>IF(D11="","-",+C39+1)</f>
        <v>2045</v>
      </c>
      <c r="D40" s="71">
        <f>IF(F39+SUM(E$17:E39)=D$10,F39,D$10-SUM(E$17:E39))</f>
        <v>1906845.883349627</v>
      </c>
      <c r="E40" s="69">
        <f t="shared" si="6"/>
        <v>215087.35483870967</v>
      </c>
      <c r="F40" s="68">
        <f t="shared" si="7"/>
        <v>1691758.5285109174</v>
      </c>
      <c r="G40" s="70">
        <f t="shared" si="8"/>
        <v>420084.793695317</v>
      </c>
      <c r="H40" s="52">
        <f t="shared" si="9"/>
        <v>420084.793695317</v>
      </c>
      <c r="I40" s="65">
        <f t="shared" si="1"/>
        <v>0</v>
      </c>
      <c r="J40" s="65"/>
      <c r="K40" s="130"/>
      <c r="L40" s="67">
        <f t="shared" si="5"/>
        <v>0</v>
      </c>
      <c r="M40" s="130"/>
      <c r="N40" s="67">
        <f t="shared" si="3"/>
        <v>0</v>
      </c>
      <c r="O40" s="67">
        <f t="shared" si="4"/>
        <v>0</v>
      </c>
      <c r="P40" s="4"/>
    </row>
    <row r="41" spans="2:16">
      <c r="B41" t="str">
        <f t="shared" si="0"/>
        <v/>
      </c>
      <c r="C41" s="62">
        <f>IF(D11="","-",+C40+1)</f>
        <v>2046</v>
      </c>
      <c r="D41" s="71">
        <f>IF(F40+SUM(E$17:E40)=D$10,F40,D$10-SUM(E$17:E40))</f>
        <v>1691758.5285109174</v>
      </c>
      <c r="E41" s="69">
        <f t="shared" si="6"/>
        <v>215087.35483870967</v>
      </c>
      <c r="F41" s="68">
        <f t="shared" si="7"/>
        <v>1476671.1736722079</v>
      </c>
      <c r="G41" s="70">
        <f t="shared" si="8"/>
        <v>395579.54008808255</v>
      </c>
      <c r="H41" s="52">
        <f t="shared" si="9"/>
        <v>395579.54008808255</v>
      </c>
      <c r="I41" s="65">
        <f t="shared" si="1"/>
        <v>0</v>
      </c>
      <c r="J41" s="65"/>
      <c r="K41" s="130"/>
      <c r="L41" s="67">
        <f t="shared" si="5"/>
        <v>0</v>
      </c>
      <c r="M41" s="130"/>
      <c r="N41" s="67">
        <f t="shared" si="3"/>
        <v>0</v>
      </c>
      <c r="O41" s="67">
        <f t="shared" si="4"/>
        <v>0</v>
      </c>
      <c r="P41" s="4"/>
    </row>
    <row r="42" spans="2:16">
      <c r="B42" t="str">
        <f t="shared" si="0"/>
        <v/>
      </c>
      <c r="C42" s="62">
        <f>IF(D11="","-",+C41+1)</f>
        <v>2047</v>
      </c>
      <c r="D42" s="71">
        <f>IF(F41+SUM(E$17:E41)=D$10,F41,D$10-SUM(E$17:E41))</f>
        <v>1476671.1736722079</v>
      </c>
      <c r="E42" s="69">
        <f t="shared" si="6"/>
        <v>215087.35483870967</v>
      </c>
      <c r="F42" s="68">
        <f t="shared" si="7"/>
        <v>1261583.8188334983</v>
      </c>
      <c r="G42" s="70">
        <f t="shared" si="8"/>
        <v>371074.28648084798</v>
      </c>
      <c r="H42" s="52">
        <f t="shared" si="9"/>
        <v>371074.28648084798</v>
      </c>
      <c r="I42" s="65">
        <f t="shared" si="1"/>
        <v>0</v>
      </c>
      <c r="J42" s="65"/>
      <c r="K42" s="130"/>
      <c r="L42" s="67">
        <f t="shared" si="5"/>
        <v>0</v>
      </c>
      <c r="M42" s="130"/>
      <c r="N42" s="67">
        <f t="shared" si="3"/>
        <v>0</v>
      </c>
      <c r="O42" s="67">
        <f t="shared" si="4"/>
        <v>0</v>
      </c>
      <c r="P42" s="4"/>
    </row>
    <row r="43" spans="2:16">
      <c r="B43" t="str">
        <f t="shared" si="0"/>
        <v/>
      </c>
      <c r="C43" s="62">
        <f>IF(D11="","-",+C42+1)</f>
        <v>2048</v>
      </c>
      <c r="D43" s="71">
        <f>IF(F42+SUM(E$17:E42)=D$10,F42,D$10-SUM(E$17:E42))</f>
        <v>1261583.8188334983</v>
      </c>
      <c r="E43" s="69">
        <f t="shared" si="6"/>
        <v>215087.35483870967</v>
      </c>
      <c r="F43" s="68">
        <f t="shared" si="7"/>
        <v>1046496.4639947886</v>
      </c>
      <c r="G43" s="70">
        <f t="shared" si="8"/>
        <v>346569.03287361353</v>
      </c>
      <c r="H43" s="52">
        <f t="shared" si="9"/>
        <v>346569.03287361353</v>
      </c>
      <c r="I43" s="65">
        <f t="shared" si="1"/>
        <v>0</v>
      </c>
      <c r="J43" s="65"/>
      <c r="K43" s="130"/>
      <c r="L43" s="67">
        <f t="shared" si="5"/>
        <v>0</v>
      </c>
      <c r="M43" s="130"/>
      <c r="N43" s="67">
        <f t="shared" si="3"/>
        <v>0</v>
      </c>
      <c r="O43" s="67">
        <f t="shared" si="4"/>
        <v>0</v>
      </c>
      <c r="P43" s="4"/>
    </row>
    <row r="44" spans="2:16">
      <c r="B44" t="str">
        <f t="shared" si="0"/>
        <v/>
      </c>
      <c r="C44" s="62">
        <f>IF(D11="","-",+C43+1)</f>
        <v>2049</v>
      </c>
      <c r="D44" s="71">
        <f>IF(F43+SUM(E$17:E43)=D$10,F43,D$10-SUM(E$17:E43))</f>
        <v>1046496.4639947886</v>
      </c>
      <c r="E44" s="69">
        <f t="shared" si="6"/>
        <v>215087.35483870967</v>
      </c>
      <c r="F44" s="68">
        <f t="shared" si="7"/>
        <v>831409.10915607889</v>
      </c>
      <c r="G44" s="70">
        <f t="shared" si="8"/>
        <v>322063.77926637902</v>
      </c>
      <c r="H44" s="52">
        <f t="shared" si="9"/>
        <v>322063.77926637902</v>
      </c>
      <c r="I44" s="65">
        <f t="shared" si="1"/>
        <v>0</v>
      </c>
      <c r="J44" s="65"/>
      <c r="K44" s="130"/>
      <c r="L44" s="67">
        <f t="shared" si="5"/>
        <v>0</v>
      </c>
      <c r="M44" s="130"/>
      <c r="N44" s="67">
        <f t="shared" si="3"/>
        <v>0</v>
      </c>
      <c r="O44" s="67">
        <f t="shared" si="4"/>
        <v>0</v>
      </c>
      <c r="P44" s="4"/>
    </row>
    <row r="45" spans="2:16">
      <c r="B45" t="str">
        <f t="shared" si="0"/>
        <v/>
      </c>
      <c r="C45" s="62">
        <f>IF(D11="","-",+C44+1)</f>
        <v>2050</v>
      </c>
      <c r="D45" s="71">
        <f>IF(F44+SUM(E$17:E44)=D$10,F44,D$10-SUM(E$17:E44))</f>
        <v>831409.10915607889</v>
      </c>
      <c r="E45" s="69">
        <f t="shared" si="6"/>
        <v>215087.35483870967</v>
      </c>
      <c r="F45" s="68">
        <f t="shared" si="7"/>
        <v>616321.7543173692</v>
      </c>
      <c r="G45" s="70">
        <f t="shared" si="8"/>
        <v>297558.52565914451</v>
      </c>
      <c r="H45" s="52">
        <f t="shared" si="9"/>
        <v>297558.52565914451</v>
      </c>
      <c r="I45" s="65">
        <f t="shared" si="1"/>
        <v>0</v>
      </c>
      <c r="J45" s="65"/>
      <c r="K45" s="130"/>
      <c r="L45" s="67">
        <f t="shared" si="5"/>
        <v>0</v>
      </c>
      <c r="M45" s="130"/>
      <c r="N45" s="67">
        <f t="shared" si="3"/>
        <v>0</v>
      </c>
      <c r="O45" s="67">
        <f t="shared" si="4"/>
        <v>0</v>
      </c>
      <c r="P45" s="4"/>
    </row>
    <row r="46" spans="2:16">
      <c r="B46" t="str">
        <f t="shared" si="0"/>
        <v/>
      </c>
      <c r="C46" s="62">
        <f>IF(D11="","-",+C45+1)</f>
        <v>2051</v>
      </c>
      <c r="D46" s="71">
        <f>IF(F45+SUM(E$17:E45)=D$10,F45,D$10-SUM(E$17:E45))</f>
        <v>616321.7543173692</v>
      </c>
      <c r="E46" s="69">
        <f t="shared" si="6"/>
        <v>215087.35483870967</v>
      </c>
      <c r="F46" s="68">
        <f t="shared" si="7"/>
        <v>401234.3994786595</v>
      </c>
      <c r="G46" s="70">
        <f t="shared" si="8"/>
        <v>273053.27205191005</v>
      </c>
      <c r="H46" s="52">
        <f t="shared" si="9"/>
        <v>273053.27205191005</v>
      </c>
      <c r="I46" s="65">
        <f t="shared" si="1"/>
        <v>0</v>
      </c>
      <c r="J46" s="65"/>
      <c r="K46" s="130"/>
      <c r="L46" s="67">
        <f t="shared" si="5"/>
        <v>0</v>
      </c>
      <c r="M46" s="130"/>
      <c r="N46" s="67">
        <f t="shared" si="3"/>
        <v>0</v>
      </c>
      <c r="O46" s="67">
        <f t="shared" si="4"/>
        <v>0</v>
      </c>
      <c r="P46" s="4"/>
    </row>
    <row r="47" spans="2:16">
      <c r="B47" t="str">
        <f t="shared" si="0"/>
        <v/>
      </c>
      <c r="C47" s="62">
        <f>IF(D11="","-",+C46+1)</f>
        <v>2052</v>
      </c>
      <c r="D47" s="71">
        <f>IF(F46+SUM(E$17:E46)=D$10,F46,D$10-SUM(E$17:E46))</f>
        <v>401234.3994786595</v>
      </c>
      <c r="E47" s="69">
        <f t="shared" si="6"/>
        <v>215087.35483870967</v>
      </c>
      <c r="F47" s="68">
        <f t="shared" si="7"/>
        <v>186147.04463994983</v>
      </c>
      <c r="G47" s="70">
        <f t="shared" si="8"/>
        <v>248548.01844467554</v>
      </c>
      <c r="H47" s="52">
        <f t="shared" si="9"/>
        <v>248548.01844467554</v>
      </c>
      <c r="I47" s="65">
        <f t="shared" si="1"/>
        <v>0</v>
      </c>
      <c r="J47" s="65"/>
      <c r="K47" s="130"/>
      <c r="L47" s="67">
        <f t="shared" si="5"/>
        <v>0</v>
      </c>
      <c r="M47" s="130"/>
      <c r="N47" s="67">
        <f t="shared" si="3"/>
        <v>0</v>
      </c>
      <c r="O47" s="67">
        <f t="shared" si="4"/>
        <v>0</v>
      </c>
      <c r="P47" s="4"/>
    </row>
    <row r="48" spans="2:16">
      <c r="B48" t="str">
        <f t="shared" si="0"/>
        <v/>
      </c>
      <c r="C48" s="62">
        <f>IF(D11="","-",+C47+1)</f>
        <v>2053</v>
      </c>
      <c r="D48" s="71">
        <f>IF(F47+SUM(E$17:E47)=D$10,F47,D$10-SUM(E$17:E47))</f>
        <v>186147.04463994983</v>
      </c>
      <c r="E48" s="69">
        <f t="shared" si="6"/>
        <v>186147.04463994983</v>
      </c>
      <c r="F48" s="68">
        <f t="shared" si="7"/>
        <v>0</v>
      </c>
      <c r="G48" s="70">
        <f t="shared" si="8"/>
        <v>196751.06304112414</v>
      </c>
      <c r="H48" s="52">
        <f t="shared" si="9"/>
        <v>196751.06304112414</v>
      </c>
      <c r="I48" s="65">
        <f t="shared" si="1"/>
        <v>0</v>
      </c>
      <c r="J48" s="65"/>
      <c r="K48" s="130"/>
      <c r="L48" s="67">
        <f t="shared" si="5"/>
        <v>0</v>
      </c>
      <c r="M48" s="130"/>
      <c r="N48" s="67">
        <f t="shared" si="3"/>
        <v>0</v>
      </c>
      <c r="O48" s="67">
        <f t="shared" si="4"/>
        <v>0</v>
      </c>
      <c r="P48" s="4"/>
    </row>
    <row r="49" spans="2:16">
      <c r="B49" t="str">
        <f t="shared" si="0"/>
        <v/>
      </c>
      <c r="C49" s="62">
        <f>IF(D11="","-",+C48+1)</f>
        <v>2054</v>
      </c>
      <c r="D49" s="71">
        <f>IF(F48+SUM(E$17:E48)=D$10,F48,D$10-SUM(E$17:E48))</f>
        <v>0</v>
      </c>
      <c r="E49" s="69">
        <f t="shared" si="6"/>
        <v>0</v>
      </c>
      <c r="F49" s="68">
        <f t="shared" si="7"/>
        <v>0</v>
      </c>
      <c r="G49" s="70">
        <f t="shared" si="8"/>
        <v>0</v>
      </c>
      <c r="H49" s="52">
        <f t="shared" si="9"/>
        <v>0</v>
      </c>
      <c r="I49" s="65">
        <f t="shared" si="1"/>
        <v>0</v>
      </c>
      <c r="J49" s="65"/>
      <c r="K49" s="130"/>
      <c r="L49" s="67">
        <f t="shared" si="5"/>
        <v>0</v>
      </c>
      <c r="M49" s="130"/>
      <c r="N49" s="67">
        <f t="shared" si="3"/>
        <v>0</v>
      </c>
      <c r="O49" s="67">
        <f t="shared" si="4"/>
        <v>0</v>
      </c>
      <c r="P49" s="4"/>
    </row>
    <row r="50" spans="2:16">
      <c r="B50" t="str">
        <f t="shared" si="0"/>
        <v/>
      </c>
      <c r="C50" s="62">
        <f>IF(D11="","-",+C49+1)</f>
        <v>2055</v>
      </c>
      <c r="D50" s="71">
        <f>IF(F49+SUM(E$17:E49)=D$10,F49,D$10-SUM(E$17:E49))</f>
        <v>0</v>
      </c>
      <c r="E50" s="69">
        <f t="shared" si="6"/>
        <v>0</v>
      </c>
      <c r="F50" s="68">
        <f t="shared" si="7"/>
        <v>0</v>
      </c>
      <c r="G50" s="70">
        <f t="shared" si="8"/>
        <v>0</v>
      </c>
      <c r="H50" s="52">
        <f t="shared" si="9"/>
        <v>0</v>
      </c>
      <c r="I50" s="65">
        <f t="shared" si="1"/>
        <v>0</v>
      </c>
      <c r="J50" s="65"/>
      <c r="K50" s="130"/>
      <c r="L50" s="67">
        <f t="shared" si="5"/>
        <v>0</v>
      </c>
      <c r="M50" s="130"/>
      <c r="N50" s="67">
        <f t="shared" si="3"/>
        <v>0</v>
      </c>
      <c r="O50" s="67">
        <f t="shared" si="4"/>
        <v>0</v>
      </c>
      <c r="P50" s="4"/>
    </row>
    <row r="51" spans="2:16">
      <c r="B51" t="str">
        <f t="shared" si="0"/>
        <v/>
      </c>
      <c r="C51" s="62">
        <f>IF(D11="","-",+C50+1)</f>
        <v>2056</v>
      </c>
      <c r="D51" s="71">
        <f>IF(F50+SUM(E$17:E50)=D$10,F50,D$10-SUM(E$17:E50))</f>
        <v>0</v>
      </c>
      <c r="E51" s="69">
        <f t="shared" si="6"/>
        <v>0</v>
      </c>
      <c r="F51" s="68">
        <f t="shared" si="7"/>
        <v>0</v>
      </c>
      <c r="G51" s="70">
        <f t="shared" si="8"/>
        <v>0</v>
      </c>
      <c r="H51" s="52">
        <f t="shared" si="9"/>
        <v>0</v>
      </c>
      <c r="I51" s="65">
        <f t="shared" si="1"/>
        <v>0</v>
      </c>
      <c r="J51" s="65"/>
      <c r="K51" s="130"/>
      <c r="L51" s="67">
        <f t="shared" si="5"/>
        <v>0</v>
      </c>
      <c r="M51" s="130"/>
      <c r="N51" s="67">
        <f t="shared" si="3"/>
        <v>0</v>
      </c>
      <c r="O51" s="67">
        <f t="shared" si="4"/>
        <v>0</v>
      </c>
      <c r="P51" s="4"/>
    </row>
    <row r="52" spans="2:16">
      <c r="B52" t="str">
        <f t="shared" si="0"/>
        <v/>
      </c>
      <c r="C52" s="62">
        <f>IF(D11="","-",+C51+1)</f>
        <v>2057</v>
      </c>
      <c r="D52" s="71">
        <f>IF(F51+SUM(E$17:E51)=D$10,F51,D$10-SUM(E$17:E51))</f>
        <v>0</v>
      </c>
      <c r="E52" s="69">
        <f t="shared" si="6"/>
        <v>0</v>
      </c>
      <c r="F52" s="68">
        <f t="shared" si="7"/>
        <v>0</v>
      </c>
      <c r="G52" s="70">
        <f t="shared" si="8"/>
        <v>0</v>
      </c>
      <c r="H52" s="52">
        <f t="shared" si="9"/>
        <v>0</v>
      </c>
      <c r="I52" s="65">
        <f t="shared" si="1"/>
        <v>0</v>
      </c>
      <c r="J52" s="65"/>
      <c r="K52" s="130"/>
      <c r="L52" s="67">
        <f t="shared" si="5"/>
        <v>0</v>
      </c>
      <c r="M52" s="130"/>
      <c r="N52" s="67">
        <f t="shared" si="3"/>
        <v>0</v>
      </c>
      <c r="O52" s="67">
        <f t="shared" si="4"/>
        <v>0</v>
      </c>
      <c r="P52" s="4"/>
    </row>
    <row r="53" spans="2:16">
      <c r="B53" t="str">
        <f t="shared" si="0"/>
        <v/>
      </c>
      <c r="C53" s="62">
        <f>IF(D11="","-",+C52+1)</f>
        <v>2058</v>
      </c>
      <c r="D53" s="71">
        <f>IF(F52+SUM(E$17:E52)=D$10,F52,D$10-SUM(E$17:E52))</f>
        <v>0</v>
      </c>
      <c r="E53" s="69">
        <f t="shared" si="6"/>
        <v>0</v>
      </c>
      <c r="F53" s="68">
        <f t="shared" si="7"/>
        <v>0</v>
      </c>
      <c r="G53" s="70">
        <f t="shared" si="8"/>
        <v>0</v>
      </c>
      <c r="H53" s="52">
        <f t="shared" si="9"/>
        <v>0</v>
      </c>
      <c r="I53" s="65">
        <f t="shared" si="1"/>
        <v>0</v>
      </c>
      <c r="J53" s="65"/>
      <c r="K53" s="130"/>
      <c r="L53" s="67">
        <f t="shared" si="5"/>
        <v>0</v>
      </c>
      <c r="M53" s="130"/>
      <c r="N53" s="67">
        <f t="shared" si="3"/>
        <v>0</v>
      </c>
      <c r="O53" s="67">
        <f t="shared" si="4"/>
        <v>0</v>
      </c>
      <c r="P53" s="4"/>
    </row>
    <row r="54" spans="2:16">
      <c r="B54" t="str">
        <f t="shared" si="0"/>
        <v/>
      </c>
      <c r="C54" s="62">
        <f>IF(D11="","-",+C53+1)</f>
        <v>2059</v>
      </c>
      <c r="D54" s="71">
        <f>IF(F53+SUM(E$17:E53)=D$10,F53,D$10-SUM(E$17:E53))</f>
        <v>0</v>
      </c>
      <c r="E54" s="69">
        <f t="shared" si="6"/>
        <v>0</v>
      </c>
      <c r="F54" s="68">
        <f t="shared" si="7"/>
        <v>0</v>
      </c>
      <c r="G54" s="70">
        <f t="shared" si="8"/>
        <v>0</v>
      </c>
      <c r="H54" s="52">
        <f t="shared" si="9"/>
        <v>0</v>
      </c>
      <c r="I54" s="65">
        <f t="shared" si="1"/>
        <v>0</v>
      </c>
      <c r="J54" s="65"/>
      <c r="K54" s="130"/>
      <c r="L54" s="67">
        <f t="shared" si="5"/>
        <v>0</v>
      </c>
      <c r="M54" s="130"/>
      <c r="N54" s="67">
        <f t="shared" si="3"/>
        <v>0</v>
      </c>
      <c r="O54" s="67">
        <f t="shared" si="4"/>
        <v>0</v>
      </c>
      <c r="P54" s="4"/>
    </row>
    <row r="55" spans="2:16">
      <c r="B55" t="str">
        <f t="shared" si="0"/>
        <v/>
      </c>
      <c r="C55" s="62">
        <f>IF(D11="","-",+C54+1)</f>
        <v>2060</v>
      </c>
      <c r="D55" s="71">
        <f>IF(F54+SUM(E$17:E54)=D$10,F54,D$10-SUM(E$17:E54))</f>
        <v>0</v>
      </c>
      <c r="E55" s="69">
        <f t="shared" si="6"/>
        <v>0</v>
      </c>
      <c r="F55" s="68">
        <f t="shared" si="7"/>
        <v>0</v>
      </c>
      <c r="G55" s="70">
        <f t="shared" si="8"/>
        <v>0</v>
      </c>
      <c r="H55" s="52">
        <f t="shared" si="9"/>
        <v>0</v>
      </c>
      <c r="I55" s="65">
        <f t="shared" si="1"/>
        <v>0</v>
      </c>
      <c r="J55" s="65"/>
      <c r="K55" s="130"/>
      <c r="L55" s="67">
        <f t="shared" si="5"/>
        <v>0</v>
      </c>
      <c r="M55" s="130"/>
      <c r="N55" s="67">
        <f t="shared" si="3"/>
        <v>0</v>
      </c>
      <c r="O55" s="67">
        <f t="shared" si="4"/>
        <v>0</v>
      </c>
      <c r="P55" s="4"/>
    </row>
    <row r="56" spans="2:16">
      <c r="B56" t="str">
        <f t="shared" si="0"/>
        <v/>
      </c>
      <c r="C56" s="62">
        <f>IF(D11="","-",+C55+1)</f>
        <v>2061</v>
      </c>
      <c r="D56" s="71">
        <f>IF(F55+SUM(E$17:E55)=D$10,F55,D$10-SUM(E$17:E55))</f>
        <v>0</v>
      </c>
      <c r="E56" s="69">
        <f t="shared" si="6"/>
        <v>0</v>
      </c>
      <c r="F56" s="68">
        <f t="shared" si="7"/>
        <v>0</v>
      </c>
      <c r="G56" s="70">
        <f t="shared" si="8"/>
        <v>0</v>
      </c>
      <c r="H56" s="52">
        <f t="shared" si="9"/>
        <v>0</v>
      </c>
      <c r="I56" s="65">
        <f t="shared" si="1"/>
        <v>0</v>
      </c>
      <c r="J56" s="65"/>
      <c r="K56" s="130"/>
      <c r="L56" s="67">
        <f t="shared" si="5"/>
        <v>0</v>
      </c>
      <c r="M56" s="130"/>
      <c r="N56" s="67">
        <f t="shared" si="3"/>
        <v>0</v>
      </c>
      <c r="O56" s="67">
        <f t="shared" si="4"/>
        <v>0</v>
      </c>
      <c r="P56" s="4"/>
    </row>
    <row r="57" spans="2:16">
      <c r="B57" t="str">
        <f t="shared" si="0"/>
        <v/>
      </c>
      <c r="C57" s="62">
        <f>IF(D11="","-",+C56+1)</f>
        <v>2062</v>
      </c>
      <c r="D57" s="71">
        <f>IF(F56+SUM(E$17:E56)=D$10,F56,D$10-SUM(E$17:E56))</f>
        <v>0</v>
      </c>
      <c r="E57" s="69">
        <f t="shared" si="6"/>
        <v>0</v>
      </c>
      <c r="F57" s="68">
        <f t="shared" si="7"/>
        <v>0</v>
      </c>
      <c r="G57" s="70">
        <f t="shared" si="8"/>
        <v>0</v>
      </c>
      <c r="H57" s="52">
        <f t="shared" si="9"/>
        <v>0</v>
      </c>
      <c r="I57" s="65">
        <f t="shared" si="1"/>
        <v>0</v>
      </c>
      <c r="J57" s="65"/>
      <c r="K57" s="130"/>
      <c r="L57" s="67">
        <f t="shared" si="5"/>
        <v>0</v>
      </c>
      <c r="M57" s="130"/>
      <c r="N57" s="67">
        <f t="shared" si="3"/>
        <v>0</v>
      </c>
      <c r="O57" s="67">
        <f t="shared" si="4"/>
        <v>0</v>
      </c>
      <c r="P57" s="4"/>
    </row>
    <row r="58" spans="2:16">
      <c r="B58" t="str">
        <f t="shared" si="0"/>
        <v/>
      </c>
      <c r="C58" s="62">
        <f>IF(D11="","-",+C57+1)</f>
        <v>2063</v>
      </c>
      <c r="D58" s="71">
        <f>IF(F57+SUM(E$17:E57)=D$10,F57,D$10-SUM(E$17:E57))</f>
        <v>0</v>
      </c>
      <c r="E58" s="69">
        <f t="shared" si="6"/>
        <v>0</v>
      </c>
      <c r="F58" s="68">
        <f t="shared" si="7"/>
        <v>0</v>
      </c>
      <c r="G58" s="70">
        <f t="shared" si="8"/>
        <v>0</v>
      </c>
      <c r="H58" s="52">
        <f t="shared" si="9"/>
        <v>0</v>
      </c>
      <c r="I58" s="65">
        <f t="shared" si="1"/>
        <v>0</v>
      </c>
      <c r="J58" s="65"/>
      <c r="K58" s="130"/>
      <c r="L58" s="67">
        <f t="shared" si="5"/>
        <v>0</v>
      </c>
      <c r="M58" s="130"/>
      <c r="N58" s="67">
        <f t="shared" si="3"/>
        <v>0</v>
      </c>
      <c r="O58" s="67">
        <f t="shared" si="4"/>
        <v>0</v>
      </c>
      <c r="P58" s="4"/>
    </row>
    <row r="59" spans="2:16">
      <c r="B59" t="str">
        <f t="shared" si="0"/>
        <v/>
      </c>
      <c r="C59" s="62">
        <f>IF(D11="","-",+C58+1)</f>
        <v>2064</v>
      </c>
      <c r="D59" s="71">
        <f>IF(F58+SUM(E$17:E58)=D$10,F58,D$10-SUM(E$17:E58))</f>
        <v>0</v>
      </c>
      <c r="E59" s="69">
        <f t="shared" si="6"/>
        <v>0</v>
      </c>
      <c r="F59" s="68">
        <f t="shared" si="7"/>
        <v>0</v>
      </c>
      <c r="G59" s="70">
        <f t="shared" si="8"/>
        <v>0</v>
      </c>
      <c r="H59" s="52">
        <f t="shared" si="9"/>
        <v>0</v>
      </c>
      <c r="I59" s="65">
        <f t="shared" si="1"/>
        <v>0</v>
      </c>
      <c r="J59" s="65"/>
      <c r="K59" s="130"/>
      <c r="L59" s="67">
        <f t="shared" si="5"/>
        <v>0</v>
      </c>
      <c r="M59" s="130"/>
      <c r="N59" s="67">
        <f t="shared" si="3"/>
        <v>0</v>
      </c>
      <c r="O59" s="67">
        <f t="shared" si="4"/>
        <v>0</v>
      </c>
      <c r="P59" s="4"/>
    </row>
    <row r="60" spans="2:16">
      <c r="B60" t="str">
        <f t="shared" si="0"/>
        <v/>
      </c>
      <c r="C60" s="62">
        <f>IF(D11="","-",+C59+1)</f>
        <v>2065</v>
      </c>
      <c r="D60" s="71">
        <f>IF(F59+SUM(E$17:E59)=D$10,F59,D$10-SUM(E$17:E59))</f>
        <v>0</v>
      </c>
      <c r="E60" s="69">
        <f t="shared" si="6"/>
        <v>0</v>
      </c>
      <c r="F60" s="68">
        <f t="shared" si="7"/>
        <v>0</v>
      </c>
      <c r="G60" s="70">
        <f t="shared" si="8"/>
        <v>0</v>
      </c>
      <c r="H60" s="52">
        <f t="shared" si="9"/>
        <v>0</v>
      </c>
      <c r="I60" s="65">
        <f t="shared" si="1"/>
        <v>0</v>
      </c>
      <c r="J60" s="65"/>
      <c r="K60" s="130"/>
      <c r="L60" s="67">
        <f t="shared" si="5"/>
        <v>0</v>
      </c>
      <c r="M60" s="130"/>
      <c r="N60" s="67">
        <f t="shared" si="3"/>
        <v>0</v>
      </c>
      <c r="O60" s="67">
        <f t="shared" si="4"/>
        <v>0</v>
      </c>
      <c r="P60" s="4"/>
    </row>
    <row r="61" spans="2:16">
      <c r="B61" t="str">
        <f t="shared" si="0"/>
        <v/>
      </c>
      <c r="C61" s="62">
        <f>IF(D11="","-",+C60+1)</f>
        <v>2066</v>
      </c>
      <c r="D61" s="71">
        <f>IF(F60+SUM(E$17:E60)=D$10,F60,D$10-SUM(E$17:E60))</f>
        <v>0</v>
      </c>
      <c r="E61" s="69">
        <f t="shared" si="6"/>
        <v>0</v>
      </c>
      <c r="F61" s="68">
        <f t="shared" si="7"/>
        <v>0</v>
      </c>
      <c r="G61" s="72">
        <f t="shared" si="8"/>
        <v>0</v>
      </c>
      <c r="H61" s="52">
        <f t="shared" si="9"/>
        <v>0</v>
      </c>
      <c r="I61" s="65">
        <f t="shared" si="1"/>
        <v>0</v>
      </c>
      <c r="J61" s="65"/>
      <c r="K61" s="130"/>
      <c r="L61" s="67">
        <f t="shared" si="5"/>
        <v>0</v>
      </c>
      <c r="M61" s="130"/>
      <c r="N61" s="67">
        <f t="shared" si="3"/>
        <v>0</v>
      </c>
      <c r="O61" s="67">
        <f t="shared" si="4"/>
        <v>0</v>
      </c>
      <c r="P61" s="4"/>
    </row>
    <row r="62" spans="2:16">
      <c r="B62" t="str">
        <f t="shared" si="0"/>
        <v/>
      </c>
      <c r="C62" s="62">
        <f>IF(D11="","-",+C61+1)</f>
        <v>2067</v>
      </c>
      <c r="D62" s="71">
        <f>IF(F61+SUM(E$17:E61)=D$10,F61,D$10-SUM(E$17:E61))</f>
        <v>0</v>
      </c>
      <c r="E62" s="69">
        <f t="shared" si="6"/>
        <v>0</v>
      </c>
      <c r="F62" s="68">
        <f t="shared" si="7"/>
        <v>0</v>
      </c>
      <c r="G62" s="72">
        <f t="shared" si="8"/>
        <v>0</v>
      </c>
      <c r="H62" s="52">
        <f t="shared" si="9"/>
        <v>0</v>
      </c>
      <c r="I62" s="65">
        <f t="shared" si="1"/>
        <v>0</v>
      </c>
      <c r="J62" s="65"/>
      <c r="K62" s="130"/>
      <c r="L62" s="67">
        <f t="shared" si="5"/>
        <v>0</v>
      </c>
      <c r="M62" s="130"/>
      <c r="N62" s="67">
        <f t="shared" si="3"/>
        <v>0</v>
      </c>
      <c r="O62" s="67">
        <f t="shared" si="4"/>
        <v>0</v>
      </c>
      <c r="P62" s="4"/>
    </row>
    <row r="63" spans="2:16">
      <c r="B63" t="str">
        <f t="shared" si="0"/>
        <v/>
      </c>
      <c r="C63" s="62">
        <f>IF(D11="","-",+C62+1)</f>
        <v>2068</v>
      </c>
      <c r="D63" s="71">
        <f>IF(F62+SUM(E$17:E62)=D$10,F62,D$10-SUM(E$17:E62))</f>
        <v>0</v>
      </c>
      <c r="E63" s="69">
        <f t="shared" si="6"/>
        <v>0</v>
      </c>
      <c r="F63" s="68">
        <f t="shared" si="7"/>
        <v>0</v>
      </c>
      <c r="G63" s="72">
        <f t="shared" si="8"/>
        <v>0</v>
      </c>
      <c r="H63" s="52">
        <f t="shared" si="9"/>
        <v>0</v>
      </c>
      <c r="I63" s="65">
        <f t="shared" si="1"/>
        <v>0</v>
      </c>
      <c r="J63" s="65"/>
      <c r="K63" s="130"/>
      <c r="L63" s="67">
        <f t="shared" si="5"/>
        <v>0</v>
      </c>
      <c r="M63" s="130"/>
      <c r="N63" s="67">
        <f t="shared" si="3"/>
        <v>0</v>
      </c>
      <c r="O63" s="67">
        <f t="shared" si="4"/>
        <v>0</v>
      </c>
      <c r="P63" s="4"/>
    </row>
    <row r="64" spans="2:16">
      <c r="B64" t="str">
        <f t="shared" si="0"/>
        <v/>
      </c>
      <c r="C64" s="62">
        <f>IF(D11="","-",+C63+1)</f>
        <v>2069</v>
      </c>
      <c r="D64" s="71">
        <f>IF(F63+SUM(E$17:E63)=D$10,F63,D$10-SUM(E$17:E63))</f>
        <v>0</v>
      </c>
      <c r="E64" s="69">
        <f t="shared" si="6"/>
        <v>0</v>
      </c>
      <c r="F64" s="68">
        <f t="shared" si="7"/>
        <v>0</v>
      </c>
      <c r="G64" s="72">
        <f t="shared" si="8"/>
        <v>0</v>
      </c>
      <c r="H64" s="52">
        <f t="shared" si="9"/>
        <v>0</v>
      </c>
      <c r="I64" s="65">
        <f t="shared" si="1"/>
        <v>0</v>
      </c>
      <c r="J64" s="65"/>
      <c r="K64" s="130"/>
      <c r="L64" s="67">
        <f t="shared" si="5"/>
        <v>0</v>
      </c>
      <c r="M64" s="130"/>
      <c r="N64" s="67">
        <f t="shared" si="3"/>
        <v>0</v>
      </c>
      <c r="O64" s="67">
        <f t="shared" si="4"/>
        <v>0</v>
      </c>
      <c r="P64" s="4"/>
    </row>
    <row r="65" spans="2:16">
      <c r="B65" t="str">
        <f t="shared" si="0"/>
        <v/>
      </c>
      <c r="C65" s="62">
        <f>IF(D11="","-",+C64+1)</f>
        <v>2070</v>
      </c>
      <c r="D65" s="71">
        <f>IF(F64+SUM(E$17:E64)=D$10,F64,D$10-SUM(E$17:E64))</f>
        <v>0</v>
      </c>
      <c r="E65" s="69">
        <f t="shared" si="6"/>
        <v>0</v>
      </c>
      <c r="F65" s="68">
        <f t="shared" si="7"/>
        <v>0</v>
      </c>
      <c r="G65" s="72">
        <f t="shared" si="8"/>
        <v>0</v>
      </c>
      <c r="H65" s="52">
        <f t="shared" si="9"/>
        <v>0</v>
      </c>
      <c r="I65" s="65">
        <f t="shared" si="1"/>
        <v>0</v>
      </c>
      <c r="J65" s="65"/>
      <c r="K65" s="130"/>
      <c r="L65" s="67">
        <f t="shared" si="5"/>
        <v>0</v>
      </c>
      <c r="M65" s="130"/>
      <c r="N65" s="67">
        <f t="shared" si="3"/>
        <v>0</v>
      </c>
      <c r="O65" s="67">
        <f t="shared" si="4"/>
        <v>0</v>
      </c>
      <c r="P65" s="4"/>
    </row>
    <row r="66" spans="2:16">
      <c r="B66" t="str">
        <f t="shared" si="0"/>
        <v/>
      </c>
      <c r="C66" s="62">
        <f>IF(D11="","-",+C65+1)</f>
        <v>2071</v>
      </c>
      <c r="D66" s="71">
        <f>IF(F65+SUM(E$17:E65)=D$10,F65,D$10-SUM(E$17:E65))</f>
        <v>0</v>
      </c>
      <c r="E66" s="69">
        <f t="shared" si="6"/>
        <v>0</v>
      </c>
      <c r="F66" s="68">
        <f t="shared" si="7"/>
        <v>0</v>
      </c>
      <c r="G66" s="72">
        <f t="shared" si="8"/>
        <v>0</v>
      </c>
      <c r="H66" s="52">
        <f t="shared" si="9"/>
        <v>0</v>
      </c>
      <c r="I66" s="65">
        <f t="shared" si="1"/>
        <v>0</v>
      </c>
      <c r="J66" s="65"/>
      <c r="K66" s="130"/>
      <c r="L66" s="67">
        <f t="shared" si="5"/>
        <v>0</v>
      </c>
      <c r="M66" s="130"/>
      <c r="N66" s="67">
        <f t="shared" si="3"/>
        <v>0</v>
      </c>
      <c r="O66" s="67">
        <f t="shared" si="4"/>
        <v>0</v>
      </c>
      <c r="P66" s="4"/>
    </row>
    <row r="67" spans="2:16">
      <c r="B67" t="str">
        <f t="shared" si="0"/>
        <v/>
      </c>
      <c r="C67" s="62">
        <f>IF(D11="","-",+C66+1)</f>
        <v>2072</v>
      </c>
      <c r="D67" s="71">
        <f>IF(F66+SUM(E$17:E66)=D$10,F66,D$10-SUM(E$17:E66))</f>
        <v>0</v>
      </c>
      <c r="E67" s="69">
        <f t="shared" si="6"/>
        <v>0</v>
      </c>
      <c r="F67" s="68">
        <f t="shared" si="7"/>
        <v>0</v>
      </c>
      <c r="G67" s="72">
        <f t="shared" si="8"/>
        <v>0</v>
      </c>
      <c r="H67" s="52">
        <f t="shared" si="9"/>
        <v>0</v>
      </c>
      <c r="I67" s="65">
        <f t="shared" si="1"/>
        <v>0</v>
      </c>
      <c r="J67" s="65"/>
      <c r="K67" s="130"/>
      <c r="L67" s="67">
        <f t="shared" si="5"/>
        <v>0</v>
      </c>
      <c r="M67" s="130"/>
      <c r="N67" s="67">
        <f t="shared" si="3"/>
        <v>0</v>
      </c>
      <c r="O67" s="67">
        <f t="shared" si="4"/>
        <v>0</v>
      </c>
      <c r="P67" s="4"/>
    </row>
    <row r="68" spans="2:16">
      <c r="B68" t="str">
        <f t="shared" si="0"/>
        <v/>
      </c>
      <c r="C68" s="62">
        <f>IF(D11="","-",+C67+1)</f>
        <v>2073</v>
      </c>
      <c r="D68" s="71">
        <f>IF(F67+SUM(E$17:E67)=D$10,F67,D$10-SUM(E$17:E67))</f>
        <v>0</v>
      </c>
      <c r="E68" s="69">
        <f t="shared" si="6"/>
        <v>0</v>
      </c>
      <c r="F68" s="68">
        <f t="shared" si="7"/>
        <v>0</v>
      </c>
      <c r="G68" s="72">
        <f t="shared" si="8"/>
        <v>0</v>
      </c>
      <c r="H68" s="52">
        <f t="shared" si="9"/>
        <v>0</v>
      </c>
      <c r="I68" s="65">
        <f t="shared" si="1"/>
        <v>0</v>
      </c>
      <c r="J68" s="65"/>
      <c r="K68" s="130"/>
      <c r="L68" s="67">
        <f t="shared" si="5"/>
        <v>0</v>
      </c>
      <c r="M68" s="130"/>
      <c r="N68" s="67">
        <f t="shared" si="3"/>
        <v>0</v>
      </c>
      <c r="O68" s="67">
        <f t="shared" si="4"/>
        <v>0</v>
      </c>
      <c r="P68" s="4"/>
    </row>
    <row r="69" spans="2:16">
      <c r="B69" t="str">
        <f t="shared" si="0"/>
        <v/>
      </c>
      <c r="C69" s="62">
        <f>IF(D11="","-",+C68+1)</f>
        <v>2074</v>
      </c>
      <c r="D69" s="71">
        <f>IF(F68+SUM(E$17:E68)=D$10,F68,D$10-SUM(E$17:E68))</f>
        <v>0</v>
      </c>
      <c r="E69" s="69">
        <f t="shared" si="6"/>
        <v>0</v>
      </c>
      <c r="F69" s="68">
        <f t="shared" si="7"/>
        <v>0</v>
      </c>
      <c r="G69" s="72">
        <f t="shared" si="8"/>
        <v>0</v>
      </c>
      <c r="H69" s="52">
        <f t="shared" si="9"/>
        <v>0</v>
      </c>
      <c r="I69" s="65">
        <f t="shared" si="1"/>
        <v>0</v>
      </c>
      <c r="J69" s="65"/>
      <c r="K69" s="130"/>
      <c r="L69" s="67">
        <f t="shared" si="5"/>
        <v>0</v>
      </c>
      <c r="M69" s="130"/>
      <c r="N69" s="67">
        <f t="shared" si="3"/>
        <v>0</v>
      </c>
      <c r="O69" s="67">
        <f t="shared" si="4"/>
        <v>0</v>
      </c>
      <c r="P69" s="4"/>
    </row>
    <row r="70" spans="2:16">
      <c r="B70" t="str">
        <f t="shared" si="0"/>
        <v/>
      </c>
      <c r="C70" s="62">
        <f>IF(D11="","-",+C69+1)</f>
        <v>2075</v>
      </c>
      <c r="D70" s="71">
        <f>IF(F69+SUM(E$17:E69)=D$10,F69,D$10-SUM(E$17:E69))</f>
        <v>0</v>
      </c>
      <c r="E70" s="69">
        <f t="shared" si="6"/>
        <v>0</v>
      </c>
      <c r="F70" s="68">
        <f t="shared" si="7"/>
        <v>0</v>
      </c>
      <c r="G70" s="72">
        <f t="shared" si="8"/>
        <v>0</v>
      </c>
      <c r="H70" s="52">
        <f t="shared" si="9"/>
        <v>0</v>
      </c>
      <c r="I70" s="65">
        <f t="shared" si="1"/>
        <v>0</v>
      </c>
      <c r="J70" s="65"/>
      <c r="K70" s="130"/>
      <c r="L70" s="67">
        <f t="shared" si="5"/>
        <v>0</v>
      </c>
      <c r="M70" s="130"/>
      <c r="N70" s="67">
        <f t="shared" si="3"/>
        <v>0</v>
      </c>
      <c r="O70" s="67">
        <f t="shared" si="4"/>
        <v>0</v>
      </c>
      <c r="P70" s="4"/>
    </row>
    <row r="71" spans="2:16">
      <c r="B71" t="str">
        <f t="shared" si="0"/>
        <v/>
      </c>
      <c r="C71" s="62">
        <f>IF(D11="","-",+C70+1)</f>
        <v>2076</v>
      </c>
      <c r="D71" s="71">
        <f>IF(F70+SUM(E$17:E70)=D$10,F70,D$10-SUM(E$17:E70))</f>
        <v>0</v>
      </c>
      <c r="E71" s="69">
        <f t="shared" si="6"/>
        <v>0</v>
      </c>
      <c r="F71" s="68">
        <f t="shared" si="7"/>
        <v>0</v>
      </c>
      <c r="G71" s="72">
        <f t="shared" si="8"/>
        <v>0</v>
      </c>
      <c r="H71" s="52">
        <f t="shared" si="9"/>
        <v>0</v>
      </c>
      <c r="I71" s="65">
        <f t="shared" si="1"/>
        <v>0</v>
      </c>
      <c r="J71" s="65"/>
      <c r="K71" s="130"/>
      <c r="L71" s="67">
        <f t="shared" si="5"/>
        <v>0</v>
      </c>
      <c r="M71" s="130"/>
      <c r="N71" s="67">
        <f t="shared" si="3"/>
        <v>0</v>
      </c>
      <c r="O71" s="67">
        <f t="shared" si="4"/>
        <v>0</v>
      </c>
      <c r="P71" s="4"/>
    </row>
    <row r="72" spans="2:16">
      <c r="C72" s="62">
        <f>IF(D12="","-",+C71+1)</f>
        <v>2077</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2078</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6667707.9999999991</v>
      </c>
      <c r="F74" s="19"/>
      <c r="G74" s="19">
        <f>SUM(G17:G73)</f>
        <v>18675698.108616728</v>
      </c>
      <c r="H74" s="19">
        <f>SUM(H17:H73)</f>
        <v>18675698.108616728</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22 of 24</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2021</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Pryor Junction 138/115 kV</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TP2019132</v>
      </c>
      <c r="E92" s="91"/>
      <c r="F92" s="91"/>
      <c r="G92" s="91"/>
      <c r="H92" s="91"/>
      <c r="I92" s="91"/>
      <c r="J92" s="91"/>
      <c r="K92" s="92"/>
      <c r="P92" s="41"/>
    </row>
    <row r="93" spans="1:16">
      <c r="C93" s="46" t="s">
        <v>49</v>
      </c>
      <c r="D93" s="653">
        <v>0</v>
      </c>
      <c r="E93" s="9" t="s">
        <v>84</v>
      </c>
      <c r="H93" s="44"/>
      <c r="I93" s="44"/>
      <c r="J93" s="45">
        <f>+'OKT.WS.G.BPU.ATRR.True-up'!M16</f>
        <v>2021</v>
      </c>
      <c r="K93" s="40"/>
      <c r="L93" s="19" t="s">
        <v>85</v>
      </c>
      <c r="P93" s="4"/>
    </row>
    <row r="94" spans="1:16">
      <c r="C94" s="46" t="s">
        <v>52</v>
      </c>
      <c r="D94" s="102">
        <f>IF(D11="","",D11)</f>
        <v>2022</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6</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2022</v>
      </c>
      <c r="D100" s="63">
        <f>IF(D94=C100,0,IF(D93&lt;100000,0,D93))</f>
        <v>0</v>
      </c>
      <c r="E100" s="70">
        <f>IF(D93&lt;100000,0,J$97/12*(12-D95))</f>
        <v>0</v>
      </c>
      <c r="F100" s="68">
        <f>IF(D94=C100,+D93-E100,+D100-E100)</f>
        <v>0</v>
      </c>
      <c r="G100" s="98">
        <f>+(F100+D100)/2</f>
        <v>0</v>
      </c>
      <c r="H100" s="98">
        <f t="shared" ref="H100:H107" si="11">+J$95*G100+E100</f>
        <v>0</v>
      </c>
      <c r="I100" s="98">
        <f>+J$96*G100+E100</f>
        <v>0</v>
      </c>
      <c r="J100" s="67">
        <f t="shared" ref="J100:J131" si="12">+I100-H100</f>
        <v>0</v>
      </c>
      <c r="K100" s="67"/>
      <c r="L100" s="506">
        <f>+H100</f>
        <v>0</v>
      </c>
      <c r="M100" s="652">
        <f t="shared" ref="M100:M131" si="13">IF(L100&lt;&gt;0,+H100-L100,0)</f>
        <v>0</v>
      </c>
      <c r="N100" s="506">
        <f>+I100</f>
        <v>0</v>
      </c>
      <c r="O100" s="66">
        <f t="shared" ref="O100:O131" si="14">IF(N100&lt;&gt;0,+I100-N100,0)</f>
        <v>0</v>
      </c>
      <c r="P100" s="66">
        <f t="shared" ref="P100:P131" si="15">+O100-M100</f>
        <v>0</v>
      </c>
    </row>
    <row r="101" spans="1:16">
      <c r="B101" t="str">
        <f t="shared" si="10"/>
        <v/>
      </c>
      <c r="C101" s="62">
        <f>IF(D94="","-",+C100+1)</f>
        <v>2023</v>
      </c>
      <c r="D101" s="647">
        <f>IF(F100+SUM(E$100:E100)=D$93,F100,D$93-SUM(E$100:E100))</f>
        <v>0</v>
      </c>
      <c r="E101" s="509">
        <f t="shared" ref="E101:E155" si="16">IF(+J$97&lt;F100,J$97,D101)</f>
        <v>0</v>
      </c>
      <c r="F101" s="648">
        <f t="shared" ref="F101:F155" si="17">+D101-E101</f>
        <v>0</v>
      </c>
      <c r="G101" s="648">
        <f t="shared" ref="G101:G155" si="18">+(F101+D101)/2</f>
        <v>0</v>
      </c>
      <c r="H101" s="649">
        <f t="shared" ref="H101:H102" si="19">(D101+F101)/2*J$95+E101</f>
        <v>0</v>
      </c>
      <c r="I101" s="628">
        <f t="shared" ref="I101:I155" si="20">+J$96*G101+E101</f>
        <v>0</v>
      </c>
      <c r="J101" s="67">
        <f t="shared" si="12"/>
        <v>0</v>
      </c>
      <c r="K101" s="67"/>
      <c r="L101" s="130"/>
      <c r="M101" s="67">
        <f t="shared" si="13"/>
        <v>0</v>
      </c>
      <c r="N101" s="130"/>
      <c r="O101" s="67">
        <f t="shared" si="14"/>
        <v>0</v>
      </c>
      <c r="P101" s="67">
        <f t="shared" si="15"/>
        <v>0</v>
      </c>
    </row>
    <row r="102" spans="1:16">
      <c r="B102" t="str">
        <f t="shared" si="10"/>
        <v/>
      </c>
      <c r="C102" s="62">
        <f>IF(D94="","-",+C101+1)</f>
        <v>2024</v>
      </c>
      <c r="D102" s="647">
        <f>IF(F101+SUM(E$100:E101)=D$93,F101,D$93-SUM(E$100:E101))</f>
        <v>0</v>
      </c>
      <c r="E102" s="509">
        <f t="shared" si="16"/>
        <v>0</v>
      </c>
      <c r="F102" s="648">
        <f t="shared" si="17"/>
        <v>0</v>
      </c>
      <c r="G102" s="648">
        <f t="shared" si="18"/>
        <v>0</v>
      </c>
      <c r="H102" s="649">
        <f t="shared" si="19"/>
        <v>0</v>
      </c>
      <c r="I102" s="628">
        <f t="shared" si="20"/>
        <v>0</v>
      </c>
      <c r="J102" s="67">
        <f t="shared" si="12"/>
        <v>0</v>
      </c>
      <c r="K102" s="67"/>
      <c r="L102" s="130"/>
      <c r="M102" s="67">
        <f t="shared" si="13"/>
        <v>0</v>
      </c>
      <c r="N102" s="130"/>
      <c r="O102" s="67">
        <f t="shared" si="14"/>
        <v>0</v>
      </c>
      <c r="P102" s="67">
        <f t="shared" si="15"/>
        <v>0</v>
      </c>
    </row>
    <row r="103" spans="1:16">
      <c r="B103" t="str">
        <f t="shared" si="10"/>
        <v/>
      </c>
      <c r="C103" s="62">
        <f>IF(D94="","-",+C102+1)</f>
        <v>2025</v>
      </c>
      <c r="D103" s="63">
        <f>IF(F102+SUM(E$100:E102)=D$93,F102,D$93-SUM(E$100:E102))</f>
        <v>0</v>
      </c>
      <c r="E103" s="69">
        <f t="shared" si="16"/>
        <v>0</v>
      </c>
      <c r="F103" s="68">
        <f t="shared" si="17"/>
        <v>0</v>
      </c>
      <c r="G103" s="68">
        <f t="shared" si="18"/>
        <v>0</v>
      </c>
      <c r="H103" s="128">
        <f t="shared" si="11"/>
        <v>0</v>
      </c>
      <c r="I103" s="137">
        <f t="shared" si="20"/>
        <v>0</v>
      </c>
      <c r="J103" s="67">
        <f t="shared" si="12"/>
        <v>0</v>
      </c>
      <c r="K103" s="67"/>
      <c r="L103" s="130"/>
      <c r="M103" s="67">
        <f t="shared" si="13"/>
        <v>0</v>
      </c>
      <c r="N103" s="130"/>
      <c r="O103" s="67">
        <f t="shared" si="14"/>
        <v>0</v>
      </c>
      <c r="P103" s="67">
        <f t="shared" si="15"/>
        <v>0</v>
      </c>
    </row>
    <row r="104" spans="1:16">
      <c r="B104" t="str">
        <f t="shared" si="10"/>
        <v/>
      </c>
      <c r="C104" s="62">
        <f>IF(D94="","-",+C103+1)</f>
        <v>2026</v>
      </c>
      <c r="D104" s="63">
        <f>IF(F103+SUM(E$100:E103)=D$93,F103,D$93-SUM(E$100:E103))</f>
        <v>0</v>
      </c>
      <c r="E104" s="69">
        <f t="shared" si="16"/>
        <v>0</v>
      </c>
      <c r="F104" s="68">
        <f t="shared" si="17"/>
        <v>0</v>
      </c>
      <c r="G104" s="68">
        <f t="shared" si="18"/>
        <v>0</v>
      </c>
      <c r="H104" s="128">
        <f t="shared" si="11"/>
        <v>0</v>
      </c>
      <c r="I104" s="137">
        <f t="shared" si="20"/>
        <v>0</v>
      </c>
      <c r="J104" s="67">
        <f t="shared" si="12"/>
        <v>0</v>
      </c>
      <c r="K104" s="67"/>
      <c r="L104" s="130"/>
      <c r="M104" s="67">
        <f t="shared" si="13"/>
        <v>0</v>
      </c>
      <c r="N104" s="130"/>
      <c r="O104" s="67">
        <f t="shared" si="14"/>
        <v>0</v>
      </c>
      <c r="P104" s="67">
        <f t="shared" si="15"/>
        <v>0</v>
      </c>
    </row>
    <row r="105" spans="1:16">
      <c r="B105" t="str">
        <f t="shared" si="10"/>
        <v/>
      </c>
      <c r="C105" s="62">
        <f>IF(D94="","-",+C104+1)</f>
        <v>2027</v>
      </c>
      <c r="D105" s="63">
        <f>IF(F104+SUM(E$100:E104)=D$93,F104,D$93-SUM(E$100:E104))</f>
        <v>0</v>
      </c>
      <c r="E105" s="69">
        <f t="shared" si="16"/>
        <v>0</v>
      </c>
      <c r="F105" s="68">
        <f t="shared" si="17"/>
        <v>0</v>
      </c>
      <c r="G105" s="68">
        <f t="shared" si="18"/>
        <v>0</v>
      </c>
      <c r="H105" s="128">
        <f t="shared" si="11"/>
        <v>0</v>
      </c>
      <c r="I105" s="137">
        <f t="shared" si="20"/>
        <v>0</v>
      </c>
      <c r="J105" s="67">
        <f t="shared" si="12"/>
        <v>0</v>
      </c>
      <c r="K105" s="67"/>
      <c r="L105" s="130"/>
      <c r="M105" s="67">
        <f t="shared" si="13"/>
        <v>0</v>
      </c>
      <c r="N105" s="130"/>
      <c r="O105" s="67">
        <f t="shared" si="14"/>
        <v>0</v>
      </c>
      <c r="P105" s="67">
        <f t="shared" si="15"/>
        <v>0</v>
      </c>
    </row>
    <row r="106" spans="1:16">
      <c r="B106" t="str">
        <f t="shared" si="10"/>
        <v/>
      </c>
      <c r="C106" s="62">
        <f>IF(D94="","-",+C105+1)</f>
        <v>2028</v>
      </c>
      <c r="D106" s="63">
        <f>IF(F105+SUM(E$100:E105)=D$93,F105,D$93-SUM(E$100:E105))</f>
        <v>0</v>
      </c>
      <c r="E106" s="69">
        <f t="shared" si="16"/>
        <v>0</v>
      </c>
      <c r="F106" s="68">
        <f t="shared" si="17"/>
        <v>0</v>
      </c>
      <c r="G106" s="68">
        <f t="shared" si="18"/>
        <v>0</v>
      </c>
      <c r="H106" s="128">
        <f t="shared" si="11"/>
        <v>0</v>
      </c>
      <c r="I106" s="137">
        <f t="shared" si="20"/>
        <v>0</v>
      </c>
      <c r="J106" s="67">
        <f t="shared" si="12"/>
        <v>0</v>
      </c>
      <c r="K106" s="67"/>
      <c r="L106" s="130"/>
      <c r="M106" s="67">
        <f t="shared" si="13"/>
        <v>0</v>
      </c>
      <c r="N106" s="130"/>
      <c r="O106" s="67">
        <f t="shared" si="14"/>
        <v>0</v>
      </c>
      <c r="P106" s="67">
        <f t="shared" si="15"/>
        <v>0</v>
      </c>
    </row>
    <row r="107" spans="1:16">
      <c r="B107" t="str">
        <f t="shared" si="10"/>
        <v/>
      </c>
      <c r="C107" s="62">
        <f>IF(D94="","-",+C106+1)</f>
        <v>2029</v>
      </c>
      <c r="D107" s="63">
        <f>IF(F106+SUM(E$100:E106)=D$93,F106,D$93-SUM(E$100:E106))</f>
        <v>0</v>
      </c>
      <c r="E107" s="69">
        <f t="shared" si="16"/>
        <v>0</v>
      </c>
      <c r="F107" s="68">
        <f t="shared" si="17"/>
        <v>0</v>
      </c>
      <c r="G107" s="68">
        <f t="shared" si="18"/>
        <v>0</v>
      </c>
      <c r="H107" s="128">
        <f t="shared" si="11"/>
        <v>0</v>
      </c>
      <c r="I107" s="137">
        <f t="shared" si="20"/>
        <v>0</v>
      </c>
      <c r="J107" s="67">
        <f t="shared" si="12"/>
        <v>0</v>
      </c>
      <c r="K107" s="67"/>
      <c r="L107" s="130"/>
      <c r="M107" s="67">
        <f t="shared" si="13"/>
        <v>0</v>
      </c>
      <c r="N107" s="130"/>
      <c r="O107" s="67">
        <f t="shared" si="14"/>
        <v>0</v>
      </c>
      <c r="P107" s="67">
        <f t="shared" si="15"/>
        <v>0</v>
      </c>
    </row>
    <row r="108" spans="1:16">
      <c r="B108" t="str">
        <f t="shared" si="10"/>
        <v/>
      </c>
      <c r="C108" s="62">
        <f>IF(D94="","-",+C107+1)</f>
        <v>2030</v>
      </c>
      <c r="D108" s="647">
        <f>IF(F107+SUM(E$100:E107)=D$93,F107,D$93-SUM(E$100:E107))</f>
        <v>0</v>
      </c>
      <c r="E108" s="509">
        <f t="shared" si="16"/>
        <v>0</v>
      </c>
      <c r="F108" s="648">
        <f t="shared" si="17"/>
        <v>0</v>
      </c>
      <c r="G108" s="648">
        <f t="shared" si="18"/>
        <v>0</v>
      </c>
      <c r="H108" s="649">
        <f t="shared" ref="H108:H155" si="21">(D108+F108)/2*J$95+E108</f>
        <v>0</v>
      </c>
      <c r="I108" s="628">
        <f t="shared" si="20"/>
        <v>0</v>
      </c>
      <c r="J108" s="67">
        <f t="shared" si="12"/>
        <v>0</v>
      </c>
      <c r="K108" s="67"/>
      <c r="L108" s="130"/>
      <c r="M108" s="67">
        <f t="shared" si="13"/>
        <v>0</v>
      </c>
      <c r="N108" s="130"/>
      <c r="O108" s="67">
        <f t="shared" si="14"/>
        <v>0</v>
      </c>
      <c r="P108" s="67">
        <f t="shared" si="15"/>
        <v>0</v>
      </c>
    </row>
    <row r="109" spans="1:16">
      <c r="B109" t="str">
        <f t="shared" si="10"/>
        <v/>
      </c>
      <c r="C109" s="62">
        <f>IF(D94="","-",+C108+1)</f>
        <v>2031</v>
      </c>
      <c r="D109" s="647">
        <f>IF(F108+SUM(E$100:E108)=D$93,F108,D$93-SUM(E$100:E108))</f>
        <v>0</v>
      </c>
      <c r="E109" s="509">
        <f t="shared" si="16"/>
        <v>0</v>
      </c>
      <c r="F109" s="648">
        <f t="shared" si="17"/>
        <v>0</v>
      </c>
      <c r="G109" s="648">
        <f t="shared" si="18"/>
        <v>0</v>
      </c>
      <c r="H109" s="649">
        <f t="shared" si="21"/>
        <v>0</v>
      </c>
      <c r="I109" s="628">
        <f t="shared" si="20"/>
        <v>0</v>
      </c>
      <c r="J109" s="67">
        <f t="shared" si="12"/>
        <v>0</v>
      </c>
      <c r="K109" s="67"/>
      <c r="L109" s="130"/>
      <c r="M109" s="67">
        <f t="shared" si="13"/>
        <v>0</v>
      </c>
      <c r="N109" s="130"/>
      <c r="O109" s="67">
        <f t="shared" si="14"/>
        <v>0</v>
      </c>
      <c r="P109" s="67">
        <f t="shared" si="15"/>
        <v>0</v>
      </c>
    </row>
    <row r="110" spans="1:16">
      <c r="B110" t="str">
        <f t="shared" si="10"/>
        <v/>
      </c>
      <c r="C110" s="62">
        <f>IF(D94="","-",+C109+1)</f>
        <v>2032</v>
      </c>
      <c r="D110" s="647">
        <f>IF(F109+SUM(E$100:E109)=D$93,F109,D$93-SUM(E$100:E109))</f>
        <v>0</v>
      </c>
      <c r="E110" s="509">
        <f t="shared" si="16"/>
        <v>0</v>
      </c>
      <c r="F110" s="648">
        <f t="shared" si="17"/>
        <v>0</v>
      </c>
      <c r="G110" s="648">
        <f t="shared" si="18"/>
        <v>0</v>
      </c>
      <c r="H110" s="649">
        <f t="shared" si="21"/>
        <v>0</v>
      </c>
      <c r="I110" s="628">
        <f t="shared" si="20"/>
        <v>0</v>
      </c>
      <c r="J110" s="67">
        <f t="shared" si="12"/>
        <v>0</v>
      </c>
      <c r="K110" s="67"/>
      <c r="L110" s="130"/>
      <c r="M110" s="67">
        <f t="shared" si="13"/>
        <v>0</v>
      </c>
      <c r="N110" s="130"/>
      <c r="O110" s="67">
        <f t="shared" si="14"/>
        <v>0</v>
      </c>
      <c r="P110" s="67">
        <f t="shared" si="15"/>
        <v>0</v>
      </c>
    </row>
    <row r="111" spans="1:16">
      <c r="B111" t="str">
        <f t="shared" si="10"/>
        <v/>
      </c>
      <c r="C111" s="62">
        <f>IF(D94="","-",+C110+1)</f>
        <v>2033</v>
      </c>
      <c r="D111" s="647">
        <f>IF(F110+SUM(E$100:E110)=D$93,F110,D$93-SUM(E$100:E110))</f>
        <v>0</v>
      </c>
      <c r="E111" s="509">
        <f t="shared" si="16"/>
        <v>0</v>
      </c>
      <c r="F111" s="648">
        <f t="shared" si="17"/>
        <v>0</v>
      </c>
      <c r="G111" s="648">
        <f t="shared" si="18"/>
        <v>0</v>
      </c>
      <c r="H111" s="649">
        <f t="shared" si="21"/>
        <v>0</v>
      </c>
      <c r="I111" s="628">
        <f t="shared" si="20"/>
        <v>0</v>
      </c>
      <c r="J111" s="67">
        <f t="shared" si="12"/>
        <v>0</v>
      </c>
      <c r="K111" s="67"/>
      <c r="L111" s="130"/>
      <c r="M111" s="67">
        <f t="shared" si="13"/>
        <v>0</v>
      </c>
      <c r="N111" s="130"/>
      <c r="O111" s="67">
        <f t="shared" si="14"/>
        <v>0</v>
      </c>
      <c r="P111" s="67">
        <f t="shared" si="15"/>
        <v>0</v>
      </c>
    </row>
    <row r="112" spans="1:16">
      <c r="B112" t="str">
        <f t="shared" si="10"/>
        <v/>
      </c>
      <c r="C112" s="62">
        <f>IF(D94="","-",+C111+1)</f>
        <v>2034</v>
      </c>
      <c r="D112" s="647">
        <f>IF(F111+SUM(E$100:E111)=D$93,F111,D$93-SUM(E$100:E111))</f>
        <v>0</v>
      </c>
      <c r="E112" s="509">
        <f t="shared" si="16"/>
        <v>0</v>
      </c>
      <c r="F112" s="648">
        <f t="shared" si="17"/>
        <v>0</v>
      </c>
      <c r="G112" s="648">
        <f t="shared" si="18"/>
        <v>0</v>
      </c>
      <c r="H112" s="649">
        <f t="shared" si="21"/>
        <v>0</v>
      </c>
      <c r="I112" s="628">
        <f t="shared" si="20"/>
        <v>0</v>
      </c>
      <c r="J112" s="67">
        <f t="shared" si="12"/>
        <v>0</v>
      </c>
      <c r="K112" s="67"/>
      <c r="L112" s="130"/>
      <c r="M112" s="67">
        <f t="shared" si="13"/>
        <v>0</v>
      </c>
      <c r="N112" s="130"/>
      <c r="O112" s="67">
        <f t="shared" si="14"/>
        <v>0</v>
      </c>
      <c r="P112" s="67">
        <f t="shared" si="15"/>
        <v>0</v>
      </c>
    </row>
    <row r="113" spans="2:16">
      <c r="B113" t="str">
        <f t="shared" si="10"/>
        <v/>
      </c>
      <c r="C113" s="62">
        <f>IF(D94="","-",+C112+1)</f>
        <v>2035</v>
      </c>
      <c r="D113" s="647">
        <f>IF(F112+SUM(E$100:E112)=D$93,F112,D$93-SUM(E$100:E112))</f>
        <v>0</v>
      </c>
      <c r="E113" s="509">
        <f t="shared" si="16"/>
        <v>0</v>
      </c>
      <c r="F113" s="648">
        <f t="shared" si="17"/>
        <v>0</v>
      </c>
      <c r="G113" s="648">
        <f t="shared" si="18"/>
        <v>0</v>
      </c>
      <c r="H113" s="649">
        <f t="shared" si="21"/>
        <v>0</v>
      </c>
      <c r="I113" s="628">
        <f t="shared" si="20"/>
        <v>0</v>
      </c>
      <c r="J113" s="67">
        <f t="shared" si="12"/>
        <v>0</v>
      </c>
      <c r="K113" s="67"/>
      <c r="L113" s="130"/>
      <c r="M113" s="67">
        <f t="shared" si="13"/>
        <v>0</v>
      </c>
      <c r="N113" s="130"/>
      <c r="O113" s="67">
        <f t="shared" si="14"/>
        <v>0</v>
      </c>
      <c r="P113" s="67">
        <f t="shared" si="15"/>
        <v>0</v>
      </c>
    </row>
    <row r="114" spans="2:16">
      <c r="B114" t="str">
        <f t="shared" si="10"/>
        <v/>
      </c>
      <c r="C114" s="62">
        <f>IF(D94="","-",+C113+1)</f>
        <v>2036</v>
      </c>
      <c r="D114" s="647">
        <f>IF(F113+SUM(E$100:E113)=D$93,F113,D$93-SUM(E$100:E113))</f>
        <v>0</v>
      </c>
      <c r="E114" s="509">
        <f t="shared" si="16"/>
        <v>0</v>
      </c>
      <c r="F114" s="648">
        <f t="shared" si="17"/>
        <v>0</v>
      </c>
      <c r="G114" s="648">
        <f t="shared" si="18"/>
        <v>0</v>
      </c>
      <c r="H114" s="649">
        <f t="shared" si="21"/>
        <v>0</v>
      </c>
      <c r="I114" s="628">
        <f t="shared" si="20"/>
        <v>0</v>
      </c>
      <c r="J114" s="67">
        <f t="shared" si="12"/>
        <v>0</v>
      </c>
      <c r="K114" s="67"/>
      <c r="L114" s="130"/>
      <c r="M114" s="67">
        <f t="shared" si="13"/>
        <v>0</v>
      </c>
      <c r="N114" s="130"/>
      <c r="O114" s="67">
        <f t="shared" si="14"/>
        <v>0</v>
      </c>
      <c r="P114" s="67">
        <f t="shared" si="15"/>
        <v>0</v>
      </c>
    </row>
    <row r="115" spans="2:16">
      <c r="B115" t="str">
        <f t="shared" si="10"/>
        <v/>
      </c>
      <c r="C115" s="62">
        <f>IF(D94="","-",+C114+1)</f>
        <v>2037</v>
      </c>
      <c r="D115" s="647">
        <f>IF(F114+SUM(E$100:E114)=D$93,F114,D$93-SUM(E$100:E114))</f>
        <v>0</v>
      </c>
      <c r="E115" s="509">
        <f t="shared" si="16"/>
        <v>0</v>
      </c>
      <c r="F115" s="648">
        <f t="shared" si="17"/>
        <v>0</v>
      </c>
      <c r="G115" s="648">
        <f t="shared" si="18"/>
        <v>0</v>
      </c>
      <c r="H115" s="649">
        <f t="shared" si="21"/>
        <v>0</v>
      </c>
      <c r="I115" s="628">
        <f t="shared" si="20"/>
        <v>0</v>
      </c>
      <c r="J115" s="67">
        <f t="shared" si="12"/>
        <v>0</v>
      </c>
      <c r="K115" s="67"/>
      <c r="L115" s="130"/>
      <c r="M115" s="67">
        <f t="shared" si="13"/>
        <v>0</v>
      </c>
      <c r="N115" s="130"/>
      <c r="O115" s="67">
        <f t="shared" si="14"/>
        <v>0</v>
      </c>
      <c r="P115" s="67">
        <f t="shared" si="15"/>
        <v>0</v>
      </c>
    </row>
    <row r="116" spans="2:16">
      <c r="B116" t="str">
        <f t="shared" si="10"/>
        <v/>
      </c>
      <c r="C116" s="62">
        <f>IF(D94="","-",+C115+1)</f>
        <v>2038</v>
      </c>
      <c r="D116" s="647">
        <f>IF(F115+SUM(E$100:E115)=D$93,F115,D$93-SUM(E$100:E115))</f>
        <v>0</v>
      </c>
      <c r="E116" s="509">
        <f t="shared" si="16"/>
        <v>0</v>
      </c>
      <c r="F116" s="648">
        <f t="shared" si="17"/>
        <v>0</v>
      </c>
      <c r="G116" s="648">
        <f t="shared" si="18"/>
        <v>0</v>
      </c>
      <c r="H116" s="649">
        <f t="shared" si="21"/>
        <v>0</v>
      </c>
      <c r="I116" s="628">
        <f t="shared" si="20"/>
        <v>0</v>
      </c>
      <c r="J116" s="67">
        <f t="shared" si="12"/>
        <v>0</v>
      </c>
      <c r="K116" s="67"/>
      <c r="L116" s="130"/>
      <c r="M116" s="67">
        <f t="shared" si="13"/>
        <v>0</v>
      </c>
      <c r="N116" s="130"/>
      <c r="O116" s="67">
        <f t="shared" si="14"/>
        <v>0</v>
      </c>
      <c r="P116" s="67">
        <f t="shared" si="15"/>
        <v>0</v>
      </c>
    </row>
    <row r="117" spans="2:16">
      <c r="B117" t="str">
        <f t="shared" si="10"/>
        <v/>
      </c>
      <c r="C117" s="62">
        <f>IF(D94="","-",+C116+1)</f>
        <v>2039</v>
      </c>
      <c r="D117" s="647">
        <f>IF(F116+SUM(E$100:E116)=D$93,F116,D$93-SUM(E$100:E116))</f>
        <v>0</v>
      </c>
      <c r="E117" s="509">
        <f t="shared" si="16"/>
        <v>0</v>
      </c>
      <c r="F117" s="648">
        <f t="shared" si="17"/>
        <v>0</v>
      </c>
      <c r="G117" s="648">
        <f t="shared" si="18"/>
        <v>0</v>
      </c>
      <c r="H117" s="649">
        <f t="shared" si="21"/>
        <v>0</v>
      </c>
      <c r="I117" s="628">
        <f t="shared" si="20"/>
        <v>0</v>
      </c>
      <c r="J117" s="67">
        <f t="shared" si="12"/>
        <v>0</v>
      </c>
      <c r="K117" s="67"/>
      <c r="L117" s="130"/>
      <c r="M117" s="67">
        <f t="shared" si="13"/>
        <v>0</v>
      </c>
      <c r="N117" s="130"/>
      <c r="O117" s="67">
        <f t="shared" si="14"/>
        <v>0</v>
      </c>
      <c r="P117" s="67">
        <f t="shared" si="15"/>
        <v>0</v>
      </c>
    </row>
    <row r="118" spans="2:16">
      <c r="B118" t="str">
        <f t="shared" si="10"/>
        <v/>
      </c>
      <c r="C118" s="62">
        <f>IF(D94="","-",+C117+1)</f>
        <v>2040</v>
      </c>
      <c r="D118" s="647">
        <f>IF(F117+SUM(E$100:E117)=D$93,F117,D$93-SUM(E$100:E117))</f>
        <v>0</v>
      </c>
      <c r="E118" s="509">
        <f t="shared" si="16"/>
        <v>0</v>
      </c>
      <c r="F118" s="648">
        <f t="shared" si="17"/>
        <v>0</v>
      </c>
      <c r="G118" s="648">
        <f t="shared" si="18"/>
        <v>0</v>
      </c>
      <c r="H118" s="649">
        <f t="shared" si="21"/>
        <v>0</v>
      </c>
      <c r="I118" s="628">
        <f t="shared" si="20"/>
        <v>0</v>
      </c>
      <c r="J118" s="67">
        <f t="shared" si="12"/>
        <v>0</v>
      </c>
      <c r="K118" s="67"/>
      <c r="L118" s="130"/>
      <c r="M118" s="67">
        <f t="shared" si="13"/>
        <v>0</v>
      </c>
      <c r="N118" s="130"/>
      <c r="O118" s="67">
        <f t="shared" si="14"/>
        <v>0</v>
      </c>
      <c r="P118" s="67">
        <f t="shared" si="15"/>
        <v>0</v>
      </c>
    </row>
    <row r="119" spans="2:16">
      <c r="B119" t="str">
        <f t="shared" si="10"/>
        <v/>
      </c>
      <c r="C119" s="62">
        <f>IF(D94="","-",+C118+1)</f>
        <v>2041</v>
      </c>
      <c r="D119" s="647">
        <f>IF(F118+SUM(E$100:E118)=D$93,F118,D$93-SUM(E$100:E118))</f>
        <v>0</v>
      </c>
      <c r="E119" s="509">
        <f t="shared" si="16"/>
        <v>0</v>
      </c>
      <c r="F119" s="648">
        <f t="shared" si="17"/>
        <v>0</v>
      </c>
      <c r="G119" s="648">
        <f t="shared" si="18"/>
        <v>0</v>
      </c>
      <c r="H119" s="649">
        <f t="shared" si="21"/>
        <v>0</v>
      </c>
      <c r="I119" s="628">
        <f t="shared" si="20"/>
        <v>0</v>
      </c>
      <c r="J119" s="67">
        <f t="shared" si="12"/>
        <v>0</v>
      </c>
      <c r="K119" s="67"/>
      <c r="L119" s="130"/>
      <c r="M119" s="67">
        <f t="shared" si="13"/>
        <v>0</v>
      </c>
      <c r="N119" s="130"/>
      <c r="O119" s="67">
        <f t="shared" si="14"/>
        <v>0</v>
      </c>
      <c r="P119" s="67">
        <f t="shared" si="15"/>
        <v>0</v>
      </c>
    </row>
    <row r="120" spans="2:16">
      <c r="B120" t="str">
        <f t="shared" si="10"/>
        <v/>
      </c>
      <c r="C120" s="62">
        <f>IF(D94="","-",+C119+1)</f>
        <v>2042</v>
      </c>
      <c r="D120" s="647">
        <f>IF(F119+SUM(E$100:E119)=D$93,F119,D$93-SUM(E$100:E119))</f>
        <v>0</v>
      </c>
      <c r="E120" s="509">
        <f t="shared" si="16"/>
        <v>0</v>
      </c>
      <c r="F120" s="648">
        <f t="shared" si="17"/>
        <v>0</v>
      </c>
      <c r="G120" s="648">
        <f t="shared" si="18"/>
        <v>0</v>
      </c>
      <c r="H120" s="649">
        <f t="shared" si="21"/>
        <v>0</v>
      </c>
      <c r="I120" s="628">
        <f t="shared" si="20"/>
        <v>0</v>
      </c>
      <c r="J120" s="67">
        <f t="shared" si="12"/>
        <v>0</v>
      </c>
      <c r="K120" s="67"/>
      <c r="L120" s="130"/>
      <c r="M120" s="67">
        <f t="shared" si="13"/>
        <v>0</v>
      </c>
      <c r="N120" s="130"/>
      <c r="O120" s="67">
        <f t="shared" si="14"/>
        <v>0</v>
      </c>
      <c r="P120" s="67">
        <f t="shared" si="15"/>
        <v>0</v>
      </c>
    </row>
    <row r="121" spans="2:16">
      <c r="B121" t="str">
        <f t="shared" si="10"/>
        <v/>
      </c>
      <c r="C121" s="62">
        <f>IF(D94="","-",+C120+1)</f>
        <v>2043</v>
      </c>
      <c r="D121" s="647">
        <f>IF(F120+SUM(E$100:E120)=D$93,F120,D$93-SUM(E$100:E120))</f>
        <v>0</v>
      </c>
      <c r="E121" s="509">
        <f t="shared" si="16"/>
        <v>0</v>
      </c>
      <c r="F121" s="648">
        <f t="shared" si="17"/>
        <v>0</v>
      </c>
      <c r="G121" s="648">
        <f t="shared" si="18"/>
        <v>0</v>
      </c>
      <c r="H121" s="649">
        <f t="shared" si="21"/>
        <v>0</v>
      </c>
      <c r="I121" s="628">
        <f t="shared" si="20"/>
        <v>0</v>
      </c>
      <c r="J121" s="67">
        <f t="shared" si="12"/>
        <v>0</v>
      </c>
      <c r="K121" s="67"/>
      <c r="L121" s="130"/>
      <c r="M121" s="67">
        <f t="shared" si="13"/>
        <v>0</v>
      </c>
      <c r="N121" s="130"/>
      <c r="O121" s="67">
        <f t="shared" si="14"/>
        <v>0</v>
      </c>
      <c r="P121" s="67">
        <f t="shared" si="15"/>
        <v>0</v>
      </c>
    </row>
    <row r="122" spans="2:16">
      <c r="B122" t="str">
        <f t="shared" si="10"/>
        <v/>
      </c>
      <c r="C122" s="62">
        <f>IF(D94="","-",+C121+1)</f>
        <v>2044</v>
      </c>
      <c r="D122" s="647">
        <f>IF(F121+SUM(E$100:E121)=D$93,F121,D$93-SUM(E$100:E121))</f>
        <v>0</v>
      </c>
      <c r="E122" s="509">
        <f t="shared" si="16"/>
        <v>0</v>
      </c>
      <c r="F122" s="648">
        <f t="shared" si="17"/>
        <v>0</v>
      </c>
      <c r="G122" s="648">
        <f t="shared" si="18"/>
        <v>0</v>
      </c>
      <c r="H122" s="649">
        <f t="shared" si="21"/>
        <v>0</v>
      </c>
      <c r="I122" s="628">
        <f t="shared" si="20"/>
        <v>0</v>
      </c>
      <c r="J122" s="67">
        <f t="shared" si="12"/>
        <v>0</v>
      </c>
      <c r="K122" s="67"/>
      <c r="L122" s="130"/>
      <c r="M122" s="67">
        <f t="shared" si="13"/>
        <v>0</v>
      </c>
      <c r="N122" s="130"/>
      <c r="O122" s="67">
        <f t="shared" si="14"/>
        <v>0</v>
      </c>
      <c r="P122" s="67">
        <f t="shared" si="15"/>
        <v>0</v>
      </c>
    </row>
    <row r="123" spans="2:16">
      <c r="B123" t="str">
        <f t="shared" si="10"/>
        <v/>
      </c>
      <c r="C123" s="62">
        <f>IF(D94="","-",+C122+1)</f>
        <v>2045</v>
      </c>
      <c r="D123" s="647">
        <f>IF(F122+SUM(E$100:E122)=D$93,F122,D$93-SUM(E$100:E122))</f>
        <v>0</v>
      </c>
      <c r="E123" s="509">
        <f t="shared" si="16"/>
        <v>0</v>
      </c>
      <c r="F123" s="648">
        <f t="shared" si="17"/>
        <v>0</v>
      </c>
      <c r="G123" s="648">
        <f t="shared" si="18"/>
        <v>0</v>
      </c>
      <c r="H123" s="649">
        <f t="shared" si="21"/>
        <v>0</v>
      </c>
      <c r="I123" s="628">
        <f t="shared" si="20"/>
        <v>0</v>
      </c>
      <c r="J123" s="67">
        <f t="shared" si="12"/>
        <v>0</v>
      </c>
      <c r="K123" s="67"/>
      <c r="L123" s="130"/>
      <c r="M123" s="67">
        <f t="shared" si="13"/>
        <v>0</v>
      </c>
      <c r="N123" s="130"/>
      <c r="O123" s="67">
        <f t="shared" si="14"/>
        <v>0</v>
      </c>
      <c r="P123" s="67">
        <f t="shared" si="15"/>
        <v>0</v>
      </c>
    </row>
    <row r="124" spans="2:16">
      <c r="B124" t="str">
        <f t="shared" si="10"/>
        <v/>
      </c>
      <c r="C124" s="62">
        <f>IF(D94="","-",+C123+1)</f>
        <v>2046</v>
      </c>
      <c r="D124" s="647">
        <f>IF(F123+SUM(E$100:E123)=D$93,F123,D$93-SUM(E$100:E123))</f>
        <v>0</v>
      </c>
      <c r="E124" s="509">
        <f t="shared" si="16"/>
        <v>0</v>
      </c>
      <c r="F124" s="648">
        <f t="shared" si="17"/>
        <v>0</v>
      </c>
      <c r="G124" s="648">
        <f t="shared" si="18"/>
        <v>0</v>
      </c>
      <c r="H124" s="649">
        <f t="shared" si="21"/>
        <v>0</v>
      </c>
      <c r="I124" s="628">
        <f t="shared" si="20"/>
        <v>0</v>
      </c>
      <c r="J124" s="67">
        <f t="shared" si="12"/>
        <v>0</v>
      </c>
      <c r="K124" s="67"/>
      <c r="L124" s="130"/>
      <c r="M124" s="67">
        <f t="shared" si="13"/>
        <v>0</v>
      </c>
      <c r="N124" s="130"/>
      <c r="O124" s="67">
        <f t="shared" si="14"/>
        <v>0</v>
      </c>
      <c r="P124" s="67">
        <f t="shared" si="15"/>
        <v>0</v>
      </c>
    </row>
    <row r="125" spans="2:16">
      <c r="B125" t="str">
        <f t="shared" si="10"/>
        <v/>
      </c>
      <c r="C125" s="62">
        <f>IF(D94="","-",+C124+1)</f>
        <v>2047</v>
      </c>
      <c r="D125" s="647">
        <f>IF(F124+SUM(E$100:E124)=D$93,F124,D$93-SUM(E$100:E124))</f>
        <v>0</v>
      </c>
      <c r="E125" s="509">
        <f t="shared" si="16"/>
        <v>0</v>
      </c>
      <c r="F125" s="648">
        <f t="shared" si="17"/>
        <v>0</v>
      </c>
      <c r="G125" s="648">
        <f t="shared" si="18"/>
        <v>0</v>
      </c>
      <c r="H125" s="649">
        <f t="shared" si="21"/>
        <v>0</v>
      </c>
      <c r="I125" s="628">
        <f t="shared" si="20"/>
        <v>0</v>
      </c>
      <c r="J125" s="67">
        <f t="shared" si="12"/>
        <v>0</v>
      </c>
      <c r="K125" s="67"/>
      <c r="L125" s="130"/>
      <c r="M125" s="67">
        <f t="shared" si="13"/>
        <v>0</v>
      </c>
      <c r="N125" s="130"/>
      <c r="O125" s="67">
        <f t="shared" si="14"/>
        <v>0</v>
      </c>
      <c r="P125" s="67">
        <f t="shared" si="15"/>
        <v>0</v>
      </c>
    </row>
    <row r="126" spans="2:16">
      <c r="B126" t="str">
        <f t="shared" si="10"/>
        <v/>
      </c>
      <c r="C126" s="62">
        <f>IF(D94="","-",+C125+1)</f>
        <v>2048</v>
      </c>
      <c r="D126" s="647">
        <f>IF(F125+SUM(E$100:E125)=D$93,F125,D$93-SUM(E$100:E125))</f>
        <v>0</v>
      </c>
      <c r="E126" s="509">
        <f t="shared" si="16"/>
        <v>0</v>
      </c>
      <c r="F126" s="648">
        <f t="shared" si="17"/>
        <v>0</v>
      </c>
      <c r="G126" s="648">
        <f t="shared" si="18"/>
        <v>0</v>
      </c>
      <c r="H126" s="649">
        <f t="shared" si="21"/>
        <v>0</v>
      </c>
      <c r="I126" s="628">
        <f t="shared" si="20"/>
        <v>0</v>
      </c>
      <c r="J126" s="67">
        <f t="shared" si="12"/>
        <v>0</v>
      </c>
      <c r="K126" s="67"/>
      <c r="L126" s="130"/>
      <c r="M126" s="67">
        <f t="shared" si="13"/>
        <v>0</v>
      </c>
      <c r="N126" s="130"/>
      <c r="O126" s="67">
        <f t="shared" si="14"/>
        <v>0</v>
      </c>
      <c r="P126" s="67">
        <f t="shared" si="15"/>
        <v>0</v>
      </c>
    </row>
    <row r="127" spans="2:16">
      <c r="B127" t="str">
        <f t="shared" si="10"/>
        <v/>
      </c>
      <c r="C127" s="62">
        <f>IF(D94="","-",+C126+1)</f>
        <v>2049</v>
      </c>
      <c r="D127" s="647">
        <f>IF(F126+SUM(E$100:E126)=D$93,F126,D$93-SUM(E$100:E126))</f>
        <v>0</v>
      </c>
      <c r="E127" s="509">
        <f t="shared" si="16"/>
        <v>0</v>
      </c>
      <c r="F127" s="648">
        <f t="shared" si="17"/>
        <v>0</v>
      </c>
      <c r="G127" s="648">
        <f t="shared" si="18"/>
        <v>0</v>
      </c>
      <c r="H127" s="649">
        <f t="shared" si="21"/>
        <v>0</v>
      </c>
      <c r="I127" s="628">
        <f t="shared" si="20"/>
        <v>0</v>
      </c>
      <c r="J127" s="67">
        <f t="shared" si="12"/>
        <v>0</v>
      </c>
      <c r="K127" s="67"/>
      <c r="L127" s="130"/>
      <c r="M127" s="67">
        <f t="shared" si="13"/>
        <v>0</v>
      </c>
      <c r="N127" s="130"/>
      <c r="O127" s="67">
        <f t="shared" si="14"/>
        <v>0</v>
      </c>
      <c r="P127" s="67">
        <f t="shared" si="15"/>
        <v>0</v>
      </c>
    </row>
    <row r="128" spans="2:16">
      <c r="B128" t="str">
        <f t="shared" si="10"/>
        <v/>
      </c>
      <c r="C128" s="62">
        <f>IF(D94="","-",+C127+1)</f>
        <v>2050</v>
      </c>
      <c r="D128" s="647">
        <f>IF(F127+SUM(E$100:E127)=D$93,F127,D$93-SUM(E$100:E127))</f>
        <v>0</v>
      </c>
      <c r="E128" s="509">
        <f t="shared" si="16"/>
        <v>0</v>
      </c>
      <c r="F128" s="648">
        <f t="shared" si="17"/>
        <v>0</v>
      </c>
      <c r="G128" s="648">
        <f t="shared" si="18"/>
        <v>0</v>
      </c>
      <c r="H128" s="649">
        <f t="shared" si="21"/>
        <v>0</v>
      </c>
      <c r="I128" s="628">
        <f t="shared" si="20"/>
        <v>0</v>
      </c>
      <c r="J128" s="67">
        <f t="shared" si="12"/>
        <v>0</v>
      </c>
      <c r="K128" s="67"/>
      <c r="L128" s="130"/>
      <c r="M128" s="67">
        <f t="shared" si="13"/>
        <v>0</v>
      </c>
      <c r="N128" s="130"/>
      <c r="O128" s="67">
        <f t="shared" si="14"/>
        <v>0</v>
      </c>
      <c r="P128" s="67">
        <f t="shared" si="15"/>
        <v>0</v>
      </c>
    </row>
    <row r="129" spans="2:16">
      <c r="B129" t="str">
        <f t="shared" si="10"/>
        <v/>
      </c>
      <c r="C129" s="62">
        <f>IF(D94="","-",+C128+1)</f>
        <v>2051</v>
      </c>
      <c r="D129" s="647">
        <f>IF(F128+SUM(E$100:E128)=D$93,F128,D$93-SUM(E$100:E128))</f>
        <v>0</v>
      </c>
      <c r="E129" s="509">
        <f t="shared" si="16"/>
        <v>0</v>
      </c>
      <c r="F129" s="648">
        <f t="shared" si="17"/>
        <v>0</v>
      </c>
      <c r="G129" s="648">
        <f t="shared" si="18"/>
        <v>0</v>
      </c>
      <c r="H129" s="649">
        <f t="shared" si="21"/>
        <v>0</v>
      </c>
      <c r="I129" s="628">
        <f t="shared" si="20"/>
        <v>0</v>
      </c>
      <c r="J129" s="67">
        <f t="shared" si="12"/>
        <v>0</v>
      </c>
      <c r="K129" s="67"/>
      <c r="L129" s="130"/>
      <c r="M129" s="67">
        <f t="shared" si="13"/>
        <v>0</v>
      </c>
      <c r="N129" s="130"/>
      <c r="O129" s="67">
        <f t="shared" si="14"/>
        <v>0</v>
      </c>
      <c r="P129" s="67">
        <f t="shared" si="15"/>
        <v>0</v>
      </c>
    </row>
    <row r="130" spans="2:16">
      <c r="B130" t="str">
        <f t="shared" si="10"/>
        <v/>
      </c>
      <c r="C130" s="62">
        <f>IF(D94="","-",+C129+1)</f>
        <v>2052</v>
      </c>
      <c r="D130" s="647">
        <f>IF(F129+SUM(E$100:E129)=D$93,F129,D$93-SUM(E$100:E129))</f>
        <v>0</v>
      </c>
      <c r="E130" s="509">
        <f t="shared" si="16"/>
        <v>0</v>
      </c>
      <c r="F130" s="648">
        <f t="shared" si="17"/>
        <v>0</v>
      </c>
      <c r="G130" s="648">
        <f t="shared" si="18"/>
        <v>0</v>
      </c>
      <c r="H130" s="649">
        <f t="shared" si="21"/>
        <v>0</v>
      </c>
      <c r="I130" s="628">
        <f t="shared" si="20"/>
        <v>0</v>
      </c>
      <c r="J130" s="67">
        <f t="shared" si="12"/>
        <v>0</v>
      </c>
      <c r="K130" s="67"/>
      <c r="L130" s="130"/>
      <c r="M130" s="67">
        <f t="shared" si="13"/>
        <v>0</v>
      </c>
      <c r="N130" s="130"/>
      <c r="O130" s="67">
        <f t="shared" si="14"/>
        <v>0</v>
      </c>
      <c r="P130" s="67">
        <f t="shared" si="15"/>
        <v>0</v>
      </c>
    </row>
    <row r="131" spans="2:16">
      <c r="B131" t="str">
        <f t="shared" si="10"/>
        <v/>
      </c>
      <c r="C131" s="62">
        <f>IF(D94="","-",+C130+1)</f>
        <v>2053</v>
      </c>
      <c r="D131" s="647">
        <f>IF(F130+SUM(E$100:E130)=D$93,F130,D$93-SUM(E$100:E130))</f>
        <v>0</v>
      </c>
      <c r="E131" s="509">
        <f t="shared" si="16"/>
        <v>0</v>
      </c>
      <c r="F131" s="648">
        <f t="shared" si="17"/>
        <v>0</v>
      </c>
      <c r="G131" s="648">
        <f t="shared" si="18"/>
        <v>0</v>
      </c>
      <c r="H131" s="649">
        <f t="shared" si="21"/>
        <v>0</v>
      </c>
      <c r="I131" s="628">
        <f t="shared" si="20"/>
        <v>0</v>
      </c>
      <c r="J131" s="67">
        <f t="shared" si="12"/>
        <v>0</v>
      </c>
      <c r="K131" s="67"/>
      <c r="L131" s="130"/>
      <c r="M131" s="67">
        <f t="shared" si="13"/>
        <v>0</v>
      </c>
      <c r="N131" s="130"/>
      <c r="O131" s="67">
        <f t="shared" si="14"/>
        <v>0</v>
      </c>
      <c r="P131" s="67">
        <f t="shared" si="15"/>
        <v>0</v>
      </c>
    </row>
    <row r="132" spans="2:16">
      <c r="B132" t="str">
        <f t="shared" si="10"/>
        <v/>
      </c>
      <c r="C132" s="62">
        <f>IF(D94="","-",+C131+1)</f>
        <v>2054</v>
      </c>
      <c r="D132" s="647">
        <f>IF(F131+SUM(E$100:E131)=D$93,F131,D$93-SUM(E$100:E131))</f>
        <v>0</v>
      </c>
      <c r="E132" s="509">
        <f t="shared" si="16"/>
        <v>0</v>
      </c>
      <c r="F132" s="648">
        <f t="shared" si="17"/>
        <v>0</v>
      </c>
      <c r="G132" s="648">
        <f t="shared" si="18"/>
        <v>0</v>
      </c>
      <c r="H132" s="649">
        <f t="shared" si="21"/>
        <v>0</v>
      </c>
      <c r="I132" s="628">
        <f t="shared" si="20"/>
        <v>0</v>
      </c>
      <c r="J132" s="67">
        <f t="shared" ref="J132:J155" si="22">+I542-H542</f>
        <v>0</v>
      </c>
      <c r="K132" s="67"/>
      <c r="L132" s="130"/>
      <c r="M132" s="67">
        <f t="shared" ref="M132:M155" si="23">IF(L542&lt;&gt;0,+H542-L542,0)</f>
        <v>0</v>
      </c>
      <c r="N132" s="130"/>
      <c r="O132" s="67">
        <f t="shared" ref="O132:O155" si="24">IF(N542&lt;&gt;0,+I542-N542,0)</f>
        <v>0</v>
      </c>
      <c r="P132" s="67">
        <f t="shared" ref="P132:P155" si="25">+O542-M542</f>
        <v>0</v>
      </c>
    </row>
    <row r="133" spans="2:16">
      <c r="B133" t="str">
        <f t="shared" si="10"/>
        <v/>
      </c>
      <c r="C133" s="62">
        <f>IF(D94="","-",+C132+1)</f>
        <v>2055</v>
      </c>
      <c r="D133" s="647">
        <f>IF(F132+SUM(E$100:E132)=D$93,F132,D$93-SUM(E$100:E132))</f>
        <v>0</v>
      </c>
      <c r="E133" s="509">
        <f t="shared" si="16"/>
        <v>0</v>
      </c>
      <c r="F133" s="648">
        <f t="shared" si="17"/>
        <v>0</v>
      </c>
      <c r="G133" s="648">
        <f t="shared" si="18"/>
        <v>0</v>
      </c>
      <c r="H133" s="649">
        <f t="shared" si="21"/>
        <v>0</v>
      </c>
      <c r="I133" s="628">
        <f t="shared" si="20"/>
        <v>0</v>
      </c>
      <c r="J133" s="67">
        <f t="shared" si="22"/>
        <v>0</v>
      </c>
      <c r="K133" s="67"/>
      <c r="L133" s="130"/>
      <c r="M133" s="67">
        <f t="shared" si="23"/>
        <v>0</v>
      </c>
      <c r="N133" s="130"/>
      <c r="O133" s="67">
        <f t="shared" si="24"/>
        <v>0</v>
      </c>
      <c r="P133" s="67">
        <f t="shared" si="25"/>
        <v>0</v>
      </c>
    </row>
    <row r="134" spans="2:16">
      <c r="B134" t="str">
        <f t="shared" si="10"/>
        <v/>
      </c>
      <c r="C134" s="62">
        <f>IF(D94="","-",+C133+1)</f>
        <v>2056</v>
      </c>
      <c r="D134" s="647">
        <f>IF(F133+SUM(E$100:E133)=D$93,F133,D$93-SUM(E$100:E133))</f>
        <v>0</v>
      </c>
      <c r="E134" s="509">
        <f t="shared" si="16"/>
        <v>0</v>
      </c>
      <c r="F134" s="648">
        <f t="shared" si="17"/>
        <v>0</v>
      </c>
      <c r="G134" s="648">
        <f t="shared" si="18"/>
        <v>0</v>
      </c>
      <c r="H134" s="649">
        <f t="shared" si="21"/>
        <v>0</v>
      </c>
      <c r="I134" s="628">
        <f t="shared" si="20"/>
        <v>0</v>
      </c>
      <c r="J134" s="67">
        <f t="shared" si="22"/>
        <v>0</v>
      </c>
      <c r="K134" s="67"/>
      <c r="L134" s="130"/>
      <c r="M134" s="67">
        <f t="shared" si="23"/>
        <v>0</v>
      </c>
      <c r="N134" s="130"/>
      <c r="O134" s="67">
        <f t="shared" si="24"/>
        <v>0</v>
      </c>
      <c r="P134" s="67">
        <f t="shared" si="25"/>
        <v>0</v>
      </c>
    </row>
    <row r="135" spans="2:16">
      <c r="B135" t="str">
        <f t="shared" si="10"/>
        <v/>
      </c>
      <c r="C135" s="62">
        <f>IF(D94="","-",+C134+1)</f>
        <v>2057</v>
      </c>
      <c r="D135" s="647">
        <f>IF(F134+SUM(E$100:E134)=D$93,F134,D$93-SUM(E$100:E134))</f>
        <v>0</v>
      </c>
      <c r="E135" s="509">
        <f t="shared" si="16"/>
        <v>0</v>
      </c>
      <c r="F135" s="648">
        <f t="shared" si="17"/>
        <v>0</v>
      </c>
      <c r="G135" s="648">
        <f t="shared" si="18"/>
        <v>0</v>
      </c>
      <c r="H135" s="649">
        <f t="shared" si="21"/>
        <v>0</v>
      </c>
      <c r="I135" s="628">
        <f t="shared" si="20"/>
        <v>0</v>
      </c>
      <c r="J135" s="67">
        <f t="shared" si="22"/>
        <v>0</v>
      </c>
      <c r="K135" s="67"/>
      <c r="L135" s="130"/>
      <c r="M135" s="67">
        <f t="shared" si="23"/>
        <v>0</v>
      </c>
      <c r="N135" s="130"/>
      <c r="O135" s="67">
        <f t="shared" si="24"/>
        <v>0</v>
      </c>
      <c r="P135" s="67">
        <f t="shared" si="25"/>
        <v>0</v>
      </c>
    </row>
    <row r="136" spans="2:16">
      <c r="B136" t="str">
        <f t="shared" si="10"/>
        <v/>
      </c>
      <c r="C136" s="62">
        <f>IF(D94="","-",+C135+1)</f>
        <v>2058</v>
      </c>
      <c r="D136" s="647">
        <f>IF(F135+SUM(E$100:E135)=D$93,F135,D$93-SUM(E$100:E135))</f>
        <v>0</v>
      </c>
      <c r="E136" s="509">
        <f t="shared" si="16"/>
        <v>0</v>
      </c>
      <c r="F136" s="648">
        <f t="shared" si="17"/>
        <v>0</v>
      </c>
      <c r="G136" s="648">
        <f t="shared" si="18"/>
        <v>0</v>
      </c>
      <c r="H136" s="649">
        <f t="shared" si="21"/>
        <v>0</v>
      </c>
      <c r="I136" s="628">
        <f t="shared" si="20"/>
        <v>0</v>
      </c>
      <c r="J136" s="67">
        <f t="shared" si="22"/>
        <v>0</v>
      </c>
      <c r="K136" s="67"/>
      <c r="L136" s="130"/>
      <c r="M136" s="67">
        <f t="shared" si="23"/>
        <v>0</v>
      </c>
      <c r="N136" s="130"/>
      <c r="O136" s="67">
        <f t="shared" si="24"/>
        <v>0</v>
      </c>
      <c r="P136" s="67">
        <f t="shared" si="25"/>
        <v>0</v>
      </c>
    </row>
    <row r="137" spans="2:16">
      <c r="B137" t="str">
        <f t="shared" si="10"/>
        <v/>
      </c>
      <c r="C137" s="62">
        <f>IF(D94="","-",+C136+1)</f>
        <v>2059</v>
      </c>
      <c r="D137" s="647">
        <f>IF(F136+SUM(E$100:E136)=D$93,F136,D$93-SUM(E$100:E136))</f>
        <v>0</v>
      </c>
      <c r="E137" s="509">
        <f t="shared" si="16"/>
        <v>0</v>
      </c>
      <c r="F137" s="648">
        <f t="shared" si="17"/>
        <v>0</v>
      </c>
      <c r="G137" s="648">
        <f t="shared" si="18"/>
        <v>0</v>
      </c>
      <c r="H137" s="649">
        <f t="shared" si="21"/>
        <v>0</v>
      </c>
      <c r="I137" s="628">
        <f t="shared" si="20"/>
        <v>0</v>
      </c>
      <c r="J137" s="67">
        <f t="shared" si="22"/>
        <v>0</v>
      </c>
      <c r="K137" s="67"/>
      <c r="L137" s="130"/>
      <c r="M137" s="67">
        <f t="shared" si="23"/>
        <v>0</v>
      </c>
      <c r="N137" s="130"/>
      <c r="O137" s="67">
        <f t="shared" si="24"/>
        <v>0</v>
      </c>
      <c r="P137" s="67">
        <f t="shared" si="25"/>
        <v>0</v>
      </c>
    </row>
    <row r="138" spans="2:16">
      <c r="B138" t="str">
        <f t="shared" si="10"/>
        <v/>
      </c>
      <c r="C138" s="62">
        <f>IF(D94="","-",+C137+1)</f>
        <v>2060</v>
      </c>
      <c r="D138" s="647">
        <f>IF(F137+SUM(E$100:E137)=D$93,F137,D$93-SUM(E$100:E137))</f>
        <v>0</v>
      </c>
      <c r="E138" s="509">
        <f t="shared" si="16"/>
        <v>0</v>
      </c>
      <c r="F138" s="648">
        <f t="shared" si="17"/>
        <v>0</v>
      </c>
      <c r="G138" s="648">
        <f t="shared" si="18"/>
        <v>0</v>
      </c>
      <c r="H138" s="649">
        <f t="shared" si="21"/>
        <v>0</v>
      </c>
      <c r="I138" s="628">
        <f t="shared" si="20"/>
        <v>0</v>
      </c>
      <c r="J138" s="67">
        <f t="shared" si="22"/>
        <v>0</v>
      </c>
      <c r="K138" s="67"/>
      <c r="L138" s="130"/>
      <c r="M138" s="67">
        <f t="shared" si="23"/>
        <v>0</v>
      </c>
      <c r="N138" s="130"/>
      <c r="O138" s="67">
        <f t="shared" si="24"/>
        <v>0</v>
      </c>
      <c r="P138" s="67">
        <f t="shared" si="25"/>
        <v>0</v>
      </c>
    </row>
    <row r="139" spans="2:16">
      <c r="B139" t="str">
        <f t="shared" si="10"/>
        <v/>
      </c>
      <c r="C139" s="62">
        <f>IF(D94="","-",+C138+1)</f>
        <v>2061</v>
      </c>
      <c r="D139" s="647">
        <f>IF(F138+SUM(E$100:E138)=D$93,F138,D$93-SUM(E$100:E138))</f>
        <v>0</v>
      </c>
      <c r="E139" s="509">
        <f t="shared" si="16"/>
        <v>0</v>
      </c>
      <c r="F139" s="648">
        <f t="shared" si="17"/>
        <v>0</v>
      </c>
      <c r="G139" s="648">
        <f t="shared" si="18"/>
        <v>0</v>
      </c>
      <c r="H139" s="649">
        <f t="shared" si="21"/>
        <v>0</v>
      </c>
      <c r="I139" s="628">
        <f t="shared" si="20"/>
        <v>0</v>
      </c>
      <c r="J139" s="67">
        <f t="shared" si="22"/>
        <v>0</v>
      </c>
      <c r="K139" s="67"/>
      <c r="L139" s="130"/>
      <c r="M139" s="67">
        <f t="shared" si="23"/>
        <v>0</v>
      </c>
      <c r="N139" s="130"/>
      <c r="O139" s="67">
        <f t="shared" si="24"/>
        <v>0</v>
      </c>
      <c r="P139" s="67">
        <f t="shared" si="25"/>
        <v>0</v>
      </c>
    </row>
    <row r="140" spans="2:16">
      <c r="B140" t="str">
        <f t="shared" si="10"/>
        <v/>
      </c>
      <c r="C140" s="62">
        <f>IF(D94="","-",+C139+1)</f>
        <v>2062</v>
      </c>
      <c r="D140" s="647">
        <f>IF(F139+SUM(E$100:E139)=D$93,F139,D$93-SUM(E$100:E139))</f>
        <v>0</v>
      </c>
      <c r="E140" s="509">
        <f t="shared" si="16"/>
        <v>0</v>
      </c>
      <c r="F140" s="648">
        <f t="shared" si="17"/>
        <v>0</v>
      </c>
      <c r="G140" s="648">
        <f t="shared" si="18"/>
        <v>0</v>
      </c>
      <c r="H140" s="649">
        <f t="shared" si="21"/>
        <v>0</v>
      </c>
      <c r="I140" s="628">
        <f t="shared" si="20"/>
        <v>0</v>
      </c>
      <c r="J140" s="67">
        <f t="shared" si="22"/>
        <v>0</v>
      </c>
      <c r="K140" s="67"/>
      <c r="L140" s="130"/>
      <c r="M140" s="67">
        <f t="shared" si="23"/>
        <v>0</v>
      </c>
      <c r="N140" s="130"/>
      <c r="O140" s="67">
        <f t="shared" si="24"/>
        <v>0</v>
      </c>
      <c r="P140" s="67">
        <f t="shared" si="25"/>
        <v>0</v>
      </c>
    </row>
    <row r="141" spans="2:16">
      <c r="B141" t="str">
        <f t="shared" si="10"/>
        <v/>
      </c>
      <c r="C141" s="62">
        <f>IF(D94="","-",+C140+1)</f>
        <v>2063</v>
      </c>
      <c r="D141" s="647">
        <f>IF(F140+SUM(E$100:E140)=D$93,F140,D$93-SUM(E$100:E140))</f>
        <v>0</v>
      </c>
      <c r="E141" s="509">
        <f t="shared" si="16"/>
        <v>0</v>
      </c>
      <c r="F141" s="648">
        <f t="shared" si="17"/>
        <v>0</v>
      </c>
      <c r="G141" s="648">
        <f t="shared" si="18"/>
        <v>0</v>
      </c>
      <c r="H141" s="649">
        <f t="shared" si="21"/>
        <v>0</v>
      </c>
      <c r="I141" s="628">
        <f t="shared" si="20"/>
        <v>0</v>
      </c>
      <c r="J141" s="67">
        <f t="shared" si="22"/>
        <v>0</v>
      </c>
      <c r="K141" s="67"/>
      <c r="L141" s="130"/>
      <c r="M141" s="67">
        <f t="shared" si="23"/>
        <v>0</v>
      </c>
      <c r="N141" s="130"/>
      <c r="O141" s="67">
        <f t="shared" si="24"/>
        <v>0</v>
      </c>
      <c r="P141" s="67">
        <f t="shared" si="25"/>
        <v>0</v>
      </c>
    </row>
    <row r="142" spans="2:16">
      <c r="B142" t="str">
        <f t="shared" si="10"/>
        <v/>
      </c>
      <c r="C142" s="62">
        <f>IF(D94="","-",+C141+1)</f>
        <v>2064</v>
      </c>
      <c r="D142" s="647">
        <f>IF(F141+SUM(E$100:E141)=D$93,F141,D$93-SUM(E$100:E141))</f>
        <v>0</v>
      </c>
      <c r="E142" s="509">
        <f t="shared" si="16"/>
        <v>0</v>
      </c>
      <c r="F142" s="648">
        <f t="shared" si="17"/>
        <v>0</v>
      </c>
      <c r="G142" s="648">
        <f t="shared" si="18"/>
        <v>0</v>
      </c>
      <c r="H142" s="649">
        <f t="shared" si="21"/>
        <v>0</v>
      </c>
      <c r="I142" s="628">
        <f t="shared" si="20"/>
        <v>0</v>
      </c>
      <c r="J142" s="67">
        <f t="shared" si="22"/>
        <v>0</v>
      </c>
      <c r="K142" s="67"/>
      <c r="L142" s="130"/>
      <c r="M142" s="67">
        <f t="shared" si="23"/>
        <v>0</v>
      </c>
      <c r="N142" s="130"/>
      <c r="O142" s="67">
        <f t="shared" si="24"/>
        <v>0</v>
      </c>
      <c r="P142" s="67">
        <f t="shared" si="25"/>
        <v>0</v>
      </c>
    </row>
    <row r="143" spans="2:16">
      <c r="B143" t="str">
        <f t="shared" si="10"/>
        <v/>
      </c>
      <c r="C143" s="62">
        <f>IF(D94="","-",+C142+1)</f>
        <v>2065</v>
      </c>
      <c r="D143" s="647">
        <f>IF(F142+SUM(E$100:E142)=D$93,F142,D$93-SUM(E$100:E142))</f>
        <v>0</v>
      </c>
      <c r="E143" s="509">
        <f t="shared" si="16"/>
        <v>0</v>
      </c>
      <c r="F143" s="648">
        <f t="shared" si="17"/>
        <v>0</v>
      </c>
      <c r="G143" s="648">
        <f t="shared" si="18"/>
        <v>0</v>
      </c>
      <c r="H143" s="649">
        <f t="shared" si="21"/>
        <v>0</v>
      </c>
      <c r="I143" s="628">
        <f t="shared" si="20"/>
        <v>0</v>
      </c>
      <c r="J143" s="67">
        <f t="shared" si="22"/>
        <v>0</v>
      </c>
      <c r="K143" s="67"/>
      <c r="L143" s="130"/>
      <c r="M143" s="67">
        <f t="shared" si="23"/>
        <v>0</v>
      </c>
      <c r="N143" s="130"/>
      <c r="O143" s="67">
        <f t="shared" si="24"/>
        <v>0</v>
      </c>
      <c r="P143" s="67">
        <f t="shared" si="25"/>
        <v>0</v>
      </c>
    </row>
    <row r="144" spans="2:16">
      <c r="B144" t="str">
        <f t="shared" si="10"/>
        <v/>
      </c>
      <c r="C144" s="62">
        <f>IF(D94="","-",+C143+1)</f>
        <v>2066</v>
      </c>
      <c r="D144" s="647">
        <f>IF(F143+SUM(E$100:E143)=D$93,F143,D$93-SUM(E$100:E143))</f>
        <v>0</v>
      </c>
      <c r="E144" s="509">
        <f t="shared" si="16"/>
        <v>0</v>
      </c>
      <c r="F144" s="648">
        <f t="shared" si="17"/>
        <v>0</v>
      </c>
      <c r="G144" s="648">
        <f t="shared" si="18"/>
        <v>0</v>
      </c>
      <c r="H144" s="649">
        <f t="shared" si="21"/>
        <v>0</v>
      </c>
      <c r="I144" s="628">
        <f t="shared" si="20"/>
        <v>0</v>
      </c>
      <c r="J144" s="67">
        <f t="shared" si="22"/>
        <v>0</v>
      </c>
      <c r="K144" s="67"/>
      <c r="L144" s="130"/>
      <c r="M144" s="67">
        <f t="shared" si="23"/>
        <v>0</v>
      </c>
      <c r="N144" s="130"/>
      <c r="O144" s="67">
        <f t="shared" si="24"/>
        <v>0</v>
      </c>
      <c r="P144" s="67">
        <f t="shared" si="25"/>
        <v>0</v>
      </c>
    </row>
    <row r="145" spans="2:16">
      <c r="B145" t="str">
        <f t="shared" si="10"/>
        <v/>
      </c>
      <c r="C145" s="62">
        <f>IF(D94="","-",+C144+1)</f>
        <v>2067</v>
      </c>
      <c r="D145" s="647">
        <f>IF(F144+SUM(E$100:E144)=D$93,F144,D$93-SUM(E$100:E144))</f>
        <v>0</v>
      </c>
      <c r="E145" s="509">
        <f t="shared" si="16"/>
        <v>0</v>
      </c>
      <c r="F145" s="648">
        <f t="shared" si="17"/>
        <v>0</v>
      </c>
      <c r="G145" s="648">
        <f t="shared" si="18"/>
        <v>0</v>
      </c>
      <c r="H145" s="649">
        <f t="shared" si="21"/>
        <v>0</v>
      </c>
      <c r="I145" s="628">
        <f t="shared" si="20"/>
        <v>0</v>
      </c>
      <c r="J145" s="67">
        <f t="shared" si="22"/>
        <v>0</v>
      </c>
      <c r="K145" s="67"/>
      <c r="L145" s="130"/>
      <c r="M145" s="67">
        <f t="shared" si="23"/>
        <v>0</v>
      </c>
      <c r="N145" s="130"/>
      <c r="O145" s="67">
        <f t="shared" si="24"/>
        <v>0</v>
      </c>
      <c r="P145" s="67">
        <f t="shared" si="25"/>
        <v>0</v>
      </c>
    </row>
    <row r="146" spans="2:16">
      <c r="B146" t="str">
        <f t="shared" si="10"/>
        <v/>
      </c>
      <c r="C146" s="62">
        <f>IF(D94="","-",+C145+1)</f>
        <v>2068</v>
      </c>
      <c r="D146" s="647">
        <f>IF(F145+SUM(E$100:E145)=D$93,F145,D$93-SUM(E$100:E145))</f>
        <v>0</v>
      </c>
      <c r="E146" s="509">
        <f t="shared" si="16"/>
        <v>0</v>
      </c>
      <c r="F146" s="648">
        <f t="shared" si="17"/>
        <v>0</v>
      </c>
      <c r="G146" s="648">
        <f t="shared" si="18"/>
        <v>0</v>
      </c>
      <c r="H146" s="649">
        <f t="shared" si="21"/>
        <v>0</v>
      </c>
      <c r="I146" s="628">
        <f t="shared" si="20"/>
        <v>0</v>
      </c>
      <c r="J146" s="67">
        <f t="shared" si="22"/>
        <v>0</v>
      </c>
      <c r="K146" s="67"/>
      <c r="L146" s="130"/>
      <c r="M146" s="67">
        <f t="shared" si="23"/>
        <v>0</v>
      </c>
      <c r="N146" s="130"/>
      <c r="O146" s="67">
        <f t="shared" si="24"/>
        <v>0</v>
      </c>
      <c r="P146" s="67">
        <f t="shared" si="25"/>
        <v>0</v>
      </c>
    </row>
    <row r="147" spans="2:16">
      <c r="B147" t="str">
        <f t="shared" si="10"/>
        <v/>
      </c>
      <c r="C147" s="62">
        <f>IF(D94="","-",+C146+1)</f>
        <v>2069</v>
      </c>
      <c r="D147" s="647">
        <f>IF(F146+SUM(E$100:E146)=D$93,F146,D$93-SUM(E$100:E146))</f>
        <v>0</v>
      </c>
      <c r="E147" s="509">
        <f t="shared" si="16"/>
        <v>0</v>
      </c>
      <c r="F147" s="648">
        <f t="shared" si="17"/>
        <v>0</v>
      </c>
      <c r="G147" s="648">
        <f t="shared" si="18"/>
        <v>0</v>
      </c>
      <c r="H147" s="649">
        <f t="shared" si="21"/>
        <v>0</v>
      </c>
      <c r="I147" s="628">
        <f t="shared" si="20"/>
        <v>0</v>
      </c>
      <c r="J147" s="67">
        <f t="shared" si="22"/>
        <v>0</v>
      </c>
      <c r="K147" s="67"/>
      <c r="L147" s="130"/>
      <c r="M147" s="67">
        <f t="shared" si="23"/>
        <v>0</v>
      </c>
      <c r="N147" s="130"/>
      <c r="O147" s="67">
        <f t="shared" si="24"/>
        <v>0</v>
      </c>
      <c r="P147" s="67">
        <f t="shared" si="25"/>
        <v>0</v>
      </c>
    </row>
    <row r="148" spans="2:16">
      <c r="B148" t="str">
        <f t="shared" si="10"/>
        <v/>
      </c>
      <c r="C148" s="62">
        <f>IF(D94="","-",+C147+1)</f>
        <v>2070</v>
      </c>
      <c r="D148" s="647">
        <f>IF(F147+SUM(E$100:E147)=D$93,F147,D$93-SUM(E$100:E147))</f>
        <v>0</v>
      </c>
      <c r="E148" s="509">
        <f t="shared" si="16"/>
        <v>0</v>
      </c>
      <c r="F148" s="648">
        <f t="shared" si="17"/>
        <v>0</v>
      </c>
      <c r="G148" s="648">
        <f t="shared" si="18"/>
        <v>0</v>
      </c>
      <c r="H148" s="649">
        <f t="shared" si="21"/>
        <v>0</v>
      </c>
      <c r="I148" s="628">
        <f t="shared" si="20"/>
        <v>0</v>
      </c>
      <c r="J148" s="67">
        <f t="shared" si="22"/>
        <v>0</v>
      </c>
      <c r="K148" s="67"/>
      <c r="L148" s="130"/>
      <c r="M148" s="67">
        <f t="shared" si="23"/>
        <v>0</v>
      </c>
      <c r="N148" s="130"/>
      <c r="O148" s="67">
        <f t="shared" si="24"/>
        <v>0</v>
      </c>
      <c r="P148" s="67">
        <f t="shared" si="25"/>
        <v>0</v>
      </c>
    </row>
    <row r="149" spans="2:16">
      <c r="B149" t="str">
        <f t="shared" si="10"/>
        <v/>
      </c>
      <c r="C149" s="62">
        <f>IF(D94="","-",+C148+1)</f>
        <v>2071</v>
      </c>
      <c r="D149" s="647">
        <f>IF(F148+SUM(E$100:E148)=D$93,F148,D$93-SUM(E$100:E148))</f>
        <v>0</v>
      </c>
      <c r="E149" s="509">
        <f t="shared" si="16"/>
        <v>0</v>
      </c>
      <c r="F149" s="648">
        <f t="shared" si="17"/>
        <v>0</v>
      </c>
      <c r="G149" s="648">
        <f t="shared" si="18"/>
        <v>0</v>
      </c>
      <c r="H149" s="649">
        <f t="shared" si="21"/>
        <v>0</v>
      </c>
      <c r="I149" s="628">
        <f t="shared" si="20"/>
        <v>0</v>
      </c>
      <c r="J149" s="67">
        <f t="shared" si="22"/>
        <v>0</v>
      </c>
      <c r="K149" s="67"/>
      <c r="L149" s="130"/>
      <c r="M149" s="67">
        <f t="shared" si="23"/>
        <v>0</v>
      </c>
      <c r="N149" s="130"/>
      <c r="O149" s="67">
        <f t="shared" si="24"/>
        <v>0</v>
      </c>
      <c r="P149" s="67">
        <f t="shared" si="25"/>
        <v>0</v>
      </c>
    </row>
    <row r="150" spans="2:16">
      <c r="B150" t="str">
        <f t="shared" si="10"/>
        <v/>
      </c>
      <c r="C150" s="62">
        <f>IF(D94="","-",+C149+1)</f>
        <v>2072</v>
      </c>
      <c r="D150" s="647">
        <f>IF(F149+SUM(E$100:E149)=D$93,F149,D$93-SUM(E$100:E149))</f>
        <v>0</v>
      </c>
      <c r="E150" s="509">
        <f t="shared" si="16"/>
        <v>0</v>
      </c>
      <c r="F150" s="648">
        <f t="shared" si="17"/>
        <v>0</v>
      </c>
      <c r="G150" s="648">
        <f t="shared" si="18"/>
        <v>0</v>
      </c>
      <c r="H150" s="649">
        <f t="shared" si="21"/>
        <v>0</v>
      </c>
      <c r="I150" s="628">
        <f t="shared" si="20"/>
        <v>0</v>
      </c>
      <c r="J150" s="67">
        <f t="shared" si="22"/>
        <v>0</v>
      </c>
      <c r="K150" s="67"/>
      <c r="L150" s="130"/>
      <c r="M150" s="67">
        <f t="shared" si="23"/>
        <v>0</v>
      </c>
      <c r="N150" s="130"/>
      <c r="O150" s="67">
        <f t="shared" si="24"/>
        <v>0</v>
      </c>
      <c r="P150" s="67">
        <f t="shared" si="25"/>
        <v>0</v>
      </c>
    </row>
    <row r="151" spans="2:16">
      <c r="B151" t="str">
        <f t="shared" si="10"/>
        <v/>
      </c>
      <c r="C151" s="62">
        <f>IF(D94="","-",+C150+1)</f>
        <v>2073</v>
      </c>
      <c r="D151" s="647">
        <f>IF(F150+SUM(E$100:E150)=D$93,F150,D$93-SUM(E$100:E150))</f>
        <v>0</v>
      </c>
      <c r="E151" s="509">
        <f t="shared" si="16"/>
        <v>0</v>
      </c>
      <c r="F151" s="648">
        <f t="shared" si="17"/>
        <v>0</v>
      </c>
      <c r="G151" s="648">
        <f t="shared" si="18"/>
        <v>0</v>
      </c>
      <c r="H151" s="649">
        <f t="shared" si="21"/>
        <v>0</v>
      </c>
      <c r="I151" s="628">
        <f t="shared" si="20"/>
        <v>0</v>
      </c>
      <c r="J151" s="67">
        <f t="shared" si="22"/>
        <v>0</v>
      </c>
      <c r="K151" s="67"/>
      <c r="L151" s="130"/>
      <c r="M151" s="67">
        <f t="shared" si="23"/>
        <v>0</v>
      </c>
      <c r="N151" s="130"/>
      <c r="O151" s="67">
        <f t="shared" si="24"/>
        <v>0</v>
      </c>
      <c r="P151" s="67">
        <f t="shared" si="25"/>
        <v>0</v>
      </c>
    </row>
    <row r="152" spans="2:16">
      <c r="B152" t="str">
        <f t="shared" si="10"/>
        <v/>
      </c>
      <c r="C152" s="62">
        <f>IF(D94="","-",+C151+1)</f>
        <v>2074</v>
      </c>
      <c r="D152" s="647">
        <f>IF(F151+SUM(E$100:E151)=D$93,F151,D$93-SUM(E$100:E151))</f>
        <v>0</v>
      </c>
      <c r="E152" s="509">
        <f t="shared" si="16"/>
        <v>0</v>
      </c>
      <c r="F152" s="648">
        <f t="shared" si="17"/>
        <v>0</v>
      </c>
      <c r="G152" s="648">
        <f t="shared" si="18"/>
        <v>0</v>
      </c>
      <c r="H152" s="649">
        <f t="shared" si="21"/>
        <v>0</v>
      </c>
      <c r="I152" s="628">
        <f t="shared" si="20"/>
        <v>0</v>
      </c>
      <c r="J152" s="67">
        <f t="shared" si="22"/>
        <v>0</v>
      </c>
      <c r="K152" s="67"/>
      <c r="L152" s="130"/>
      <c r="M152" s="67">
        <f t="shared" si="23"/>
        <v>0</v>
      </c>
      <c r="N152" s="130"/>
      <c r="O152" s="67">
        <f t="shared" si="24"/>
        <v>0</v>
      </c>
      <c r="P152" s="67">
        <f t="shared" si="25"/>
        <v>0</v>
      </c>
    </row>
    <row r="153" spans="2:16">
      <c r="B153" t="str">
        <f t="shared" si="10"/>
        <v/>
      </c>
      <c r="C153" s="62">
        <f>IF(D94="","-",+C152+1)</f>
        <v>2075</v>
      </c>
      <c r="D153" s="647">
        <f>IF(F152+SUM(E$100:E152)=D$93,F152,D$93-SUM(E$100:E152))</f>
        <v>0</v>
      </c>
      <c r="E153" s="509">
        <f t="shared" si="16"/>
        <v>0</v>
      </c>
      <c r="F153" s="648">
        <f t="shared" si="17"/>
        <v>0</v>
      </c>
      <c r="G153" s="648">
        <f t="shared" si="18"/>
        <v>0</v>
      </c>
      <c r="H153" s="649">
        <f t="shared" si="21"/>
        <v>0</v>
      </c>
      <c r="I153" s="628">
        <f t="shared" si="20"/>
        <v>0</v>
      </c>
      <c r="J153" s="67">
        <f t="shared" si="22"/>
        <v>0</v>
      </c>
      <c r="K153" s="67"/>
      <c r="L153" s="130"/>
      <c r="M153" s="67">
        <f t="shared" si="23"/>
        <v>0</v>
      </c>
      <c r="N153" s="130"/>
      <c r="O153" s="67">
        <f t="shared" si="24"/>
        <v>0</v>
      </c>
      <c r="P153" s="67">
        <f t="shared" si="25"/>
        <v>0</v>
      </c>
    </row>
    <row r="154" spans="2:16">
      <c r="B154" t="str">
        <f t="shared" si="10"/>
        <v/>
      </c>
      <c r="C154" s="62">
        <f>IF(D94="","-",+C153+1)</f>
        <v>2076</v>
      </c>
      <c r="D154" s="647">
        <f>IF(F153+SUM(E$100:E153)=D$93,F153,D$93-SUM(E$100:E153))</f>
        <v>0</v>
      </c>
      <c r="E154" s="509">
        <f t="shared" si="16"/>
        <v>0</v>
      </c>
      <c r="F154" s="648">
        <f t="shared" si="17"/>
        <v>0</v>
      </c>
      <c r="G154" s="648">
        <f t="shared" si="18"/>
        <v>0</v>
      </c>
      <c r="H154" s="649">
        <f t="shared" si="21"/>
        <v>0</v>
      </c>
      <c r="I154" s="628">
        <f t="shared" si="20"/>
        <v>0</v>
      </c>
      <c r="J154" s="67">
        <f t="shared" si="22"/>
        <v>0</v>
      </c>
      <c r="K154" s="67"/>
      <c r="L154" s="130"/>
      <c r="M154" s="67">
        <f t="shared" si="23"/>
        <v>0</v>
      </c>
      <c r="N154" s="130"/>
      <c r="O154" s="67">
        <f t="shared" si="24"/>
        <v>0</v>
      </c>
      <c r="P154" s="67">
        <f t="shared" si="25"/>
        <v>0</v>
      </c>
    </row>
    <row r="155" spans="2:16" ht="13.5" thickBot="1">
      <c r="B155" t="str">
        <f t="shared" si="10"/>
        <v/>
      </c>
      <c r="C155" s="73">
        <f>IF(D94="","-",+C154+1)</f>
        <v>2077</v>
      </c>
      <c r="D155" s="650">
        <f>IF(F154+SUM(E$100:E154)=D$93,F154,D$93-SUM(E$100:E154))</f>
        <v>0</v>
      </c>
      <c r="E155" s="526">
        <f t="shared" si="16"/>
        <v>0</v>
      </c>
      <c r="F155" s="651">
        <f t="shared" si="17"/>
        <v>0</v>
      </c>
      <c r="G155" s="651">
        <f t="shared" si="18"/>
        <v>0</v>
      </c>
      <c r="H155" s="649">
        <f t="shared" si="21"/>
        <v>0</v>
      </c>
      <c r="I155" s="624">
        <f t="shared" si="20"/>
        <v>0</v>
      </c>
      <c r="J155" s="78">
        <f t="shared" si="22"/>
        <v>0</v>
      </c>
      <c r="K155" s="67"/>
      <c r="L155" s="131"/>
      <c r="M155" s="78">
        <f t="shared" si="23"/>
        <v>0</v>
      </c>
      <c r="N155" s="131"/>
      <c r="O155" s="78">
        <f t="shared" si="24"/>
        <v>0</v>
      </c>
      <c r="P155" s="78">
        <f t="shared" si="25"/>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5" header="0.25" footer="0.5"/>
  <pageSetup scale="47" orientation="landscape" r:id="rId1"/>
  <headerFooter>
    <oddHeader xml:space="preserve">&amp;R&amp;18AEPTCo - SPP Formula Rate
&amp;A TCOS - Worksheets F and G
Section IV -- (BPU Project Tables)
Page: &amp;P of &amp;N
</oddHeader>
    <oddFooter>&amp;L&amp;A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163"/>
  <sheetViews>
    <sheetView zoomScale="80" zoomScaleNormal="80" workbookViewId="0">
      <selection activeCell="D10" sqref="D10"/>
    </sheetView>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23 of 24</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798288.30041797447</v>
      </c>
      <c r="P5" s="1"/>
    </row>
    <row r="6" spans="1:16" ht="15.75">
      <c r="C6" s="8"/>
      <c r="D6" s="2"/>
      <c r="E6" s="1"/>
      <c r="F6" s="1"/>
      <c r="G6" s="1"/>
      <c r="H6" s="26"/>
      <c r="I6" s="26"/>
      <c r="J6" s="27"/>
      <c r="K6" s="28" t="s">
        <v>243</v>
      </c>
      <c r="L6" s="29"/>
      <c r="M6" s="4"/>
      <c r="N6" s="30">
        <f>VLOOKUP(I10,C17:I73,6)</f>
        <v>798288.30041797447</v>
      </c>
      <c r="O6" s="1"/>
      <c r="P6" s="1"/>
    </row>
    <row r="7" spans="1:16" ht="13.5" thickBot="1">
      <c r="C7" s="31" t="s">
        <v>46</v>
      </c>
      <c r="D7" s="656" t="s">
        <v>323</v>
      </c>
      <c r="E7" s="1"/>
      <c r="F7" s="1"/>
      <c r="G7" s="1"/>
      <c r="H7" s="3"/>
      <c r="I7" s="3"/>
      <c r="J7" s="19"/>
      <c r="K7" s="32" t="s">
        <v>47</v>
      </c>
      <c r="L7" s="33"/>
      <c r="M7" s="33"/>
      <c r="N7" s="34">
        <f>+N6-N5</f>
        <v>0</v>
      </c>
      <c r="O7" s="1"/>
      <c r="P7" s="1"/>
    </row>
    <row r="8" spans="1:16" ht="13.5" thickBot="1">
      <c r="C8" s="35"/>
      <c r="D8" s="114"/>
      <c r="E8" s="36"/>
      <c r="F8" s="36"/>
      <c r="G8" s="36"/>
      <c r="H8" s="36"/>
      <c r="I8" s="36"/>
      <c r="J8" s="15"/>
      <c r="K8" s="36"/>
      <c r="L8" s="36"/>
      <c r="M8" s="36"/>
      <c r="N8" s="36"/>
      <c r="O8" s="15"/>
      <c r="P8" s="9"/>
    </row>
    <row r="9" spans="1:16" ht="13.5" thickBot="1">
      <c r="C9" s="37" t="s">
        <v>48</v>
      </c>
      <c r="D9" s="106" t="s">
        <v>324</v>
      </c>
      <c r="E9" s="646" t="s">
        <v>325</v>
      </c>
      <c r="F9" s="38"/>
      <c r="G9" s="38"/>
      <c r="H9" s="38"/>
      <c r="I9" s="39"/>
      <c r="J9" s="40"/>
      <c r="O9" s="41"/>
      <c r="P9" s="4"/>
    </row>
    <row r="10" spans="1:16">
      <c r="C10" s="42" t="s">
        <v>49</v>
      </c>
      <c r="D10" s="43">
        <v>10685005</v>
      </c>
      <c r="E10" s="11" t="s">
        <v>50</v>
      </c>
      <c r="F10" s="41"/>
      <c r="G10" s="44"/>
      <c r="H10" s="44"/>
      <c r="I10" s="45">
        <f>+'OKT.WS.F.BPU.ATRR.Projected'!R101</f>
        <v>2024</v>
      </c>
      <c r="J10" s="40"/>
      <c r="K10" s="19" t="s">
        <v>51</v>
      </c>
      <c r="O10" s="4"/>
      <c r="P10" s="4"/>
    </row>
    <row r="11" spans="1:16">
      <c r="C11" s="46" t="s">
        <v>52</v>
      </c>
      <c r="D11" s="47">
        <v>2024</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5</v>
      </c>
      <c r="E12" s="46" t="s">
        <v>55</v>
      </c>
      <c r="F12" s="44"/>
      <c r="G12" s="7"/>
      <c r="H12" s="7"/>
      <c r="I12" s="50">
        <f>'OKT.WS.F.BPU.ATRR.Projected'!$F$79</f>
        <v>0.11393163315254198</v>
      </c>
      <c r="J12" s="51"/>
      <c r="K12" t="s">
        <v>56</v>
      </c>
      <c r="O12" s="4"/>
      <c r="P12" s="4"/>
    </row>
    <row r="13" spans="1:16">
      <c r="C13" s="46" t="s">
        <v>57</v>
      </c>
      <c r="D13" s="48">
        <f>+'OKT.WS.F.BPU.ATRR.Projected'!F$90</f>
        <v>31</v>
      </c>
      <c r="E13" s="46" t="s">
        <v>58</v>
      </c>
      <c r="F13" s="44"/>
      <c r="G13" s="7"/>
      <c r="H13" s="7"/>
      <c r="I13" s="50">
        <f>IF(G5="",I12,'OKT.WS.F.BPU.ATRR.Projected'!$F$78)</f>
        <v>0.11393163315254198</v>
      </c>
      <c r="J13" s="51"/>
      <c r="K13" s="19" t="s">
        <v>59</v>
      </c>
      <c r="L13" s="10"/>
      <c r="M13" s="10"/>
      <c r="N13" s="10"/>
      <c r="O13" s="4"/>
      <c r="P13" s="4"/>
    </row>
    <row r="14" spans="1:16" ht="13.5" thickBot="1">
      <c r="C14" s="46" t="s">
        <v>60</v>
      </c>
      <c r="D14" s="47" t="s">
        <v>61</v>
      </c>
      <c r="E14" s="4" t="s">
        <v>62</v>
      </c>
      <c r="F14" s="44"/>
      <c r="G14" s="7"/>
      <c r="H14" s="7"/>
      <c r="I14" s="52">
        <f>IF(D10=0,0,D10/D13)</f>
        <v>344677.58064516127</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2024</v>
      </c>
      <c r="D17" s="63">
        <v>0</v>
      </c>
      <c r="E17" s="64">
        <f>IF(D10&gt;=100000,I$14/12*(12-D12),0)</f>
        <v>201061.92204301074</v>
      </c>
      <c r="F17" s="68">
        <f>IF(D11=C17,+D10-E17,+D17-E17)</f>
        <v>10483943.077956989</v>
      </c>
      <c r="G17" s="64">
        <f>(D17+F17)/2*I$12+E17</f>
        <v>798288.30041797447</v>
      </c>
      <c r="H17" s="52">
        <f>+(D17+F17)/2*I$13+E17</f>
        <v>798288.30041797447</v>
      </c>
      <c r="I17" s="65">
        <f t="shared" ref="I17:I71" si="1">H17-G17</f>
        <v>0</v>
      </c>
      <c r="J17" s="65"/>
      <c r="K17" s="132"/>
      <c r="L17" s="66">
        <f t="shared" ref="L17" si="2">IF(K17&lt;&gt;0,+G17-K17,0)</f>
        <v>0</v>
      </c>
      <c r="M17" s="132"/>
      <c r="N17" s="66">
        <f t="shared" ref="N17:N71" si="3">IF(M17&lt;&gt;0,+H17-M17,0)</f>
        <v>0</v>
      </c>
      <c r="O17" s="67">
        <f t="shared" ref="O17:O71" si="4">+N17-L17</f>
        <v>0</v>
      </c>
      <c r="P17" s="4"/>
    </row>
    <row r="18" spans="2:16">
      <c r="B18" t="str">
        <f t="shared" si="0"/>
        <v/>
      </c>
      <c r="C18" s="62">
        <f>IF(D11="","-",+C17+1)</f>
        <v>2025</v>
      </c>
      <c r="D18" s="71">
        <f>IF(F17+SUM(E$17:E17)=D$10,F17,D$10-SUM(E$17:E17))</f>
        <v>10483943.077956989</v>
      </c>
      <c r="E18" s="69">
        <f t="shared" ref="E18:E71" si="5">IF(+I$14&lt;F17,I$14,D18)</f>
        <v>344677.58064516127</v>
      </c>
      <c r="F18" s="68">
        <f t="shared" ref="F18:F71" si="6">+D18-E18</f>
        <v>10139265.497311829</v>
      </c>
      <c r="G18" s="70">
        <f t="shared" ref="G18:G71" si="7">(D18+F18)/2*I$12+E18</f>
        <v>1519495.4975581039</v>
      </c>
      <c r="H18" s="52">
        <f t="shared" ref="H18:H71" si="8">+(D18+F18)/2*I$13+E18</f>
        <v>1519495.4975581039</v>
      </c>
      <c r="I18" s="65">
        <f t="shared" si="1"/>
        <v>0</v>
      </c>
      <c r="J18" s="65"/>
      <c r="K18" s="130"/>
      <c r="L18" s="67">
        <f t="shared" ref="L18:L71" si="9">IF(K18&lt;&gt;0,+G18-K18,0)</f>
        <v>0</v>
      </c>
      <c r="M18" s="130"/>
      <c r="N18" s="67">
        <f t="shared" si="3"/>
        <v>0</v>
      </c>
      <c r="O18" s="67">
        <f t="shared" si="4"/>
        <v>0</v>
      </c>
      <c r="P18" s="4"/>
    </row>
    <row r="19" spans="2:16">
      <c r="B19" t="str">
        <f t="shared" si="0"/>
        <v/>
      </c>
      <c r="C19" s="62">
        <f>IF(D11="","-",+C18+1)</f>
        <v>2026</v>
      </c>
      <c r="D19" s="71">
        <f>IF(F18+SUM(E$17:E18)=D$10,F18,D$10-SUM(E$17:E18))</f>
        <v>10139265.497311829</v>
      </c>
      <c r="E19" s="69">
        <f t="shared" si="5"/>
        <v>344677.58064516127</v>
      </c>
      <c r="F19" s="68">
        <f t="shared" si="6"/>
        <v>9794587.9166666679</v>
      </c>
      <c r="G19" s="70">
        <f t="shared" si="7"/>
        <v>1480225.8178841334</v>
      </c>
      <c r="H19" s="52">
        <f t="shared" si="8"/>
        <v>1480225.8178841334</v>
      </c>
      <c r="I19" s="65">
        <f t="shared" si="1"/>
        <v>0</v>
      </c>
      <c r="J19" s="65"/>
      <c r="K19" s="130"/>
      <c r="L19" s="67">
        <f t="shared" si="9"/>
        <v>0</v>
      </c>
      <c r="M19" s="130"/>
      <c r="N19" s="67">
        <f t="shared" si="3"/>
        <v>0</v>
      </c>
      <c r="O19" s="67">
        <f t="shared" si="4"/>
        <v>0</v>
      </c>
      <c r="P19" s="4"/>
    </row>
    <row r="20" spans="2:16">
      <c r="B20" t="str">
        <f t="shared" si="0"/>
        <v/>
      </c>
      <c r="C20" s="62">
        <f>IF(D11="","-",+C19+1)</f>
        <v>2027</v>
      </c>
      <c r="D20" s="71">
        <f>IF(F19+SUM(E$17:E19)=D$10,F19,D$10-SUM(E$17:E19))</f>
        <v>9794587.9166666679</v>
      </c>
      <c r="E20" s="69">
        <f t="shared" si="5"/>
        <v>344677.58064516127</v>
      </c>
      <c r="F20" s="68">
        <f t="shared" si="6"/>
        <v>9449910.3360215072</v>
      </c>
      <c r="G20" s="70">
        <f t="shared" si="7"/>
        <v>1440956.1382101635</v>
      </c>
      <c r="H20" s="52">
        <f t="shared" si="8"/>
        <v>1440956.1382101635</v>
      </c>
      <c r="I20" s="65">
        <f t="shared" si="1"/>
        <v>0</v>
      </c>
      <c r="J20" s="65"/>
      <c r="K20" s="130"/>
      <c r="L20" s="67">
        <f t="shared" si="9"/>
        <v>0</v>
      </c>
      <c r="M20" s="130"/>
      <c r="N20" s="67">
        <f t="shared" si="3"/>
        <v>0</v>
      </c>
      <c r="O20" s="67">
        <f t="shared" si="4"/>
        <v>0</v>
      </c>
      <c r="P20" s="4"/>
    </row>
    <row r="21" spans="2:16">
      <c r="B21" t="str">
        <f t="shared" si="0"/>
        <v/>
      </c>
      <c r="C21" s="62">
        <f>IF(D11="","-",+C20+1)</f>
        <v>2028</v>
      </c>
      <c r="D21" s="71">
        <f>IF(F20+SUM(E$17:E20)=D$10,F20,D$10-SUM(E$17:E20))</f>
        <v>9449910.3360215072</v>
      </c>
      <c r="E21" s="69">
        <f t="shared" si="5"/>
        <v>344677.58064516127</v>
      </c>
      <c r="F21" s="68">
        <f t="shared" si="6"/>
        <v>9105232.7553763464</v>
      </c>
      <c r="G21" s="70">
        <f t="shared" si="7"/>
        <v>1401686.4585361932</v>
      </c>
      <c r="H21" s="52">
        <f t="shared" si="8"/>
        <v>1401686.4585361932</v>
      </c>
      <c r="I21" s="65">
        <f t="shared" si="1"/>
        <v>0</v>
      </c>
      <c r="J21" s="65"/>
      <c r="K21" s="130"/>
      <c r="L21" s="67">
        <f t="shared" si="9"/>
        <v>0</v>
      </c>
      <c r="M21" s="130"/>
      <c r="N21" s="67">
        <f t="shared" si="3"/>
        <v>0</v>
      </c>
      <c r="O21" s="67">
        <f t="shared" si="4"/>
        <v>0</v>
      </c>
      <c r="P21" s="4"/>
    </row>
    <row r="22" spans="2:16">
      <c r="B22" t="str">
        <f t="shared" si="0"/>
        <v/>
      </c>
      <c r="C22" s="62">
        <f>IF(D11="","-",+C21+1)</f>
        <v>2029</v>
      </c>
      <c r="D22" s="71">
        <f>IF(F21+SUM(E$17:E21)=D$10,F21,D$10-SUM(E$17:E21))</f>
        <v>9105232.7553763464</v>
      </c>
      <c r="E22" s="69">
        <f t="shared" si="5"/>
        <v>344677.58064516127</v>
      </c>
      <c r="F22" s="68">
        <f t="shared" si="6"/>
        <v>8760555.1747311857</v>
      </c>
      <c r="G22" s="70">
        <f t="shared" si="7"/>
        <v>1362416.7788622233</v>
      </c>
      <c r="H22" s="52">
        <f t="shared" si="8"/>
        <v>1362416.7788622233</v>
      </c>
      <c r="I22" s="65">
        <f t="shared" si="1"/>
        <v>0</v>
      </c>
      <c r="J22" s="65"/>
      <c r="K22" s="130"/>
      <c r="L22" s="67">
        <f t="shared" si="9"/>
        <v>0</v>
      </c>
      <c r="M22" s="130"/>
      <c r="N22" s="67">
        <f t="shared" si="3"/>
        <v>0</v>
      </c>
      <c r="O22" s="67">
        <f t="shared" si="4"/>
        <v>0</v>
      </c>
      <c r="P22" s="4"/>
    </row>
    <row r="23" spans="2:16">
      <c r="B23" t="str">
        <f t="shared" si="0"/>
        <v/>
      </c>
      <c r="C23" s="62">
        <f>IF(D11="","-",+C22+1)</f>
        <v>2030</v>
      </c>
      <c r="D23" s="71">
        <f>IF(F22+SUM(E$17:E22)=D$10,F22,D$10-SUM(E$17:E22))</f>
        <v>8760555.1747311857</v>
      </c>
      <c r="E23" s="69">
        <f t="shared" si="5"/>
        <v>344677.58064516127</v>
      </c>
      <c r="F23" s="68">
        <f t="shared" si="6"/>
        <v>8415877.5940860249</v>
      </c>
      <c r="G23" s="70">
        <f t="shared" si="7"/>
        <v>1323147.0991882528</v>
      </c>
      <c r="H23" s="52">
        <f t="shared" si="8"/>
        <v>1323147.0991882528</v>
      </c>
      <c r="I23" s="65">
        <f t="shared" si="1"/>
        <v>0</v>
      </c>
      <c r="J23" s="65"/>
      <c r="K23" s="130"/>
      <c r="L23" s="67">
        <f t="shared" si="9"/>
        <v>0</v>
      </c>
      <c r="M23" s="130"/>
      <c r="N23" s="67">
        <f t="shared" si="3"/>
        <v>0</v>
      </c>
      <c r="O23" s="67">
        <f t="shared" si="4"/>
        <v>0</v>
      </c>
      <c r="P23" s="4"/>
    </row>
    <row r="24" spans="2:16">
      <c r="B24" t="str">
        <f t="shared" si="0"/>
        <v/>
      </c>
      <c r="C24" s="62">
        <f>IF(D11="","-",+C23+1)</f>
        <v>2031</v>
      </c>
      <c r="D24" s="71">
        <f>IF(F23+SUM(E$17:E23)=D$10,F23,D$10-SUM(E$17:E23))</f>
        <v>8415877.5940860249</v>
      </c>
      <c r="E24" s="69">
        <f t="shared" si="5"/>
        <v>344677.58064516127</v>
      </c>
      <c r="F24" s="68">
        <f t="shared" si="6"/>
        <v>8071200.0134408632</v>
      </c>
      <c r="G24" s="70">
        <f t="shared" si="7"/>
        <v>1283877.4195142826</v>
      </c>
      <c r="H24" s="52">
        <f t="shared" si="8"/>
        <v>1283877.4195142826</v>
      </c>
      <c r="I24" s="65">
        <f t="shared" si="1"/>
        <v>0</v>
      </c>
      <c r="J24" s="65"/>
      <c r="K24" s="130"/>
      <c r="L24" s="67">
        <f t="shared" si="9"/>
        <v>0</v>
      </c>
      <c r="M24" s="130"/>
      <c r="N24" s="67">
        <f t="shared" si="3"/>
        <v>0</v>
      </c>
      <c r="O24" s="67">
        <f t="shared" si="4"/>
        <v>0</v>
      </c>
      <c r="P24" s="4"/>
    </row>
    <row r="25" spans="2:16">
      <c r="B25" t="str">
        <f t="shared" si="0"/>
        <v/>
      </c>
      <c r="C25" s="62">
        <f>IF(D11="","-",+C24+1)</f>
        <v>2032</v>
      </c>
      <c r="D25" s="71">
        <f>IF(F24+SUM(E$17:E24)=D$10,F24,D$10-SUM(E$17:E24))</f>
        <v>8071200.0134408632</v>
      </c>
      <c r="E25" s="69">
        <f t="shared" si="5"/>
        <v>344677.58064516127</v>
      </c>
      <c r="F25" s="68">
        <f t="shared" si="6"/>
        <v>7726522.4327957015</v>
      </c>
      <c r="G25" s="70">
        <f t="shared" si="7"/>
        <v>1244607.7398403126</v>
      </c>
      <c r="H25" s="52">
        <f t="shared" si="8"/>
        <v>1244607.7398403126</v>
      </c>
      <c r="I25" s="65">
        <f t="shared" si="1"/>
        <v>0</v>
      </c>
      <c r="J25" s="65"/>
      <c r="K25" s="130"/>
      <c r="L25" s="67">
        <f t="shared" si="9"/>
        <v>0</v>
      </c>
      <c r="M25" s="130"/>
      <c r="N25" s="67">
        <f t="shared" si="3"/>
        <v>0</v>
      </c>
      <c r="O25" s="67">
        <f t="shared" si="4"/>
        <v>0</v>
      </c>
      <c r="P25" s="4"/>
    </row>
    <row r="26" spans="2:16">
      <c r="B26" t="str">
        <f t="shared" si="0"/>
        <v/>
      </c>
      <c r="C26" s="62">
        <f>IF(D11="","-",+C25+1)</f>
        <v>2033</v>
      </c>
      <c r="D26" s="71">
        <f>IF(F25+SUM(E$17:E25)=D$10,F25,D$10-SUM(E$17:E25))</f>
        <v>7726522.4327957015</v>
      </c>
      <c r="E26" s="69">
        <f t="shared" si="5"/>
        <v>344677.58064516127</v>
      </c>
      <c r="F26" s="68">
        <f t="shared" si="6"/>
        <v>7381844.8521505399</v>
      </c>
      <c r="G26" s="70">
        <f t="shared" si="7"/>
        <v>1205338.0601663422</v>
      </c>
      <c r="H26" s="52">
        <f t="shared" si="8"/>
        <v>1205338.0601663422</v>
      </c>
      <c r="I26" s="65">
        <f t="shared" si="1"/>
        <v>0</v>
      </c>
      <c r="J26" s="65"/>
      <c r="K26" s="130"/>
      <c r="L26" s="67">
        <f t="shared" si="9"/>
        <v>0</v>
      </c>
      <c r="M26" s="130"/>
      <c r="N26" s="67">
        <f t="shared" si="3"/>
        <v>0</v>
      </c>
      <c r="O26" s="67">
        <f t="shared" si="4"/>
        <v>0</v>
      </c>
      <c r="P26" s="4"/>
    </row>
    <row r="27" spans="2:16">
      <c r="B27" t="str">
        <f t="shared" si="0"/>
        <v/>
      </c>
      <c r="C27" s="62">
        <f>IF(D11="","-",+C26+1)</f>
        <v>2034</v>
      </c>
      <c r="D27" s="71">
        <f>IF(F26+SUM(E$17:E26)=D$10,F26,D$10-SUM(E$17:E26))</f>
        <v>7381844.8521505399</v>
      </c>
      <c r="E27" s="69">
        <f t="shared" si="5"/>
        <v>344677.58064516127</v>
      </c>
      <c r="F27" s="68">
        <f t="shared" si="6"/>
        <v>7037167.2715053782</v>
      </c>
      <c r="G27" s="70">
        <f t="shared" si="7"/>
        <v>1166068.380492372</v>
      </c>
      <c r="H27" s="52">
        <f t="shared" si="8"/>
        <v>1166068.380492372</v>
      </c>
      <c r="I27" s="65">
        <f t="shared" si="1"/>
        <v>0</v>
      </c>
      <c r="J27" s="65"/>
      <c r="K27" s="130"/>
      <c r="L27" s="67">
        <f t="shared" si="9"/>
        <v>0</v>
      </c>
      <c r="M27" s="130"/>
      <c r="N27" s="67">
        <f t="shared" si="3"/>
        <v>0</v>
      </c>
      <c r="O27" s="67">
        <f t="shared" si="4"/>
        <v>0</v>
      </c>
      <c r="P27" s="4"/>
    </row>
    <row r="28" spans="2:16">
      <c r="B28" t="str">
        <f t="shared" si="0"/>
        <v/>
      </c>
      <c r="C28" s="62">
        <f>IF(D11="","-",+C27+1)</f>
        <v>2035</v>
      </c>
      <c r="D28" s="71">
        <f>IF(F27+SUM(E$17:E27)=D$10,F27,D$10-SUM(E$17:E27))</f>
        <v>7037167.2715053782</v>
      </c>
      <c r="E28" s="69">
        <f t="shared" si="5"/>
        <v>344677.58064516127</v>
      </c>
      <c r="F28" s="68">
        <f t="shared" si="6"/>
        <v>6692489.6908602165</v>
      </c>
      <c r="G28" s="70">
        <f t="shared" si="7"/>
        <v>1126798.7008184018</v>
      </c>
      <c r="H28" s="52">
        <f t="shared" si="8"/>
        <v>1126798.7008184018</v>
      </c>
      <c r="I28" s="65">
        <f t="shared" si="1"/>
        <v>0</v>
      </c>
      <c r="J28" s="65"/>
      <c r="K28" s="130"/>
      <c r="L28" s="67">
        <f t="shared" si="9"/>
        <v>0</v>
      </c>
      <c r="M28" s="130"/>
      <c r="N28" s="67">
        <f t="shared" si="3"/>
        <v>0</v>
      </c>
      <c r="O28" s="67">
        <f t="shared" si="4"/>
        <v>0</v>
      </c>
      <c r="P28" s="4"/>
    </row>
    <row r="29" spans="2:16">
      <c r="B29" t="str">
        <f t="shared" si="0"/>
        <v/>
      </c>
      <c r="C29" s="62">
        <f>IF(D11="","-",+C28+1)</f>
        <v>2036</v>
      </c>
      <c r="D29" s="71">
        <f>IF(F28+SUM(E$17:E28)=D$10,F28,D$10-SUM(E$17:E28))</f>
        <v>6692489.6908602165</v>
      </c>
      <c r="E29" s="69">
        <f t="shared" si="5"/>
        <v>344677.58064516127</v>
      </c>
      <c r="F29" s="68">
        <f t="shared" si="6"/>
        <v>6347812.1102150548</v>
      </c>
      <c r="G29" s="70">
        <f t="shared" si="7"/>
        <v>1087529.0211444316</v>
      </c>
      <c r="H29" s="52">
        <f t="shared" si="8"/>
        <v>1087529.0211444316</v>
      </c>
      <c r="I29" s="65">
        <f t="shared" si="1"/>
        <v>0</v>
      </c>
      <c r="J29" s="65"/>
      <c r="K29" s="130"/>
      <c r="L29" s="67">
        <f t="shared" si="9"/>
        <v>0</v>
      </c>
      <c r="M29" s="130"/>
      <c r="N29" s="67">
        <f t="shared" si="3"/>
        <v>0</v>
      </c>
      <c r="O29" s="67">
        <f t="shared" si="4"/>
        <v>0</v>
      </c>
      <c r="P29" s="4"/>
    </row>
    <row r="30" spans="2:16">
      <c r="B30" t="str">
        <f t="shared" si="0"/>
        <v/>
      </c>
      <c r="C30" s="62">
        <f>IF(D11="","-",+C29+1)</f>
        <v>2037</v>
      </c>
      <c r="D30" s="71">
        <f>IF(F29+SUM(E$17:E29)=D$10,F29,D$10-SUM(E$17:E29))</f>
        <v>6347812.1102150548</v>
      </c>
      <c r="E30" s="69">
        <f t="shared" si="5"/>
        <v>344677.58064516127</v>
      </c>
      <c r="F30" s="68">
        <f t="shared" si="6"/>
        <v>6003134.5295698931</v>
      </c>
      <c r="G30" s="70">
        <f t="shared" si="7"/>
        <v>1048259.3414704611</v>
      </c>
      <c r="H30" s="52">
        <f t="shared" si="8"/>
        <v>1048259.3414704611</v>
      </c>
      <c r="I30" s="65">
        <f t="shared" si="1"/>
        <v>0</v>
      </c>
      <c r="J30" s="65"/>
      <c r="K30" s="130"/>
      <c r="L30" s="67">
        <f t="shared" si="9"/>
        <v>0</v>
      </c>
      <c r="M30" s="130"/>
      <c r="N30" s="67">
        <f t="shared" si="3"/>
        <v>0</v>
      </c>
      <c r="O30" s="67">
        <f t="shared" si="4"/>
        <v>0</v>
      </c>
      <c r="P30" s="4"/>
    </row>
    <row r="31" spans="2:16">
      <c r="B31" t="str">
        <f t="shared" si="0"/>
        <v/>
      </c>
      <c r="C31" s="62">
        <f>IF(D11="","-",+C30+1)</f>
        <v>2038</v>
      </c>
      <c r="D31" s="71">
        <f>IF(F30+SUM(E$17:E30)=D$10,F30,D$10-SUM(E$17:E30))</f>
        <v>6003134.5295698931</v>
      </c>
      <c r="E31" s="69">
        <f t="shared" si="5"/>
        <v>344677.58064516127</v>
      </c>
      <c r="F31" s="68">
        <f t="shared" si="6"/>
        <v>5658456.9489247315</v>
      </c>
      <c r="G31" s="70">
        <f t="shared" si="7"/>
        <v>1008989.6617964909</v>
      </c>
      <c r="H31" s="52">
        <f t="shared" si="8"/>
        <v>1008989.6617964909</v>
      </c>
      <c r="I31" s="65">
        <f t="shared" si="1"/>
        <v>0</v>
      </c>
      <c r="J31" s="65"/>
      <c r="K31" s="130"/>
      <c r="L31" s="67">
        <f t="shared" si="9"/>
        <v>0</v>
      </c>
      <c r="M31" s="130"/>
      <c r="N31" s="67">
        <f t="shared" si="3"/>
        <v>0</v>
      </c>
      <c r="O31" s="67">
        <f t="shared" si="4"/>
        <v>0</v>
      </c>
      <c r="P31" s="4"/>
    </row>
    <row r="32" spans="2:16">
      <c r="B32" t="str">
        <f t="shared" si="0"/>
        <v/>
      </c>
      <c r="C32" s="62">
        <f>IF(D11="","-",+C31+1)</f>
        <v>2039</v>
      </c>
      <c r="D32" s="71">
        <f>IF(F31+SUM(E$17:E31)=D$10,F31,D$10-SUM(E$17:E31))</f>
        <v>5658456.9489247315</v>
      </c>
      <c r="E32" s="69">
        <f t="shared" si="5"/>
        <v>344677.58064516127</v>
      </c>
      <c r="F32" s="68">
        <f t="shared" si="6"/>
        <v>5313779.3682795698</v>
      </c>
      <c r="G32" s="70">
        <f t="shared" si="7"/>
        <v>969719.98212252068</v>
      </c>
      <c r="H32" s="52">
        <f t="shared" si="8"/>
        <v>969719.98212252068</v>
      </c>
      <c r="I32" s="65">
        <f t="shared" si="1"/>
        <v>0</v>
      </c>
      <c r="J32" s="65"/>
      <c r="K32" s="130"/>
      <c r="L32" s="67">
        <f t="shared" si="9"/>
        <v>0</v>
      </c>
      <c r="M32" s="130"/>
      <c r="N32" s="67">
        <f t="shared" si="3"/>
        <v>0</v>
      </c>
      <c r="O32" s="67">
        <f t="shared" si="4"/>
        <v>0</v>
      </c>
      <c r="P32" s="4"/>
    </row>
    <row r="33" spans="2:16">
      <c r="B33" t="str">
        <f t="shared" si="0"/>
        <v/>
      </c>
      <c r="C33" s="62">
        <f>IF(D11="","-",+C32+1)</f>
        <v>2040</v>
      </c>
      <c r="D33" s="71">
        <f>IF(F32+SUM(E$17:E32)=D$10,F32,D$10-SUM(E$17:E32))</f>
        <v>5313779.3682795698</v>
      </c>
      <c r="E33" s="69">
        <f t="shared" si="5"/>
        <v>344677.58064516127</v>
      </c>
      <c r="F33" s="68">
        <f t="shared" si="6"/>
        <v>4969101.7876344081</v>
      </c>
      <c r="G33" s="70">
        <f t="shared" si="7"/>
        <v>930450.30244855047</v>
      </c>
      <c r="H33" s="52">
        <f t="shared" si="8"/>
        <v>930450.30244855047</v>
      </c>
      <c r="I33" s="65">
        <f t="shared" si="1"/>
        <v>0</v>
      </c>
      <c r="J33" s="65"/>
      <c r="K33" s="130"/>
      <c r="L33" s="67">
        <f t="shared" si="9"/>
        <v>0</v>
      </c>
      <c r="M33" s="130"/>
      <c r="N33" s="67">
        <f t="shared" si="3"/>
        <v>0</v>
      </c>
      <c r="O33" s="67">
        <f t="shared" si="4"/>
        <v>0</v>
      </c>
      <c r="P33" s="4"/>
    </row>
    <row r="34" spans="2:16">
      <c r="B34" t="str">
        <f t="shared" si="0"/>
        <v/>
      </c>
      <c r="C34" s="62">
        <f>IF(D11="","-",+C33+1)</f>
        <v>2041</v>
      </c>
      <c r="D34" s="71">
        <f>IF(F33+SUM(E$17:E33)=D$10,F33,D$10-SUM(E$17:E33))</f>
        <v>4969101.7876344081</v>
      </c>
      <c r="E34" s="69">
        <f t="shared" si="5"/>
        <v>344677.58064516127</v>
      </c>
      <c r="F34" s="68">
        <f t="shared" si="6"/>
        <v>4624424.2069892464</v>
      </c>
      <c r="G34" s="70">
        <f t="shared" si="7"/>
        <v>891180.62277458003</v>
      </c>
      <c r="H34" s="52">
        <f t="shared" si="8"/>
        <v>891180.62277458003</v>
      </c>
      <c r="I34" s="65">
        <f t="shared" si="1"/>
        <v>0</v>
      </c>
      <c r="J34" s="65"/>
      <c r="K34" s="130"/>
      <c r="L34" s="67">
        <f t="shared" si="9"/>
        <v>0</v>
      </c>
      <c r="M34" s="130"/>
      <c r="N34" s="67">
        <f t="shared" si="3"/>
        <v>0</v>
      </c>
      <c r="O34" s="67">
        <f t="shared" si="4"/>
        <v>0</v>
      </c>
      <c r="P34" s="4"/>
    </row>
    <row r="35" spans="2:16">
      <c r="B35" t="str">
        <f t="shared" si="0"/>
        <v/>
      </c>
      <c r="C35" s="62">
        <f>IF(D11="","-",+C34+1)</f>
        <v>2042</v>
      </c>
      <c r="D35" s="71">
        <f>IF(F34+SUM(E$17:E34)=D$10,F34,D$10-SUM(E$17:E34))</f>
        <v>4624424.2069892464</v>
      </c>
      <c r="E35" s="69">
        <f t="shared" si="5"/>
        <v>344677.58064516127</v>
      </c>
      <c r="F35" s="68">
        <f t="shared" si="6"/>
        <v>4279746.6263440847</v>
      </c>
      <c r="G35" s="70">
        <f t="shared" si="7"/>
        <v>851910.94310060982</v>
      </c>
      <c r="H35" s="52">
        <f t="shared" si="8"/>
        <v>851910.94310060982</v>
      </c>
      <c r="I35" s="65">
        <f t="shared" si="1"/>
        <v>0</v>
      </c>
      <c r="J35" s="65"/>
      <c r="K35" s="130"/>
      <c r="L35" s="67">
        <f t="shared" si="9"/>
        <v>0</v>
      </c>
      <c r="M35" s="130"/>
      <c r="N35" s="67">
        <f t="shared" si="3"/>
        <v>0</v>
      </c>
      <c r="O35" s="67">
        <f t="shared" si="4"/>
        <v>0</v>
      </c>
      <c r="P35" s="4"/>
    </row>
    <row r="36" spans="2:16">
      <c r="B36" t="str">
        <f t="shared" si="0"/>
        <v/>
      </c>
      <c r="C36" s="62">
        <f>IF(D11="","-",+C35+1)</f>
        <v>2043</v>
      </c>
      <c r="D36" s="71">
        <f>IF(F35+SUM(E$17:E35)=D$10,F35,D$10-SUM(E$17:E35))</f>
        <v>4279746.6263440847</v>
      </c>
      <c r="E36" s="69">
        <f t="shared" si="5"/>
        <v>344677.58064516127</v>
      </c>
      <c r="F36" s="68">
        <f t="shared" si="6"/>
        <v>3935069.0456989235</v>
      </c>
      <c r="G36" s="70">
        <f t="shared" si="7"/>
        <v>812641.26342663961</v>
      </c>
      <c r="H36" s="52">
        <f t="shared" si="8"/>
        <v>812641.26342663961</v>
      </c>
      <c r="I36" s="65">
        <f t="shared" si="1"/>
        <v>0</v>
      </c>
      <c r="J36" s="65"/>
      <c r="K36" s="130"/>
      <c r="L36" s="67">
        <f t="shared" si="9"/>
        <v>0</v>
      </c>
      <c r="M36" s="130"/>
      <c r="N36" s="67">
        <f t="shared" si="3"/>
        <v>0</v>
      </c>
      <c r="O36" s="67">
        <f t="shared" si="4"/>
        <v>0</v>
      </c>
      <c r="P36" s="4"/>
    </row>
    <row r="37" spans="2:16">
      <c r="B37" t="str">
        <f t="shared" si="0"/>
        <v/>
      </c>
      <c r="C37" s="62">
        <f>IF(D11="","-",+C36+1)</f>
        <v>2044</v>
      </c>
      <c r="D37" s="71">
        <f>IF(F36+SUM(E$17:E36)=D$10,F36,D$10-SUM(E$17:E36))</f>
        <v>3935069.0456989235</v>
      </c>
      <c r="E37" s="69">
        <f t="shared" si="5"/>
        <v>344677.58064516127</v>
      </c>
      <c r="F37" s="68">
        <f t="shared" si="6"/>
        <v>3590391.4650537623</v>
      </c>
      <c r="G37" s="70">
        <f t="shared" si="7"/>
        <v>773371.58375266939</v>
      </c>
      <c r="H37" s="52">
        <f t="shared" si="8"/>
        <v>773371.58375266939</v>
      </c>
      <c r="I37" s="65">
        <f t="shared" si="1"/>
        <v>0</v>
      </c>
      <c r="J37" s="65"/>
      <c r="K37" s="130"/>
      <c r="L37" s="67">
        <f t="shared" si="9"/>
        <v>0</v>
      </c>
      <c r="M37" s="130"/>
      <c r="N37" s="67">
        <f t="shared" si="3"/>
        <v>0</v>
      </c>
      <c r="O37" s="67">
        <f t="shared" si="4"/>
        <v>0</v>
      </c>
      <c r="P37" s="4"/>
    </row>
    <row r="38" spans="2:16">
      <c r="B38" t="str">
        <f t="shared" si="0"/>
        <v/>
      </c>
      <c r="C38" s="62">
        <f>IF(D11="","-",+C37+1)</f>
        <v>2045</v>
      </c>
      <c r="D38" s="71">
        <f>IF(F37+SUM(E$17:E37)=D$10,F37,D$10-SUM(E$17:E37))</f>
        <v>3590391.4650537623</v>
      </c>
      <c r="E38" s="69">
        <f t="shared" si="5"/>
        <v>344677.58064516127</v>
      </c>
      <c r="F38" s="68">
        <f t="shared" si="6"/>
        <v>3245713.8844086011</v>
      </c>
      <c r="G38" s="70">
        <f t="shared" si="7"/>
        <v>734101.90407869918</v>
      </c>
      <c r="H38" s="52">
        <f t="shared" si="8"/>
        <v>734101.90407869918</v>
      </c>
      <c r="I38" s="65">
        <f t="shared" si="1"/>
        <v>0</v>
      </c>
      <c r="J38" s="65"/>
      <c r="K38" s="130"/>
      <c r="L38" s="67">
        <f t="shared" si="9"/>
        <v>0</v>
      </c>
      <c r="M38" s="130"/>
      <c r="N38" s="67">
        <f t="shared" si="3"/>
        <v>0</v>
      </c>
      <c r="O38" s="67">
        <f t="shared" si="4"/>
        <v>0</v>
      </c>
      <c r="P38" s="4"/>
    </row>
    <row r="39" spans="2:16">
      <c r="B39" t="str">
        <f t="shared" si="0"/>
        <v/>
      </c>
      <c r="C39" s="62">
        <f>IF(D11="","-",+C38+1)</f>
        <v>2046</v>
      </c>
      <c r="D39" s="71">
        <f>IF(F38+SUM(E$17:E38)=D$10,F38,D$10-SUM(E$17:E38))</f>
        <v>3245713.8844086011</v>
      </c>
      <c r="E39" s="69">
        <f t="shared" si="5"/>
        <v>344677.58064516127</v>
      </c>
      <c r="F39" s="68">
        <f t="shared" si="6"/>
        <v>2901036.3037634399</v>
      </c>
      <c r="G39" s="70">
        <f t="shared" si="7"/>
        <v>694832.22440472897</v>
      </c>
      <c r="H39" s="52">
        <f t="shared" si="8"/>
        <v>694832.22440472897</v>
      </c>
      <c r="I39" s="65">
        <f t="shared" si="1"/>
        <v>0</v>
      </c>
      <c r="J39" s="65"/>
      <c r="K39" s="130"/>
      <c r="L39" s="67">
        <f t="shared" si="9"/>
        <v>0</v>
      </c>
      <c r="M39" s="130"/>
      <c r="N39" s="67">
        <f t="shared" si="3"/>
        <v>0</v>
      </c>
      <c r="O39" s="67">
        <f t="shared" si="4"/>
        <v>0</v>
      </c>
      <c r="P39" s="4"/>
    </row>
    <row r="40" spans="2:16">
      <c r="B40" t="str">
        <f t="shared" si="0"/>
        <v/>
      </c>
      <c r="C40" s="62">
        <f>IF(D11="","-",+C39+1)</f>
        <v>2047</v>
      </c>
      <c r="D40" s="71">
        <f>IF(F39+SUM(E$17:E39)=D$10,F39,D$10-SUM(E$17:E39))</f>
        <v>2901036.3037634399</v>
      </c>
      <c r="E40" s="69">
        <f t="shared" si="5"/>
        <v>344677.58064516127</v>
      </c>
      <c r="F40" s="68">
        <f t="shared" si="6"/>
        <v>2556358.7231182787</v>
      </c>
      <c r="G40" s="70">
        <f t="shared" si="7"/>
        <v>655562.54473075876</v>
      </c>
      <c r="H40" s="52">
        <f t="shared" si="8"/>
        <v>655562.54473075876</v>
      </c>
      <c r="I40" s="65">
        <f t="shared" si="1"/>
        <v>0</v>
      </c>
      <c r="J40" s="65"/>
      <c r="K40" s="130"/>
      <c r="L40" s="67">
        <f t="shared" si="9"/>
        <v>0</v>
      </c>
      <c r="M40" s="130"/>
      <c r="N40" s="67">
        <f t="shared" si="3"/>
        <v>0</v>
      </c>
      <c r="O40" s="67">
        <f t="shared" si="4"/>
        <v>0</v>
      </c>
      <c r="P40" s="4"/>
    </row>
    <row r="41" spans="2:16">
      <c r="B41" t="str">
        <f t="shared" si="0"/>
        <v/>
      </c>
      <c r="C41" s="62">
        <f>IF(D11="","-",+C40+1)</f>
        <v>2048</v>
      </c>
      <c r="D41" s="71">
        <f>IF(F40+SUM(E$17:E40)=D$10,F40,D$10-SUM(E$17:E40))</f>
        <v>2556358.7231182787</v>
      </c>
      <c r="E41" s="69">
        <f t="shared" si="5"/>
        <v>344677.58064516127</v>
      </c>
      <c r="F41" s="68">
        <f t="shared" si="6"/>
        <v>2211681.1424731174</v>
      </c>
      <c r="G41" s="70">
        <f t="shared" si="7"/>
        <v>616292.86505678855</v>
      </c>
      <c r="H41" s="52">
        <f t="shared" si="8"/>
        <v>616292.86505678855</v>
      </c>
      <c r="I41" s="65">
        <f t="shared" si="1"/>
        <v>0</v>
      </c>
      <c r="J41" s="65"/>
      <c r="K41" s="130"/>
      <c r="L41" s="67">
        <f t="shared" si="9"/>
        <v>0</v>
      </c>
      <c r="M41" s="130"/>
      <c r="N41" s="67">
        <f t="shared" si="3"/>
        <v>0</v>
      </c>
      <c r="O41" s="67">
        <f t="shared" si="4"/>
        <v>0</v>
      </c>
      <c r="P41" s="4"/>
    </row>
    <row r="42" spans="2:16">
      <c r="B42" t="str">
        <f t="shared" si="0"/>
        <v/>
      </c>
      <c r="C42" s="62">
        <f>IF(D11="","-",+C41+1)</f>
        <v>2049</v>
      </c>
      <c r="D42" s="71">
        <f>IF(F41+SUM(E$17:E41)=D$10,F41,D$10-SUM(E$17:E41))</f>
        <v>2211681.1424731174</v>
      </c>
      <c r="E42" s="69">
        <f t="shared" si="5"/>
        <v>344677.58064516127</v>
      </c>
      <c r="F42" s="68">
        <f t="shared" si="6"/>
        <v>1867003.5618279562</v>
      </c>
      <c r="G42" s="70">
        <f t="shared" si="7"/>
        <v>577023.18538281834</v>
      </c>
      <c r="H42" s="52">
        <f t="shared" si="8"/>
        <v>577023.18538281834</v>
      </c>
      <c r="I42" s="65">
        <f t="shared" si="1"/>
        <v>0</v>
      </c>
      <c r="J42" s="65"/>
      <c r="K42" s="130"/>
      <c r="L42" s="67">
        <f t="shared" si="9"/>
        <v>0</v>
      </c>
      <c r="M42" s="130"/>
      <c r="N42" s="67">
        <f t="shared" si="3"/>
        <v>0</v>
      </c>
      <c r="O42" s="67">
        <f t="shared" si="4"/>
        <v>0</v>
      </c>
      <c r="P42" s="4"/>
    </row>
    <row r="43" spans="2:16">
      <c r="B43" t="str">
        <f t="shared" si="0"/>
        <v/>
      </c>
      <c r="C43" s="62">
        <f>IF(D11="","-",+C42+1)</f>
        <v>2050</v>
      </c>
      <c r="D43" s="71">
        <f>IF(F42+SUM(E$17:E42)=D$10,F42,D$10-SUM(E$17:E42))</f>
        <v>1867003.5618279562</v>
      </c>
      <c r="E43" s="69">
        <f t="shared" si="5"/>
        <v>344677.58064516127</v>
      </c>
      <c r="F43" s="68">
        <f t="shared" si="6"/>
        <v>1522325.981182795</v>
      </c>
      <c r="G43" s="70">
        <f t="shared" si="7"/>
        <v>537753.50570884813</v>
      </c>
      <c r="H43" s="52">
        <f t="shared" si="8"/>
        <v>537753.50570884813</v>
      </c>
      <c r="I43" s="65">
        <f t="shared" si="1"/>
        <v>0</v>
      </c>
      <c r="J43" s="65"/>
      <c r="K43" s="130"/>
      <c r="L43" s="67">
        <f t="shared" si="9"/>
        <v>0</v>
      </c>
      <c r="M43" s="130"/>
      <c r="N43" s="67">
        <f t="shared" si="3"/>
        <v>0</v>
      </c>
      <c r="O43" s="67">
        <f t="shared" si="4"/>
        <v>0</v>
      </c>
      <c r="P43" s="4"/>
    </row>
    <row r="44" spans="2:16">
      <c r="B44" t="str">
        <f t="shared" si="0"/>
        <v/>
      </c>
      <c r="C44" s="62">
        <f>IF(D11="","-",+C43+1)</f>
        <v>2051</v>
      </c>
      <c r="D44" s="71">
        <f>IF(F43+SUM(E$17:E43)=D$10,F43,D$10-SUM(E$17:E43))</f>
        <v>1522325.981182795</v>
      </c>
      <c r="E44" s="69">
        <f t="shared" si="5"/>
        <v>344677.58064516127</v>
      </c>
      <c r="F44" s="68">
        <f t="shared" si="6"/>
        <v>1177648.4005376338</v>
      </c>
      <c r="G44" s="70">
        <f t="shared" si="7"/>
        <v>498483.82603487791</v>
      </c>
      <c r="H44" s="52">
        <f t="shared" si="8"/>
        <v>498483.82603487791</v>
      </c>
      <c r="I44" s="65">
        <f t="shared" si="1"/>
        <v>0</v>
      </c>
      <c r="J44" s="65"/>
      <c r="K44" s="130"/>
      <c r="L44" s="67">
        <f t="shared" si="9"/>
        <v>0</v>
      </c>
      <c r="M44" s="130"/>
      <c r="N44" s="67">
        <f t="shared" si="3"/>
        <v>0</v>
      </c>
      <c r="O44" s="67">
        <f t="shared" si="4"/>
        <v>0</v>
      </c>
      <c r="P44" s="4"/>
    </row>
    <row r="45" spans="2:16">
      <c r="B45" t="str">
        <f t="shared" si="0"/>
        <v/>
      </c>
      <c r="C45" s="62">
        <f>IF(D11="","-",+C44+1)</f>
        <v>2052</v>
      </c>
      <c r="D45" s="71">
        <f>IF(F44+SUM(E$17:E44)=D$10,F44,D$10-SUM(E$17:E44))</f>
        <v>1177648.4005376338</v>
      </c>
      <c r="E45" s="69">
        <f t="shared" si="5"/>
        <v>344677.58064516127</v>
      </c>
      <c r="F45" s="68">
        <f t="shared" si="6"/>
        <v>832970.81989247259</v>
      </c>
      <c r="G45" s="70">
        <f t="shared" si="7"/>
        <v>459214.1463609077</v>
      </c>
      <c r="H45" s="52">
        <f t="shared" si="8"/>
        <v>459214.1463609077</v>
      </c>
      <c r="I45" s="65">
        <f t="shared" si="1"/>
        <v>0</v>
      </c>
      <c r="J45" s="65"/>
      <c r="K45" s="130"/>
      <c r="L45" s="67">
        <f t="shared" si="9"/>
        <v>0</v>
      </c>
      <c r="M45" s="130"/>
      <c r="N45" s="67">
        <f t="shared" si="3"/>
        <v>0</v>
      </c>
      <c r="O45" s="67">
        <f t="shared" si="4"/>
        <v>0</v>
      </c>
      <c r="P45" s="4"/>
    </row>
    <row r="46" spans="2:16">
      <c r="B46" t="str">
        <f t="shared" si="0"/>
        <v/>
      </c>
      <c r="C46" s="62">
        <f>IF(D11="","-",+C45+1)</f>
        <v>2053</v>
      </c>
      <c r="D46" s="71">
        <f>IF(F45+SUM(E$17:E45)=D$10,F45,D$10-SUM(E$17:E45))</f>
        <v>832970.81989247259</v>
      </c>
      <c r="E46" s="69">
        <f t="shared" si="5"/>
        <v>344677.58064516127</v>
      </c>
      <c r="F46" s="68">
        <f t="shared" si="6"/>
        <v>488293.23924731131</v>
      </c>
      <c r="G46" s="70">
        <f t="shared" si="7"/>
        <v>419944.46668693749</v>
      </c>
      <c r="H46" s="52">
        <f t="shared" si="8"/>
        <v>419944.46668693749</v>
      </c>
      <c r="I46" s="65">
        <f t="shared" si="1"/>
        <v>0</v>
      </c>
      <c r="J46" s="65"/>
      <c r="K46" s="130"/>
      <c r="L46" s="67">
        <f t="shared" si="9"/>
        <v>0</v>
      </c>
      <c r="M46" s="130"/>
      <c r="N46" s="67">
        <f t="shared" si="3"/>
        <v>0</v>
      </c>
      <c r="O46" s="67">
        <f t="shared" si="4"/>
        <v>0</v>
      </c>
      <c r="P46" s="4"/>
    </row>
    <row r="47" spans="2:16">
      <c r="B47" t="str">
        <f t="shared" si="0"/>
        <v/>
      </c>
      <c r="C47" s="62">
        <f>IF(D11="","-",+C46+1)</f>
        <v>2054</v>
      </c>
      <c r="D47" s="71">
        <f>IF(F46+SUM(E$17:E46)=D$10,F46,D$10-SUM(E$17:E46))</f>
        <v>488293.23924731131</v>
      </c>
      <c r="E47" s="69">
        <f t="shared" si="5"/>
        <v>344677.58064516127</v>
      </c>
      <c r="F47" s="68">
        <f t="shared" si="6"/>
        <v>143615.65860215004</v>
      </c>
      <c r="G47" s="70">
        <f t="shared" si="7"/>
        <v>380674.78701296728</v>
      </c>
      <c r="H47" s="52">
        <f t="shared" si="8"/>
        <v>380674.78701296728</v>
      </c>
      <c r="I47" s="65">
        <f t="shared" si="1"/>
        <v>0</v>
      </c>
      <c r="J47" s="65"/>
      <c r="K47" s="130"/>
      <c r="L47" s="67">
        <f t="shared" si="9"/>
        <v>0</v>
      </c>
      <c r="M47" s="130"/>
      <c r="N47" s="67">
        <f t="shared" si="3"/>
        <v>0</v>
      </c>
      <c r="O47" s="67">
        <f t="shared" si="4"/>
        <v>0</v>
      </c>
      <c r="P47" s="4"/>
    </row>
    <row r="48" spans="2:16">
      <c r="B48" t="str">
        <f t="shared" si="0"/>
        <v/>
      </c>
      <c r="C48" s="62">
        <f>IF(D11="","-",+C47+1)</f>
        <v>2055</v>
      </c>
      <c r="D48" s="71">
        <f>IF(F47+SUM(E$17:E47)=D$10,F47,D$10-SUM(E$17:E47))</f>
        <v>143615.65860215004</v>
      </c>
      <c r="E48" s="69">
        <f t="shared" si="5"/>
        <v>143615.65860215004</v>
      </c>
      <c r="F48" s="68">
        <f t="shared" si="6"/>
        <v>0</v>
      </c>
      <c r="G48" s="70">
        <f t="shared" si="7"/>
        <v>151796.84186756046</v>
      </c>
      <c r="H48" s="52">
        <f t="shared" si="8"/>
        <v>151796.84186756046</v>
      </c>
      <c r="I48" s="65">
        <f t="shared" si="1"/>
        <v>0</v>
      </c>
      <c r="J48" s="65"/>
      <c r="K48" s="130"/>
      <c r="L48" s="67">
        <f t="shared" si="9"/>
        <v>0</v>
      </c>
      <c r="M48" s="130"/>
      <c r="N48" s="67">
        <f t="shared" si="3"/>
        <v>0</v>
      </c>
      <c r="O48" s="67">
        <f t="shared" si="4"/>
        <v>0</v>
      </c>
      <c r="P48" s="4"/>
    </row>
    <row r="49" spans="2:16">
      <c r="B49" t="str">
        <f t="shared" si="0"/>
        <v/>
      </c>
      <c r="C49" s="62">
        <f>IF(D11="","-",+C48+1)</f>
        <v>2056</v>
      </c>
      <c r="D49" s="71">
        <f>IF(F48+SUM(E$17:E48)=D$10,F48,D$10-SUM(E$17:E48))</f>
        <v>0</v>
      </c>
      <c r="E49" s="69">
        <f t="shared" si="5"/>
        <v>0</v>
      </c>
      <c r="F49" s="68">
        <f t="shared" si="6"/>
        <v>0</v>
      </c>
      <c r="G49" s="70">
        <f t="shared" si="7"/>
        <v>0</v>
      </c>
      <c r="H49" s="52">
        <f t="shared" si="8"/>
        <v>0</v>
      </c>
      <c r="I49" s="65">
        <f t="shared" si="1"/>
        <v>0</v>
      </c>
      <c r="J49" s="65"/>
      <c r="K49" s="130"/>
      <c r="L49" s="67">
        <f t="shared" si="9"/>
        <v>0</v>
      </c>
      <c r="M49" s="130"/>
      <c r="N49" s="67">
        <f t="shared" si="3"/>
        <v>0</v>
      </c>
      <c r="O49" s="67">
        <f t="shared" si="4"/>
        <v>0</v>
      </c>
      <c r="P49" s="4"/>
    </row>
    <row r="50" spans="2:16">
      <c r="B50" t="str">
        <f t="shared" si="0"/>
        <v/>
      </c>
      <c r="C50" s="62">
        <f>IF(D11="","-",+C49+1)</f>
        <v>2057</v>
      </c>
      <c r="D50" s="71">
        <f>IF(F49+SUM(E$17:E49)=D$10,F49,D$10-SUM(E$17:E49))</f>
        <v>0</v>
      </c>
      <c r="E50" s="69">
        <f t="shared" si="5"/>
        <v>0</v>
      </c>
      <c r="F50" s="68">
        <f t="shared" si="6"/>
        <v>0</v>
      </c>
      <c r="G50" s="70">
        <f t="shared" si="7"/>
        <v>0</v>
      </c>
      <c r="H50" s="52">
        <f t="shared" si="8"/>
        <v>0</v>
      </c>
      <c r="I50" s="65">
        <f t="shared" si="1"/>
        <v>0</v>
      </c>
      <c r="J50" s="65"/>
      <c r="K50" s="130"/>
      <c r="L50" s="67">
        <f t="shared" si="9"/>
        <v>0</v>
      </c>
      <c r="M50" s="130"/>
      <c r="N50" s="67">
        <f t="shared" si="3"/>
        <v>0</v>
      </c>
      <c r="O50" s="67">
        <f t="shared" si="4"/>
        <v>0</v>
      </c>
      <c r="P50" s="4"/>
    </row>
    <row r="51" spans="2:16">
      <c r="B51" t="str">
        <f t="shared" si="0"/>
        <v/>
      </c>
      <c r="C51" s="62">
        <f>IF(D11="","-",+C50+1)</f>
        <v>2058</v>
      </c>
      <c r="D51" s="71">
        <f>IF(F50+SUM(E$17:E50)=D$10,F50,D$10-SUM(E$17:E50))</f>
        <v>0</v>
      </c>
      <c r="E51" s="69">
        <f t="shared" si="5"/>
        <v>0</v>
      </c>
      <c r="F51" s="68">
        <f t="shared" si="6"/>
        <v>0</v>
      </c>
      <c r="G51" s="70">
        <f t="shared" si="7"/>
        <v>0</v>
      </c>
      <c r="H51" s="52">
        <f t="shared" si="8"/>
        <v>0</v>
      </c>
      <c r="I51" s="65">
        <f t="shared" si="1"/>
        <v>0</v>
      </c>
      <c r="J51" s="65"/>
      <c r="K51" s="130"/>
      <c r="L51" s="67">
        <f t="shared" si="9"/>
        <v>0</v>
      </c>
      <c r="M51" s="130"/>
      <c r="N51" s="67">
        <f t="shared" si="3"/>
        <v>0</v>
      </c>
      <c r="O51" s="67">
        <f t="shared" si="4"/>
        <v>0</v>
      </c>
      <c r="P51" s="4"/>
    </row>
    <row r="52" spans="2:16">
      <c r="B52" t="str">
        <f t="shared" si="0"/>
        <v/>
      </c>
      <c r="C52" s="62">
        <f>IF(D11="","-",+C51+1)</f>
        <v>2059</v>
      </c>
      <c r="D52" s="71">
        <f>IF(F51+SUM(E$17:E51)=D$10,F51,D$10-SUM(E$17:E51))</f>
        <v>0</v>
      </c>
      <c r="E52" s="69">
        <f t="shared" si="5"/>
        <v>0</v>
      </c>
      <c r="F52" s="68">
        <f t="shared" si="6"/>
        <v>0</v>
      </c>
      <c r="G52" s="70">
        <f t="shared" si="7"/>
        <v>0</v>
      </c>
      <c r="H52" s="52">
        <f t="shared" si="8"/>
        <v>0</v>
      </c>
      <c r="I52" s="65">
        <f t="shared" si="1"/>
        <v>0</v>
      </c>
      <c r="J52" s="65"/>
      <c r="K52" s="130"/>
      <c r="L52" s="67">
        <f t="shared" si="9"/>
        <v>0</v>
      </c>
      <c r="M52" s="130"/>
      <c r="N52" s="67">
        <f t="shared" si="3"/>
        <v>0</v>
      </c>
      <c r="O52" s="67">
        <f t="shared" si="4"/>
        <v>0</v>
      </c>
      <c r="P52" s="4"/>
    </row>
    <row r="53" spans="2:16">
      <c r="B53" t="str">
        <f t="shared" si="0"/>
        <v/>
      </c>
      <c r="C53" s="62">
        <f>IF(D11="","-",+C52+1)</f>
        <v>2060</v>
      </c>
      <c r="D53" s="71">
        <f>IF(F52+SUM(E$17:E52)=D$10,F52,D$10-SUM(E$17:E52))</f>
        <v>0</v>
      </c>
      <c r="E53" s="69">
        <f t="shared" si="5"/>
        <v>0</v>
      </c>
      <c r="F53" s="68">
        <f t="shared" si="6"/>
        <v>0</v>
      </c>
      <c r="G53" s="70">
        <f t="shared" si="7"/>
        <v>0</v>
      </c>
      <c r="H53" s="52">
        <f t="shared" si="8"/>
        <v>0</v>
      </c>
      <c r="I53" s="65">
        <f t="shared" si="1"/>
        <v>0</v>
      </c>
      <c r="J53" s="65"/>
      <c r="K53" s="130"/>
      <c r="L53" s="67">
        <f t="shared" si="9"/>
        <v>0</v>
      </c>
      <c r="M53" s="130"/>
      <c r="N53" s="67">
        <f t="shared" si="3"/>
        <v>0</v>
      </c>
      <c r="O53" s="67">
        <f t="shared" si="4"/>
        <v>0</v>
      </c>
      <c r="P53" s="4"/>
    </row>
    <row r="54" spans="2:16">
      <c r="B54" t="str">
        <f t="shared" si="0"/>
        <v/>
      </c>
      <c r="C54" s="62">
        <f>IF(D11="","-",+C53+1)</f>
        <v>2061</v>
      </c>
      <c r="D54" s="71">
        <f>IF(F53+SUM(E$17:E53)=D$10,F53,D$10-SUM(E$17:E53))</f>
        <v>0</v>
      </c>
      <c r="E54" s="69">
        <f t="shared" si="5"/>
        <v>0</v>
      </c>
      <c r="F54" s="68">
        <f t="shared" si="6"/>
        <v>0</v>
      </c>
      <c r="G54" s="70">
        <f t="shared" si="7"/>
        <v>0</v>
      </c>
      <c r="H54" s="52">
        <f t="shared" si="8"/>
        <v>0</v>
      </c>
      <c r="I54" s="65">
        <f t="shared" si="1"/>
        <v>0</v>
      </c>
      <c r="J54" s="65"/>
      <c r="K54" s="130"/>
      <c r="L54" s="67">
        <f t="shared" si="9"/>
        <v>0</v>
      </c>
      <c r="M54" s="130"/>
      <c r="N54" s="67">
        <f t="shared" si="3"/>
        <v>0</v>
      </c>
      <c r="O54" s="67">
        <f t="shared" si="4"/>
        <v>0</v>
      </c>
      <c r="P54" s="4"/>
    </row>
    <row r="55" spans="2:16">
      <c r="B55" t="str">
        <f t="shared" si="0"/>
        <v/>
      </c>
      <c r="C55" s="62">
        <f>IF(D11="","-",+C54+1)</f>
        <v>2062</v>
      </c>
      <c r="D55" s="71">
        <f>IF(F54+SUM(E$17:E54)=D$10,F54,D$10-SUM(E$17:E54))</f>
        <v>0</v>
      </c>
      <c r="E55" s="69">
        <f t="shared" si="5"/>
        <v>0</v>
      </c>
      <c r="F55" s="68">
        <f t="shared" si="6"/>
        <v>0</v>
      </c>
      <c r="G55" s="70">
        <f t="shared" si="7"/>
        <v>0</v>
      </c>
      <c r="H55" s="52">
        <f t="shared" si="8"/>
        <v>0</v>
      </c>
      <c r="I55" s="65">
        <f t="shared" si="1"/>
        <v>0</v>
      </c>
      <c r="J55" s="65"/>
      <c r="K55" s="130"/>
      <c r="L55" s="67">
        <f t="shared" si="9"/>
        <v>0</v>
      </c>
      <c r="M55" s="130"/>
      <c r="N55" s="67">
        <f t="shared" si="3"/>
        <v>0</v>
      </c>
      <c r="O55" s="67">
        <f t="shared" si="4"/>
        <v>0</v>
      </c>
      <c r="P55" s="4"/>
    </row>
    <row r="56" spans="2:16">
      <c r="B56" t="str">
        <f t="shared" si="0"/>
        <v/>
      </c>
      <c r="C56" s="62">
        <f>IF(D11="","-",+C55+1)</f>
        <v>2063</v>
      </c>
      <c r="D56" s="71">
        <f>IF(F55+SUM(E$17:E55)=D$10,F55,D$10-SUM(E$17:E55))</f>
        <v>0</v>
      </c>
      <c r="E56" s="69">
        <f t="shared" si="5"/>
        <v>0</v>
      </c>
      <c r="F56" s="68">
        <f t="shared" si="6"/>
        <v>0</v>
      </c>
      <c r="G56" s="70">
        <f t="shared" si="7"/>
        <v>0</v>
      </c>
      <c r="H56" s="52">
        <f t="shared" si="8"/>
        <v>0</v>
      </c>
      <c r="I56" s="65">
        <f t="shared" si="1"/>
        <v>0</v>
      </c>
      <c r="J56" s="65"/>
      <c r="K56" s="130"/>
      <c r="L56" s="67">
        <f t="shared" si="9"/>
        <v>0</v>
      </c>
      <c r="M56" s="130"/>
      <c r="N56" s="67">
        <f t="shared" si="3"/>
        <v>0</v>
      </c>
      <c r="O56" s="67">
        <f t="shared" si="4"/>
        <v>0</v>
      </c>
      <c r="P56" s="4"/>
    </row>
    <row r="57" spans="2:16">
      <c r="B57" t="str">
        <f t="shared" si="0"/>
        <v/>
      </c>
      <c r="C57" s="62">
        <f>IF(D11="","-",+C56+1)</f>
        <v>2064</v>
      </c>
      <c r="D57" s="71">
        <f>IF(F56+SUM(E$17:E56)=D$10,F56,D$10-SUM(E$17:E56))</f>
        <v>0</v>
      </c>
      <c r="E57" s="69">
        <f t="shared" si="5"/>
        <v>0</v>
      </c>
      <c r="F57" s="68">
        <f t="shared" si="6"/>
        <v>0</v>
      </c>
      <c r="G57" s="70">
        <f t="shared" si="7"/>
        <v>0</v>
      </c>
      <c r="H57" s="52">
        <f t="shared" si="8"/>
        <v>0</v>
      </c>
      <c r="I57" s="65">
        <f t="shared" si="1"/>
        <v>0</v>
      </c>
      <c r="J57" s="65"/>
      <c r="K57" s="130"/>
      <c r="L57" s="67">
        <f t="shared" si="9"/>
        <v>0</v>
      </c>
      <c r="M57" s="130"/>
      <c r="N57" s="67">
        <f t="shared" si="3"/>
        <v>0</v>
      </c>
      <c r="O57" s="67">
        <f t="shared" si="4"/>
        <v>0</v>
      </c>
      <c r="P57" s="4"/>
    </row>
    <row r="58" spans="2:16">
      <c r="B58" t="str">
        <f t="shared" si="0"/>
        <v/>
      </c>
      <c r="C58" s="62">
        <f>IF(D11="","-",+C57+1)</f>
        <v>2065</v>
      </c>
      <c r="D58" s="71">
        <f>IF(F57+SUM(E$17:E57)=D$10,F57,D$10-SUM(E$17:E57))</f>
        <v>0</v>
      </c>
      <c r="E58" s="69">
        <f t="shared" si="5"/>
        <v>0</v>
      </c>
      <c r="F58" s="68">
        <f t="shared" si="6"/>
        <v>0</v>
      </c>
      <c r="G58" s="70">
        <f t="shared" si="7"/>
        <v>0</v>
      </c>
      <c r="H58" s="52">
        <f t="shared" si="8"/>
        <v>0</v>
      </c>
      <c r="I58" s="65">
        <f t="shared" si="1"/>
        <v>0</v>
      </c>
      <c r="J58" s="65"/>
      <c r="K58" s="130"/>
      <c r="L58" s="67">
        <f t="shared" si="9"/>
        <v>0</v>
      </c>
      <c r="M58" s="130"/>
      <c r="N58" s="67">
        <f t="shared" si="3"/>
        <v>0</v>
      </c>
      <c r="O58" s="67">
        <f t="shared" si="4"/>
        <v>0</v>
      </c>
      <c r="P58" s="4"/>
    </row>
    <row r="59" spans="2:16">
      <c r="B59" t="str">
        <f t="shared" si="0"/>
        <v/>
      </c>
      <c r="C59" s="62">
        <f>IF(D11="","-",+C58+1)</f>
        <v>2066</v>
      </c>
      <c r="D59" s="71">
        <f>IF(F58+SUM(E$17:E58)=D$10,F58,D$10-SUM(E$17:E58))</f>
        <v>0</v>
      </c>
      <c r="E59" s="69">
        <f t="shared" si="5"/>
        <v>0</v>
      </c>
      <c r="F59" s="68">
        <f t="shared" si="6"/>
        <v>0</v>
      </c>
      <c r="G59" s="70">
        <f t="shared" si="7"/>
        <v>0</v>
      </c>
      <c r="H59" s="52">
        <f t="shared" si="8"/>
        <v>0</v>
      </c>
      <c r="I59" s="65">
        <f t="shared" si="1"/>
        <v>0</v>
      </c>
      <c r="J59" s="65"/>
      <c r="K59" s="130"/>
      <c r="L59" s="67">
        <f t="shared" si="9"/>
        <v>0</v>
      </c>
      <c r="M59" s="130"/>
      <c r="N59" s="67">
        <f t="shared" si="3"/>
        <v>0</v>
      </c>
      <c r="O59" s="67">
        <f t="shared" si="4"/>
        <v>0</v>
      </c>
      <c r="P59" s="4"/>
    </row>
    <row r="60" spans="2:16">
      <c r="B60" t="str">
        <f t="shared" si="0"/>
        <v/>
      </c>
      <c r="C60" s="62">
        <f>IF(D11="","-",+C59+1)</f>
        <v>2067</v>
      </c>
      <c r="D60" s="71">
        <f>IF(F59+SUM(E$17:E59)=D$10,F59,D$10-SUM(E$17:E59))</f>
        <v>0</v>
      </c>
      <c r="E60" s="69">
        <f t="shared" si="5"/>
        <v>0</v>
      </c>
      <c r="F60" s="68">
        <f t="shared" si="6"/>
        <v>0</v>
      </c>
      <c r="G60" s="70">
        <f t="shared" si="7"/>
        <v>0</v>
      </c>
      <c r="H60" s="52">
        <f t="shared" si="8"/>
        <v>0</v>
      </c>
      <c r="I60" s="65">
        <f t="shared" si="1"/>
        <v>0</v>
      </c>
      <c r="J60" s="65"/>
      <c r="K60" s="130"/>
      <c r="L60" s="67">
        <f t="shared" si="9"/>
        <v>0</v>
      </c>
      <c r="M60" s="130"/>
      <c r="N60" s="67">
        <f t="shared" si="3"/>
        <v>0</v>
      </c>
      <c r="O60" s="67">
        <f t="shared" si="4"/>
        <v>0</v>
      </c>
      <c r="P60" s="4"/>
    </row>
    <row r="61" spans="2:16">
      <c r="B61" t="str">
        <f t="shared" si="0"/>
        <v/>
      </c>
      <c r="C61" s="62">
        <f>IF(D11="","-",+C60+1)</f>
        <v>2068</v>
      </c>
      <c r="D61" s="71">
        <f>IF(F60+SUM(E$17:E60)=D$10,F60,D$10-SUM(E$17:E60))</f>
        <v>0</v>
      </c>
      <c r="E61" s="69">
        <f t="shared" si="5"/>
        <v>0</v>
      </c>
      <c r="F61" s="68">
        <f t="shared" si="6"/>
        <v>0</v>
      </c>
      <c r="G61" s="72">
        <f t="shared" si="7"/>
        <v>0</v>
      </c>
      <c r="H61" s="52">
        <f t="shared" si="8"/>
        <v>0</v>
      </c>
      <c r="I61" s="65">
        <f t="shared" si="1"/>
        <v>0</v>
      </c>
      <c r="J61" s="65"/>
      <c r="K61" s="130"/>
      <c r="L61" s="67">
        <f t="shared" si="9"/>
        <v>0</v>
      </c>
      <c r="M61" s="130"/>
      <c r="N61" s="67">
        <f t="shared" si="3"/>
        <v>0</v>
      </c>
      <c r="O61" s="67">
        <f t="shared" si="4"/>
        <v>0</v>
      </c>
      <c r="P61" s="4"/>
    </row>
    <row r="62" spans="2:16">
      <c r="B62" t="str">
        <f t="shared" si="0"/>
        <v/>
      </c>
      <c r="C62" s="62">
        <f>IF(D11="","-",+C61+1)</f>
        <v>2069</v>
      </c>
      <c r="D62" s="71">
        <f>IF(F61+SUM(E$17:E61)=D$10,F61,D$10-SUM(E$17:E61))</f>
        <v>0</v>
      </c>
      <c r="E62" s="69">
        <f t="shared" si="5"/>
        <v>0</v>
      </c>
      <c r="F62" s="68">
        <f t="shared" si="6"/>
        <v>0</v>
      </c>
      <c r="G62" s="72">
        <f t="shared" si="7"/>
        <v>0</v>
      </c>
      <c r="H62" s="52">
        <f t="shared" si="8"/>
        <v>0</v>
      </c>
      <c r="I62" s="65">
        <f t="shared" si="1"/>
        <v>0</v>
      </c>
      <c r="J62" s="65"/>
      <c r="K62" s="130"/>
      <c r="L62" s="67">
        <f t="shared" si="9"/>
        <v>0</v>
      </c>
      <c r="M62" s="130"/>
      <c r="N62" s="67">
        <f t="shared" si="3"/>
        <v>0</v>
      </c>
      <c r="O62" s="67">
        <f t="shared" si="4"/>
        <v>0</v>
      </c>
      <c r="P62" s="4"/>
    </row>
    <row r="63" spans="2:16">
      <c r="B63" t="str">
        <f t="shared" si="0"/>
        <v/>
      </c>
      <c r="C63" s="62">
        <f>IF(D11="","-",+C62+1)</f>
        <v>2070</v>
      </c>
      <c r="D63" s="71">
        <f>IF(F62+SUM(E$17:E62)=D$10,F62,D$10-SUM(E$17:E62))</f>
        <v>0</v>
      </c>
      <c r="E63" s="69">
        <f t="shared" si="5"/>
        <v>0</v>
      </c>
      <c r="F63" s="68">
        <f t="shared" si="6"/>
        <v>0</v>
      </c>
      <c r="G63" s="72">
        <f t="shared" si="7"/>
        <v>0</v>
      </c>
      <c r="H63" s="52">
        <f t="shared" si="8"/>
        <v>0</v>
      </c>
      <c r="I63" s="65">
        <f t="shared" si="1"/>
        <v>0</v>
      </c>
      <c r="J63" s="65"/>
      <c r="K63" s="130"/>
      <c r="L63" s="67">
        <f t="shared" si="9"/>
        <v>0</v>
      </c>
      <c r="M63" s="130"/>
      <c r="N63" s="67">
        <f t="shared" si="3"/>
        <v>0</v>
      </c>
      <c r="O63" s="67">
        <f t="shared" si="4"/>
        <v>0</v>
      </c>
      <c r="P63" s="4"/>
    </row>
    <row r="64" spans="2:16">
      <c r="B64" t="str">
        <f t="shared" si="0"/>
        <v/>
      </c>
      <c r="C64" s="62">
        <f>IF(D11="","-",+C63+1)</f>
        <v>2071</v>
      </c>
      <c r="D64" s="71">
        <f>IF(F63+SUM(E$17:E63)=D$10,F63,D$10-SUM(E$17:E63))</f>
        <v>0</v>
      </c>
      <c r="E64" s="69">
        <f t="shared" si="5"/>
        <v>0</v>
      </c>
      <c r="F64" s="68">
        <f t="shared" si="6"/>
        <v>0</v>
      </c>
      <c r="G64" s="72">
        <f t="shared" si="7"/>
        <v>0</v>
      </c>
      <c r="H64" s="52">
        <f t="shared" si="8"/>
        <v>0</v>
      </c>
      <c r="I64" s="65">
        <f t="shared" si="1"/>
        <v>0</v>
      </c>
      <c r="J64" s="65"/>
      <c r="K64" s="130"/>
      <c r="L64" s="67">
        <f t="shared" si="9"/>
        <v>0</v>
      </c>
      <c r="M64" s="130"/>
      <c r="N64" s="67">
        <f t="shared" si="3"/>
        <v>0</v>
      </c>
      <c r="O64" s="67">
        <f t="shared" si="4"/>
        <v>0</v>
      </c>
      <c r="P64" s="4"/>
    </row>
    <row r="65" spans="2:16">
      <c r="B65" t="str">
        <f t="shared" si="0"/>
        <v/>
      </c>
      <c r="C65" s="62">
        <f>IF(D11="","-",+C64+1)</f>
        <v>2072</v>
      </c>
      <c r="D65" s="71">
        <f>IF(F64+SUM(E$17:E64)=D$10,F64,D$10-SUM(E$17:E64))</f>
        <v>0</v>
      </c>
      <c r="E65" s="69">
        <f t="shared" si="5"/>
        <v>0</v>
      </c>
      <c r="F65" s="68">
        <f t="shared" si="6"/>
        <v>0</v>
      </c>
      <c r="G65" s="72">
        <f t="shared" si="7"/>
        <v>0</v>
      </c>
      <c r="H65" s="52">
        <f t="shared" si="8"/>
        <v>0</v>
      </c>
      <c r="I65" s="65">
        <f t="shared" si="1"/>
        <v>0</v>
      </c>
      <c r="J65" s="65"/>
      <c r="K65" s="130"/>
      <c r="L65" s="67">
        <f t="shared" si="9"/>
        <v>0</v>
      </c>
      <c r="M65" s="130"/>
      <c r="N65" s="67">
        <f t="shared" si="3"/>
        <v>0</v>
      </c>
      <c r="O65" s="67">
        <f t="shared" si="4"/>
        <v>0</v>
      </c>
      <c r="P65" s="4"/>
    </row>
    <row r="66" spans="2:16">
      <c r="B66" t="str">
        <f t="shared" si="0"/>
        <v/>
      </c>
      <c r="C66" s="62">
        <f>IF(D11="","-",+C65+1)</f>
        <v>2073</v>
      </c>
      <c r="D66" s="71">
        <f>IF(F65+SUM(E$17:E65)=D$10,F65,D$10-SUM(E$17:E65))</f>
        <v>0</v>
      </c>
      <c r="E66" s="69">
        <f t="shared" si="5"/>
        <v>0</v>
      </c>
      <c r="F66" s="68">
        <f t="shared" si="6"/>
        <v>0</v>
      </c>
      <c r="G66" s="72">
        <f t="shared" si="7"/>
        <v>0</v>
      </c>
      <c r="H66" s="52">
        <f t="shared" si="8"/>
        <v>0</v>
      </c>
      <c r="I66" s="65">
        <f t="shared" si="1"/>
        <v>0</v>
      </c>
      <c r="J66" s="65"/>
      <c r="K66" s="130"/>
      <c r="L66" s="67">
        <f t="shared" si="9"/>
        <v>0</v>
      </c>
      <c r="M66" s="130"/>
      <c r="N66" s="67">
        <f t="shared" si="3"/>
        <v>0</v>
      </c>
      <c r="O66" s="67">
        <f t="shared" si="4"/>
        <v>0</v>
      </c>
      <c r="P66" s="4"/>
    </row>
    <row r="67" spans="2:16">
      <c r="B67" t="str">
        <f t="shared" si="0"/>
        <v/>
      </c>
      <c r="C67" s="62">
        <f>IF(D11="","-",+C66+1)</f>
        <v>2074</v>
      </c>
      <c r="D67" s="71">
        <f>IF(F66+SUM(E$17:E66)=D$10,F66,D$10-SUM(E$17:E66))</f>
        <v>0</v>
      </c>
      <c r="E67" s="69">
        <f t="shared" si="5"/>
        <v>0</v>
      </c>
      <c r="F67" s="68">
        <f t="shared" si="6"/>
        <v>0</v>
      </c>
      <c r="G67" s="72">
        <f t="shared" si="7"/>
        <v>0</v>
      </c>
      <c r="H67" s="52">
        <f t="shared" si="8"/>
        <v>0</v>
      </c>
      <c r="I67" s="65">
        <f t="shared" si="1"/>
        <v>0</v>
      </c>
      <c r="J67" s="65"/>
      <c r="K67" s="130"/>
      <c r="L67" s="67">
        <f t="shared" si="9"/>
        <v>0</v>
      </c>
      <c r="M67" s="130"/>
      <c r="N67" s="67">
        <f t="shared" si="3"/>
        <v>0</v>
      </c>
      <c r="O67" s="67">
        <f t="shared" si="4"/>
        <v>0</v>
      </c>
      <c r="P67" s="4"/>
    </row>
    <row r="68" spans="2:16">
      <c r="B68" t="str">
        <f t="shared" si="0"/>
        <v/>
      </c>
      <c r="C68" s="62">
        <f>IF(D11="","-",+C67+1)</f>
        <v>2075</v>
      </c>
      <c r="D68" s="71">
        <f>IF(F67+SUM(E$17:E67)=D$10,F67,D$10-SUM(E$17:E67))</f>
        <v>0</v>
      </c>
      <c r="E68" s="69">
        <f t="shared" si="5"/>
        <v>0</v>
      </c>
      <c r="F68" s="68">
        <f t="shared" si="6"/>
        <v>0</v>
      </c>
      <c r="G68" s="72">
        <f t="shared" si="7"/>
        <v>0</v>
      </c>
      <c r="H68" s="52">
        <f t="shared" si="8"/>
        <v>0</v>
      </c>
      <c r="I68" s="65">
        <f t="shared" si="1"/>
        <v>0</v>
      </c>
      <c r="J68" s="65"/>
      <c r="K68" s="130"/>
      <c r="L68" s="67">
        <f t="shared" si="9"/>
        <v>0</v>
      </c>
      <c r="M68" s="130"/>
      <c r="N68" s="67">
        <f t="shared" si="3"/>
        <v>0</v>
      </c>
      <c r="O68" s="67">
        <f t="shared" si="4"/>
        <v>0</v>
      </c>
      <c r="P68" s="4"/>
    </row>
    <row r="69" spans="2:16">
      <c r="B69" t="str">
        <f t="shared" si="0"/>
        <v/>
      </c>
      <c r="C69" s="62">
        <f>IF(D11="","-",+C68+1)</f>
        <v>2076</v>
      </c>
      <c r="D69" s="71">
        <f>IF(F68+SUM(E$17:E68)=D$10,F68,D$10-SUM(E$17:E68))</f>
        <v>0</v>
      </c>
      <c r="E69" s="69">
        <f t="shared" si="5"/>
        <v>0</v>
      </c>
      <c r="F69" s="68">
        <f t="shared" si="6"/>
        <v>0</v>
      </c>
      <c r="G69" s="72">
        <f t="shared" si="7"/>
        <v>0</v>
      </c>
      <c r="H69" s="52">
        <f t="shared" si="8"/>
        <v>0</v>
      </c>
      <c r="I69" s="65">
        <f t="shared" si="1"/>
        <v>0</v>
      </c>
      <c r="J69" s="65"/>
      <c r="K69" s="130"/>
      <c r="L69" s="67">
        <f t="shared" si="9"/>
        <v>0</v>
      </c>
      <c r="M69" s="130"/>
      <c r="N69" s="67">
        <f t="shared" si="3"/>
        <v>0</v>
      </c>
      <c r="O69" s="67">
        <f t="shared" si="4"/>
        <v>0</v>
      </c>
      <c r="P69" s="4"/>
    </row>
    <row r="70" spans="2:16">
      <c r="B70" t="str">
        <f t="shared" si="0"/>
        <v/>
      </c>
      <c r="C70" s="62">
        <f>IF(D11="","-",+C69+1)</f>
        <v>2077</v>
      </c>
      <c r="D70" s="71">
        <f>IF(F69+SUM(E$17:E69)=D$10,F69,D$10-SUM(E$17:E69))</f>
        <v>0</v>
      </c>
      <c r="E70" s="69">
        <f t="shared" si="5"/>
        <v>0</v>
      </c>
      <c r="F70" s="68">
        <f t="shared" si="6"/>
        <v>0</v>
      </c>
      <c r="G70" s="72">
        <f t="shared" si="7"/>
        <v>0</v>
      </c>
      <c r="H70" s="52">
        <f t="shared" si="8"/>
        <v>0</v>
      </c>
      <c r="I70" s="65">
        <f t="shared" si="1"/>
        <v>0</v>
      </c>
      <c r="J70" s="65"/>
      <c r="K70" s="130"/>
      <c r="L70" s="67">
        <f t="shared" si="9"/>
        <v>0</v>
      </c>
      <c r="M70" s="130"/>
      <c r="N70" s="67">
        <f t="shared" si="3"/>
        <v>0</v>
      </c>
      <c r="O70" s="67">
        <f t="shared" si="4"/>
        <v>0</v>
      </c>
      <c r="P70" s="4"/>
    </row>
    <row r="71" spans="2:16">
      <c r="B71" t="str">
        <f t="shared" si="0"/>
        <v/>
      </c>
      <c r="C71" s="62">
        <f>IF(D11="","-",+C70+1)</f>
        <v>2078</v>
      </c>
      <c r="D71" s="71">
        <f>IF(F70+SUM(E$17:E70)=D$10,F70,D$10-SUM(E$17:E70))</f>
        <v>0</v>
      </c>
      <c r="E71" s="69">
        <f t="shared" si="5"/>
        <v>0</v>
      </c>
      <c r="F71" s="68">
        <f t="shared" si="6"/>
        <v>0</v>
      </c>
      <c r="G71" s="72">
        <f t="shared" si="7"/>
        <v>0</v>
      </c>
      <c r="H71" s="52">
        <f t="shared" si="8"/>
        <v>0</v>
      </c>
      <c r="I71" s="65">
        <f t="shared" si="1"/>
        <v>0</v>
      </c>
      <c r="J71" s="65"/>
      <c r="K71" s="130"/>
      <c r="L71" s="67">
        <f t="shared" si="9"/>
        <v>0</v>
      </c>
      <c r="M71" s="130"/>
      <c r="N71" s="67">
        <f t="shared" si="3"/>
        <v>0</v>
      </c>
      <c r="O71" s="67">
        <f t="shared" si="4"/>
        <v>0</v>
      </c>
      <c r="P71" s="4"/>
    </row>
    <row r="72" spans="2:16">
      <c r="C72" s="62">
        <f>IF(D12="","-",+C71+1)</f>
        <v>2079</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2080</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10685005</v>
      </c>
      <c r="F74" s="19"/>
      <c r="G74" s="19">
        <f>SUM(G17:G73)</f>
        <v>29452639.410851605</v>
      </c>
      <c r="H74" s="19">
        <f>SUM(H17:H73)</f>
        <v>29452639.410851605</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23 of 24</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2021</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Chisholm Substation 345 kV Terminal Upgrades</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TP2020266</v>
      </c>
      <c r="E92" s="91"/>
      <c r="F92" s="91"/>
      <c r="G92" s="91"/>
      <c r="H92" s="91"/>
      <c r="I92" s="91"/>
      <c r="J92" s="91"/>
      <c r="K92" s="92"/>
      <c r="P92" s="41"/>
    </row>
    <row r="93" spans="1:16">
      <c r="C93" s="46" t="s">
        <v>49</v>
      </c>
      <c r="D93" s="653">
        <v>0</v>
      </c>
      <c r="E93" s="9" t="s">
        <v>84</v>
      </c>
      <c r="H93" s="44"/>
      <c r="I93" s="44"/>
      <c r="J93" s="45">
        <f>+'OKT.WS.G.BPU.ATRR.True-up'!M16</f>
        <v>2021</v>
      </c>
      <c r="K93" s="40"/>
      <c r="L93" s="19" t="s">
        <v>85</v>
      </c>
      <c r="P93" s="4"/>
    </row>
    <row r="94" spans="1:16">
      <c r="C94" s="46" t="s">
        <v>52</v>
      </c>
      <c r="D94" s="102">
        <f>IF(D11="","",D11)</f>
        <v>2024</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5</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2024</v>
      </c>
      <c r="D100" s="63">
        <f>IF(D94=C100,0,IF(D93&lt;100000,0,D93))</f>
        <v>0</v>
      </c>
      <c r="E100" s="70">
        <f>IF(D93&lt;100000,0,J$97/12*(12-D95))</f>
        <v>0</v>
      </c>
      <c r="F100" s="68">
        <f>IF(D94=C100,+D93-E100,+D100-E100)</f>
        <v>0</v>
      </c>
      <c r="G100" s="98">
        <f>+(F100+D100)/2</f>
        <v>0</v>
      </c>
      <c r="H100" s="98">
        <f t="shared" ref="H100:H107" si="11">+J$95*G100+E100</f>
        <v>0</v>
      </c>
      <c r="I100" s="98">
        <f>+J$96*G100+E100</f>
        <v>0</v>
      </c>
      <c r="J100" s="67">
        <f t="shared" ref="J100:J131" si="12">+I100-H100</f>
        <v>0</v>
      </c>
      <c r="K100" s="67"/>
      <c r="L100" s="506">
        <f>+H100</f>
        <v>0</v>
      </c>
      <c r="M100" s="652">
        <f t="shared" ref="M100:M131" si="13">IF(L100&lt;&gt;0,+H100-L100,0)</f>
        <v>0</v>
      </c>
      <c r="N100" s="506">
        <f>+I100</f>
        <v>0</v>
      </c>
      <c r="O100" s="66">
        <f t="shared" ref="O100:O131" si="14">IF(N100&lt;&gt;0,+I100-N100,0)</f>
        <v>0</v>
      </c>
      <c r="P100" s="66">
        <f t="shared" ref="P100:P131" si="15">+O100-M100</f>
        <v>0</v>
      </c>
    </row>
    <row r="101" spans="1:16">
      <c r="B101" t="str">
        <f t="shared" si="10"/>
        <v/>
      </c>
      <c r="C101" s="62">
        <f>IF(D94="","-",+C100+1)</f>
        <v>2025</v>
      </c>
      <c r="D101" s="647">
        <f>IF(F100+SUM(E$100:E100)=D$93,F100,D$93-SUM(E$100:E100))</f>
        <v>0</v>
      </c>
      <c r="E101" s="509">
        <f t="shared" ref="E101:E155" si="16">IF(+J$97&lt;F100,J$97,D101)</f>
        <v>0</v>
      </c>
      <c r="F101" s="648">
        <f t="shared" ref="F101:F155" si="17">+D101-E101</f>
        <v>0</v>
      </c>
      <c r="G101" s="648">
        <f t="shared" ref="G101:G155" si="18">+(F101+D101)/2</f>
        <v>0</v>
      </c>
      <c r="H101" s="649">
        <f t="shared" ref="H101:H102" si="19">(D101+F101)/2*J$95+E101</f>
        <v>0</v>
      </c>
      <c r="I101" s="628">
        <f t="shared" ref="I101:I155" si="20">+J$96*G101+E101</f>
        <v>0</v>
      </c>
      <c r="J101" s="67">
        <f t="shared" si="12"/>
        <v>0</v>
      </c>
      <c r="K101" s="67"/>
      <c r="L101" s="130"/>
      <c r="M101" s="67">
        <f t="shared" si="13"/>
        <v>0</v>
      </c>
      <c r="N101" s="130"/>
      <c r="O101" s="67">
        <f t="shared" si="14"/>
        <v>0</v>
      </c>
      <c r="P101" s="67">
        <f t="shared" si="15"/>
        <v>0</v>
      </c>
    </row>
    <row r="102" spans="1:16">
      <c r="B102" t="str">
        <f t="shared" si="10"/>
        <v/>
      </c>
      <c r="C102" s="62">
        <f>IF(D94="","-",+C101+1)</f>
        <v>2026</v>
      </c>
      <c r="D102" s="647">
        <f>IF(F101+SUM(E$100:E101)=D$93,F101,D$93-SUM(E$100:E101))</f>
        <v>0</v>
      </c>
      <c r="E102" s="509">
        <f t="shared" si="16"/>
        <v>0</v>
      </c>
      <c r="F102" s="648">
        <f t="shared" si="17"/>
        <v>0</v>
      </c>
      <c r="G102" s="648">
        <f t="shared" si="18"/>
        <v>0</v>
      </c>
      <c r="H102" s="649">
        <f t="shared" si="19"/>
        <v>0</v>
      </c>
      <c r="I102" s="628">
        <f t="shared" si="20"/>
        <v>0</v>
      </c>
      <c r="J102" s="67">
        <f t="shared" si="12"/>
        <v>0</v>
      </c>
      <c r="K102" s="67"/>
      <c r="L102" s="130"/>
      <c r="M102" s="67">
        <f t="shared" si="13"/>
        <v>0</v>
      </c>
      <c r="N102" s="130"/>
      <c r="O102" s="67">
        <f t="shared" si="14"/>
        <v>0</v>
      </c>
      <c r="P102" s="67">
        <f t="shared" si="15"/>
        <v>0</v>
      </c>
    </row>
    <row r="103" spans="1:16">
      <c r="B103" t="str">
        <f t="shared" si="10"/>
        <v/>
      </c>
      <c r="C103" s="62">
        <f>IF(D94="","-",+C102+1)</f>
        <v>2027</v>
      </c>
      <c r="D103" s="63">
        <f>IF(F102+SUM(E$100:E102)=D$93,F102,D$93-SUM(E$100:E102))</f>
        <v>0</v>
      </c>
      <c r="E103" s="69">
        <f t="shared" si="16"/>
        <v>0</v>
      </c>
      <c r="F103" s="68">
        <f t="shared" si="17"/>
        <v>0</v>
      </c>
      <c r="G103" s="68">
        <f t="shared" si="18"/>
        <v>0</v>
      </c>
      <c r="H103" s="128">
        <f t="shared" si="11"/>
        <v>0</v>
      </c>
      <c r="I103" s="137">
        <f t="shared" si="20"/>
        <v>0</v>
      </c>
      <c r="J103" s="67">
        <f t="shared" si="12"/>
        <v>0</v>
      </c>
      <c r="K103" s="67"/>
      <c r="L103" s="130"/>
      <c r="M103" s="67">
        <f t="shared" si="13"/>
        <v>0</v>
      </c>
      <c r="N103" s="130"/>
      <c r="O103" s="67">
        <f t="shared" si="14"/>
        <v>0</v>
      </c>
      <c r="P103" s="67">
        <f t="shared" si="15"/>
        <v>0</v>
      </c>
    </row>
    <row r="104" spans="1:16">
      <c r="B104" t="str">
        <f t="shared" si="10"/>
        <v/>
      </c>
      <c r="C104" s="62">
        <f>IF(D94="","-",+C103+1)</f>
        <v>2028</v>
      </c>
      <c r="D104" s="63">
        <f>IF(F103+SUM(E$100:E103)=D$93,F103,D$93-SUM(E$100:E103))</f>
        <v>0</v>
      </c>
      <c r="E104" s="69">
        <f t="shared" si="16"/>
        <v>0</v>
      </c>
      <c r="F104" s="68">
        <f t="shared" si="17"/>
        <v>0</v>
      </c>
      <c r="G104" s="68">
        <f t="shared" si="18"/>
        <v>0</v>
      </c>
      <c r="H104" s="128">
        <f t="shared" si="11"/>
        <v>0</v>
      </c>
      <c r="I104" s="137">
        <f t="shared" si="20"/>
        <v>0</v>
      </c>
      <c r="J104" s="67">
        <f t="shared" si="12"/>
        <v>0</v>
      </c>
      <c r="K104" s="67"/>
      <c r="L104" s="130"/>
      <c r="M104" s="67">
        <f t="shared" si="13"/>
        <v>0</v>
      </c>
      <c r="N104" s="130"/>
      <c r="O104" s="67">
        <f t="shared" si="14"/>
        <v>0</v>
      </c>
      <c r="P104" s="67">
        <f t="shared" si="15"/>
        <v>0</v>
      </c>
    </row>
    <row r="105" spans="1:16">
      <c r="B105" t="str">
        <f t="shared" si="10"/>
        <v/>
      </c>
      <c r="C105" s="62">
        <f>IF(D94="","-",+C104+1)</f>
        <v>2029</v>
      </c>
      <c r="D105" s="63">
        <f>IF(F104+SUM(E$100:E104)=D$93,F104,D$93-SUM(E$100:E104))</f>
        <v>0</v>
      </c>
      <c r="E105" s="69">
        <f t="shared" si="16"/>
        <v>0</v>
      </c>
      <c r="F105" s="68">
        <f t="shared" si="17"/>
        <v>0</v>
      </c>
      <c r="G105" s="68">
        <f t="shared" si="18"/>
        <v>0</v>
      </c>
      <c r="H105" s="128">
        <f t="shared" si="11"/>
        <v>0</v>
      </c>
      <c r="I105" s="137">
        <f t="shared" si="20"/>
        <v>0</v>
      </c>
      <c r="J105" s="67">
        <f t="shared" si="12"/>
        <v>0</v>
      </c>
      <c r="K105" s="67"/>
      <c r="L105" s="130"/>
      <c r="M105" s="67">
        <f t="shared" si="13"/>
        <v>0</v>
      </c>
      <c r="N105" s="130"/>
      <c r="O105" s="67">
        <f t="shared" si="14"/>
        <v>0</v>
      </c>
      <c r="P105" s="67">
        <f t="shared" si="15"/>
        <v>0</v>
      </c>
    </row>
    <row r="106" spans="1:16">
      <c r="B106" t="str">
        <f t="shared" si="10"/>
        <v/>
      </c>
      <c r="C106" s="62">
        <f>IF(D94="","-",+C105+1)</f>
        <v>2030</v>
      </c>
      <c r="D106" s="63">
        <f>IF(F105+SUM(E$100:E105)=D$93,F105,D$93-SUM(E$100:E105))</f>
        <v>0</v>
      </c>
      <c r="E106" s="69">
        <f t="shared" si="16"/>
        <v>0</v>
      </c>
      <c r="F106" s="68">
        <f t="shared" si="17"/>
        <v>0</v>
      </c>
      <c r="G106" s="68">
        <f t="shared" si="18"/>
        <v>0</v>
      </c>
      <c r="H106" s="128">
        <f t="shared" si="11"/>
        <v>0</v>
      </c>
      <c r="I106" s="137">
        <f t="shared" si="20"/>
        <v>0</v>
      </c>
      <c r="J106" s="67">
        <f t="shared" si="12"/>
        <v>0</v>
      </c>
      <c r="K106" s="67"/>
      <c r="L106" s="130"/>
      <c r="M106" s="67">
        <f t="shared" si="13"/>
        <v>0</v>
      </c>
      <c r="N106" s="130"/>
      <c r="O106" s="67">
        <f t="shared" si="14"/>
        <v>0</v>
      </c>
      <c r="P106" s="67">
        <f t="shared" si="15"/>
        <v>0</v>
      </c>
    </row>
    <row r="107" spans="1:16">
      <c r="B107" t="str">
        <f t="shared" si="10"/>
        <v/>
      </c>
      <c r="C107" s="62">
        <f>IF(D94="","-",+C106+1)</f>
        <v>2031</v>
      </c>
      <c r="D107" s="63">
        <f>IF(F106+SUM(E$100:E106)=D$93,F106,D$93-SUM(E$100:E106))</f>
        <v>0</v>
      </c>
      <c r="E107" s="69">
        <f t="shared" si="16"/>
        <v>0</v>
      </c>
      <c r="F107" s="68">
        <f t="shared" si="17"/>
        <v>0</v>
      </c>
      <c r="G107" s="68">
        <f t="shared" si="18"/>
        <v>0</v>
      </c>
      <c r="H107" s="128">
        <f t="shared" si="11"/>
        <v>0</v>
      </c>
      <c r="I107" s="137">
        <f t="shared" si="20"/>
        <v>0</v>
      </c>
      <c r="J107" s="67">
        <f t="shared" si="12"/>
        <v>0</v>
      </c>
      <c r="K107" s="67"/>
      <c r="L107" s="130"/>
      <c r="M107" s="67">
        <f t="shared" si="13"/>
        <v>0</v>
      </c>
      <c r="N107" s="130"/>
      <c r="O107" s="67">
        <f t="shared" si="14"/>
        <v>0</v>
      </c>
      <c r="P107" s="67">
        <f t="shared" si="15"/>
        <v>0</v>
      </c>
    </row>
    <row r="108" spans="1:16">
      <c r="B108" t="str">
        <f t="shared" si="10"/>
        <v/>
      </c>
      <c r="C108" s="62">
        <f>IF(D94="","-",+C107+1)</f>
        <v>2032</v>
      </c>
      <c r="D108" s="647">
        <f>IF(F107+SUM(E$100:E107)=D$93,F107,D$93-SUM(E$100:E107))</f>
        <v>0</v>
      </c>
      <c r="E108" s="509">
        <f t="shared" si="16"/>
        <v>0</v>
      </c>
      <c r="F108" s="648">
        <f t="shared" si="17"/>
        <v>0</v>
      </c>
      <c r="G108" s="648">
        <f t="shared" si="18"/>
        <v>0</v>
      </c>
      <c r="H108" s="649">
        <f t="shared" ref="H108:H155" si="21">(D108+F108)/2*J$95+E108</f>
        <v>0</v>
      </c>
      <c r="I108" s="628">
        <f t="shared" si="20"/>
        <v>0</v>
      </c>
      <c r="J108" s="67">
        <f t="shared" si="12"/>
        <v>0</v>
      </c>
      <c r="K108" s="67"/>
      <c r="L108" s="130"/>
      <c r="M108" s="67">
        <f t="shared" si="13"/>
        <v>0</v>
      </c>
      <c r="N108" s="130"/>
      <c r="O108" s="67">
        <f t="shared" si="14"/>
        <v>0</v>
      </c>
      <c r="P108" s="67">
        <f t="shared" si="15"/>
        <v>0</v>
      </c>
    </row>
    <row r="109" spans="1:16">
      <c r="B109" t="str">
        <f t="shared" si="10"/>
        <v/>
      </c>
      <c r="C109" s="62">
        <f>IF(D94="","-",+C108+1)</f>
        <v>2033</v>
      </c>
      <c r="D109" s="647">
        <f>IF(F108+SUM(E$100:E108)=D$93,F108,D$93-SUM(E$100:E108))</f>
        <v>0</v>
      </c>
      <c r="E109" s="509">
        <f t="shared" si="16"/>
        <v>0</v>
      </c>
      <c r="F109" s="648">
        <f t="shared" si="17"/>
        <v>0</v>
      </c>
      <c r="G109" s="648">
        <f t="shared" si="18"/>
        <v>0</v>
      </c>
      <c r="H109" s="649">
        <f t="shared" si="21"/>
        <v>0</v>
      </c>
      <c r="I109" s="628">
        <f t="shared" si="20"/>
        <v>0</v>
      </c>
      <c r="J109" s="67">
        <f t="shared" si="12"/>
        <v>0</v>
      </c>
      <c r="K109" s="67"/>
      <c r="L109" s="130"/>
      <c r="M109" s="67">
        <f t="shared" si="13"/>
        <v>0</v>
      </c>
      <c r="N109" s="130"/>
      <c r="O109" s="67">
        <f t="shared" si="14"/>
        <v>0</v>
      </c>
      <c r="P109" s="67">
        <f t="shared" si="15"/>
        <v>0</v>
      </c>
    </row>
    <row r="110" spans="1:16">
      <c r="B110" t="str">
        <f t="shared" si="10"/>
        <v/>
      </c>
      <c r="C110" s="62">
        <f>IF(D94="","-",+C109+1)</f>
        <v>2034</v>
      </c>
      <c r="D110" s="647">
        <f>IF(F109+SUM(E$100:E109)=D$93,F109,D$93-SUM(E$100:E109))</f>
        <v>0</v>
      </c>
      <c r="E110" s="509">
        <f t="shared" si="16"/>
        <v>0</v>
      </c>
      <c r="F110" s="648">
        <f t="shared" si="17"/>
        <v>0</v>
      </c>
      <c r="G110" s="648">
        <f t="shared" si="18"/>
        <v>0</v>
      </c>
      <c r="H110" s="649">
        <f t="shared" si="21"/>
        <v>0</v>
      </c>
      <c r="I110" s="628">
        <f t="shared" si="20"/>
        <v>0</v>
      </c>
      <c r="J110" s="67">
        <f t="shared" si="12"/>
        <v>0</v>
      </c>
      <c r="K110" s="67"/>
      <c r="L110" s="130"/>
      <c r="M110" s="67">
        <f t="shared" si="13"/>
        <v>0</v>
      </c>
      <c r="N110" s="130"/>
      <c r="O110" s="67">
        <f t="shared" si="14"/>
        <v>0</v>
      </c>
      <c r="P110" s="67">
        <f t="shared" si="15"/>
        <v>0</v>
      </c>
    </row>
    <row r="111" spans="1:16">
      <c r="B111" t="str">
        <f t="shared" si="10"/>
        <v/>
      </c>
      <c r="C111" s="62">
        <f>IF(D94="","-",+C110+1)</f>
        <v>2035</v>
      </c>
      <c r="D111" s="647">
        <f>IF(F110+SUM(E$100:E110)=D$93,F110,D$93-SUM(E$100:E110))</f>
        <v>0</v>
      </c>
      <c r="E111" s="509">
        <f t="shared" si="16"/>
        <v>0</v>
      </c>
      <c r="F111" s="648">
        <f t="shared" si="17"/>
        <v>0</v>
      </c>
      <c r="G111" s="648">
        <f t="shared" si="18"/>
        <v>0</v>
      </c>
      <c r="H111" s="649">
        <f t="shared" si="21"/>
        <v>0</v>
      </c>
      <c r="I111" s="628">
        <f t="shared" si="20"/>
        <v>0</v>
      </c>
      <c r="J111" s="67">
        <f t="shared" si="12"/>
        <v>0</v>
      </c>
      <c r="K111" s="67"/>
      <c r="L111" s="130"/>
      <c r="M111" s="67">
        <f t="shared" si="13"/>
        <v>0</v>
      </c>
      <c r="N111" s="130"/>
      <c r="O111" s="67">
        <f t="shared" si="14"/>
        <v>0</v>
      </c>
      <c r="P111" s="67">
        <f t="shared" si="15"/>
        <v>0</v>
      </c>
    </row>
    <row r="112" spans="1:16">
      <c r="B112" t="str">
        <f t="shared" si="10"/>
        <v/>
      </c>
      <c r="C112" s="62">
        <f>IF(D94="","-",+C111+1)</f>
        <v>2036</v>
      </c>
      <c r="D112" s="647">
        <f>IF(F111+SUM(E$100:E111)=D$93,F111,D$93-SUM(E$100:E111))</f>
        <v>0</v>
      </c>
      <c r="E112" s="509">
        <f t="shared" si="16"/>
        <v>0</v>
      </c>
      <c r="F112" s="648">
        <f t="shared" si="17"/>
        <v>0</v>
      </c>
      <c r="G112" s="648">
        <f t="shared" si="18"/>
        <v>0</v>
      </c>
      <c r="H112" s="649">
        <f t="shared" si="21"/>
        <v>0</v>
      </c>
      <c r="I112" s="628">
        <f t="shared" si="20"/>
        <v>0</v>
      </c>
      <c r="J112" s="67">
        <f t="shared" si="12"/>
        <v>0</v>
      </c>
      <c r="K112" s="67"/>
      <c r="L112" s="130"/>
      <c r="M112" s="67">
        <f t="shared" si="13"/>
        <v>0</v>
      </c>
      <c r="N112" s="130"/>
      <c r="O112" s="67">
        <f t="shared" si="14"/>
        <v>0</v>
      </c>
      <c r="P112" s="67">
        <f t="shared" si="15"/>
        <v>0</v>
      </c>
    </row>
    <row r="113" spans="2:16">
      <c r="B113" t="str">
        <f t="shared" si="10"/>
        <v/>
      </c>
      <c r="C113" s="62">
        <f>IF(D94="","-",+C112+1)</f>
        <v>2037</v>
      </c>
      <c r="D113" s="647">
        <f>IF(F112+SUM(E$100:E112)=D$93,F112,D$93-SUM(E$100:E112))</f>
        <v>0</v>
      </c>
      <c r="E113" s="509">
        <f t="shared" si="16"/>
        <v>0</v>
      </c>
      <c r="F113" s="648">
        <f t="shared" si="17"/>
        <v>0</v>
      </c>
      <c r="G113" s="648">
        <f t="shared" si="18"/>
        <v>0</v>
      </c>
      <c r="H113" s="649">
        <f t="shared" si="21"/>
        <v>0</v>
      </c>
      <c r="I113" s="628">
        <f t="shared" si="20"/>
        <v>0</v>
      </c>
      <c r="J113" s="67">
        <f t="shared" si="12"/>
        <v>0</v>
      </c>
      <c r="K113" s="67"/>
      <c r="L113" s="130"/>
      <c r="M113" s="67">
        <f t="shared" si="13"/>
        <v>0</v>
      </c>
      <c r="N113" s="130"/>
      <c r="O113" s="67">
        <f t="shared" si="14"/>
        <v>0</v>
      </c>
      <c r="P113" s="67">
        <f t="shared" si="15"/>
        <v>0</v>
      </c>
    </row>
    <row r="114" spans="2:16">
      <c r="B114" t="str">
        <f t="shared" si="10"/>
        <v/>
      </c>
      <c r="C114" s="62">
        <f>IF(D94="","-",+C113+1)</f>
        <v>2038</v>
      </c>
      <c r="D114" s="647">
        <f>IF(F113+SUM(E$100:E113)=D$93,F113,D$93-SUM(E$100:E113))</f>
        <v>0</v>
      </c>
      <c r="E114" s="509">
        <f t="shared" si="16"/>
        <v>0</v>
      </c>
      <c r="F114" s="648">
        <f t="shared" si="17"/>
        <v>0</v>
      </c>
      <c r="G114" s="648">
        <f t="shared" si="18"/>
        <v>0</v>
      </c>
      <c r="H114" s="649">
        <f t="shared" si="21"/>
        <v>0</v>
      </c>
      <c r="I114" s="628">
        <f t="shared" si="20"/>
        <v>0</v>
      </c>
      <c r="J114" s="67">
        <f t="shared" si="12"/>
        <v>0</v>
      </c>
      <c r="K114" s="67"/>
      <c r="L114" s="130"/>
      <c r="M114" s="67">
        <f t="shared" si="13"/>
        <v>0</v>
      </c>
      <c r="N114" s="130"/>
      <c r="O114" s="67">
        <f t="shared" si="14"/>
        <v>0</v>
      </c>
      <c r="P114" s="67">
        <f t="shared" si="15"/>
        <v>0</v>
      </c>
    </row>
    <row r="115" spans="2:16">
      <c r="B115" t="str">
        <f t="shared" si="10"/>
        <v/>
      </c>
      <c r="C115" s="62">
        <f>IF(D94="","-",+C114+1)</f>
        <v>2039</v>
      </c>
      <c r="D115" s="647">
        <f>IF(F114+SUM(E$100:E114)=D$93,F114,D$93-SUM(E$100:E114))</f>
        <v>0</v>
      </c>
      <c r="E115" s="509">
        <f t="shared" si="16"/>
        <v>0</v>
      </c>
      <c r="F115" s="648">
        <f t="shared" si="17"/>
        <v>0</v>
      </c>
      <c r="G115" s="648">
        <f t="shared" si="18"/>
        <v>0</v>
      </c>
      <c r="H115" s="649">
        <f t="shared" si="21"/>
        <v>0</v>
      </c>
      <c r="I115" s="628">
        <f t="shared" si="20"/>
        <v>0</v>
      </c>
      <c r="J115" s="67">
        <f t="shared" si="12"/>
        <v>0</v>
      </c>
      <c r="K115" s="67"/>
      <c r="L115" s="130"/>
      <c r="M115" s="67">
        <f t="shared" si="13"/>
        <v>0</v>
      </c>
      <c r="N115" s="130"/>
      <c r="O115" s="67">
        <f t="shared" si="14"/>
        <v>0</v>
      </c>
      <c r="P115" s="67">
        <f t="shared" si="15"/>
        <v>0</v>
      </c>
    </row>
    <row r="116" spans="2:16">
      <c r="B116" t="str">
        <f t="shared" si="10"/>
        <v/>
      </c>
      <c r="C116" s="62">
        <f>IF(D94="","-",+C115+1)</f>
        <v>2040</v>
      </c>
      <c r="D116" s="647">
        <f>IF(F115+SUM(E$100:E115)=D$93,F115,D$93-SUM(E$100:E115))</f>
        <v>0</v>
      </c>
      <c r="E116" s="509">
        <f t="shared" si="16"/>
        <v>0</v>
      </c>
      <c r="F116" s="648">
        <f t="shared" si="17"/>
        <v>0</v>
      </c>
      <c r="G116" s="648">
        <f t="shared" si="18"/>
        <v>0</v>
      </c>
      <c r="H116" s="649">
        <f t="shared" si="21"/>
        <v>0</v>
      </c>
      <c r="I116" s="628">
        <f t="shared" si="20"/>
        <v>0</v>
      </c>
      <c r="J116" s="67">
        <f t="shared" si="12"/>
        <v>0</v>
      </c>
      <c r="K116" s="67"/>
      <c r="L116" s="130"/>
      <c r="M116" s="67">
        <f t="shared" si="13"/>
        <v>0</v>
      </c>
      <c r="N116" s="130"/>
      <c r="O116" s="67">
        <f t="shared" si="14"/>
        <v>0</v>
      </c>
      <c r="P116" s="67">
        <f t="shared" si="15"/>
        <v>0</v>
      </c>
    </row>
    <row r="117" spans="2:16">
      <c r="B117" t="str">
        <f t="shared" si="10"/>
        <v/>
      </c>
      <c r="C117" s="62">
        <f>IF(D94="","-",+C116+1)</f>
        <v>2041</v>
      </c>
      <c r="D117" s="647">
        <f>IF(F116+SUM(E$100:E116)=D$93,F116,D$93-SUM(E$100:E116))</f>
        <v>0</v>
      </c>
      <c r="E117" s="509">
        <f t="shared" si="16"/>
        <v>0</v>
      </c>
      <c r="F117" s="648">
        <f t="shared" si="17"/>
        <v>0</v>
      </c>
      <c r="G117" s="648">
        <f t="shared" si="18"/>
        <v>0</v>
      </c>
      <c r="H117" s="649">
        <f t="shared" si="21"/>
        <v>0</v>
      </c>
      <c r="I117" s="628">
        <f t="shared" si="20"/>
        <v>0</v>
      </c>
      <c r="J117" s="67">
        <f t="shared" si="12"/>
        <v>0</v>
      </c>
      <c r="K117" s="67"/>
      <c r="L117" s="130"/>
      <c r="M117" s="67">
        <f t="shared" si="13"/>
        <v>0</v>
      </c>
      <c r="N117" s="130"/>
      <c r="O117" s="67">
        <f t="shared" si="14"/>
        <v>0</v>
      </c>
      <c r="P117" s="67">
        <f t="shared" si="15"/>
        <v>0</v>
      </c>
    </row>
    <row r="118" spans="2:16">
      <c r="B118" t="str">
        <f t="shared" si="10"/>
        <v/>
      </c>
      <c r="C118" s="62">
        <f>IF(D94="","-",+C117+1)</f>
        <v>2042</v>
      </c>
      <c r="D118" s="647">
        <f>IF(F117+SUM(E$100:E117)=D$93,F117,D$93-SUM(E$100:E117))</f>
        <v>0</v>
      </c>
      <c r="E118" s="509">
        <f t="shared" si="16"/>
        <v>0</v>
      </c>
      <c r="F118" s="648">
        <f t="shared" si="17"/>
        <v>0</v>
      </c>
      <c r="G118" s="648">
        <f t="shared" si="18"/>
        <v>0</v>
      </c>
      <c r="H118" s="649">
        <f t="shared" si="21"/>
        <v>0</v>
      </c>
      <c r="I118" s="628">
        <f t="shared" si="20"/>
        <v>0</v>
      </c>
      <c r="J118" s="67">
        <f t="shared" si="12"/>
        <v>0</v>
      </c>
      <c r="K118" s="67"/>
      <c r="L118" s="130"/>
      <c r="M118" s="67">
        <f t="shared" si="13"/>
        <v>0</v>
      </c>
      <c r="N118" s="130"/>
      <c r="O118" s="67">
        <f t="shared" si="14"/>
        <v>0</v>
      </c>
      <c r="P118" s="67">
        <f t="shared" si="15"/>
        <v>0</v>
      </c>
    </row>
    <row r="119" spans="2:16">
      <c r="B119" t="str">
        <f t="shared" si="10"/>
        <v/>
      </c>
      <c r="C119" s="62">
        <f>IF(D94="","-",+C118+1)</f>
        <v>2043</v>
      </c>
      <c r="D119" s="647">
        <f>IF(F118+SUM(E$100:E118)=D$93,F118,D$93-SUM(E$100:E118))</f>
        <v>0</v>
      </c>
      <c r="E119" s="509">
        <f t="shared" si="16"/>
        <v>0</v>
      </c>
      <c r="F119" s="648">
        <f t="shared" si="17"/>
        <v>0</v>
      </c>
      <c r="G119" s="648">
        <f t="shared" si="18"/>
        <v>0</v>
      </c>
      <c r="H119" s="649">
        <f t="shared" si="21"/>
        <v>0</v>
      </c>
      <c r="I119" s="628">
        <f t="shared" si="20"/>
        <v>0</v>
      </c>
      <c r="J119" s="67">
        <f t="shared" si="12"/>
        <v>0</v>
      </c>
      <c r="K119" s="67"/>
      <c r="L119" s="130"/>
      <c r="M119" s="67">
        <f t="shared" si="13"/>
        <v>0</v>
      </c>
      <c r="N119" s="130"/>
      <c r="O119" s="67">
        <f t="shared" si="14"/>
        <v>0</v>
      </c>
      <c r="P119" s="67">
        <f t="shared" si="15"/>
        <v>0</v>
      </c>
    </row>
    <row r="120" spans="2:16">
      <c r="B120" t="str">
        <f t="shared" si="10"/>
        <v/>
      </c>
      <c r="C120" s="62">
        <f>IF(D94="","-",+C119+1)</f>
        <v>2044</v>
      </c>
      <c r="D120" s="647">
        <f>IF(F119+SUM(E$100:E119)=D$93,F119,D$93-SUM(E$100:E119))</f>
        <v>0</v>
      </c>
      <c r="E120" s="509">
        <f t="shared" si="16"/>
        <v>0</v>
      </c>
      <c r="F120" s="648">
        <f t="shared" si="17"/>
        <v>0</v>
      </c>
      <c r="G120" s="648">
        <f t="shared" si="18"/>
        <v>0</v>
      </c>
      <c r="H120" s="649">
        <f t="shared" si="21"/>
        <v>0</v>
      </c>
      <c r="I120" s="628">
        <f t="shared" si="20"/>
        <v>0</v>
      </c>
      <c r="J120" s="67">
        <f t="shared" si="12"/>
        <v>0</v>
      </c>
      <c r="K120" s="67"/>
      <c r="L120" s="130"/>
      <c r="M120" s="67">
        <f t="shared" si="13"/>
        <v>0</v>
      </c>
      <c r="N120" s="130"/>
      <c r="O120" s="67">
        <f t="shared" si="14"/>
        <v>0</v>
      </c>
      <c r="P120" s="67">
        <f t="shared" si="15"/>
        <v>0</v>
      </c>
    </row>
    <row r="121" spans="2:16">
      <c r="B121" t="str">
        <f t="shared" si="10"/>
        <v/>
      </c>
      <c r="C121" s="62">
        <f>IF(D94="","-",+C120+1)</f>
        <v>2045</v>
      </c>
      <c r="D121" s="647">
        <f>IF(F120+SUM(E$100:E120)=D$93,F120,D$93-SUM(E$100:E120))</f>
        <v>0</v>
      </c>
      <c r="E121" s="509">
        <f t="shared" si="16"/>
        <v>0</v>
      </c>
      <c r="F121" s="648">
        <f t="shared" si="17"/>
        <v>0</v>
      </c>
      <c r="G121" s="648">
        <f t="shared" si="18"/>
        <v>0</v>
      </c>
      <c r="H121" s="649">
        <f t="shared" si="21"/>
        <v>0</v>
      </c>
      <c r="I121" s="628">
        <f t="shared" si="20"/>
        <v>0</v>
      </c>
      <c r="J121" s="67">
        <f t="shared" si="12"/>
        <v>0</v>
      </c>
      <c r="K121" s="67"/>
      <c r="L121" s="130"/>
      <c r="M121" s="67">
        <f t="shared" si="13"/>
        <v>0</v>
      </c>
      <c r="N121" s="130"/>
      <c r="O121" s="67">
        <f t="shared" si="14"/>
        <v>0</v>
      </c>
      <c r="P121" s="67">
        <f t="shared" si="15"/>
        <v>0</v>
      </c>
    </row>
    <row r="122" spans="2:16">
      <c r="B122" t="str">
        <f t="shared" si="10"/>
        <v/>
      </c>
      <c r="C122" s="62">
        <f>IF(D94="","-",+C121+1)</f>
        <v>2046</v>
      </c>
      <c r="D122" s="647">
        <f>IF(F121+SUM(E$100:E121)=D$93,F121,D$93-SUM(E$100:E121))</f>
        <v>0</v>
      </c>
      <c r="E122" s="509">
        <f t="shared" si="16"/>
        <v>0</v>
      </c>
      <c r="F122" s="648">
        <f t="shared" si="17"/>
        <v>0</v>
      </c>
      <c r="G122" s="648">
        <f t="shared" si="18"/>
        <v>0</v>
      </c>
      <c r="H122" s="649">
        <f t="shared" si="21"/>
        <v>0</v>
      </c>
      <c r="I122" s="628">
        <f t="shared" si="20"/>
        <v>0</v>
      </c>
      <c r="J122" s="67">
        <f t="shared" si="12"/>
        <v>0</v>
      </c>
      <c r="K122" s="67"/>
      <c r="L122" s="130"/>
      <c r="M122" s="67">
        <f t="shared" si="13"/>
        <v>0</v>
      </c>
      <c r="N122" s="130"/>
      <c r="O122" s="67">
        <f t="shared" si="14"/>
        <v>0</v>
      </c>
      <c r="P122" s="67">
        <f t="shared" si="15"/>
        <v>0</v>
      </c>
    </row>
    <row r="123" spans="2:16">
      <c r="B123" t="str">
        <f t="shared" si="10"/>
        <v/>
      </c>
      <c r="C123" s="62">
        <f>IF(D94="","-",+C122+1)</f>
        <v>2047</v>
      </c>
      <c r="D123" s="647">
        <f>IF(F122+SUM(E$100:E122)=D$93,F122,D$93-SUM(E$100:E122))</f>
        <v>0</v>
      </c>
      <c r="E123" s="509">
        <f t="shared" si="16"/>
        <v>0</v>
      </c>
      <c r="F123" s="648">
        <f t="shared" si="17"/>
        <v>0</v>
      </c>
      <c r="G123" s="648">
        <f t="shared" si="18"/>
        <v>0</v>
      </c>
      <c r="H123" s="649">
        <f t="shared" si="21"/>
        <v>0</v>
      </c>
      <c r="I123" s="628">
        <f t="shared" si="20"/>
        <v>0</v>
      </c>
      <c r="J123" s="67">
        <f t="shared" si="12"/>
        <v>0</v>
      </c>
      <c r="K123" s="67"/>
      <c r="L123" s="130"/>
      <c r="M123" s="67">
        <f t="shared" si="13"/>
        <v>0</v>
      </c>
      <c r="N123" s="130"/>
      <c r="O123" s="67">
        <f t="shared" si="14"/>
        <v>0</v>
      </c>
      <c r="P123" s="67">
        <f t="shared" si="15"/>
        <v>0</v>
      </c>
    </row>
    <row r="124" spans="2:16">
      <c r="B124" t="str">
        <f t="shared" si="10"/>
        <v/>
      </c>
      <c r="C124" s="62">
        <f>IF(D94="","-",+C123+1)</f>
        <v>2048</v>
      </c>
      <c r="D124" s="647">
        <f>IF(F123+SUM(E$100:E123)=D$93,F123,D$93-SUM(E$100:E123))</f>
        <v>0</v>
      </c>
      <c r="E124" s="509">
        <f t="shared" si="16"/>
        <v>0</v>
      </c>
      <c r="F124" s="648">
        <f t="shared" si="17"/>
        <v>0</v>
      </c>
      <c r="G124" s="648">
        <f t="shared" si="18"/>
        <v>0</v>
      </c>
      <c r="H124" s="649">
        <f t="shared" si="21"/>
        <v>0</v>
      </c>
      <c r="I124" s="628">
        <f t="shared" si="20"/>
        <v>0</v>
      </c>
      <c r="J124" s="67">
        <f t="shared" si="12"/>
        <v>0</v>
      </c>
      <c r="K124" s="67"/>
      <c r="L124" s="130"/>
      <c r="M124" s="67">
        <f t="shared" si="13"/>
        <v>0</v>
      </c>
      <c r="N124" s="130"/>
      <c r="O124" s="67">
        <f t="shared" si="14"/>
        <v>0</v>
      </c>
      <c r="P124" s="67">
        <f t="shared" si="15"/>
        <v>0</v>
      </c>
    </row>
    <row r="125" spans="2:16">
      <c r="B125" t="str">
        <f t="shared" si="10"/>
        <v/>
      </c>
      <c r="C125" s="62">
        <f>IF(D94="","-",+C124+1)</f>
        <v>2049</v>
      </c>
      <c r="D125" s="647">
        <f>IF(F124+SUM(E$100:E124)=D$93,F124,D$93-SUM(E$100:E124))</f>
        <v>0</v>
      </c>
      <c r="E125" s="509">
        <f t="shared" si="16"/>
        <v>0</v>
      </c>
      <c r="F125" s="648">
        <f t="shared" si="17"/>
        <v>0</v>
      </c>
      <c r="G125" s="648">
        <f t="shared" si="18"/>
        <v>0</v>
      </c>
      <c r="H125" s="649">
        <f t="shared" si="21"/>
        <v>0</v>
      </c>
      <c r="I125" s="628">
        <f t="shared" si="20"/>
        <v>0</v>
      </c>
      <c r="J125" s="67">
        <f t="shared" si="12"/>
        <v>0</v>
      </c>
      <c r="K125" s="67"/>
      <c r="L125" s="130"/>
      <c r="M125" s="67">
        <f t="shared" si="13"/>
        <v>0</v>
      </c>
      <c r="N125" s="130"/>
      <c r="O125" s="67">
        <f t="shared" si="14"/>
        <v>0</v>
      </c>
      <c r="P125" s="67">
        <f t="shared" si="15"/>
        <v>0</v>
      </c>
    </row>
    <row r="126" spans="2:16">
      <c r="B126" t="str">
        <f t="shared" si="10"/>
        <v/>
      </c>
      <c r="C126" s="62">
        <f>IF(D94="","-",+C125+1)</f>
        <v>2050</v>
      </c>
      <c r="D126" s="647">
        <f>IF(F125+SUM(E$100:E125)=D$93,F125,D$93-SUM(E$100:E125))</f>
        <v>0</v>
      </c>
      <c r="E126" s="509">
        <f t="shared" si="16"/>
        <v>0</v>
      </c>
      <c r="F126" s="648">
        <f t="shared" si="17"/>
        <v>0</v>
      </c>
      <c r="G126" s="648">
        <f t="shared" si="18"/>
        <v>0</v>
      </c>
      <c r="H126" s="649">
        <f t="shared" si="21"/>
        <v>0</v>
      </c>
      <c r="I126" s="628">
        <f t="shared" si="20"/>
        <v>0</v>
      </c>
      <c r="J126" s="67">
        <f t="shared" si="12"/>
        <v>0</v>
      </c>
      <c r="K126" s="67"/>
      <c r="L126" s="130"/>
      <c r="M126" s="67">
        <f t="shared" si="13"/>
        <v>0</v>
      </c>
      <c r="N126" s="130"/>
      <c r="O126" s="67">
        <f t="shared" si="14"/>
        <v>0</v>
      </c>
      <c r="P126" s="67">
        <f t="shared" si="15"/>
        <v>0</v>
      </c>
    </row>
    <row r="127" spans="2:16">
      <c r="B127" t="str">
        <f t="shared" si="10"/>
        <v/>
      </c>
      <c r="C127" s="62">
        <f>IF(D94="","-",+C126+1)</f>
        <v>2051</v>
      </c>
      <c r="D127" s="647">
        <f>IF(F126+SUM(E$100:E126)=D$93,F126,D$93-SUM(E$100:E126))</f>
        <v>0</v>
      </c>
      <c r="E127" s="509">
        <f t="shared" si="16"/>
        <v>0</v>
      </c>
      <c r="F127" s="648">
        <f t="shared" si="17"/>
        <v>0</v>
      </c>
      <c r="G127" s="648">
        <f t="shared" si="18"/>
        <v>0</v>
      </c>
      <c r="H127" s="649">
        <f t="shared" si="21"/>
        <v>0</v>
      </c>
      <c r="I127" s="628">
        <f t="shared" si="20"/>
        <v>0</v>
      </c>
      <c r="J127" s="67">
        <f t="shared" si="12"/>
        <v>0</v>
      </c>
      <c r="K127" s="67"/>
      <c r="L127" s="130"/>
      <c r="M127" s="67">
        <f t="shared" si="13"/>
        <v>0</v>
      </c>
      <c r="N127" s="130"/>
      <c r="O127" s="67">
        <f t="shared" si="14"/>
        <v>0</v>
      </c>
      <c r="P127" s="67">
        <f t="shared" si="15"/>
        <v>0</v>
      </c>
    </row>
    <row r="128" spans="2:16">
      <c r="B128" t="str">
        <f t="shared" si="10"/>
        <v/>
      </c>
      <c r="C128" s="62">
        <f>IF(D94="","-",+C127+1)</f>
        <v>2052</v>
      </c>
      <c r="D128" s="647">
        <f>IF(F127+SUM(E$100:E127)=D$93,F127,D$93-SUM(E$100:E127))</f>
        <v>0</v>
      </c>
      <c r="E128" s="509">
        <f t="shared" si="16"/>
        <v>0</v>
      </c>
      <c r="F128" s="648">
        <f t="shared" si="17"/>
        <v>0</v>
      </c>
      <c r="G128" s="648">
        <f t="shared" si="18"/>
        <v>0</v>
      </c>
      <c r="H128" s="649">
        <f t="shared" si="21"/>
        <v>0</v>
      </c>
      <c r="I128" s="628">
        <f t="shared" si="20"/>
        <v>0</v>
      </c>
      <c r="J128" s="67">
        <f t="shared" si="12"/>
        <v>0</v>
      </c>
      <c r="K128" s="67"/>
      <c r="L128" s="130"/>
      <c r="M128" s="67">
        <f t="shared" si="13"/>
        <v>0</v>
      </c>
      <c r="N128" s="130"/>
      <c r="O128" s="67">
        <f t="shared" si="14"/>
        <v>0</v>
      </c>
      <c r="P128" s="67">
        <f t="shared" si="15"/>
        <v>0</v>
      </c>
    </row>
    <row r="129" spans="2:16">
      <c r="B129" t="str">
        <f t="shared" si="10"/>
        <v/>
      </c>
      <c r="C129" s="62">
        <f>IF(D94="","-",+C128+1)</f>
        <v>2053</v>
      </c>
      <c r="D129" s="647">
        <f>IF(F128+SUM(E$100:E128)=D$93,F128,D$93-SUM(E$100:E128))</f>
        <v>0</v>
      </c>
      <c r="E129" s="509">
        <f t="shared" si="16"/>
        <v>0</v>
      </c>
      <c r="F129" s="648">
        <f t="shared" si="17"/>
        <v>0</v>
      </c>
      <c r="G129" s="648">
        <f t="shared" si="18"/>
        <v>0</v>
      </c>
      <c r="H129" s="649">
        <f t="shared" si="21"/>
        <v>0</v>
      </c>
      <c r="I129" s="628">
        <f t="shared" si="20"/>
        <v>0</v>
      </c>
      <c r="J129" s="67">
        <f t="shared" si="12"/>
        <v>0</v>
      </c>
      <c r="K129" s="67"/>
      <c r="L129" s="130"/>
      <c r="M129" s="67">
        <f t="shared" si="13"/>
        <v>0</v>
      </c>
      <c r="N129" s="130"/>
      <c r="O129" s="67">
        <f t="shared" si="14"/>
        <v>0</v>
      </c>
      <c r="P129" s="67">
        <f t="shared" si="15"/>
        <v>0</v>
      </c>
    </row>
    <row r="130" spans="2:16">
      <c r="B130" t="str">
        <f t="shared" si="10"/>
        <v/>
      </c>
      <c r="C130" s="62">
        <f>IF(D94="","-",+C129+1)</f>
        <v>2054</v>
      </c>
      <c r="D130" s="647">
        <f>IF(F129+SUM(E$100:E129)=D$93,F129,D$93-SUM(E$100:E129))</f>
        <v>0</v>
      </c>
      <c r="E130" s="509">
        <f t="shared" si="16"/>
        <v>0</v>
      </c>
      <c r="F130" s="648">
        <f t="shared" si="17"/>
        <v>0</v>
      </c>
      <c r="G130" s="648">
        <f t="shared" si="18"/>
        <v>0</v>
      </c>
      <c r="H130" s="649">
        <f t="shared" si="21"/>
        <v>0</v>
      </c>
      <c r="I130" s="628">
        <f t="shared" si="20"/>
        <v>0</v>
      </c>
      <c r="J130" s="67">
        <f t="shared" si="12"/>
        <v>0</v>
      </c>
      <c r="K130" s="67"/>
      <c r="L130" s="130"/>
      <c r="M130" s="67">
        <f t="shared" si="13"/>
        <v>0</v>
      </c>
      <c r="N130" s="130"/>
      <c r="O130" s="67">
        <f t="shared" si="14"/>
        <v>0</v>
      </c>
      <c r="P130" s="67">
        <f t="shared" si="15"/>
        <v>0</v>
      </c>
    </row>
    <row r="131" spans="2:16">
      <c r="B131" t="str">
        <f t="shared" si="10"/>
        <v/>
      </c>
      <c r="C131" s="62">
        <f>IF(D94="","-",+C130+1)</f>
        <v>2055</v>
      </c>
      <c r="D131" s="647">
        <f>IF(F130+SUM(E$100:E130)=D$93,F130,D$93-SUM(E$100:E130))</f>
        <v>0</v>
      </c>
      <c r="E131" s="509">
        <f t="shared" si="16"/>
        <v>0</v>
      </c>
      <c r="F131" s="648">
        <f t="shared" si="17"/>
        <v>0</v>
      </c>
      <c r="G131" s="648">
        <f t="shared" si="18"/>
        <v>0</v>
      </c>
      <c r="H131" s="649">
        <f t="shared" si="21"/>
        <v>0</v>
      </c>
      <c r="I131" s="628">
        <f t="shared" si="20"/>
        <v>0</v>
      </c>
      <c r="J131" s="67">
        <f t="shared" si="12"/>
        <v>0</v>
      </c>
      <c r="K131" s="67"/>
      <c r="L131" s="130"/>
      <c r="M131" s="67">
        <f t="shared" si="13"/>
        <v>0</v>
      </c>
      <c r="N131" s="130"/>
      <c r="O131" s="67">
        <f t="shared" si="14"/>
        <v>0</v>
      </c>
      <c r="P131" s="67">
        <f t="shared" si="15"/>
        <v>0</v>
      </c>
    </row>
    <row r="132" spans="2:16">
      <c r="B132" t="str">
        <f t="shared" si="10"/>
        <v/>
      </c>
      <c r="C132" s="62">
        <f>IF(D94="","-",+C131+1)</f>
        <v>2056</v>
      </c>
      <c r="D132" s="647">
        <f>IF(F131+SUM(E$100:E131)=D$93,F131,D$93-SUM(E$100:E131))</f>
        <v>0</v>
      </c>
      <c r="E132" s="509">
        <f t="shared" si="16"/>
        <v>0</v>
      </c>
      <c r="F132" s="648">
        <f t="shared" si="17"/>
        <v>0</v>
      </c>
      <c r="G132" s="648">
        <f t="shared" si="18"/>
        <v>0</v>
      </c>
      <c r="H132" s="649">
        <f t="shared" si="21"/>
        <v>0</v>
      </c>
      <c r="I132" s="628">
        <f t="shared" si="20"/>
        <v>0</v>
      </c>
      <c r="J132" s="67">
        <f t="shared" ref="J132:J155" si="22">+I542-H542</f>
        <v>0</v>
      </c>
      <c r="K132" s="67"/>
      <c r="L132" s="130"/>
      <c r="M132" s="67">
        <f t="shared" ref="M132:M155" si="23">IF(L542&lt;&gt;0,+H542-L542,0)</f>
        <v>0</v>
      </c>
      <c r="N132" s="130"/>
      <c r="O132" s="67">
        <f t="shared" ref="O132:O155" si="24">IF(N542&lt;&gt;0,+I542-N542,0)</f>
        <v>0</v>
      </c>
      <c r="P132" s="67">
        <f t="shared" ref="P132:P155" si="25">+O542-M542</f>
        <v>0</v>
      </c>
    </row>
    <row r="133" spans="2:16">
      <c r="B133" t="str">
        <f t="shared" si="10"/>
        <v/>
      </c>
      <c r="C133" s="62">
        <f>IF(D94="","-",+C132+1)</f>
        <v>2057</v>
      </c>
      <c r="D133" s="647">
        <f>IF(F132+SUM(E$100:E132)=D$93,F132,D$93-SUM(E$100:E132))</f>
        <v>0</v>
      </c>
      <c r="E133" s="509">
        <f t="shared" si="16"/>
        <v>0</v>
      </c>
      <c r="F133" s="648">
        <f t="shared" si="17"/>
        <v>0</v>
      </c>
      <c r="G133" s="648">
        <f t="shared" si="18"/>
        <v>0</v>
      </c>
      <c r="H133" s="649">
        <f t="shared" si="21"/>
        <v>0</v>
      </c>
      <c r="I133" s="628">
        <f t="shared" si="20"/>
        <v>0</v>
      </c>
      <c r="J133" s="67">
        <f t="shared" si="22"/>
        <v>0</v>
      </c>
      <c r="K133" s="67"/>
      <c r="L133" s="130"/>
      <c r="M133" s="67">
        <f t="shared" si="23"/>
        <v>0</v>
      </c>
      <c r="N133" s="130"/>
      <c r="O133" s="67">
        <f t="shared" si="24"/>
        <v>0</v>
      </c>
      <c r="P133" s="67">
        <f t="shared" si="25"/>
        <v>0</v>
      </c>
    </row>
    <row r="134" spans="2:16">
      <c r="B134" t="str">
        <f t="shared" si="10"/>
        <v/>
      </c>
      <c r="C134" s="62">
        <f>IF(D94="","-",+C133+1)</f>
        <v>2058</v>
      </c>
      <c r="D134" s="647">
        <f>IF(F133+SUM(E$100:E133)=D$93,F133,D$93-SUM(E$100:E133))</f>
        <v>0</v>
      </c>
      <c r="E134" s="509">
        <f t="shared" si="16"/>
        <v>0</v>
      </c>
      <c r="F134" s="648">
        <f t="shared" si="17"/>
        <v>0</v>
      </c>
      <c r="G134" s="648">
        <f t="shared" si="18"/>
        <v>0</v>
      </c>
      <c r="H134" s="649">
        <f t="shared" si="21"/>
        <v>0</v>
      </c>
      <c r="I134" s="628">
        <f t="shared" si="20"/>
        <v>0</v>
      </c>
      <c r="J134" s="67">
        <f t="shared" si="22"/>
        <v>0</v>
      </c>
      <c r="K134" s="67"/>
      <c r="L134" s="130"/>
      <c r="M134" s="67">
        <f t="shared" si="23"/>
        <v>0</v>
      </c>
      <c r="N134" s="130"/>
      <c r="O134" s="67">
        <f t="shared" si="24"/>
        <v>0</v>
      </c>
      <c r="P134" s="67">
        <f t="shared" si="25"/>
        <v>0</v>
      </c>
    </row>
    <row r="135" spans="2:16">
      <c r="B135" t="str">
        <f t="shared" si="10"/>
        <v/>
      </c>
      <c r="C135" s="62">
        <f>IF(D94="","-",+C134+1)</f>
        <v>2059</v>
      </c>
      <c r="D135" s="647">
        <f>IF(F134+SUM(E$100:E134)=D$93,F134,D$93-SUM(E$100:E134))</f>
        <v>0</v>
      </c>
      <c r="E135" s="509">
        <f t="shared" si="16"/>
        <v>0</v>
      </c>
      <c r="F135" s="648">
        <f t="shared" si="17"/>
        <v>0</v>
      </c>
      <c r="G135" s="648">
        <f t="shared" si="18"/>
        <v>0</v>
      </c>
      <c r="H135" s="649">
        <f t="shared" si="21"/>
        <v>0</v>
      </c>
      <c r="I135" s="628">
        <f t="shared" si="20"/>
        <v>0</v>
      </c>
      <c r="J135" s="67">
        <f t="shared" si="22"/>
        <v>0</v>
      </c>
      <c r="K135" s="67"/>
      <c r="L135" s="130"/>
      <c r="M135" s="67">
        <f t="shared" si="23"/>
        <v>0</v>
      </c>
      <c r="N135" s="130"/>
      <c r="O135" s="67">
        <f t="shared" si="24"/>
        <v>0</v>
      </c>
      <c r="P135" s="67">
        <f t="shared" si="25"/>
        <v>0</v>
      </c>
    </row>
    <row r="136" spans="2:16">
      <c r="B136" t="str">
        <f t="shared" si="10"/>
        <v/>
      </c>
      <c r="C136" s="62">
        <f>IF(D94="","-",+C135+1)</f>
        <v>2060</v>
      </c>
      <c r="D136" s="647">
        <f>IF(F135+SUM(E$100:E135)=D$93,F135,D$93-SUM(E$100:E135))</f>
        <v>0</v>
      </c>
      <c r="E136" s="509">
        <f t="shared" si="16"/>
        <v>0</v>
      </c>
      <c r="F136" s="648">
        <f t="shared" si="17"/>
        <v>0</v>
      </c>
      <c r="G136" s="648">
        <f t="shared" si="18"/>
        <v>0</v>
      </c>
      <c r="H136" s="649">
        <f t="shared" si="21"/>
        <v>0</v>
      </c>
      <c r="I136" s="628">
        <f t="shared" si="20"/>
        <v>0</v>
      </c>
      <c r="J136" s="67">
        <f t="shared" si="22"/>
        <v>0</v>
      </c>
      <c r="K136" s="67"/>
      <c r="L136" s="130"/>
      <c r="M136" s="67">
        <f t="shared" si="23"/>
        <v>0</v>
      </c>
      <c r="N136" s="130"/>
      <c r="O136" s="67">
        <f t="shared" si="24"/>
        <v>0</v>
      </c>
      <c r="P136" s="67">
        <f t="shared" si="25"/>
        <v>0</v>
      </c>
    </row>
    <row r="137" spans="2:16">
      <c r="B137" t="str">
        <f t="shared" si="10"/>
        <v/>
      </c>
      <c r="C137" s="62">
        <f>IF(D94="","-",+C136+1)</f>
        <v>2061</v>
      </c>
      <c r="D137" s="647">
        <f>IF(F136+SUM(E$100:E136)=D$93,F136,D$93-SUM(E$100:E136))</f>
        <v>0</v>
      </c>
      <c r="E137" s="509">
        <f t="shared" si="16"/>
        <v>0</v>
      </c>
      <c r="F137" s="648">
        <f t="shared" si="17"/>
        <v>0</v>
      </c>
      <c r="G137" s="648">
        <f t="shared" si="18"/>
        <v>0</v>
      </c>
      <c r="H137" s="649">
        <f t="shared" si="21"/>
        <v>0</v>
      </c>
      <c r="I137" s="628">
        <f t="shared" si="20"/>
        <v>0</v>
      </c>
      <c r="J137" s="67">
        <f t="shared" si="22"/>
        <v>0</v>
      </c>
      <c r="K137" s="67"/>
      <c r="L137" s="130"/>
      <c r="M137" s="67">
        <f t="shared" si="23"/>
        <v>0</v>
      </c>
      <c r="N137" s="130"/>
      <c r="O137" s="67">
        <f t="shared" si="24"/>
        <v>0</v>
      </c>
      <c r="P137" s="67">
        <f t="shared" si="25"/>
        <v>0</v>
      </c>
    </row>
    <row r="138" spans="2:16">
      <c r="B138" t="str">
        <f t="shared" si="10"/>
        <v/>
      </c>
      <c r="C138" s="62">
        <f>IF(D94="","-",+C137+1)</f>
        <v>2062</v>
      </c>
      <c r="D138" s="647">
        <f>IF(F137+SUM(E$100:E137)=D$93,F137,D$93-SUM(E$100:E137))</f>
        <v>0</v>
      </c>
      <c r="E138" s="509">
        <f t="shared" si="16"/>
        <v>0</v>
      </c>
      <c r="F138" s="648">
        <f t="shared" si="17"/>
        <v>0</v>
      </c>
      <c r="G138" s="648">
        <f t="shared" si="18"/>
        <v>0</v>
      </c>
      <c r="H138" s="649">
        <f t="shared" si="21"/>
        <v>0</v>
      </c>
      <c r="I138" s="628">
        <f t="shared" si="20"/>
        <v>0</v>
      </c>
      <c r="J138" s="67">
        <f t="shared" si="22"/>
        <v>0</v>
      </c>
      <c r="K138" s="67"/>
      <c r="L138" s="130"/>
      <c r="M138" s="67">
        <f t="shared" si="23"/>
        <v>0</v>
      </c>
      <c r="N138" s="130"/>
      <c r="O138" s="67">
        <f t="shared" si="24"/>
        <v>0</v>
      </c>
      <c r="P138" s="67">
        <f t="shared" si="25"/>
        <v>0</v>
      </c>
    </row>
    <row r="139" spans="2:16">
      <c r="B139" t="str">
        <f t="shared" si="10"/>
        <v/>
      </c>
      <c r="C139" s="62">
        <f>IF(D94="","-",+C138+1)</f>
        <v>2063</v>
      </c>
      <c r="D139" s="647">
        <f>IF(F138+SUM(E$100:E138)=D$93,F138,D$93-SUM(E$100:E138))</f>
        <v>0</v>
      </c>
      <c r="E139" s="509">
        <f t="shared" si="16"/>
        <v>0</v>
      </c>
      <c r="F139" s="648">
        <f t="shared" si="17"/>
        <v>0</v>
      </c>
      <c r="G139" s="648">
        <f t="shared" si="18"/>
        <v>0</v>
      </c>
      <c r="H139" s="649">
        <f t="shared" si="21"/>
        <v>0</v>
      </c>
      <c r="I139" s="628">
        <f t="shared" si="20"/>
        <v>0</v>
      </c>
      <c r="J139" s="67">
        <f t="shared" si="22"/>
        <v>0</v>
      </c>
      <c r="K139" s="67"/>
      <c r="L139" s="130"/>
      <c r="M139" s="67">
        <f t="shared" si="23"/>
        <v>0</v>
      </c>
      <c r="N139" s="130"/>
      <c r="O139" s="67">
        <f t="shared" si="24"/>
        <v>0</v>
      </c>
      <c r="P139" s="67">
        <f t="shared" si="25"/>
        <v>0</v>
      </c>
    </row>
    <row r="140" spans="2:16">
      <c r="B140" t="str">
        <f t="shared" si="10"/>
        <v/>
      </c>
      <c r="C140" s="62">
        <f>IF(D94="","-",+C139+1)</f>
        <v>2064</v>
      </c>
      <c r="D140" s="647">
        <f>IF(F139+SUM(E$100:E139)=D$93,F139,D$93-SUM(E$100:E139))</f>
        <v>0</v>
      </c>
      <c r="E140" s="509">
        <f t="shared" si="16"/>
        <v>0</v>
      </c>
      <c r="F140" s="648">
        <f t="shared" si="17"/>
        <v>0</v>
      </c>
      <c r="G140" s="648">
        <f t="shared" si="18"/>
        <v>0</v>
      </c>
      <c r="H140" s="649">
        <f t="shared" si="21"/>
        <v>0</v>
      </c>
      <c r="I140" s="628">
        <f t="shared" si="20"/>
        <v>0</v>
      </c>
      <c r="J140" s="67">
        <f t="shared" si="22"/>
        <v>0</v>
      </c>
      <c r="K140" s="67"/>
      <c r="L140" s="130"/>
      <c r="M140" s="67">
        <f t="shared" si="23"/>
        <v>0</v>
      </c>
      <c r="N140" s="130"/>
      <c r="O140" s="67">
        <f t="shared" si="24"/>
        <v>0</v>
      </c>
      <c r="P140" s="67">
        <f t="shared" si="25"/>
        <v>0</v>
      </c>
    </row>
    <row r="141" spans="2:16">
      <c r="B141" t="str">
        <f t="shared" si="10"/>
        <v/>
      </c>
      <c r="C141" s="62">
        <f>IF(D94="","-",+C140+1)</f>
        <v>2065</v>
      </c>
      <c r="D141" s="647">
        <f>IF(F140+SUM(E$100:E140)=D$93,F140,D$93-SUM(E$100:E140))</f>
        <v>0</v>
      </c>
      <c r="E141" s="509">
        <f t="shared" si="16"/>
        <v>0</v>
      </c>
      <c r="F141" s="648">
        <f t="shared" si="17"/>
        <v>0</v>
      </c>
      <c r="G141" s="648">
        <f t="shared" si="18"/>
        <v>0</v>
      </c>
      <c r="H141" s="649">
        <f t="shared" si="21"/>
        <v>0</v>
      </c>
      <c r="I141" s="628">
        <f t="shared" si="20"/>
        <v>0</v>
      </c>
      <c r="J141" s="67">
        <f t="shared" si="22"/>
        <v>0</v>
      </c>
      <c r="K141" s="67"/>
      <c r="L141" s="130"/>
      <c r="M141" s="67">
        <f t="shared" si="23"/>
        <v>0</v>
      </c>
      <c r="N141" s="130"/>
      <c r="O141" s="67">
        <f t="shared" si="24"/>
        <v>0</v>
      </c>
      <c r="P141" s="67">
        <f t="shared" si="25"/>
        <v>0</v>
      </c>
    </row>
    <row r="142" spans="2:16">
      <c r="B142" t="str">
        <f t="shared" si="10"/>
        <v/>
      </c>
      <c r="C142" s="62">
        <f>IF(D94="","-",+C141+1)</f>
        <v>2066</v>
      </c>
      <c r="D142" s="647">
        <f>IF(F141+SUM(E$100:E141)=D$93,F141,D$93-SUM(E$100:E141))</f>
        <v>0</v>
      </c>
      <c r="E142" s="509">
        <f t="shared" si="16"/>
        <v>0</v>
      </c>
      <c r="F142" s="648">
        <f t="shared" si="17"/>
        <v>0</v>
      </c>
      <c r="G142" s="648">
        <f t="shared" si="18"/>
        <v>0</v>
      </c>
      <c r="H142" s="649">
        <f t="shared" si="21"/>
        <v>0</v>
      </c>
      <c r="I142" s="628">
        <f t="shared" si="20"/>
        <v>0</v>
      </c>
      <c r="J142" s="67">
        <f t="shared" si="22"/>
        <v>0</v>
      </c>
      <c r="K142" s="67"/>
      <c r="L142" s="130"/>
      <c r="M142" s="67">
        <f t="shared" si="23"/>
        <v>0</v>
      </c>
      <c r="N142" s="130"/>
      <c r="O142" s="67">
        <f t="shared" si="24"/>
        <v>0</v>
      </c>
      <c r="P142" s="67">
        <f t="shared" si="25"/>
        <v>0</v>
      </c>
    </row>
    <row r="143" spans="2:16">
      <c r="B143" t="str">
        <f t="shared" si="10"/>
        <v/>
      </c>
      <c r="C143" s="62">
        <f>IF(D94="","-",+C142+1)</f>
        <v>2067</v>
      </c>
      <c r="D143" s="647">
        <f>IF(F142+SUM(E$100:E142)=D$93,F142,D$93-SUM(E$100:E142))</f>
        <v>0</v>
      </c>
      <c r="E143" s="509">
        <f t="shared" si="16"/>
        <v>0</v>
      </c>
      <c r="F143" s="648">
        <f t="shared" si="17"/>
        <v>0</v>
      </c>
      <c r="G143" s="648">
        <f t="shared" si="18"/>
        <v>0</v>
      </c>
      <c r="H143" s="649">
        <f t="shared" si="21"/>
        <v>0</v>
      </c>
      <c r="I143" s="628">
        <f t="shared" si="20"/>
        <v>0</v>
      </c>
      <c r="J143" s="67">
        <f t="shared" si="22"/>
        <v>0</v>
      </c>
      <c r="K143" s="67"/>
      <c r="L143" s="130"/>
      <c r="M143" s="67">
        <f t="shared" si="23"/>
        <v>0</v>
      </c>
      <c r="N143" s="130"/>
      <c r="O143" s="67">
        <f t="shared" si="24"/>
        <v>0</v>
      </c>
      <c r="P143" s="67">
        <f t="shared" si="25"/>
        <v>0</v>
      </c>
    </row>
    <row r="144" spans="2:16">
      <c r="B144" t="str">
        <f t="shared" si="10"/>
        <v/>
      </c>
      <c r="C144" s="62">
        <f>IF(D94="","-",+C143+1)</f>
        <v>2068</v>
      </c>
      <c r="D144" s="647">
        <f>IF(F143+SUM(E$100:E143)=D$93,F143,D$93-SUM(E$100:E143))</f>
        <v>0</v>
      </c>
      <c r="E144" s="509">
        <f t="shared" si="16"/>
        <v>0</v>
      </c>
      <c r="F144" s="648">
        <f t="shared" si="17"/>
        <v>0</v>
      </c>
      <c r="G144" s="648">
        <f t="shared" si="18"/>
        <v>0</v>
      </c>
      <c r="H144" s="649">
        <f t="shared" si="21"/>
        <v>0</v>
      </c>
      <c r="I144" s="628">
        <f t="shared" si="20"/>
        <v>0</v>
      </c>
      <c r="J144" s="67">
        <f t="shared" si="22"/>
        <v>0</v>
      </c>
      <c r="K144" s="67"/>
      <c r="L144" s="130"/>
      <c r="M144" s="67">
        <f t="shared" si="23"/>
        <v>0</v>
      </c>
      <c r="N144" s="130"/>
      <c r="O144" s="67">
        <f t="shared" si="24"/>
        <v>0</v>
      </c>
      <c r="P144" s="67">
        <f t="shared" si="25"/>
        <v>0</v>
      </c>
    </row>
    <row r="145" spans="2:16">
      <c r="B145" t="str">
        <f t="shared" si="10"/>
        <v/>
      </c>
      <c r="C145" s="62">
        <f>IF(D94="","-",+C144+1)</f>
        <v>2069</v>
      </c>
      <c r="D145" s="647">
        <f>IF(F144+SUM(E$100:E144)=D$93,F144,D$93-SUM(E$100:E144))</f>
        <v>0</v>
      </c>
      <c r="E145" s="509">
        <f t="shared" si="16"/>
        <v>0</v>
      </c>
      <c r="F145" s="648">
        <f t="shared" si="17"/>
        <v>0</v>
      </c>
      <c r="G145" s="648">
        <f t="shared" si="18"/>
        <v>0</v>
      </c>
      <c r="H145" s="649">
        <f t="shared" si="21"/>
        <v>0</v>
      </c>
      <c r="I145" s="628">
        <f t="shared" si="20"/>
        <v>0</v>
      </c>
      <c r="J145" s="67">
        <f t="shared" si="22"/>
        <v>0</v>
      </c>
      <c r="K145" s="67"/>
      <c r="L145" s="130"/>
      <c r="M145" s="67">
        <f t="shared" si="23"/>
        <v>0</v>
      </c>
      <c r="N145" s="130"/>
      <c r="O145" s="67">
        <f t="shared" si="24"/>
        <v>0</v>
      </c>
      <c r="P145" s="67">
        <f t="shared" si="25"/>
        <v>0</v>
      </c>
    </row>
    <row r="146" spans="2:16">
      <c r="B146" t="str">
        <f t="shared" si="10"/>
        <v/>
      </c>
      <c r="C146" s="62">
        <f>IF(D94="","-",+C145+1)</f>
        <v>2070</v>
      </c>
      <c r="D146" s="647">
        <f>IF(F145+SUM(E$100:E145)=D$93,F145,D$93-SUM(E$100:E145))</f>
        <v>0</v>
      </c>
      <c r="E146" s="509">
        <f t="shared" si="16"/>
        <v>0</v>
      </c>
      <c r="F146" s="648">
        <f t="shared" si="17"/>
        <v>0</v>
      </c>
      <c r="G146" s="648">
        <f t="shared" si="18"/>
        <v>0</v>
      </c>
      <c r="H146" s="649">
        <f t="shared" si="21"/>
        <v>0</v>
      </c>
      <c r="I146" s="628">
        <f t="shared" si="20"/>
        <v>0</v>
      </c>
      <c r="J146" s="67">
        <f t="shared" si="22"/>
        <v>0</v>
      </c>
      <c r="K146" s="67"/>
      <c r="L146" s="130"/>
      <c r="M146" s="67">
        <f t="shared" si="23"/>
        <v>0</v>
      </c>
      <c r="N146" s="130"/>
      <c r="O146" s="67">
        <f t="shared" si="24"/>
        <v>0</v>
      </c>
      <c r="P146" s="67">
        <f t="shared" si="25"/>
        <v>0</v>
      </c>
    </row>
    <row r="147" spans="2:16">
      <c r="B147" t="str">
        <f t="shared" si="10"/>
        <v/>
      </c>
      <c r="C147" s="62">
        <f>IF(D94="","-",+C146+1)</f>
        <v>2071</v>
      </c>
      <c r="D147" s="647">
        <f>IF(F146+SUM(E$100:E146)=D$93,F146,D$93-SUM(E$100:E146))</f>
        <v>0</v>
      </c>
      <c r="E147" s="509">
        <f t="shared" si="16"/>
        <v>0</v>
      </c>
      <c r="F147" s="648">
        <f t="shared" si="17"/>
        <v>0</v>
      </c>
      <c r="G147" s="648">
        <f t="shared" si="18"/>
        <v>0</v>
      </c>
      <c r="H147" s="649">
        <f t="shared" si="21"/>
        <v>0</v>
      </c>
      <c r="I147" s="628">
        <f t="shared" si="20"/>
        <v>0</v>
      </c>
      <c r="J147" s="67">
        <f t="shared" si="22"/>
        <v>0</v>
      </c>
      <c r="K147" s="67"/>
      <c r="L147" s="130"/>
      <c r="M147" s="67">
        <f t="shared" si="23"/>
        <v>0</v>
      </c>
      <c r="N147" s="130"/>
      <c r="O147" s="67">
        <f t="shared" si="24"/>
        <v>0</v>
      </c>
      <c r="P147" s="67">
        <f t="shared" si="25"/>
        <v>0</v>
      </c>
    </row>
    <row r="148" spans="2:16">
      <c r="B148" t="str">
        <f t="shared" si="10"/>
        <v/>
      </c>
      <c r="C148" s="62">
        <f>IF(D94="","-",+C147+1)</f>
        <v>2072</v>
      </c>
      <c r="D148" s="647">
        <f>IF(F147+SUM(E$100:E147)=D$93,F147,D$93-SUM(E$100:E147))</f>
        <v>0</v>
      </c>
      <c r="E148" s="509">
        <f t="shared" si="16"/>
        <v>0</v>
      </c>
      <c r="F148" s="648">
        <f t="shared" si="17"/>
        <v>0</v>
      </c>
      <c r="G148" s="648">
        <f t="shared" si="18"/>
        <v>0</v>
      </c>
      <c r="H148" s="649">
        <f t="shared" si="21"/>
        <v>0</v>
      </c>
      <c r="I148" s="628">
        <f t="shared" si="20"/>
        <v>0</v>
      </c>
      <c r="J148" s="67">
        <f t="shared" si="22"/>
        <v>0</v>
      </c>
      <c r="K148" s="67"/>
      <c r="L148" s="130"/>
      <c r="M148" s="67">
        <f t="shared" si="23"/>
        <v>0</v>
      </c>
      <c r="N148" s="130"/>
      <c r="O148" s="67">
        <f t="shared" si="24"/>
        <v>0</v>
      </c>
      <c r="P148" s="67">
        <f t="shared" si="25"/>
        <v>0</v>
      </c>
    </row>
    <row r="149" spans="2:16">
      <c r="B149" t="str">
        <f t="shared" si="10"/>
        <v/>
      </c>
      <c r="C149" s="62">
        <f>IF(D94="","-",+C148+1)</f>
        <v>2073</v>
      </c>
      <c r="D149" s="647">
        <f>IF(F148+SUM(E$100:E148)=D$93,F148,D$93-SUM(E$100:E148))</f>
        <v>0</v>
      </c>
      <c r="E149" s="509">
        <f t="shared" si="16"/>
        <v>0</v>
      </c>
      <c r="F149" s="648">
        <f t="shared" si="17"/>
        <v>0</v>
      </c>
      <c r="G149" s="648">
        <f t="shared" si="18"/>
        <v>0</v>
      </c>
      <c r="H149" s="649">
        <f t="shared" si="21"/>
        <v>0</v>
      </c>
      <c r="I149" s="628">
        <f t="shared" si="20"/>
        <v>0</v>
      </c>
      <c r="J149" s="67">
        <f t="shared" si="22"/>
        <v>0</v>
      </c>
      <c r="K149" s="67"/>
      <c r="L149" s="130"/>
      <c r="M149" s="67">
        <f t="shared" si="23"/>
        <v>0</v>
      </c>
      <c r="N149" s="130"/>
      <c r="O149" s="67">
        <f t="shared" si="24"/>
        <v>0</v>
      </c>
      <c r="P149" s="67">
        <f t="shared" si="25"/>
        <v>0</v>
      </c>
    </row>
    <row r="150" spans="2:16">
      <c r="B150" t="str">
        <f t="shared" si="10"/>
        <v/>
      </c>
      <c r="C150" s="62">
        <f>IF(D94="","-",+C149+1)</f>
        <v>2074</v>
      </c>
      <c r="D150" s="647">
        <f>IF(F149+SUM(E$100:E149)=D$93,F149,D$93-SUM(E$100:E149))</f>
        <v>0</v>
      </c>
      <c r="E150" s="509">
        <f t="shared" si="16"/>
        <v>0</v>
      </c>
      <c r="F150" s="648">
        <f t="shared" si="17"/>
        <v>0</v>
      </c>
      <c r="G150" s="648">
        <f t="shared" si="18"/>
        <v>0</v>
      </c>
      <c r="H150" s="649">
        <f t="shared" si="21"/>
        <v>0</v>
      </c>
      <c r="I150" s="628">
        <f t="shared" si="20"/>
        <v>0</v>
      </c>
      <c r="J150" s="67">
        <f t="shared" si="22"/>
        <v>0</v>
      </c>
      <c r="K150" s="67"/>
      <c r="L150" s="130"/>
      <c r="M150" s="67">
        <f t="shared" si="23"/>
        <v>0</v>
      </c>
      <c r="N150" s="130"/>
      <c r="O150" s="67">
        <f t="shared" si="24"/>
        <v>0</v>
      </c>
      <c r="P150" s="67">
        <f t="shared" si="25"/>
        <v>0</v>
      </c>
    </row>
    <row r="151" spans="2:16">
      <c r="B151" t="str">
        <f t="shared" si="10"/>
        <v/>
      </c>
      <c r="C151" s="62">
        <f>IF(D94="","-",+C150+1)</f>
        <v>2075</v>
      </c>
      <c r="D151" s="647">
        <f>IF(F150+SUM(E$100:E150)=D$93,F150,D$93-SUM(E$100:E150))</f>
        <v>0</v>
      </c>
      <c r="E151" s="509">
        <f t="shared" si="16"/>
        <v>0</v>
      </c>
      <c r="F151" s="648">
        <f t="shared" si="17"/>
        <v>0</v>
      </c>
      <c r="G151" s="648">
        <f t="shared" si="18"/>
        <v>0</v>
      </c>
      <c r="H151" s="649">
        <f t="shared" si="21"/>
        <v>0</v>
      </c>
      <c r="I151" s="628">
        <f t="shared" si="20"/>
        <v>0</v>
      </c>
      <c r="J151" s="67">
        <f t="shared" si="22"/>
        <v>0</v>
      </c>
      <c r="K151" s="67"/>
      <c r="L151" s="130"/>
      <c r="M151" s="67">
        <f t="shared" si="23"/>
        <v>0</v>
      </c>
      <c r="N151" s="130"/>
      <c r="O151" s="67">
        <f t="shared" si="24"/>
        <v>0</v>
      </c>
      <c r="P151" s="67">
        <f t="shared" si="25"/>
        <v>0</v>
      </c>
    </row>
    <row r="152" spans="2:16">
      <c r="B152" t="str">
        <f t="shared" si="10"/>
        <v/>
      </c>
      <c r="C152" s="62">
        <f>IF(D94="","-",+C151+1)</f>
        <v>2076</v>
      </c>
      <c r="D152" s="647">
        <f>IF(F151+SUM(E$100:E151)=D$93,F151,D$93-SUM(E$100:E151))</f>
        <v>0</v>
      </c>
      <c r="E152" s="509">
        <f t="shared" si="16"/>
        <v>0</v>
      </c>
      <c r="F152" s="648">
        <f t="shared" si="17"/>
        <v>0</v>
      </c>
      <c r="G152" s="648">
        <f t="shared" si="18"/>
        <v>0</v>
      </c>
      <c r="H152" s="649">
        <f t="shared" si="21"/>
        <v>0</v>
      </c>
      <c r="I152" s="628">
        <f t="shared" si="20"/>
        <v>0</v>
      </c>
      <c r="J152" s="67">
        <f t="shared" si="22"/>
        <v>0</v>
      </c>
      <c r="K152" s="67"/>
      <c r="L152" s="130"/>
      <c r="M152" s="67">
        <f t="shared" si="23"/>
        <v>0</v>
      </c>
      <c r="N152" s="130"/>
      <c r="O152" s="67">
        <f t="shared" si="24"/>
        <v>0</v>
      </c>
      <c r="P152" s="67">
        <f t="shared" si="25"/>
        <v>0</v>
      </c>
    </row>
    <row r="153" spans="2:16">
      <c r="B153" t="str">
        <f t="shared" si="10"/>
        <v/>
      </c>
      <c r="C153" s="62">
        <f>IF(D94="","-",+C152+1)</f>
        <v>2077</v>
      </c>
      <c r="D153" s="647">
        <f>IF(F152+SUM(E$100:E152)=D$93,F152,D$93-SUM(E$100:E152))</f>
        <v>0</v>
      </c>
      <c r="E153" s="509">
        <f t="shared" si="16"/>
        <v>0</v>
      </c>
      <c r="F153" s="648">
        <f t="shared" si="17"/>
        <v>0</v>
      </c>
      <c r="G153" s="648">
        <f t="shared" si="18"/>
        <v>0</v>
      </c>
      <c r="H153" s="649">
        <f t="shared" si="21"/>
        <v>0</v>
      </c>
      <c r="I153" s="628">
        <f t="shared" si="20"/>
        <v>0</v>
      </c>
      <c r="J153" s="67">
        <f t="shared" si="22"/>
        <v>0</v>
      </c>
      <c r="K153" s="67"/>
      <c r="L153" s="130"/>
      <c r="M153" s="67">
        <f t="shared" si="23"/>
        <v>0</v>
      </c>
      <c r="N153" s="130"/>
      <c r="O153" s="67">
        <f t="shared" si="24"/>
        <v>0</v>
      </c>
      <c r="P153" s="67">
        <f t="shared" si="25"/>
        <v>0</v>
      </c>
    </row>
    <row r="154" spans="2:16">
      <c r="B154" t="str">
        <f t="shared" si="10"/>
        <v/>
      </c>
      <c r="C154" s="62">
        <f>IF(D94="","-",+C153+1)</f>
        <v>2078</v>
      </c>
      <c r="D154" s="647">
        <f>IF(F153+SUM(E$100:E153)=D$93,F153,D$93-SUM(E$100:E153))</f>
        <v>0</v>
      </c>
      <c r="E154" s="509">
        <f t="shared" si="16"/>
        <v>0</v>
      </c>
      <c r="F154" s="648">
        <f t="shared" si="17"/>
        <v>0</v>
      </c>
      <c r="G154" s="648">
        <f t="shared" si="18"/>
        <v>0</v>
      </c>
      <c r="H154" s="649">
        <f t="shared" si="21"/>
        <v>0</v>
      </c>
      <c r="I154" s="628">
        <f t="shared" si="20"/>
        <v>0</v>
      </c>
      <c r="J154" s="67">
        <f t="shared" si="22"/>
        <v>0</v>
      </c>
      <c r="K154" s="67"/>
      <c r="L154" s="130"/>
      <c r="M154" s="67">
        <f t="shared" si="23"/>
        <v>0</v>
      </c>
      <c r="N154" s="130"/>
      <c r="O154" s="67">
        <f t="shared" si="24"/>
        <v>0</v>
      </c>
      <c r="P154" s="67">
        <f t="shared" si="25"/>
        <v>0</v>
      </c>
    </row>
    <row r="155" spans="2:16" ht="13.5" thickBot="1">
      <c r="B155" t="str">
        <f t="shared" si="10"/>
        <v/>
      </c>
      <c r="C155" s="73">
        <f>IF(D94="","-",+C154+1)</f>
        <v>2079</v>
      </c>
      <c r="D155" s="650">
        <f>IF(F154+SUM(E$100:E154)=D$93,F154,D$93-SUM(E$100:E154))</f>
        <v>0</v>
      </c>
      <c r="E155" s="526">
        <f t="shared" si="16"/>
        <v>0</v>
      </c>
      <c r="F155" s="651">
        <f t="shared" si="17"/>
        <v>0</v>
      </c>
      <c r="G155" s="651">
        <f t="shared" si="18"/>
        <v>0</v>
      </c>
      <c r="H155" s="649">
        <f t="shared" si="21"/>
        <v>0</v>
      </c>
      <c r="I155" s="624">
        <f t="shared" si="20"/>
        <v>0</v>
      </c>
      <c r="J155" s="78">
        <f t="shared" si="22"/>
        <v>0</v>
      </c>
      <c r="K155" s="67"/>
      <c r="L155" s="131"/>
      <c r="M155" s="78">
        <f t="shared" si="23"/>
        <v>0</v>
      </c>
      <c r="N155" s="131"/>
      <c r="O155" s="78">
        <f t="shared" si="24"/>
        <v>0</v>
      </c>
      <c r="P155" s="78">
        <f t="shared" si="25"/>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5" header="0.25" footer="0.5"/>
  <pageSetup scale="47" orientation="landscape" r:id="rId1"/>
  <headerFooter>
    <oddHeader xml:space="preserve">&amp;R&amp;18AEPTCo - SPP Formula Rate
&amp;A TCOS - Worksheets F and G
Section IV -- (BPU Project Tables)
Page: &amp;P of &amp;N
</oddHeader>
    <oddFooter>&amp;L&amp;A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83C6-11FA-497A-9FD8-99C222953595}">
  <dimension ref="A1:P163"/>
  <sheetViews>
    <sheetView zoomScale="80" zoomScaleNormal="80" workbookViewId="0">
      <selection activeCell="D10" sqref="D10"/>
    </sheetView>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24 of 24</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0</v>
      </c>
      <c r="P5" s="1"/>
    </row>
    <row r="6" spans="1:16" ht="15.75">
      <c r="C6" s="8"/>
      <c r="D6" s="2"/>
      <c r="E6" s="1"/>
      <c r="F6" s="1"/>
      <c r="G6" s="1"/>
      <c r="H6" s="26"/>
      <c r="I6" s="26"/>
      <c r="J6" s="27"/>
      <c r="K6" s="28" t="s">
        <v>243</v>
      </c>
      <c r="L6" s="29"/>
      <c r="M6" s="4"/>
      <c r="N6" s="30">
        <f>VLOOKUP(I10,C17:I73,6)</f>
        <v>0</v>
      </c>
      <c r="O6" s="1"/>
      <c r="P6" s="1"/>
    </row>
    <row r="7" spans="1:16" ht="13.5" thickBot="1">
      <c r="C7" s="31" t="s">
        <v>46</v>
      </c>
      <c r="D7" s="637"/>
      <c r="E7" s="1"/>
      <c r="F7" s="1"/>
      <c r="G7" s="1"/>
      <c r="H7" s="3"/>
      <c r="I7" s="3"/>
      <c r="J7" s="19"/>
      <c r="K7" s="32" t="s">
        <v>47</v>
      </c>
      <c r="L7" s="33"/>
      <c r="M7" s="33"/>
      <c r="N7" s="34">
        <f>+N6-N5</f>
        <v>0</v>
      </c>
      <c r="O7" s="1"/>
      <c r="P7" s="1"/>
    </row>
    <row r="8" spans="1:16" ht="13.5" thickBot="1">
      <c r="C8" s="35"/>
      <c r="D8" s="114"/>
      <c r="E8" s="36"/>
      <c r="F8" s="36"/>
      <c r="G8" s="36"/>
      <c r="H8" s="36"/>
      <c r="I8" s="36"/>
      <c r="J8" s="15"/>
      <c r="K8" s="36"/>
      <c r="L8" s="36"/>
      <c r="M8" s="36"/>
      <c r="N8" s="36"/>
      <c r="O8" s="15"/>
      <c r="P8" s="9"/>
    </row>
    <row r="9" spans="1:16" ht="13.5" thickBot="1">
      <c r="C9" s="37" t="s">
        <v>48</v>
      </c>
      <c r="D9" s="106"/>
      <c r="E9" s="646" t="s">
        <v>322</v>
      </c>
      <c r="F9" s="38"/>
      <c r="G9" s="38"/>
      <c r="H9" s="38"/>
      <c r="I9" s="39"/>
      <c r="J9" s="40"/>
      <c r="O9" s="41"/>
      <c r="P9" s="4"/>
    </row>
    <row r="10" spans="1:16">
      <c r="C10" s="42" t="s">
        <v>49</v>
      </c>
      <c r="D10" s="43">
        <v>0</v>
      </c>
      <c r="E10" s="11" t="s">
        <v>50</v>
      </c>
      <c r="F10" s="41"/>
      <c r="G10" s="44"/>
      <c r="H10" s="44"/>
      <c r="I10" s="45">
        <f>+'OKT.WS.F.BPU.ATRR.Projected'!R101</f>
        <v>2024</v>
      </c>
      <c r="J10" s="40"/>
      <c r="K10" s="19" t="s">
        <v>51</v>
      </c>
      <c r="O10" s="4"/>
      <c r="P10" s="4"/>
    </row>
    <row r="11" spans="1:16">
      <c r="C11" s="46" t="s">
        <v>52</v>
      </c>
      <c r="D11" s="47">
        <v>2022</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12</v>
      </c>
      <c r="E12" s="46" t="s">
        <v>55</v>
      </c>
      <c r="F12" s="44"/>
      <c r="G12" s="7"/>
      <c r="H12" s="7"/>
      <c r="I12" s="50">
        <f>'OKT.WS.F.BPU.ATRR.Projected'!$F$79</f>
        <v>0.11393163315254198</v>
      </c>
      <c r="J12" s="51"/>
      <c r="K12" t="s">
        <v>56</v>
      </c>
      <c r="O12" s="4"/>
      <c r="P12" s="4"/>
    </row>
    <row r="13" spans="1:16">
      <c r="C13" s="46" t="s">
        <v>57</v>
      </c>
      <c r="D13" s="48">
        <f>+'OKT.WS.F.BPU.ATRR.Projected'!F$90</f>
        <v>31</v>
      </c>
      <c r="E13" s="46" t="s">
        <v>58</v>
      </c>
      <c r="F13" s="44"/>
      <c r="G13" s="7"/>
      <c r="H13" s="7"/>
      <c r="I13" s="50">
        <f>IF(G5="",I12,'OKT.WS.F.BPU.ATRR.Projected'!$F$78)</f>
        <v>0.11393163315254198</v>
      </c>
      <c r="J13" s="51"/>
      <c r="K13" s="19" t="s">
        <v>59</v>
      </c>
      <c r="L13" s="10"/>
      <c r="M13" s="10"/>
      <c r="N13" s="10"/>
      <c r="O13" s="4"/>
      <c r="P13" s="4"/>
    </row>
    <row r="14" spans="1:16" ht="13.5" thickBot="1">
      <c r="C14" s="46" t="s">
        <v>60</v>
      </c>
      <c r="D14" s="47" t="s">
        <v>61</v>
      </c>
      <c r="E14" s="4" t="s">
        <v>62</v>
      </c>
      <c r="F14" s="44"/>
      <c r="G14" s="7"/>
      <c r="H14" s="7"/>
      <c r="I14" s="52">
        <f>IF(D10=0,0,D10/D13)</f>
        <v>0</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2022</v>
      </c>
      <c r="D17" s="63">
        <v>0</v>
      </c>
      <c r="E17" s="64">
        <f>IF(D10&gt;=100000,I$14/12*(12-D12),0)</f>
        <v>0</v>
      </c>
      <c r="F17" s="68">
        <f>IF(D11=C17,+D10-E17,+D17-E17)</f>
        <v>0</v>
      </c>
      <c r="G17" s="64">
        <f>(D17+F17)/2*I$12+E17</f>
        <v>0</v>
      </c>
      <c r="H17" s="52">
        <f>+(D17+F17)/2*I$13+E17</f>
        <v>0</v>
      </c>
      <c r="I17" s="65">
        <f t="shared" ref="I17:I71" si="1">H17-G17</f>
        <v>0</v>
      </c>
      <c r="J17" s="65"/>
      <c r="K17" s="132"/>
      <c r="L17" s="66">
        <f t="shared" ref="L17:L71" si="2">IF(K17&lt;&gt;0,+G17-K17,0)</f>
        <v>0</v>
      </c>
      <c r="M17" s="132"/>
      <c r="N17" s="66">
        <f t="shared" ref="N17:N71" si="3">IF(M17&lt;&gt;0,+H17-M17,0)</f>
        <v>0</v>
      </c>
      <c r="O17" s="67">
        <f t="shared" ref="O17:O71" si="4">+N17-L17</f>
        <v>0</v>
      </c>
      <c r="P17" s="4"/>
    </row>
    <row r="18" spans="2:16">
      <c r="B18" t="str">
        <f t="shared" si="0"/>
        <v/>
      </c>
      <c r="C18" s="62">
        <f>IF(D11="","-",+C17+1)</f>
        <v>2023</v>
      </c>
      <c r="D18" s="71">
        <f>IF(F17+SUM(E$17:E17)=D$10,F17,D$10-SUM(E$17:E17))</f>
        <v>0</v>
      </c>
      <c r="E18" s="69">
        <f t="shared" ref="E18:E71" si="5">IF(+I$14&lt;F17,I$14,D18)</f>
        <v>0</v>
      </c>
      <c r="F18" s="68">
        <f t="shared" ref="F18:F71"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c r="B19" t="str">
        <f t="shared" si="0"/>
        <v/>
      </c>
      <c r="C19" s="62">
        <f>IF(D11="","-",+C18+1)</f>
        <v>2024</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c r="B20" t="str">
        <f t="shared" si="0"/>
        <v/>
      </c>
      <c r="C20" s="62">
        <f>IF(D11="","-",+C19+1)</f>
        <v>2025</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c r="B21" t="str">
        <f t="shared" si="0"/>
        <v/>
      </c>
      <c r="C21" s="62">
        <f>IF(D11="","-",+C20+1)</f>
        <v>2026</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c r="B22" t="str">
        <f t="shared" si="0"/>
        <v/>
      </c>
      <c r="C22" s="62">
        <f>IF(D11="","-",+C21+1)</f>
        <v>2027</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c r="B23" t="str">
        <f t="shared" si="0"/>
        <v/>
      </c>
      <c r="C23" s="62">
        <f>IF(D11="","-",+C22+1)</f>
        <v>2028</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c r="B24" t="str">
        <f t="shared" si="0"/>
        <v/>
      </c>
      <c r="C24" s="62">
        <f>IF(D11="","-",+C23+1)</f>
        <v>2029</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c r="B25" t="str">
        <f t="shared" si="0"/>
        <v/>
      </c>
      <c r="C25" s="62">
        <f>IF(D11="","-",+C24+1)</f>
        <v>2030</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c r="B26" t="str">
        <f t="shared" si="0"/>
        <v/>
      </c>
      <c r="C26" s="62">
        <f>IF(D11="","-",+C25+1)</f>
        <v>2031</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c r="B27" t="str">
        <f t="shared" si="0"/>
        <v/>
      </c>
      <c r="C27" s="62">
        <f>IF(D11="","-",+C26+1)</f>
        <v>2032</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c r="B28" t="str">
        <f t="shared" si="0"/>
        <v/>
      </c>
      <c r="C28" s="62">
        <f>IF(D11="","-",+C27+1)</f>
        <v>2033</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c r="B29" t="str">
        <f t="shared" si="0"/>
        <v/>
      </c>
      <c r="C29" s="62">
        <f>IF(D11="","-",+C28+1)</f>
        <v>2034</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c r="B30" t="str">
        <f t="shared" si="0"/>
        <v/>
      </c>
      <c r="C30" s="62">
        <f>IF(D11="","-",+C29+1)</f>
        <v>2035</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c r="B31" t="str">
        <f t="shared" si="0"/>
        <v/>
      </c>
      <c r="C31" s="62">
        <f>IF(D11="","-",+C30+1)</f>
        <v>2036</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c r="B32" t="str">
        <f t="shared" si="0"/>
        <v/>
      </c>
      <c r="C32" s="62">
        <f>IF(D11="","-",+C31+1)</f>
        <v>2037</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c r="B33" t="str">
        <f t="shared" si="0"/>
        <v/>
      </c>
      <c r="C33" s="62">
        <f>IF(D11="","-",+C32+1)</f>
        <v>2038</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c r="B34" t="str">
        <f t="shared" si="0"/>
        <v/>
      </c>
      <c r="C34" s="62">
        <f>IF(D11="","-",+C33+1)</f>
        <v>2039</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c r="B35" t="str">
        <f t="shared" si="0"/>
        <v/>
      </c>
      <c r="C35" s="62">
        <f>IF(D11="","-",+C34+1)</f>
        <v>2040</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c r="B36" t="str">
        <f t="shared" si="0"/>
        <v/>
      </c>
      <c r="C36" s="62">
        <f>IF(D11="","-",+C35+1)</f>
        <v>2041</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c r="B37" t="str">
        <f t="shared" si="0"/>
        <v/>
      </c>
      <c r="C37" s="62">
        <f>IF(D11="","-",+C36+1)</f>
        <v>2042</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c r="B38" t="str">
        <f t="shared" si="0"/>
        <v/>
      </c>
      <c r="C38" s="62">
        <f>IF(D11="","-",+C37+1)</f>
        <v>2043</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c r="B39" t="str">
        <f t="shared" si="0"/>
        <v/>
      </c>
      <c r="C39" s="62">
        <f>IF(D11="","-",+C38+1)</f>
        <v>2044</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c r="B40" t="str">
        <f t="shared" si="0"/>
        <v/>
      </c>
      <c r="C40" s="62">
        <f>IF(D11="","-",+C39+1)</f>
        <v>2045</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c r="B41" t="str">
        <f t="shared" si="0"/>
        <v/>
      </c>
      <c r="C41" s="62">
        <f>IF(D11="","-",+C40+1)</f>
        <v>2046</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c r="B42" t="str">
        <f t="shared" si="0"/>
        <v/>
      </c>
      <c r="C42" s="62">
        <f>IF(D11="","-",+C41+1)</f>
        <v>2047</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c r="B43" t="str">
        <f t="shared" si="0"/>
        <v/>
      </c>
      <c r="C43" s="62">
        <f>IF(D11="","-",+C42+1)</f>
        <v>2048</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c r="B44" t="str">
        <f t="shared" si="0"/>
        <v/>
      </c>
      <c r="C44" s="62">
        <f>IF(D11="","-",+C43+1)</f>
        <v>2049</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c r="B45" t="str">
        <f t="shared" si="0"/>
        <v/>
      </c>
      <c r="C45" s="62">
        <f>IF(D11="","-",+C44+1)</f>
        <v>2050</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c r="B46" t="str">
        <f t="shared" si="0"/>
        <v/>
      </c>
      <c r="C46" s="62">
        <f>IF(D11="","-",+C45+1)</f>
        <v>2051</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c r="B47" t="str">
        <f t="shared" si="0"/>
        <v/>
      </c>
      <c r="C47" s="62">
        <f>IF(D11="","-",+C46+1)</f>
        <v>2052</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c r="B48" t="str">
        <f t="shared" si="0"/>
        <v/>
      </c>
      <c r="C48" s="62">
        <f>IF(D11="","-",+C47+1)</f>
        <v>2053</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c r="B49" t="str">
        <f t="shared" si="0"/>
        <v/>
      </c>
      <c r="C49" s="62">
        <f>IF(D11="","-",+C48+1)</f>
        <v>2054</v>
      </c>
      <c r="D49" s="71">
        <f>IF(F48+SUM(E$17:E48)=D$10,F48,D$10-SUM(E$17:E48))</f>
        <v>0</v>
      </c>
      <c r="E49" s="69">
        <f t="shared" si="5"/>
        <v>0</v>
      </c>
      <c r="F49" s="68">
        <f t="shared" si="6"/>
        <v>0</v>
      </c>
      <c r="G49" s="70">
        <f t="shared" si="7"/>
        <v>0</v>
      </c>
      <c r="H49" s="52">
        <f t="shared" si="8"/>
        <v>0</v>
      </c>
      <c r="I49" s="65">
        <f t="shared" si="1"/>
        <v>0</v>
      </c>
      <c r="J49" s="65"/>
      <c r="K49" s="130"/>
      <c r="L49" s="67">
        <f t="shared" si="2"/>
        <v>0</v>
      </c>
      <c r="M49" s="130"/>
      <c r="N49" s="67">
        <f t="shared" si="3"/>
        <v>0</v>
      </c>
      <c r="O49" s="67">
        <f t="shared" si="4"/>
        <v>0</v>
      </c>
      <c r="P49" s="4"/>
    </row>
    <row r="50" spans="2:16">
      <c r="B50" t="str">
        <f t="shared" si="0"/>
        <v/>
      </c>
      <c r="C50" s="62">
        <f>IF(D11="","-",+C49+1)</f>
        <v>2055</v>
      </c>
      <c r="D50" s="71">
        <f>IF(F49+SUM(E$17:E49)=D$10,F49,D$10-SUM(E$17:E49))</f>
        <v>0</v>
      </c>
      <c r="E50" s="69">
        <f t="shared" si="5"/>
        <v>0</v>
      </c>
      <c r="F50" s="68">
        <f t="shared" si="6"/>
        <v>0</v>
      </c>
      <c r="G50" s="70">
        <f t="shared" si="7"/>
        <v>0</v>
      </c>
      <c r="H50" s="52">
        <f t="shared" si="8"/>
        <v>0</v>
      </c>
      <c r="I50" s="65">
        <f t="shared" si="1"/>
        <v>0</v>
      </c>
      <c r="J50" s="65"/>
      <c r="K50" s="130"/>
      <c r="L50" s="67">
        <f t="shared" si="2"/>
        <v>0</v>
      </c>
      <c r="M50" s="130"/>
      <c r="N50" s="67">
        <f t="shared" si="3"/>
        <v>0</v>
      </c>
      <c r="O50" s="67">
        <f t="shared" si="4"/>
        <v>0</v>
      </c>
      <c r="P50" s="4"/>
    </row>
    <row r="51" spans="2:16">
      <c r="B51" t="str">
        <f t="shared" si="0"/>
        <v/>
      </c>
      <c r="C51" s="62">
        <f>IF(D11="","-",+C50+1)</f>
        <v>2056</v>
      </c>
      <c r="D51" s="71">
        <f>IF(F50+SUM(E$17:E50)=D$10,F50,D$10-SUM(E$17:E50))</f>
        <v>0</v>
      </c>
      <c r="E51" s="69">
        <f t="shared" si="5"/>
        <v>0</v>
      </c>
      <c r="F51" s="68">
        <f t="shared" si="6"/>
        <v>0</v>
      </c>
      <c r="G51" s="70">
        <f t="shared" si="7"/>
        <v>0</v>
      </c>
      <c r="H51" s="52">
        <f t="shared" si="8"/>
        <v>0</v>
      </c>
      <c r="I51" s="65">
        <f t="shared" si="1"/>
        <v>0</v>
      </c>
      <c r="J51" s="65"/>
      <c r="K51" s="130"/>
      <c r="L51" s="67">
        <f t="shared" si="2"/>
        <v>0</v>
      </c>
      <c r="M51" s="130"/>
      <c r="N51" s="67">
        <f t="shared" si="3"/>
        <v>0</v>
      </c>
      <c r="O51" s="67">
        <f t="shared" si="4"/>
        <v>0</v>
      </c>
      <c r="P51" s="4"/>
    </row>
    <row r="52" spans="2:16">
      <c r="B52" t="str">
        <f t="shared" si="0"/>
        <v/>
      </c>
      <c r="C52" s="62">
        <f>IF(D11="","-",+C51+1)</f>
        <v>2057</v>
      </c>
      <c r="D52" s="71">
        <f>IF(F51+SUM(E$17:E51)=D$10,F51,D$10-SUM(E$17:E51))</f>
        <v>0</v>
      </c>
      <c r="E52" s="69">
        <f t="shared" si="5"/>
        <v>0</v>
      </c>
      <c r="F52" s="68">
        <f t="shared" si="6"/>
        <v>0</v>
      </c>
      <c r="G52" s="70">
        <f t="shared" si="7"/>
        <v>0</v>
      </c>
      <c r="H52" s="52">
        <f t="shared" si="8"/>
        <v>0</v>
      </c>
      <c r="I52" s="65">
        <f t="shared" si="1"/>
        <v>0</v>
      </c>
      <c r="J52" s="65"/>
      <c r="K52" s="130"/>
      <c r="L52" s="67">
        <f t="shared" si="2"/>
        <v>0</v>
      </c>
      <c r="M52" s="130"/>
      <c r="N52" s="67">
        <f t="shared" si="3"/>
        <v>0</v>
      </c>
      <c r="O52" s="67">
        <f t="shared" si="4"/>
        <v>0</v>
      </c>
      <c r="P52" s="4"/>
    </row>
    <row r="53" spans="2:16">
      <c r="B53" t="str">
        <f t="shared" si="0"/>
        <v/>
      </c>
      <c r="C53" s="62">
        <f>IF(D11="","-",+C52+1)</f>
        <v>2058</v>
      </c>
      <c r="D53" s="71">
        <f>IF(F52+SUM(E$17:E52)=D$10,F52,D$10-SUM(E$17:E52))</f>
        <v>0</v>
      </c>
      <c r="E53" s="69">
        <f t="shared" si="5"/>
        <v>0</v>
      </c>
      <c r="F53" s="68">
        <f t="shared" si="6"/>
        <v>0</v>
      </c>
      <c r="G53" s="70">
        <f t="shared" si="7"/>
        <v>0</v>
      </c>
      <c r="H53" s="52">
        <f t="shared" si="8"/>
        <v>0</v>
      </c>
      <c r="I53" s="65">
        <f t="shared" si="1"/>
        <v>0</v>
      </c>
      <c r="J53" s="65"/>
      <c r="K53" s="130"/>
      <c r="L53" s="67">
        <f t="shared" si="2"/>
        <v>0</v>
      </c>
      <c r="M53" s="130"/>
      <c r="N53" s="67">
        <f t="shared" si="3"/>
        <v>0</v>
      </c>
      <c r="O53" s="67">
        <f t="shared" si="4"/>
        <v>0</v>
      </c>
      <c r="P53" s="4"/>
    </row>
    <row r="54" spans="2:16">
      <c r="B54" t="str">
        <f t="shared" si="0"/>
        <v/>
      </c>
      <c r="C54" s="62">
        <f>IF(D11="","-",+C53+1)</f>
        <v>2059</v>
      </c>
      <c r="D54" s="71">
        <f>IF(F53+SUM(E$17:E53)=D$10,F53,D$10-SUM(E$17:E53))</f>
        <v>0</v>
      </c>
      <c r="E54" s="69">
        <f t="shared" si="5"/>
        <v>0</v>
      </c>
      <c r="F54" s="68">
        <f t="shared" si="6"/>
        <v>0</v>
      </c>
      <c r="G54" s="70">
        <f t="shared" si="7"/>
        <v>0</v>
      </c>
      <c r="H54" s="52">
        <f t="shared" si="8"/>
        <v>0</v>
      </c>
      <c r="I54" s="65">
        <f t="shared" si="1"/>
        <v>0</v>
      </c>
      <c r="J54" s="65"/>
      <c r="K54" s="130"/>
      <c r="L54" s="67">
        <f t="shared" si="2"/>
        <v>0</v>
      </c>
      <c r="M54" s="130"/>
      <c r="N54" s="67">
        <f t="shared" si="3"/>
        <v>0</v>
      </c>
      <c r="O54" s="67">
        <f t="shared" si="4"/>
        <v>0</v>
      </c>
      <c r="P54" s="4"/>
    </row>
    <row r="55" spans="2:16">
      <c r="B55" t="str">
        <f t="shared" si="0"/>
        <v/>
      </c>
      <c r="C55" s="62">
        <f>IF(D11="","-",+C54+1)</f>
        <v>2060</v>
      </c>
      <c r="D55" s="71">
        <f>IF(F54+SUM(E$17:E54)=D$10,F54,D$10-SUM(E$17:E54))</f>
        <v>0</v>
      </c>
      <c r="E55" s="69">
        <f t="shared" si="5"/>
        <v>0</v>
      </c>
      <c r="F55" s="68">
        <f t="shared" si="6"/>
        <v>0</v>
      </c>
      <c r="G55" s="70">
        <f t="shared" si="7"/>
        <v>0</v>
      </c>
      <c r="H55" s="52">
        <f t="shared" si="8"/>
        <v>0</v>
      </c>
      <c r="I55" s="65">
        <f t="shared" si="1"/>
        <v>0</v>
      </c>
      <c r="J55" s="65"/>
      <c r="K55" s="130"/>
      <c r="L55" s="67">
        <f t="shared" si="2"/>
        <v>0</v>
      </c>
      <c r="M55" s="130"/>
      <c r="N55" s="67">
        <f t="shared" si="3"/>
        <v>0</v>
      </c>
      <c r="O55" s="67">
        <f t="shared" si="4"/>
        <v>0</v>
      </c>
      <c r="P55" s="4"/>
    </row>
    <row r="56" spans="2:16">
      <c r="B56" t="str">
        <f t="shared" si="0"/>
        <v/>
      </c>
      <c r="C56" s="62">
        <f>IF(D11="","-",+C55+1)</f>
        <v>2061</v>
      </c>
      <c r="D56" s="71">
        <f>IF(F55+SUM(E$17:E55)=D$10,F55,D$10-SUM(E$17:E55))</f>
        <v>0</v>
      </c>
      <c r="E56" s="69">
        <f t="shared" si="5"/>
        <v>0</v>
      </c>
      <c r="F56" s="68">
        <f t="shared" si="6"/>
        <v>0</v>
      </c>
      <c r="G56" s="70">
        <f t="shared" si="7"/>
        <v>0</v>
      </c>
      <c r="H56" s="52">
        <f t="shared" si="8"/>
        <v>0</v>
      </c>
      <c r="I56" s="65">
        <f t="shared" si="1"/>
        <v>0</v>
      </c>
      <c r="J56" s="65"/>
      <c r="K56" s="130"/>
      <c r="L56" s="67">
        <f t="shared" si="2"/>
        <v>0</v>
      </c>
      <c r="M56" s="130"/>
      <c r="N56" s="67">
        <f t="shared" si="3"/>
        <v>0</v>
      </c>
      <c r="O56" s="67">
        <f t="shared" si="4"/>
        <v>0</v>
      </c>
      <c r="P56" s="4"/>
    </row>
    <row r="57" spans="2:16">
      <c r="B57" t="str">
        <f t="shared" si="0"/>
        <v/>
      </c>
      <c r="C57" s="62">
        <f>IF(D11="","-",+C56+1)</f>
        <v>2062</v>
      </c>
      <c r="D57" s="71">
        <f>IF(F56+SUM(E$17:E56)=D$10,F56,D$10-SUM(E$17:E56))</f>
        <v>0</v>
      </c>
      <c r="E57" s="69">
        <f t="shared" si="5"/>
        <v>0</v>
      </c>
      <c r="F57" s="68">
        <f t="shared" si="6"/>
        <v>0</v>
      </c>
      <c r="G57" s="70">
        <f t="shared" si="7"/>
        <v>0</v>
      </c>
      <c r="H57" s="52">
        <f t="shared" si="8"/>
        <v>0</v>
      </c>
      <c r="I57" s="65">
        <f t="shared" si="1"/>
        <v>0</v>
      </c>
      <c r="J57" s="65"/>
      <c r="K57" s="130"/>
      <c r="L57" s="67">
        <f t="shared" si="2"/>
        <v>0</v>
      </c>
      <c r="M57" s="130"/>
      <c r="N57" s="67">
        <f t="shared" si="3"/>
        <v>0</v>
      </c>
      <c r="O57" s="67">
        <f t="shared" si="4"/>
        <v>0</v>
      </c>
      <c r="P57" s="4"/>
    </row>
    <row r="58" spans="2:16">
      <c r="B58" t="str">
        <f t="shared" si="0"/>
        <v/>
      </c>
      <c r="C58" s="62">
        <f>IF(D11="","-",+C57+1)</f>
        <v>2063</v>
      </c>
      <c r="D58" s="71">
        <f>IF(F57+SUM(E$17:E57)=D$10,F57,D$10-SUM(E$17:E57))</f>
        <v>0</v>
      </c>
      <c r="E58" s="69">
        <f t="shared" si="5"/>
        <v>0</v>
      </c>
      <c r="F58" s="68">
        <f t="shared" si="6"/>
        <v>0</v>
      </c>
      <c r="G58" s="70">
        <f t="shared" si="7"/>
        <v>0</v>
      </c>
      <c r="H58" s="52">
        <f t="shared" si="8"/>
        <v>0</v>
      </c>
      <c r="I58" s="65">
        <f t="shared" si="1"/>
        <v>0</v>
      </c>
      <c r="J58" s="65"/>
      <c r="K58" s="130"/>
      <c r="L58" s="67">
        <f t="shared" si="2"/>
        <v>0</v>
      </c>
      <c r="M58" s="130"/>
      <c r="N58" s="67">
        <f t="shared" si="3"/>
        <v>0</v>
      </c>
      <c r="O58" s="67">
        <f t="shared" si="4"/>
        <v>0</v>
      </c>
      <c r="P58" s="4"/>
    </row>
    <row r="59" spans="2:16">
      <c r="B59" t="str">
        <f t="shared" si="0"/>
        <v/>
      </c>
      <c r="C59" s="62">
        <f>IF(D11="","-",+C58+1)</f>
        <v>2064</v>
      </c>
      <c r="D59" s="71">
        <f>IF(F58+SUM(E$17:E58)=D$10,F58,D$10-SUM(E$17:E58))</f>
        <v>0</v>
      </c>
      <c r="E59" s="69">
        <f t="shared" si="5"/>
        <v>0</v>
      </c>
      <c r="F59" s="68">
        <f t="shared" si="6"/>
        <v>0</v>
      </c>
      <c r="G59" s="70">
        <f t="shared" si="7"/>
        <v>0</v>
      </c>
      <c r="H59" s="52">
        <f t="shared" si="8"/>
        <v>0</v>
      </c>
      <c r="I59" s="65">
        <f t="shared" si="1"/>
        <v>0</v>
      </c>
      <c r="J59" s="65"/>
      <c r="K59" s="130"/>
      <c r="L59" s="67">
        <f t="shared" si="2"/>
        <v>0</v>
      </c>
      <c r="M59" s="130"/>
      <c r="N59" s="67">
        <f t="shared" si="3"/>
        <v>0</v>
      </c>
      <c r="O59" s="67">
        <f t="shared" si="4"/>
        <v>0</v>
      </c>
      <c r="P59" s="4"/>
    </row>
    <row r="60" spans="2:16">
      <c r="B60" t="str">
        <f t="shared" si="0"/>
        <v/>
      </c>
      <c r="C60" s="62">
        <f>IF(D11="","-",+C59+1)</f>
        <v>2065</v>
      </c>
      <c r="D60" s="71">
        <f>IF(F59+SUM(E$17:E59)=D$10,F59,D$10-SUM(E$17:E59))</f>
        <v>0</v>
      </c>
      <c r="E60" s="69">
        <f t="shared" si="5"/>
        <v>0</v>
      </c>
      <c r="F60" s="68">
        <f t="shared" si="6"/>
        <v>0</v>
      </c>
      <c r="G60" s="70">
        <f t="shared" si="7"/>
        <v>0</v>
      </c>
      <c r="H60" s="52">
        <f t="shared" si="8"/>
        <v>0</v>
      </c>
      <c r="I60" s="65">
        <f t="shared" si="1"/>
        <v>0</v>
      </c>
      <c r="J60" s="65"/>
      <c r="K60" s="130"/>
      <c r="L60" s="67">
        <f t="shared" si="2"/>
        <v>0</v>
      </c>
      <c r="M60" s="130"/>
      <c r="N60" s="67">
        <f t="shared" si="3"/>
        <v>0</v>
      </c>
      <c r="O60" s="67">
        <f t="shared" si="4"/>
        <v>0</v>
      </c>
      <c r="P60" s="4"/>
    </row>
    <row r="61" spans="2:16">
      <c r="B61" t="str">
        <f t="shared" si="0"/>
        <v/>
      </c>
      <c r="C61" s="62">
        <f>IF(D11="","-",+C60+1)</f>
        <v>2066</v>
      </c>
      <c r="D61" s="71">
        <f>IF(F60+SUM(E$17:E60)=D$10,F60,D$10-SUM(E$17:E60))</f>
        <v>0</v>
      </c>
      <c r="E61" s="69">
        <f t="shared" si="5"/>
        <v>0</v>
      </c>
      <c r="F61" s="68">
        <f t="shared" si="6"/>
        <v>0</v>
      </c>
      <c r="G61" s="72">
        <f t="shared" si="7"/>
        <v>0</v>
      </c>
      <c r="H61" s="52">
        <f t="shared" si="8"/>
        <v>0</v>
      </c>
      <c r="I61" s="65">
        <f t="shared" si="1"/>
        <v>0</v>
      </c>
      <c r="J61" s="65"/>
      <c r="K61" s="130"/>
      <c r="L61" s="67">
        <f t="shared" si="2"/>
        <v>0</v>
      </c>
      <c r="M61" s="130"/>
      <c r="N61" s="67">
        <f t="shared" si="3"/>
        <v>0</v>
      </c>
      <c r="O61" s="67">
        <f t="shared" si="4"/>
        <v>0</v>
      </c>
      <c r="P61" s="4"/>
    </row>
    <row r="62" spans="2:16">
      <c r="B62" t="str">
        <f t="shared" si="0"/>
        <v/>
      </c>
      <c r="C62" s="62">
        <f>IF(D11="","-",+C61+1)</f>
        <v>2067</v>
      </c>
      <c r="D62" s="71">
        <f>IF(F61+SUM(E$17:E61)=D$10,F61,D$10-SUM(E$17:E61))</f>
        <v>0</v>
      </c>
      <c r="E62" s="69">
        <f t="shared" si="5"/>
        <v>0</v>
      </c>
      <c r="F62" s="68">
        <f t="shared" si="6"/>
        <v>0</v>
      </c>
      <c r="G62" s="72">
        <f t="shared" si="7"/>
        <v>0</v>
      </c>
      <c r="H62" s="52">
        <f t="shared" si="8"/>
        <v>0</v>
      </c>
      <c r="I62" s="65">
        <f t="shared" si="1"/>
        <v>0</v>
      </c>
      <c r="J62" s="65"/>
      <c r="K62" s="130"/>
      <c r="L62" s="67">
        <f t="shared" si="2"/>
        <v>0</v>
      </c>
      <c r="M62" s="130"/>
      <c r="N62" s="67">
        <f t="shared" si="3"/>
        <v>0</v>
      </c>
      <c r="O62" s="67">
        <f t="shared" si="4"/>
        <v>0</v>
      </c>
      <c r="P62" s="4"/>
    </row>
    <row r="63" spans="2:16">
      <c r="B63" t="str">
        <f t="shared" si="0"/>
        <v/>
      </c>
      <c r="C63" s="62">
        <f>IF(D11="","-",+C62+1)</f>
        <v>2068</v>
      </c>
      <c r="D63" s="71">
        <f>IF(F62+SUM(E$17:E62)=D$10,F62,D$10-SUM(E$17:E62))</f>
        <v>0</v>
      </c>
      <c r="E63" s="69">
        <f t="shared" si="5"/>
        <v>0</v>
      </c>
      <c r="F63" s="68">
        <f t="shared" si="6"/>
        <v>0</v>
      </c>
      <c r="G63" s="72">
        <f t="shared" si="7"/>
        <v>0</v>
      </c>
      <c r="H63" s="52">
        <f t="shared" si="8"/>
        <v>0</v>
      </c>
      <c r="I63" s="65">
        <f t="shared" si="1"/>
        <v>0</v>
      </c>
      <c r="J63" s="65"/>
      <c r="K63" s="130"/>
      <c r="L63" s="67">
        <f t="shared" si="2"/>
        <v>0</v>
      </c>
      <c r="M63" s="130"/>
      <c r="N63" s="67">
        <f t="shared" si="3"/>
        <v>0</v>
      </c>
      <c r="O63" s="67">
        <f t="shared" si="4"/>
        <v>0</v>
      </c>
      <c r="P63" s="4"/>
    </row>
    <row r="64" spans="2:16">
      <c r="B64" t="str">
        <f t="shared" si="0"/>
        <v/>
      </c>
      <c r="C64" s="62">
        <f>IF(D11="","-",+C63+1)</f>
        <v>2069</v>
      </c>
      <c r="D64" s="71">
        <f>IF(F63+SUM(E$17:E63)=D$10,F63,D$10-SUM(E$17:E63))</f>
        <v>0</v>
      </c>
      <c r="E64" s="69">
        <f t="shared" si="5"/>
        <v>0</v>
      </c>
      <c r="F64" s="68">
        <f t="shared" si="6"/>
        <v>0</v>
      </c>
      <c r="G64" s="72">
        <f t="shared" si="7"/>
        <v>0</v>
      </c>
      <c r="H64" s="52">
        <f t="shared" si="8"/>
        <v>0</v>
      </c>
      <c r="I64" s="65">
        <f t="shared" si="1"/>
        <v>0</v>
      </c>
      <c r="J64" s="65"/>
      <c r="K64" s="130"/>
      <c r="L64" s="67">
        <f t="shared" si="2"/>
        <v>0</v>
      </c>
      <c r="M64" s="130"/>
      <c r="N64" s="67">
        <f t="shared" si="3"/>
        <v>0</v>
      </c>
      <c r="O64" s="67">
        <f t="shared" si="4"/>
        <v>0</v>
      </c>
      <c r="P64" s="4"/>
    </row>
    <row r="65" spans="2:16">
      <c r="B65" t="str">
        <f t="shared" si="0"/>
        <v/>
      </c>
      <c r="C65" s="62">
        <f>IF(D11="","-",+C64+1)</f>
        <v>2070</v>
      </c>
      <c r="D65" s="71">
        <f>IF(F64+SUM(E$17:E64)=D$10,F64,D$10-SUM(E$17:E64))</f>
        <v>0</v>
      </c>
      <c r="E65" s="69">
        <f t="shared" si="5"/>
        <v>0</v>
      </c>
      <c r="F65" s="68">
        <f t="shared" si="6"/>
        <v>0</v>
      </c>
      <c r="G65" s="72">
        <f t="shared" si="7"/>
        <v>0</v>
      </c>
      <c r="H65" s="52">
        <f t="shared" si="8"/>
        <v>0</v>
      </c>
      <c r="I65" s="65">
        <f t="shared" si="1"/>
        <v>0</v>
      </c>
      <c r="J65" s="65"/>
      <c r="K65" s="130"/>
      <c r="L65" s="67">
        <f t="shared" si="2"/>
        <v>0</v>
      </c>
      <c r="M65" s="130"/>
      <c r="N65" s="67">
        <f t="shared" si="3"/>
        <v>0</v>
      </c>
      <c r="O65" s="67">
        <f t="shared" si="4"/>
        <v>0</v>
      </c>
      <c r="P65" s="4"/>
    </row>
    <row r="66" spans="2:16">
      <c r="B66" t="str">
        <f t="shared" si="0"/>
        <v/>
      </c>
      <c r="C66" s="62">
        <f>IF(D11="","-",+C65+1)</f>
        <v>2071</v>
      </c>
      <c r="D66" s="71">
        <f>IF(F65+SUM(E$17:E65)=D$10,F65,D$10-SUM(E$17:E65))</f>
        <v>0</v>
      </c>
      <c r="E66" s="69">
        <f t="shared" si="5"/>
        <v>0</v>
      </c>
      <c r="F66" s="68">
        <f t="shared" si="6"/>
        <v>0</v>
      </c>
      <c r="G66" s="72">
        <f t="shared" si="7"/>
        <v>0</v>
      </c>
      <c r="H66" s="52">
        <f t="shared" si="8"/>
        <v>0</v>
      </c>
      <c r="I66" s="65">
        <f t="shared" si="1"/>
        <v>0</v>
      </c>
      <c r="J66" s="65"/>
      <c r="K66" s="130"/>
      <c r="L66" s="67">
        <f t="shared" si="2"/>
        <v>0</v>
      </c>
      <c r="M66" s="130"/>
      <c r="N66" s="67">
        <f t="shared" si="3"/>
        <v>0</v>
      </c>
      <c r="O66" s="67">
        <f t="shared" si="4"/>
        <v>0</v>
      </c>
      <c r="P66" s="4"/>
    </row>
    <row r="67" spans="2:16">
      <c r="B67" t="str">
        <f t="shared" si="0"/>
        <v/>
      </c>
      <c r="C67" s="62">
        <f>IF(D11="","-",+C66+1)</f>
        <v>2072</v>
      </c>
      <c r="D67" s="71">
        <f>IF(F66+SUM(E$17:E66)=D$10,F66,D$10-SUM(E$17:E66))</f>
        <v>0</v>
      </c>
      <c r="E67" s="69">
        <f t="shared" si="5"/>
        <v>0</v>
      </c>
      <c r="F67" s="68">
        <f t="shared" si="6"/>
        <v>0</v>
      </c>
      <c r="G67" s="72">
        <f t="shared" si="7"/>
        <v>0</v>
      </c>
      <c r="H67" s="52">
        <f t="shared" si="8"/>
        <v>0</v>
      </c>
      <c r="I67" s="65">
        <f t="shared" si="1"/>
        <v>0</v>
      </c>
      <c r="J67" s="65"/>
      <c r="K67" s="130"/>
      <c r="L67" s="67">
        <f t="shared" si="2"/>
        <v>0</v>
      </c>
      <c r="M67" s="130"/>
      <c r="N67" s="67">
        <f t="shared" si="3"/>
        <v>0</v>
      </c>
      <c r="O67" s="67">
        <f t="shared" si="4"/>
        <v>0</v>
      </c>
      <c r="P67" s="4"/>
    </row>
    <row r="68" spans="2:16">
      <c r="B68" t="str">
        <f t="shared" si="0"/>
        <v/>
      </c>
      <c r="C68" s="62">
        <f>IF(D11="","-",+C67+1)</f>
        <v>2073</v>
      </c>
      <c r="D68" s="71">
        <f>IF(F67+SUM(E$17:E67)=D$10,F67,D$10-SUM(E$17:E67))</f>
        <v>0</v>
      </c>
      <c r="E68" s="69">
        <f t="shared" si="5"/>
        <v>0</v>
      </c>
      <c r="F68" s="68">
        <f t="shared" si="6"/>
        <v>0</v>
      </c>
      <c r="G68" s="72">
        <f t="shared" si="7"/>
        <v>0</v>
      </c>
      <c r="H68" s="52">
        <f t="shared" si="8"/>
        <v>0</v>
      </c>
      <c r="I68" s="65">
        <f t="shared" si="1"/>
        <v>0</v>
      </c>
      <c r="J68" s="65"/>
      <c r="K68" s="130"/>
      <c r="L68" s="67">
        <f t="shared" si="2"/>
        <v>0</v>
      </c>
      <c r="M68" s="130"/>
      <c r="N68" s="67">
        <f t="shared" si="3"/>
        <v>0</v>
      </c>
      <c r="O68" s="67">
        <f t="shared" si="4"/>
        <v>0</v>
      </c>
      <c r="P68" s="4"/>
    </row>
    <row r="69" spans="2:16">
      <c r="B69" t="str">
        <f t="shared" si="0"/>
        <v/>
      </c>
      <c r="C69" s="62">
        <f>IF(D11="","-",+C68+1)</f>
        <v>2074</v>
      </c>
      <c r="D69" s="71">
        <f>IF(F68+SUM(E$17:E68)=D$10,F68,D$10-SUM(E$17:E68))</f>
        <v>0</v>
      </c>
      <c r="E69" s="69">
        <f t="shared" si="5"/>
        <v>0</v>
      </c>
      <c r="F69" s="68">
        <f t="shared" si="6"/>
        <v>0</v>
      </c>
      <c r="G69" s="72">
        <f t="shared" si="7"/>
        <v>0</v>
      </c>
      <c r="H69" s="52">
        <f t="shared" si="8"/>
        <v>0</v>
      </c>
      <c r="I69" s="65">
        <f t="shared" si="1"/>
        <v>0</v>
      </c>
      <c r="J69" s="65"/>
      <c r="K69" s="130"/>
      <c r="L69" s="67">
        <f t="shared" si="2"/>
        <v>0</v>
      </c>
      <c r="M69" s="130"/>
      <c r="N69" s="67">
        <f t="shared" si="3"/>
        <v>0</v>
      </c>
      <c r="O69" s="67">
        <f t="shared" si="4"/>
        <v>0</v>
      </c>
      <c r="P69" s="4"/>
    </row>
    <row r="70" spans="2:16">
      <c r="B70" t="str">
        <f t="shared" si="0"/>
        <v/>
      </c>
      <c r="C70" s="62">
        <f>IF(D11="","-",+C69+1)</f>
        <v>2075</v>
      </c>
      <c r="D70" s="71">
        <f>IF(F69+SUM(E$17:E69)=D$10,F69,D$10-SUM(E$17:E69))</f>
        <v>0</v>
      </c>
      <c r="E70" s="69">
        <f t="shared" si="5"/>
        <v>0</v>
      </c>
      <c r="F70" s="68">
        <f t="shared" si="6"/>
        <v>0</v>
      </c>
      <c r="G70" s="72">
        <f t="shared" si="7"/>
        <v>0</v>
      </c>
      <c r="H70" s="52">
        <f t="shared" si="8"/>
        <v>0</v>
      </c>
      <c r="I70" s="65">
        <f t="shared" si="1"/>
        <v>0</v>
      </c>
      <c r="J70" s="65"/>
      <c r="K70" s="130"/>
      <c r="L70" s="67">
        <f t="shared" si="2"/>
        <v>0</v>
      </c>
      <c r="M70" s="130"/>
      <c r="N70" s="67">
        <f t="shared" si="3"/>
        <v>0</v>
      </c>
      <c r="O70" s="67">
        <f t="shared" si="4"/>
        <v>0</v>
      </c>
      <c r="P70" s="4"/>
    </row>
    <row r="71" spans="2:16">
      <c r="B71" t="str">
        <f t="shared" si="0"/>
        <v/>
      </c>
      <c r="C71" s="62">
        <f>IF(D11="","-",+C70+1)</f>
        <v>2076</v>
      </c>
      <c r="D71" s="71">
        <f>IF(F70+SUM(E$17:E70)=D$10,F70,D$10-SUM(E$17:E70))</f>
        <v>0</v>
      </c>
      <c r="E71" s="69">
        <f t="shared" si="5"/>
        <v>0</v>
      </c>
      <c r="F71" s="68">
        <f t="shared" si="6"/>
        <v>0</v>
      </c>
      <c r="G71" s="72">
        <f t="shared" si="7"/>
        <v>0</v>
      </c>
      <c r="H71" s="52">
        <f t="shared" si="8"/>
        <v>0</v>
      </c>
      <c r="I71" s="65">
        <f t="shared" si="1"/>
        <v>0</v>
      </c>
      <c r="J71" s="65"/>
      <c r="K71" s="130"/>
      <c r="L71" s="67">
        <f t="shared" si="2"/>
        <v>0</v>
      </c>
      <c r="M71" s="130"/>
      <c r="N71" s="67">
        <f t="shared" si="3"/>
        <v>0</v>
      </c>
      <c r="O71" s="67">
        <f t="shared" si="4"/>
        <v>0</v>
      </c>
      <c r="P71" s="4"/>
    </row>
    <row r="72" spans="2:16">
      <c r="C72" s="62">
        <f>IF(D12="","-",+C71+1)</f>
        <v>2077</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2078</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0</v>
      </c>
      <c r="F74" s="19"/>
      <c r="G74" s="19">
        <f>SUM(G17:G73)</f>
        <v>0</v>
      </c>
      <c r="H74" s="19">
        <f>SUM(H17:H73)</f>
        <v>0</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24 of 24</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2021</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f>+D7</f>
        <v>0</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f>+D9</f>
        <v>0</v>
      </c>
      <c r="E92" s="91"/>
      <c r="F92" s="91"/>
      <c r="G92" s="91"/>
      <c r="H92" s="91"/>
      <c r="I92" s="91"/>
      <c r="J92" s="91"/>
      <c r="K92" s="92"/>
      <c r="P92" s="41"/>
    </row>
    <row r="93" spans="1:16">
      <c r="C93" s="46" t="s">
        <v>49</v>
      </c>
      <c r="D93" s="653">
        <v>0</v>
      </c>
      <c r="E93" s="9" t="s">
        <v>84</v>
      </c>
      <c r="H93" s="44"/>
      <c r="I93" s="44"/>
      <c r="J93" s="45">
        <f>+'OKT.WS.G.BPU.ATRR.True-up'!M16</f>
        <v>2021</v>
      </c>
      <c r="K93" s="40"/>
      <c r="L93" s="19" t="s">
        <v>85</v>
      </c>
      <c r="P93" s="4"/>
    </row>
    <row r="94" spans="1:16">
      <c r="C94" s="46" t="s">
        <v>52</v>
      </c>
      <c r="D94" s="102">
        <f>IF(D11="","",D11)</f>
        <v>2022</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12</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9">IF(D100=F99,"","IU")</f>
        <v>IU</v>
      </c>
      <c r="C100" s="62">
        <f>IF(D94= "","-",D94)</f>
        <v>2022</v>
      </c>
      <c r="D100" s="63">
        <f>IF(D94=C100,0,IF(D93&lt;100000,0,D93))</f>
        <v>0</v>
      </c>
      <c r="E100" s="70">
        <f>IF(D93&lt;100000,0,J$97/12*(12-D95))</f>
        <v>0</v>
      </c>
      <c r="F100" s="68">
        <f>IF(D94=C100,+D93-E100,+D100-E100)</f>
        <v>0</v>
      </c>
      <c r="G100" s="98">
        <f>+(F100+D100)/2</f>
        <v>0</v>
      </c>
      <c r="H100" s="98">
        <f t="shared" ref="H100:H107" si="10">+J$95*G100+E100</f>
        <v>0</v>
      </c>
      <c r="I100" s="98">
        <f>+J$96*G100+E100</f>
        <v>0</v>
      </c>
      <c r="J100" s="67">
        <f t="shared" ref="J100:J131" si="11">+I100-H100</f>
        <v>0</v>
      </c>
      <c r="K100" s="67"/>
      <c r="L100" s="506">
        <f>+H100</f>
        <v>0</v>
      </c>
      <c r="M100" s="652">
        <f t="shared" ref="M100:M131" si="12">IF(L100&lt;&gt;0,+H100-L100,0)</f>
        <v>0</v>
      </c>
      <c r="N100" s="506">
        <f>+I100</f>
        <v>0</v>
      </c>
      <c r="O100" s="66">
        <f t="shared" ref="O100:O131" si="13">IF(N100&lt;&gt;0,+I100-N100,0)</f>
        <v>0</v>
      </c>
      <c r="P100" s="66">
        <f t="shared" ref="P100:P131" si="14">+O100-M100</f>
        <v>0</v>
      </c>
    </row>
    <row r="101" spans="1:16">
      <c r="B101" t="str">
        <f t="shared" si="9"/>
        <v/>
      </c>
      <c r="C101" s="62">
        <f>IF(D94="","-",+C100+1)</f>
        <v>2023</v>
      </c>
      <c r="D101" s="647">
        <f>IF(F100+SUM(E$100:E100)=D$93,F100,D$93-SUM(E$100:E100))</f>
        <v>0</v>
      </c>
      <c r="E101" s="509">
        <f t="shared" ref="E101:E155" si="15">IF(+J$97&lt;F100,J$97,D101)</f>
        <v>0</v>
      </c>
      <c r="F101" s="648">
        <f t="shared" ref="F101:F155" si="16">+D101-E101</f>
        <v>0</v>
      </c>
      <c r="G101" s="648">
        <f t="shared" ref="G101:G155" si="17">+(F101+D101)/2</f>
        <v>0</v>
      </c>
      <c r="H101" s="649">
        <f t="shared" ref="H101:H102" si="18">(D101+F101)/2*J$95+E101</f>
        <v>0</v>
      </c>
      <c r="I101" s="628">
        <f t="shared" ref="I101:I155" si="19">+J$96*G101+E101</f>
        <v>0</v>
      </c>
      <c r="J101" s="67">
        <f t="shared" si="11"/>
        <v>0</v>
      </c>
      <c r="K101" s="67"/>
      <c r="L101" s="130"/>
      <c r="M101" s="67">
        <f t="shared" si="12"/>
        <v>0</v>
      </c>
      <c r="N101" s="130"/>
      <c r="O101" s="67">
        <f t="shared" si="13"/>
        <v>0</v>
      </c>
      <c r="P101" s="67">
        <f t="shared" si="14"/>
        <v>0</v>
      </c>
    </row>
    <row r="102" spans="1:16">
      <c r="B102" t="str">
        <f t="shared" si="9"/>
        <v/>
      </c>
      <c r="C102" s="62">
        <f>IF(D94="","-",+C101+1)</f>
        <v>2024</v>
      </c>
      <c r="D102" s="647">
        <f>IF(F101+SUM(E$100:E101)=D$93,F101,D$93-SUM(E$100:E101))</f>
        <v>0</v>
      </c>
      <c r="E102" s="509">
        <f t="shared" si="15"/>
        <v>0</v>
      </c>
      <c r="F102" s="648">
        <f t="shared" si="16"/>
        <v>0</v>
      </c>
      <c r="G102" s="648">
        <f t="shared" si="17"/>
        <v>0</v>
      </c>
      <c r="H102" s="649">
        <f t="shared" si="18"/>
        <v>0</v>
      </c>
      <c r="I102" s="628">
        <f t="shared" si="19"/>
        <v>0</v>
      </c>
      <c r="J102" s="67">
        <f t="shared" si="11"/>
        <v>0</v>
      </c>
      <c r="K102" s="67"/>
      <c r="L102" s="130"/>
      <c r="M102" s="67">
        <f t="shared" si="12"/>
        <v>0</v>
      </c>
      <c r="N102" s="130"/>
      <c r="O102" s="67">
        <f t="shared" si="13"/>
        <v>0</v>
      </c>
      <c r="P102" s="67">
        <f t="shared" si="14"/>
        <v>0</v>
      </c>
    </row>
    <row r="103" spans="1:16">
      <c r="B103" t="str">
        <f t="shared" si="9"/>
        <v/>
      </c>
      <c r="C103" s="62">
        <f>IF(D94="","-",+C102+1)</f>
        <v>2025</v>
      </c>
      <c r="D103" s="63">
        <f>IF(F102+SUM(E$100:E102)=D$93,F102,D$93-SUM(E$100:E102))</f>
        <v>0</v>
      </c>
      <c r="E103" s="69">
        <f t="shared" si="15"/>
        <v>0</v>
      </c>
      <c r="F103" s="68">
        <f t="shared" si="16"/>
        <v>0</v>
      </c>
      <c r="G103" s="68">
        <f t="shared" si="17"/>
        <v>0</v>
      </c>
      <c r="H103" s="128">
        <f t="shared" si="10"/>
        <v>0</v>
      </c>
      <c r="I103" s="137">
        <f t="shared" si="19"/>
        <v>0</v>
      </c>
      <c r="J103" s="67">
        <f t="shared" si="11"/>
        <v>0</v>
      </c>
      <c r="K103" s="67"/>
      <c r="L103" s="130"/>
      <c r="M103" s="67">
        <f t="shared" si="12"/>
        <v>0</v>
      </c>
      <c r="N103" s="130"/>
      <c r="O103" s="67">
        <f t="shared" si="13"/>
        <v>0</v>
      </c>
      <c r="P103" s="67">
        <f t="shared" si="14"/>
        <v>0</v>
      </c>
    </row>
    <row r="104" spans="1:16">
      <c r="B104" t="str">
        <f t="shared" si="9"/>
        <v/>
      </c>
      <c r="C104" s="62">
        <f>IF(D94="","-",+C103+1)</f>
        <v>2026</v>
      </c>
      <c r="D104" s="63">
        <f>IF(F103+SUM(E$100:E103)=D$93,F103,D$93-SUM(E$100:E103))</f>
        <v>0</v>
      </c>
      <c r="E104" s="69">
        <f t="shared" si="15"/>
        <v>0</v>
      </c>
      <c r="F104" s="68">
        <f t="shared" si="16"/>
        <v>0</v>
      </c>
      <c r="G104" s="68">
        <f t="shared" si="17"/>
        <v>0</v>
      </c>
      <c r="H104" s="128">
        <f t="shared" si="10"/>
        <v>0</v>
      </c>
      <c r="I104" s="137">
        <f t="shared" si="19"/>
        <v>0</v>
      </c>
      <c r="J104" s="67">
        <f t="shared" si="11"/>
        <v>0</v>
      </c>
      <c r="K104" s="67"/>
      <c r="L104" s="130"/>
      <c r="M104" s="67">
        <f t="shared" si="12"/>
        <v>0</v>
      </c>
      <c r="N104" s="130"/>
      <c r="O104" s="67">
        <f t="shared" si="13"/>
        <v>0</v>
      </c>
      <c r="P104" s="67">
        <f t="shared" si="14"/>
        <v>0</v>
      </c>
    </row>
    <row r="105" spans="1:16">
      <c r="B105" t="str">
        <f t="shared" si="9"/>
        <v/>
      </c>
      <c r="C105" s="62">
        <f>IF(D94="","-",+C104+1)</f>
        <v>2027</v>
      </c>
      <c r="D105" s="63">
        <f>IF(F104+SUM(E$100:E104)=D$93,F104,D$93-SUM(E$100:E104))</f>
        <v>0</v>
      </c>
      <c r="E105" s="69">
        <f t="shared" si="15"/>
        <v>0</v>
      </c>
      <c r="F105" s="68">
        <f t="shared" si="16"/>
        <v>0</v>
      </c>
      <c r="G105" s="68">
        <f t="shared" si="17"/>
        <v>0</v>
      </c>
      <c r="H105" s="128">
        <f t="shared" si="10"/>
        <v>0</v>
      </c>
      <c r="I105" s="137">
        <f t="shared" si="19"/>
        <v>0</v>
      </c>
      <c r="J105" s="67">
        <f t="shared" si="11"/>
        <v>0</v>
      </c>
      <c r="K105" s="67"/>
      <c r="L105" s="130"/>
      <c r="M105" s="67">
        <f t="shared" si="12"/>
        <v>0</v>
      </c>
      <c r="N105" s="130"/>
      <c r="O105" s="67">
        <f t="shared" si="13"/>
        <v>0</v>
      </c>
      <c r="P105" s="67">
        <f t="shared" si="14"/>
        <v>0</v>
      </c>
    </row>
    <row r="106" spans="1:16">
      <c r="B106" t="str">
        <f t="shared" si="9"/>
        <v/>
      </c>
      <c r="C106" s="62">
        <f>IF(D94="","-",+C105+1)</f>
        <v>2028</v>
      </c>
      <c r="D106" s="63">
        <f>IF(F105+SUM(E$100:E105)=D$93,F105,D$93-SUM(E$100:E105))</f>
        <v>0</v>
      </c>
      <c r="E106" s="69">
        <f t="shared" si="15"/>
        <v>0</v>
      </c>
      <c r="F106" s="68">
        <f t="shared" si="16"/>
        <v>0</v>
      </c>
      <c r="G106" s="68">
        <f t="shared" si="17"/>
        <v>0</v>
      </c>
      <c r="H106" s="128">
        <f t="shared" si="10"/>
        <v>0</v>
      </c>
      <c r="I106" s="137">
        <f t="shared" si="19"/>
        <v>0</v>
      </c>
      <c r="J106" s="67">
        <f t="shared" si="11"/>
        <v>0</v>
      </c>
      <c r="K106" s="67"/>
      <c r="L106" s="130"/>
      <c r="M106" s="67">
        <f t="shared" si="12"/>
        <v>0</v>
      </c>
      <c r="N106" s="130"/>
      <c r="O106" s="67">
        <f t="shared" si="13"/>
        <v>0</v>
      </c>
      <c r="P106" s="67">
        <f t="shared" si="14"/>
        <v>0</v>
      </c>
    </row>
    <row r="107" spans="1:16">
      <c r="B107" t="str">
        <f t="shared" si="9"/>
        <v/>
      </c>
      <c r="C107" s="62">
        <f>IF(D94="","-",+C106+1)</f>
        <v>2029</v>
      </c>
      <c r="D107" s="63">
        <f>IF(F106+SUM(E$100:E106)=D$93,F106,D$93-SUM(E$100:E106))</f>
        <v>0</v>
      </c>
      <c r="E107" s="69">
        <f t="shared" si="15"/>
        <v>0</v>
      </c>
      <c r="F107" s="68">
        <f t="shared" si="16"/>
        <v>0</v>
      </c>
      <c r="G107" s="68">
        <f t="shared" si="17"/>
        <v>0</v>
      </c>
      <c r="H107" s="128">
        <f t="shared" si="10"/>
        <v>0</v>
      </c>
      <c r="I107" s="137">
        <f t="shared" si="19"/>
        <v>0</v>
      </c>
      <c r="J107" s="67">
        <f t="shared" si="11"/>
        <v>0</v>
      </c>
      <c r="K107" s="67"/>
      <c r="L107" s="130"/>
      <c r="M107" s="67">
        <f t="shared" si="12"/>
        <v>0</v>
      </c>
      <c r="N107" s="130"/>
      <c r="O107" s="67">
        <f t="shared" si="13"/>
        <v>0</v>
      </c>
      <c r="P107" s="67">
        <f t="shared" si="14"/>
        <v>0</v>
      </c>
    </row>
    <row r="108" spans="1:16">
      <c r="B108" t="str">
        <f t="shared" si="9"/>
        <v/>
      </c>
      <c r="C108" s="62">
        <f>IF(D94="","-",+C107+1)</f>
        <v>2030</v>
      </c>
      <c r="D108" s="647">
        <f>IF(F107+SUM(E$100:E107)=D$93,F107,D$93-SUM(E$100:E107))</f>
        <v>0</v>
      </c>
      <c r="E108" s="509">
        <f t="shared" si="15"/>
        <v>0</v>
      </c>
      <c r="F108" s="648">
        <f t="shared" si="16"/>
        <v>0</v>
      </c>
      <c r="G108" s="648">
        <f t="shared" si="17"/>
        <v>0</v>
      </c>
      <c r="H108" s="649">
        <f t="shared" ref="H108:H155" si="20">(D108+F108)/2*J$95+E108</f>
        <v>0</v>
      </c>
      <c r="I108" s="628">
        <f t="shared" si="19"/>
        <v>0</v>
      </c>
      <c r="J108" s="67">
        <f t="shared" si="11"/>
        <v>0</v>
      </c>
      <c r="K108" s="67"/>
      <c r="L108" s="130"/>
      <c r="M108" s="67">
        <f t="shared" si="12"/>
        <v>0</v>
      </c>
      <c r="N108" s="130"/>
      <c r="O108" s="67">
        <f t="shared" si="13"/>
        <v>0</v>
      </c>
      <c r="P108" s="67">
        <f t="shared" si="14"/>
        <v>0</v>
      </c>
    </row>
    <row r="109" spans="1:16">
      <c r="B109" t="str">
        <f t="shared" si="9"/>
        <v/>
      </c>
      <c r="C109" s="62">
        <f>IF(D94="","-",+C108+1)</f>
        <v>2031</v>
      </c>
      <c r="D109" s="647">
        <f>IF(F108+SUM(E$100:E108)=D$93,F108,D$93-SUM(E$100:E108))</f>
        <v>0</v>
      </c>
      <c r="E109" s="509">
        <f t="shared" si="15"/>
        <v>0</v>
      </c>
      <c r="F109" s="648">
        <f t="shared" si="16"/>
        <v>0</v>
      </c>
      <c r="G109" s="648">
        <f t="shared" si="17"/>
        <v>0</v>
      </c>
      <c r="H109" s="649">
        <f t="shared" si="20"/>
        <v>0</v>
      </c>
      <c r="I109" s="628">
        <f t="shared" si="19"/>
        <v>0</v>
      </c>
      <c r="J109" s="67">
        <f t="shared" si="11"/>
        <v>0</v>
      </c>
      <c r="K109" s="67"/>
      <c r="L109" s="130"/>
      <c r="M109" s="67">
        <f t="shared" si="12"/>
        <v>0</v>
      </c>
      <c r="N109" s="130"/>
      <c r="O109" s="67">
        <f t="shared" si="13"/>
        <v>0</v>
      </c>
      <c r="P109" s="67">
        <f t="shared" si="14"/>
        <v>0</v>
      </c>
    </row>
    <row r="110" spans="1:16">
      <c r="B110" t="str">
        <f t="shared" si="9"/>
        <v/>
      </c>
      <c r="C110" s="62">
        <f>IF(D94="","-",+C109+1)</f>
        <v>2032</v>
      </c>
      <c r="D110" s="647">
        <f>IF(F109+SUM(E$100:E109)=D$93,F109,D$93-SUM(E$100:E109))</f>
        <v>0</v>
      </c>
      <c r="E110" s="509">
        <f t="shared" si="15"/>
        <v>0</v>
      </c>
      <c r="F110" s="648">
        <f t="shared" si="16"/>
        <v>0</v>
      </c>
      <c r="G110" s="648">
        <f t="shared" si="17"/>
        <v>0</v>
      </c>
      <c r="H110" s="649">
        <f t="shared" si="20"/>
        <v>0</v>
      </c>
      <c r="I110" s="628">
        <f t="shared" si="19"/>
        <v>0</v>
      </c>
      <c r="J110" s="67">
        <f t="shared" si="11"/>
        <v>0</v>
      </c>
      <c r="K110" s="67"/>
      <c r="L110" s="130"/>
      <c r="M110" s="67">
        <f t="shared" si="12"/>
        <v>0</v>
      </c>
      <c r="N110" s="130"/>
      <c r="O110" s="67">
        <f t="shared" si="13"/>
        <v>0</v>
      </c>
      <c r="P110" s="67">
        <f t="shared" si="14"/>
        <v>0</v>
      </c>
    </row>
    <row r="111" spans="1:16">
      <c r="B111" t="str">
        <f t="shared" si="9"/>
        <v/>
      </c>
      <c r="C111" s="62">
        <f>IF(D94="","-",+C110+1)</f>
        <v>2033</v>
      </c>
      <c r="D111" s="647">
        <f>IF(F110+SUM(E$100:E110)=D$93,F110,D$93-SUM(E$100:E110))</f>
        <v>0</v>
      </c>
      <c r="E111" s="509">
        <f t="shared" si="15"/>
        <v>0</v>
      </c>
      <c r="F111" s="648">
        <f t="shared" si="16"/>
        <v>0</v>
      </c>
      <c r="G111" s="648">
        <f t="shared" si="17"/>
        <v>0</v>
      </c>
      <c r="H111" s="649">
        <f t="shared" si="20"/>
        <v>0</v>
      </c>
      <c r="I111" s="628">
        <f t="shared" si="19"/>
        <v>0</v>
      </c>
      <c r="J111" s="67">
        <f t="shared" si="11"/>
        <v>0</v>
      </c>
      <c r="K111" s="67"/>
      <c r="L111" s="130"/>
      <c r="M111" s="67">
        <f t="shared" si="12"/>
        <v>0</v>
      </c>
      <c r="N111" s="130"/>
      <c r="O111" s="67">
        <f t="shared" si="13"/>
        <v>0</v>
      </c>
      <c r="P111" s="67">
        <f t="shared" si="14"/>
        <v>0</v>
      </c>
    </row>
    <row r="112" spans="1:16">
      <c r="B112" t="str">
        <f t="shared" si="9"/>
        <v/>
      </c>
      <c r="C112" s="62">
        <f>IF(D94="","-",+C111+1)</f>
        <v>2034</v>
      </c>
      <c r="D112" s="647">
        <f>IF(F111+SUM(E$100:E111)=D$93,F111,D$93-SUM(E$100:E111))</f>
        <v>0</v>
      </c>
      <c r="E112" s="509">
        <f t="shared" si="15"/>
        <v>0</v>
      </c>
      <c r="F112" s="648">
        <f t="shared" si="16"/>
        <v>0</v>
      </c>
      <c r="G112" s="648">
        <f t="shared" si="17"/>
        <v>0</v>
      </c>
      <c r="H112" s="649">
        <f t="shared" si="20"/>
        <v>0</v>
      </c>
      <c r="I112" s="628">
        <f t="shared" si="19"/>
        <v>0</v>
      </c>
      <c r="J112" s="67">
        <f t="shared" si="11"/>
        <v>0</v>
      </c>
      <c r="K112" s="67"/>
      <c r="L112" s="130"/>
      <c r="M112" s="67">
        <f t="shared" si="12"/>
        <v>0</v>
      </c>
      <c r="N112" s="130"/>
      <c r="O112" s="67">
        <f t="shared" si="13"/>
        <v>0</v>
      </c>
      <c r="P112" s="67">
        <f t="shared" si="14"/>
        <v>0</v>
      </c>
    </row>
    <row r="113" spans="2:16">
      <c r="B113" t="str">
        <f t="shared" si="9"/>
        <v/>
      </c>
      <c r="C113" s="62">
        <f>IF(D94="","-",+C112+1)</f>
        <v>2035</v>
      </c>
      <c r="D113" s="647">
        <f>IF(F112+SUM(E$100:E112)=D$93,F112,D$93-SUM(E$100:E112))</f>
        <v>0</v>
      </c>
      <c r="E113" s="509">
        <f t="shared" si="15"/>
        <v>0</v>
      </c>
      <c r="F113" s="648">
        <f t="shared" si="16"/>
        <v>0</v>
      </c>
      <c r="G113" s="648">
        <f t="shared" si="17"/>
        <v>0</v>
      </c>
      <c r="H113" s="649">
        <f t="shared" si="20"/>
        <v>0</v>
      </c>
      <c r="I113" s="628">
        <f t="shared" si="19"/>
        <v>0</v>
      </c>
      <c r="J113" s="67">
        <f t="shared" si="11"/>
        <v>0</v>
      </c>
      <c r="K113" s="67"/>
      <c r="L113" s="130"/>
      <c r="M113" s="67">
        <f t="shared" si="12"/>
        <v>0</v>
      </c>
      <c r="N113" s="130"/>
      <c r="O113" s="67">
        <f t="shared" si="13"/>
        <v>0</v>
      </c>
      <c r="P113" s="67">
        <f t="shared" si="14"/>
        <v>0</v>
      </c>
    </row>
    <row r="114" spans="2:16">
      <c r="B114" t="str">
        <f t="shared" si="9"/>
        <v/>
      </c>
      <c r="C114" s="62">
        <f>IF(D94="","-",+C113+1)</f>
        <v>2036</v>
      </c>
      <c r="D114" s="647">
        <f>IF(F113+SUM(E$100:E113)=D$93,F113,D$93-SUM(E$100:E113))</f>
        <v>0</v>
      </c>
      <c r="E114" s="509">
        <f t="shared" si="15"/>
        <v>0</v>
      </c>
      <c r="F114" s="648">
        <f t="shared" si="16"/>
        <v>0</v>
      </c>
      <c r="G114" s="648">
        <f t="shared" si="17"/>
        <v>0</v>
      </c>
      <c r="H114" s="649">
        <f t="shared" si="20"/>
        <v>0</v>
      </c>
      <c r="I114" s="628">
        <f t="shared" si="19"/>
        <v>0</v>
      </c>
      <c r="J114" s="67">
        <f t="shared" si="11"/>
        <v>0</v>
      </c>
      <c r="K114" s="67"/>
      <c r="L114" s="130"/>
      <c r="M114" s="67">
        <f t="shared" si="12"/>
        <v>0</v>
      </c>
      <c r="N114" s="130"/>
      <c r="O114" s="67">
        <f t="shared" si="13"/>
        <v>0</v>
      </c>
      <c r="P114" s="67">
        <f t="shared" si="14"/>
        <v>0</v>
      </c>
    </row>
    <row r="115" spans="2:16">
      <c r="B115" t="str">
        <f t="shared" si="9"/>
        <v/>
      </c>
      <c r="C115" s="62">
        <f>IF(D94="","-",+C114+1)</f>
        <v>2037</v>
      </c>
      <c r="D115" s="647">
        <f>IF(F114+SUM(E$100:E114)=D$93,F114,D$93-SUM(E$100:E114))</f>
        <v>0</v>
      </c>
      <c r="E115" s="509">
        <f t="shared" si="15"/>
        <v>0</v>
      </c>
      <c r="F115" s="648">
        <f t="shared" si="16"/>
        <v>0</v>
      </c>
      <c r="G115" s="648">
        <f t="shared" si="17"/>
        <v>0</v>
      </c>
      <c r="H115" s="649">
        <f t="shared" si="20"/>
        <v>0</v>
      </c>
      <c r="I115" s="628">
        <f t="shared" si="19"/>
        <v>0</v>
      </c>
      <c r="J115" s="67">
        <f t="shared" si="11"/>
        <v>0</v>
      </c>
      <c r="K115" s="67"/>
      <c r="L115" s="130"/>
      <c r="M115" s="67">
        <f t="shared" si="12"/>
        <v>0</v>
      </c>
      <c r="N115" s="130"/>
      <c r="O115" s="67">
        <f t="shared" si="13"/>
        <v>0</v>
      </c>
      <c r="P115" s="67">
        <f t="shared" si="14"/>
        <v>0</v>
      </c>
    </row>
    <row r="116" spans="2:16">
      <c r="B116" t="str">
        <f t="shared" si="9"/>
        <v/>
      </c>
      <c r="C116" s="62">
        <f>IF(D94="","-",+C115+1)</f>
        <v>2038</v>
      </c>
      <c r="D116" s="647">
        <f>IF(F115+SUM(E$100:E115)=D$93,F115,D$93-SUM(E$100:E115))</f>
        <v>0</v>
      </c>
      <c r="E116" s="509">
        <f t="shared" si="15"/>
        <v>0</v>
      </c>
      <c r="F116" s="648">
        <f t="shared" si="16"/>
        <v>0</v>
      </c>
      <c r="G116" s="648">
        <f t="shared" si="17"/>
        <v>0</v>
      </c>
      <c r="H116" s="649">
        <f t="shared" si="20"/>
        <v>0</v>
      </c>
      <c r="I116" s="628">
        <f t="shared" si="19"/>
        <v>0</v>
      </c>
      <c r="J116" s="67">
        <f t="shared" si="11"/>
        <v>0</v>
      </c>
      <c r="K116" s="67"/>
      <c r="L116" s="130"/>
      <c r="M116" s="67">
        <f t="shared" si="12"/>
        <v>0</v>
      </c>
      <c r="N116" s="130"/>
      <c r="O116" s="67">
        <f t="shared" si="13"/>
        <v>0</v>
      </c>
      <c r="P116" s="67">
        <f t="shared" si="14"/>
        <v>0</v>
      </c>
    </row>
    <row r="117" spans="2:16">
      <c r="B117" t="str">
        <f t="shared" si="9"/>
        <v/>
      </c>
      <c r="C117" s="62">
        <f>IF(D94="","-",+C116+1)</f>
        <v>2039</v>
      </c>
      <c r="D117" s="647">
        <f>IF(F116+SUM(E$100:E116)=D$93,F116,D$93-SUM(E$100:E116))</f>
        <v>0</v>
      </c>
      <c r="E117" s="509">
        <f t="shared" si="15"/>
        <v>0</v>
      </c>
      <c r="F117" s="648">
        <f t="shared" si="16"/>
        <v>0</v>
      </c>
      <c r="G117" s="648">
        <f t="shared" si="17"/>
        <v>0</v>
      </c>
      <c r="H117" s="649">
        <f t="shared" si="20"/>
        <v>0</v>
      </c>
      <c r="I117" s="628">
        <f t="shared" si="19"/>
        <v>0</v>
      </c>
      <c r="J117" s="67">
        <f t="shared" si="11"/>
        <v>0</v>
      </c>
      <c r="K117" s="67"/>
      <c r="L117" s="130"/>
      <c r="M117" s="67">
        <f t="shared" si="12"/>
        <v>0</v>
      </c>
      <c r="N117" s="130"/>
      <c r="O117" s="67">
        <f t="shared" si="13"/>
        <v>0</v>
      </c>
      <c r="P117" s="67">
        <f t="shared" si="14"/>
        <v>0</v>
      </c>
    </row>
    <row r="118" spans="2:16">
      <c r="B118" t="str">
        <f t="shared" si="9"/>
        <v/>
      </c>
      <c r="C118" s="62">
        <f>IF(D94="","-",+C117+1)</f>
        <v>2040</v>
      </c>
      <c r="D118" s="647">
        <f>IF(F117+SUM(E$100:E117)=D$93,F117,D$93-SUM(E$100:E117))</f>
        <v>0</v>
      </c>
      <c r="E118" s="509">
        <f t="shared" si="15"/>
        <v>0</v>
      </c>
      <c r="F118" s="648">
        <f t="shared" si="16"/>
        <v>0</v>
      </c>
      <c r="G118" s="648">
        <f t="shared" si="17"/>
        <v>0</v>
      </c>
      <c r="H118" s="649">
        <f t="shared" si="20"/>
        <v>0</v>
      </c>
      <c r="I118" s="628">
        <f t="shared" si="19"/>
        <v>0</v>
      </c>
      <c r="J118" s="67">
        <f t="shared" si="11"/>
        <v>0</v>
      </c>
      <c r="K118" s="67"/>
      <c r="L118" s="130"/>
      <c r="M118" s="67">
        <f t="shared" si="12"/>
        <v>0</v>
      </c>
      <c r="N118" s="130"/>
      <c r="O118" s="67">
        <f t="shared" si="13"/>
        <v>0</v>
      </c>
      <c r="P118" s="67">
        <f t="shared" si="14"/>
        <v>0</v>
      </c>
    </row>
    <row r="119" spans="2:16">
      <c r="B119" t="str">
        <f t="shared" si="9"/>
        <v/>
      </c>
      <c r="C119" s="62">
        <f>IF(D94="","-",+C118+1)</f>
        <v>2041</v>
      </c>
      <c r="D119" s="647">
        <f>IF(F118+SUM(E$100:E118)=D$93,F118,D$93-SUM(E$100:E118))</f>
        <v>0</v>
      </c>
      <c r="E119" s="509">
        <f t="shared" si="15"/>
        <v>0</v>
      </c>
      <c r="F119" s="648">
        <f t="shared" si="16"/>
        <v>0</v>
      </c>
      <c r="G119" s="648">
        <f t="shared" si="17"/>
        <v>0</v>
      </c>
      <c r="H119" s="649">
        <f t="shared" si="20"/>
        <v>0</v>
      </c>
      <c r="I119" s="628">
        <f t="shared" si="19"/>
        <v>0</v>
      </c>
      <c r="J119" s="67">
        <f t="shared" si="11"/>
        <v>0</v>
      </c>
      <c r="K119" s="67"/>
      <c r="L119" s="130"/>
      <c r="M119" s="67">
        <f t="shared" si="12"/>
        <v>0</v>
      </c>
      <c r="N119" s="130"/>
      <c r="O119" s="67">
        <f t="shared" si="13"/>
        <v>0</v>
      </c>
      <c r="P119" s="67">
        <f t="shared" si="14"/>
        <v>0</v>
      </c>
    </row>
    <row r="120" spans="2:16">
      <c r="B120" t="str">
        <f t="shared" si="9"/>
        <v/>
      </c>
      <c r="C120" s="62">
        <f>IF(D94="","-",+C119+1)</f>
        <v>2042</v>
      </c>
      <c r="D120" s="647">
        <f>IF(F119+SUM(E$100:E119)=D$93,F119,D$93-SUM(E$100:E119))</f>
        <v>0</v>
      </c>
      <c r="E120" s="509">
        <f t="shared" si="15"/>
        <v>0</v>
      </c>
      <c r="F120" s="648">
        <f t="shared" si="16"/>
        <v>0</v>
      </c>
      <c r="G120" s="648">
        <f t="shared" si="17"/>
        <v>0</v>
      </c>
      <c r="H120" s="649">
        <f t="shared" si="20"/>
        <v>0</v>
      </c>
      <c r="I120" s="628">
        <f t="shared" si="19"/>
        <v>0</v>
      </c>
      <c r="J120" s="67">
        <f t="shared" si="11"/>
        <v>0</v>
      </c>
      <c r="K120" s="67"/>
      <c r="L120" s="130"/>
      <c r="M120" s="67">
        <f t="shared" si="12"/>
        <v>0</v>
      </c>
      <c r="N120" s="130"/>
      <c r="O120" s="67">
        <f t="shared" si="13"/>
        <v>0</v>
      </c>
      <c r="P120" s="67">
        <f t="shared" si="14"/>
        <v>0</v>
      </c>
    </row>
    <row r="121" spans="2:16">
      <c r="B121" t="str">
        <f t="shared" si="9"/>
        <v/>
      </c>
      <c r="C121" s="62">
        <f>IF(D94="","-",+C120+1)</f>
        <v>2043</v>
      </c>
      <c r="D121" s="647">
        <f>IF(F120+SUM(E$100:E120)=D$93,F120,D$93-SUM(E$100:E120))</f>
        <v>0</v>
      </c>
      <c r="E121" s="509">
        <f t="shared" si="15"/>
        <v>0</v>
      </c>
      <c r="F121" s="648">
        <f t="shared" si="16"/>
        <v>0</v>
      </c>
      <c r="G121" s="648">
        <f t="shared" si="17"/>
        <v>0</v>
      </c>
      <c r="H121" s="649">
        <f t="shared" si="20"/>
        <v>0</v>
      </c>
      <c r="I121" s="628">
        <f t="shared" si="19"/>
        <v>0</v>
      </c>
      <c r="J121" s="67">
        <f t="shared" si="11"/>
        <v>0</v>
      </c>
      <c r="K121" s="67"/>
      <c r="L121" s="130"/>
      <c r="M121" s="67">
        <f t="shared" si="12"/>
        <v>0</v>
      </c>
      <c r="N121" s="130"/>
      <c r="O121" s="67">
        <f t="shared" si="13"/>
        <v>0</v>
      </c>
      <c r="P121" s="67">
        <f t="shared" si="14"/>
        <v>0</v>
      </c>
    </row>
    <row r="122" spans="2:16">
      <c r="B122" t="str">
        <f t="shared" si="9"/>
        <v/>
      </c>
      <c r="C122" s="62">
        <f>IF(D94="","-",+C121+1)</f>
        <v>2044</v>
      </c>
      <c r="D122" s="647">
        <f>IF(F121+SUM(E$100:E121)=D$93,F121,D$93-SUM(E$100:E121))</f>
        <v>0</v>
      </c>
      <c r="E122" s="509">
        <f t="shared" si="15"/>
        <v>0</v>
      </c>
      <c r="F122" s="648">
        <f t="shared" si="16"/>
        <v>0</v>
      </c>
      <c r="G122" s="648">
        <f t="shared" si="17"/>
        <v>0</v>
      </c>
      <c r="H122" s="649">
        <f t="shared" si="20"/>
        <v>0</v>
      </c>
      <c r="I122" s="628">
        <f t="shared" si="19"/>
        <v>0</v>
      </c>
      <c r="J122" s="67">
        <f t="shared" si="11"/>
        <v>0</v>
      </c>
      <c r="K122" s="67"/>
      <c r="L122" s="130"/>
      <c r="M122" s="67">
        <f t="shared" si="12"/>
        <v>0</v>
      </c>
      <c r="N122" s="130"/>
      <c r="O122" s="67">
        <f t="shared" si="13"/>
        <v>0</v>
      </c>
      <c r="P122" s="67">
        <f t="shared" si="14"/>
        <v>0</v>
      </c>
    </row>
    <row r="123" spans="2:16">
      <c r="B123" t="str">
        <f t="shared" si="9"/>
        <v/>
      </c>
      <c r="C123" s="62">
        <f>IF(D94="","-",+C122+1)</f>
        <v>2045</v>
      </c>
      <c r="D123" s="647">
        <f>IF(F122+SUM(E$100:E122)=D$93,F122,D$93-SUM(E$100:E122))</f>
        <v>0</v>
      </c>
      <c r="E123" s="509">
        <f t="shared" si="15"/>
        <v>0</v>
      </c>
      <c r="F123" s="648">
        <f t="shared" si="16"/>
        <v>0</v>
      </c>
      <c r="G123" s="648">
        <f t="shared" si="17"/>
        <v>0</v>
      </c>
      <c r="H123" s="649">
        <f t="shared" si="20"/>
        <v>0</v>
      </c>
      <c r="I123" s="628">
        <f t="shared" si="19"/>
        <v>0</v>
      </c>
      <c r="J123" s="67">
        <f t="shared" si="11"/>
        <v>0</v>
      </c>
      <c r="K123" s="67"/>
      <c r="L123" s="130"/>
      <c r="M123" s="67">
        <f t="shared" si="12"/>
        <v>0</v>
      </c>
      <c r="N123" s="130"/>
      <c r="O123" s="67">
        <f t="shared" si="13"/>
        <v>0</v>
      </c>
      <c r="P123" s="67">
        <f t="shared" si="14"/>
        <v>0</v>
      </c>
    </row>
    <row r="124" spans="2:16">
      <c r="B124" t="str">
        <f t="shared" si="9"/>
        <v/>
      </c>
      <c r="C124" s="62">
        <f>IF(D94="","-",+C123+1)</f>
        <v>2046</v>
      </c>
      <c r="D124" s="647">
        <f>IF(F123+SUM(E$100:E123)=D$93,F123,D$93-SUM(E$100:E123))</f>
        <v>0</v>
      </c>
      <c r="E124" s="509">
        <f t="shared" si="15"/>
        <v>0</v>
      </c>
      <c r="F124" s="648">
        <f t="shared" si="16"/>
        <v>0</v>
      </c>
      <c r="G124" s="648">
        <f t="shared" si="17"/>
        <v>0</v>
      </c>
      <c r="H124" s="649">
        <f t="shared" si="20"/>
        <v>0</v>
      </c>
      <c r="I124" s="628">
        <f t="shared" si="19"/>
        <v>0</v>
      </c>
      <c r="J124" s="67">
        <f t="shared" si="11"/>
        <v>0</v>
      </c>
      <c r="K124" s="67"/>
      <c r="L124" s="130"/>
      <c r="M124" s="67">
        <f t="shared" si="12"/>
        <v>0</v>
      </c>
      <c r="N124" s="130"/>
      <c r="O124" s="67">
        <f t="shared" si="13"/>
        <v>0</v>
      </c>
      <c r="P124" s="67">
        <f t="shared" si="14"/>
        <v>0</v>
      </c>
    </row>
    <row r="125" spans="2:16">
      <c r="B125" t="str">
        <f t="shared" si="9"/>
        <v/>
      </c>
      <c r="C125" s="62">
        <f>IF(D94="","-",+C124+1)</f>
        <v>2047</v>
      </c>
      <c r="D125" s="647">
        <f>IF(F124+SUM(E$100:E124)=D$93,F124,D$93-SUM(E$100:E124))</f>
        <v>0</v>
      </c>
      <c r="E125" s="509">
        <f t="shared" si="15"/>
        <v>0</v>
      </c>
      <c r="F125" s="648">
        <f t="shared" si="16"/>
        <v>0</v>
      </c>
      <c r="G125" s="648">
        <f t="shared" si="17"/>
        <v>0</v>
      </c>
      <c r="H125" s="649">
        <f t="shared" si="20"/>
        <v>0</v>
      </c>
      <c r="I125" s="628">
        <f t="shared" si="19"/>
        <v>0</v>
      </c>
      <c r="J125" s="67">
        <f t="shared" si="11"/>
        <v>0</v>
      </c>
      <c r="K125" s="67"/>
      <c r="L125" s="130"/>
      <c r="M125" s="67">
        <f t="shared" si="12"/>
        <v>0</v>
      </c>
      <c r="N125" s="130"/>
      <c r="O125" s="67">
        <f t="shared" si="13"/>
        <v>0</v>
      </c>
      <c r="P125" s="67">
        <f t="shared" si="14"/>
        <v>0</v>
      </c>
    </row>
    <row r="126" spans="2:16">
      <c r="B126" t="str">
        <f t="shared" si="9"/>
        <v/>
      </c>
      <c r="C126" s="62">
        <f>IF(D94="","-",+C125+1)</f>
        <v>2048</v>
      </c>
      <c r="D126" s="647">
        <f>IF(F125+SUM(E$100:E125)=D$93,F125,D$93-SUM(E$100:E125))</f>
        <v>0</v>
      </c>
      <c r="E126" s="509">
        <f t="shared" si="15"/>
        <v>0</v>
      </c>
      <c r="F126" s="648">
        <f t="shared" si="16"/>
        <v>0</v>
      </c>
      <c r="G126" s="648">
        <f t="shared" si="17"/>
        <v>0</v>
      </c>
      <c r="H126" s="649">
        <f t="shared" si="20"/>
        <v>0</v>
      </c>
      <c r="I126" s="628">
        <f t="shared" si="19"/>
        <v>0</v>
      </c>
      <c r="J126" s="67">
        <f t="shared" si="11"/>
        <v>0</v>
      </c>
      <c r="K126" s="67"/>
      <c r="L126" s="130"/>
      <c r="M126" s="67">
        <f t="shared" si="12"/>
        <v>0</v>
      </c>
      <c r="N126" s="130"/>
      <c r="O126" s="67">
        <f t="shared" si="13"/>
        <v>0</v>
      </c>
      <c r="P126" s="67">
        <f t="shared" si="14"/>
        <v>0</v>
      </c>
    </row>
    <row r="127" spans="2:16">
      <c r="B127" t="str">
        <f t="shared" si="9"/>
        <v/>
      </c>
      <c r="C127" s="62">
        <f>IF(D94="","-",+C126+1)</f>
        <v>2049</v>
      </c>
      <c r="D127" s="647">
        <f>IF(F126+SUM(E$100:E126)=D$93,F126,D$93-SUM(E$100:E126))</f>
        <v>0</v>
      </c>
      <c r="E127" s="509">
        <f t="shared" si="15"/>
        <v>0</v>
      </c>
      <c r="F127" s="648">
        <f t="shared" si="16"/>
        <v>0</v>
      </c>
      <c r="G127" s="648">
        <f t="shared" si="17"/>
        <v>0</v>
      </c>
      <c r="H127" s="649">
        <f t="shared" si="20"/>
        <v>0</v>
      </c>
      <c r="I127" s="628">
        <f t="shared" si="19"/>
        <v>0</v>
      </c>
      <c r="J127" s="67">
        <f t="shared" si="11"/>
        <v>0</v>
      </c>
      <c r="K127" s="67"/>
      <c r="L127" s="130"/>
      <c r="M127" s="67">
        <f t="shared" si="12"/>
        <v>0</v>
      </c>
      <c r="N127" s="130"/>
      <c r="O127" s="67">
        <f t="shared" si="13"/>
        <v>0</v>
      </c>
      <c r="P127" s="67">
        <f t="shared" si="14"/>
        <v>0</v>
      </c>
    </row>
    <row r="128" spans="2:16">
      <c r="B128" t="str">
        <f t="shared" si="9"/>
        <v/>
      </c>
      <c r="C128" s="62">
        <f>IF(D94="","-",+C127+1)</f>
        <v>2050</v>
      </c>
      <c r="D128" s="647">
        <f>IF(F127+SUM(E$100:E127)=D$93,F127,D$93-SUM(E$100:E127))</f>
        <v>0</v>
      </c>
      <c r="E128" s="509">
        <f t="shared" si="15"/>
        <v>0</v>
      </c>
      <c r="F128" s="648">
        <f t="shared" si="16"/>
        <v>0</v>
      </c>
      <c r="G128" s="648">
        <f t="shared" si="17"/>
        <v>0</v>
      </c>
      <c r="H128" s="649">
        <f t="shared" si="20"/>
        <v>0</v>
      </c>
      <c r="I128" s="628">
        <f t="shared" si="19"/>
        <v>0</v>
      </c>
      <c r="J128" s="67">
        <f t="shared" si="11"/>
        <v>0</v>
      </c>
      <c r="K128" s="67"/>
      <c r="L128" s="130"/>
      <c r="M128" s="67">
        <f t="shared" si="12"/>
        <v>0</v>
      </c>
      <c r="N128" s="130"/>
      <c r="O128" s="67">
        <f t="shared" si="13"/>
        <v>0</v>
      </c>
      <c r="P128" s="67">
        <f t="shared" si="14"/>
        <v>0</v>
      </c>
    </row>
    <row r="129" spans="2:16">
      <c r="B129" t="str">
        <f t="shared" si="9"/>
        <v/>
      </c>
      <c r="C129" s="62">
        <f>IF(D94="","-",+C128+1)</f>
        <v>2051</v>
      </c>
      <c r="D129" s="647">
        <f>IF(F128+SUM(E$100:E128)=D$93,F128,D$93-SUM(E$100:E128))</f>
        <v>0</v>
      </c>
      <c r="E129" s="509">
        <f t="shared" si="15"/>
        <v>0</v>
      </c>
      <c r="F129" s="648">
        <f t="shared" si="16"/>
        <v>0</v>
      </c>
      <c r="G129" s="648">
        <f t="shared" si="17"/>
        <v>0</v>
      </c>
      <c r="H129" s="649">
        <f t="shared" si="20"/>
        <v>0</v>
      </c>
      <c r="I129" s="628">
        <f t="shared" si="19"/>
        <v>0</v>
      </c>
      <c r="J129" s="67">
        <f t="shared" si="11"/>
        <v>0</v>
      </c>
      <c r="K129" s="67"/>
      <c r="L129" s="130"/>
      <c r="M129" s="67">
        <f t="shared" si="12"/>
        <v>0</v>
      </c>
      <c r="N129" s="130"/>
      <c r="O129" s="67">
        <f t="shared" si="13"/>
        <v>0</v>
      </c>
      <c r="P129" s="67">
        <f t="shared" si="14"/>
        <v>0</v>
      </c>
    </row>
    <row r="130" spans="2:16">
      <c r="B130" t="str">
        <f t="shared" si="9"/>
        <v/>
      </c>
      <c r="C130" s="62">
        <f>IF(D94="","-",+C129+1)</f>
        <v>2052</v>
      </c>
      <c r="D130" s="647">
        <f>IF(F129+SUM(E$100:E129)=D$93,F129,D$93-SUM(E$100:E129))</f>
        <v>0</v>
      </c>
      <c r="E130" s="509">
        <f t="shared" si="15"/>
        <v>0</v>
      </c>
      <c r="F130" s="648">
        <f t="shared" si="16"/>
        <v>0</v>
      </c>
      <c r="G130" s="648">
        <f t="shared" si="17"/>
        <v>0</v>
      </c>
      <c r="H130" s="649">
        <f t="shared" si="20"/>
        <v>0</v>
      </c>
      <c r="I130" s="628">
        <f t="shared" si="19"/>
        <v>0</v>
      </c>
      <c r="J130" s="67">
        <f t="shared" si="11"/>
        <v>0</v>
      </c>
      <c r="K130" s="67"/>
      <c r="L130" s="130"/>
      <c r="M130" s="67">
        <f t="shared" si="12"/>
        <v>0</v>
      </c>
      <c r="N130" s="130"/>
      <c r="O130" s="67">
        <f t="shared" si="13"/>
        <v>0</v>
      </c>
      <c r="P130" s="67">
        <f t="shared" si="14"/>
        <v>0</v>
      </c>
    </row>
    <row r="131" spans="2:16">
      <c r="B131" t="str">
        <f t="shared" si="9"/>
        <v/>
      </c>
      <c r="C131" s="62">
        <f>IF(D94="","-",+C130+1)</f>
        <v>2053</v>
      </c>
      <c r="D131" s="647">
        <f>IF(F130+SUM(E$100:E130)=D$93,F130,D$93-SUM(E$100:E130))</f>
        <v>0</v>
      </c>
      <c r="E131" s="509">
        <f t="shared" si="15"/>
        <v>0</v>
      </c>
      <c r="F131" s="648">
        <f t="shared" si="16"/>
        <v>0</v>
      </c>
      <c r="G131" s="648">
        <f t="shared" si="17"/>
        <v>0</v>
      </c>
      <c r="H131" s="649">
        <f t="shared" si="20"/>
        <v>0</v>
      </c>
      <c r="I131" s="628">
        <f t="shared" si="19"/>
        <v>0</v>
      </c>
      <c r="J131" s="67">
        <f t="shared" si="11"/>
        <v>0</v>
      </c>
      <c r="K131" s="67"/>
      <c r="L131" s="130"/>
      <c r="M131" s="67">
        <f t="shared" si="12"/>
        <v>0</v>
      </c>
      <c r="N131" s="130"/>
      <c r="O131" s="67">
        <f t="shared" si="13"/>
        <v>0</v>
      </c>
      <c r="P131" s="67">
        <f t="shared" si="14"/>
        <v>0</v>
      </c>
    </row>
    <row r="132" spans="2:16">
      <c r="B132" t="str">
        <f t="shared" si="9"/>
        <v/>
      </c>
      <c r="C132" s="62">
        <f>IF(D94="","-",+C131+1)</f>
        <v>2054</v>
      </c>
      <c r="D132" s="647">
        <f>IF(F131+SUM(E$100:E131)=D$93,F131,D$93-SUM(E$100:E131))</f>
        <v>0</v>
      </c>
      <c r="E132" s="509">
        <f t="shared" si="15"/>
        <v>0</v>
      </c>
      <c r="F132" s="648">
        <f t="shared" si="16"/>
        <v>0</v>
      </c>
      <c r="G132" s="648">
        <f t="shared" si="17"/>
        <v>0</v>
      </c>
      <c r="H132" s="649">
        <f t="shared" si="20"/>
        <v>0</v>
      </c>
      <c r="I132" s="628">
        <f t="shared" si="19"/>
        <v>0</v>
      </c>
      <c r="J132" s="67">
        <f t="shared" ref="J132:J155" si="21">+I542-H542</f>
        <v>0</v>
      </c>
      <c r="K132" s="67"/>
      <c r="L132" s="130"/>
      <c r="M132" s="67">
        <f t="shared" ref="M132:M155" si="22">IF(L542&lt;&gt;0,+H542-L542,0)</f>
        <v>0</v>
      </c>
      <c r="N132" s="130"/>
      <c r="O132" s="67">
        <f t="shared" ref="O132:O155" si="23">IF(N542&lt;&gt;0,+I542-N542,0)</f>
        <v>0</v>
      </c>
      <c r="P132" s="67">
        <f t="shared" ref="P132:P155" si="24">+O542-M542</f>
        <v>0</v>
      </c>
    </row>
    <row r="133" spans="2:16">
      <c r="B133" t="str">
        <f t="shared" si="9"/>
        <v/>
      </c>
      <c r="C133" s="62">
        <f>IF(D94="","-",+C132+1)</f>
        <v>2055</v>
      </c>
      <c r="D133" s="647">
        <f>IF(F132+SUM(E$100:E132)=D$93,F132,D$93-SUM(E$100:E132))</f>
        <v>0</v>
      </c>
      <c r="E133" s="509">
        <f t="shared" si="15"/>
        <v>0</v>
      </c>
      <c r="F133" s="648">
        <f t="shared" si="16"/>
        <v>0</v>
      </c>
      <c r="G133" s="648">
        <f t="shared" si="17"/>
        <v>0</v>
      </c>
      <c r="H133" s="649">
        <f t="shared" si="20"/>
        <v>0</v>
      </c>
      <c r="I133" s="628">
        <f t="shared" si="19"/>
        <v>0</v>
      </c>
      <c r="J133" s="67">
        <f t="shared" si="21"/>
        <v>0</v>
      </c>
      <c r="K133" s="67"/>
      <c r="L133" s="130"/>
      <c r="M133" s="67">
        <f t="shared" si="22"/>
        <v>0</v>
      </c>
      <c r="N133" s="130"/>
      <c r="O133" s="67">
        <f t="shared" si="23"/>
        <v>0</v>
      </c>
      <c r="P133" s="67">
        <f t="shared" si="24"/>
        <v>0</v>
      </c>
    </row>
    <row r="134" spans="2:16">
      <c r="B134" t="str">
        <f t="shared" si="9"/>
        <v/>
      </c>
      <c r="C134" s="62">
        <f>IF(D94="","-",+C133+1)</f>
        <v>2056</v>
      </c>
      <c r="D134" s="647">
        <f>IF(F133+SUM(E$100:E133)=D$93,F133,D$93-SUM(E$100:E133))</f>
        <v>0</v>
      </c>
      <c r="E134" s="509">
        <f t="shared" si="15"/>
        <v>0</v>
      </c>
      <c r="F134" s="648">
        <f t="shared" si="16"/>
        <v>0</v>
      </c>
      <c r="G134" s="648">
        <f t="shared" si="17"/>
        <v>0</v>
      </c>
      <c r="H134" s="649">
        <f t="shared" si="20"/>
        <v>0</v>
      </c>
      <c r="I134" s="628">
        <f t="shared" si="19"/>
        <v>0</v>
      </c>
      <c r="J134" s="67">
        <f t="shared" si="21"/>
        <v>0</v>
      </c>
      <c r="K134" s="67"/>
      <c r="L134" s="130"/>
      <c r="M134" s="67">
        <f t="shared" si="22"/>
        <v>0</v>
      </c>
      <c r="N134" s="130"/>
      <c r="O134" s="67">
        <f t="shared" si="23"/>
        <v>0</v>
      </c>
      <c r="P134" s="67">
        <f t="shared" si="24"/>
        <v>0</v>
      </c>
    </row>
    <row r="135" spans="2:16">
      <c r="B135" t="str">
        <f t="shared" si="9"/>
        <v/>
      </c>
      <c r="C135" s="62">
        <f>IF(D94="","-",+C134+1)</f>
        <v>2057</v>
      </c>
      <c r="D135" s="647">
        <f>IF(F134+SUM(E$100:E134)=D$93,F134,D$93-SUM(E$100:E134))</f>
        <v>0</v>
      </c>
      <c r="E135" s="509">
        <f t="shared" si="15"/>
        <v>0</v>
      </c>
      <c r="F135" s="648">
        <f t="shared" si="16"/>
        <v>0</v>
      </c>
      <c r="G135" s="648">
        <f t="shared" si="17"/>
        <v>0</v>
      </c>
      <c r="H135" s="649">
        <f t="shared" si="20"/>
        <v>0</v>
      </c>
      <c r="I135" s="628">
        <f t="shared" si="19"/>
        <v>0</v>
      </c>
      <c r="J135" s="67">
        <f t="shared" si="21"/>
        <v>0</v>
      </c>
      <c r="K135" s="67"/>
      <c r="L135" s="130"/>
      <c r="M135" s="67">
        <f t="shared" si="22"/>
        <v>0</v>
      </c>
      <c r="N135" s="130"/>
      <c r="O135" s="67">
        <f t="shared" si="23"/>
        <v>0</v>
      </c>
      <c r="P135" s="67">
        <f t="shared" si="24"/>
        <v>0</v>
      </c>
    </row>
    <row r="136" spans="2:16">
      <c r="B136" t="str">
        <f t="shared" si="9"/>
        <v/>
      </c>
      <c r="C136" s="62">
        <f>IF(D94="","-",+C135+1)</f>
        <v>2058</v>
      </c>
      <c r="D136" s="647">
        <f>IF(F135+SUM(E$100:E135)=D$93,F135,D$93-SUM(E$100:E135))</f>
        <v>0</v>
      </c>
      <c r="E136" s="509">
        <f t="shared" si="15"/>
        <v>0</v>
      </c>
      <c r="F136" s="648">
        <f t="shared" si="16"/>
        <v>0</v>
      </c>
      <c r="G136" s="648">
        <f t="shared" si="17"/>
        <v>0</v>
      </c>
      <c r="H136" s="649">
        <f t="shared" si="20"/>
        <v>0</v>
      </c>
      <c r="I136" s="628">
        <f t="shared" si="19"/>
        <v>0</v>
      </c>
      <c r="J136" s="67">
        <f t="shared" si="21"/>
        <v>0</v>
      </c>
      <c r="K136" s="67"/>
      <c r="L136" s="130"/>
      <c r="M136" s="67">
        <f t="shared" si="22"/>
        <v>0</v>
      </c>
      <c r="N136" s="130"/>
      <c r="O136" s="67">
        <f t="shared" si="23"/>
        <v>0</v>
      </c>
      <c r="P136" s="67">
        <f t="shared" si="24"/>
        <v>0</v>
      </c>
    </row>
    <row r="137" spans="2:16">
      <c r="B137" t="str">
        <f t="shared" si="9"/>
        <v/>
      </c>
      <c r="C137" s="62">
        <f>IF(D94="","-",+C136+1)</f>
        <v>2059</v>
      </c>
      <c r="D137" s="647">
        <f>IF(F136+SUM(E$100:E136)=D$93,F136,D$93-SUM(E$100:E136))</f>
        <v>0</v>
      </c>
      <c r="E137" s="509">
        <f t="shared" si="15"/>
        <v>0</v>
      </c>
      <c r="F137" s="648">
        <f t="shared" si="16"/>
        <v>0</v>
      </c>
      <c r="G137" s="648">
        <f t="shared" si="17"/>
        <v>0</v>
      </c>
      <c r="H137" s="649">
        <f t="shared" si="20"/>
        <v>0</v>
      </c>
      <c r="I137" s="628">
        <f t="shared" si="19"/>
        <v>0</v>
      </c>
      <c r="J137" s="67">
        <f t="shared" si="21"/>
        <v>0</v>
      </c>
      <c r="K137" s="67"/>
      <c r="L137" s="130"/>
      <c r="M137" s="67">
        <f t="shared" si="22"/>
        <v>0</v>
      </c>
      <c r="N137" s="130"/>
      <c r="O137" s="67">
        <f t="shared" si="23"/>
        <v>0</v>
      </c>
      <c r="P137" s="67">
        <f t="shared" si="24"/>
        <v>0</v>
      </c>
    </row>
    <row r="138" spans="2:16">
      <c r="B138" t="str">
        <f t="shared" si="9"/>
        <v/>
      </c>
      <c r="C138" s="62">
        <f>IF(D94="","-",+C137+1)</f>
        <v>2060</v>
      </c>
      <c r="D138" s="647">
        <f>IF(F137+SUM(E$100:E137)=D$93,F137,D$93-SUM(E$100:E137))</f>
        <v>0</v>
      </c>
      <c r="E138" s="509">
        <f t="shared" si="15"/>
        <v>0</v>
      </c>
      <c r="F138" s="648">
        <f t="shared" si="16"/>
        <v>0</v>
      </c>
      <c r="G138" s="648">
        <f t="shared" si="17"/>
        <v>0</v>
      </c>
      <c r="H138" s="649">
        <f t="shared" si="20"/>
        <v>0</v>
      </c>
      <c r="I138" s="628">
        <f t="shared" si="19"/>
        <v>0</v>
      </c>
      <c r="J138" s="67">
        <f t="shared" si="21"/>
        <v>0</v>
      </c>
      <c r="K138" s="67"/>
      <c r="L138" s="130"/>
      <c r="M138" s="67">
        <f t="shared" si="22"/>
        <v>0</v>
      </c>
      <c r="N138" s="130"/>
      <c r="O138" s="67">
        <f t="shared" si="23"/>
        <v>0</v>
      </c>
      <c r="P138" s="67">
        <f t="shared" si="24"/>
        <v>0</v>
      </c>
    </row>
    <row r="139" spans="2:16">
      <c r="B139" t="str">
        <f t="shared" si="9"/>
        <v/>
      </c>
      <c r="C139" s="62">
        <f>IF(D94="","-",+C138+1)</f>
        <v>2061</v>
      </c>
      <c r="D139" s="647">
        <f>IF(F138+SUM(E$100:E138)=D$93,F138,D$93-SUM(E$100:E138))</f>
        <v>0</v>
      </c>
      <c r="E139" s="509">
        <f t="shared" si="15"/>
        <v>0</v>
      </c>
      <c r="F139" s="648">
        <f t="shared" si="16"/>
        <v>0</v>
      </c>
      <c r="G139" s="648">
        <f t="shared" si="17"/>
        <v>0</v>
      </c>
      <c r="H139" s="649">
        <f t="shared" si="20"/>
        <v>0</v>
      </c>
      <c r="I139" s="628">
        <f t="shared" si="19"/>
        <v>0</v>
      </c>
      <c r="J139" s="67">
        <f t="shared" si="21"/>
        <v>0</v>
      </c>
      <c r="K139" s="67"/>
      <c r="L139" s="130"/>
      <c r="M139" s="67">
        <f t="shared" si="22"/>
        <v>0</v>
      </c>
      <c r="N139" s="130"/>
      <c r="O139" s="67">
        <f t="shared" si="23"/>
        <v>0</v>
      </c>
      <c r="P139" s="67">
        <f t="shared" si="24"/>
        <v>0</v>
      </c>
    </row>
    <row r="140" spans="2:16">
      <c r="B140" t="str">
        <f t="shared" si="9"/>
        <v/>
      </c>
      <c r="C140" s="62">
        <f>IF(D94="","-",+C139+1)</f>
        <v>2062</v>
      </c>
      <c r="D140" s="647">
        <f>IF(F139+SUM(E$100:E139)=D$93,F139,D$93-SUM(E$100:E139))</f>
        <v>0</v>
      </c>
      <c r="E140" s="509">
        <f t="shared" si="15"/>
        <v>0</v>
      </c>
      <c r="F140" s="648">
        <f t="shared" si="16"/>
        <v>0</v>
      </c>
      <c r="G140" s="648">
        <f t="shared" si="17"/>
        <v>0</v>
      </c>
      <c r="H140" s="649">
        <f t="shared" si="20"/>
        <v>0</v>
      </c>
      <c r="I140" s="628">
        <f t="shared" si="19"/>
        <v>0</v>
      </c>
      <c r="J140" s="67">
        <f t="shared" si="21"/>
        <v>0</v>
      </c>
      <c r="K140" s="67"/>
      <c r="L140" s="130"/>
      <c r="M140" s="67">
        <f t="shared" si="22"/>
        <v>0</v>
      </c>
      <c r="N140" s="130"/>
      <c r="O140" s="67">
        <f t="shared" si="23"/>
        <v>0</v>
      </c>
      <c r="P140" s="67">
        <f t="shared" si="24"/>
        <v>0</v>
      </c>
    </row>
    <row r="141" spans="2:16">
      <c r="B141" t="str">
        <f t="shared" si="9"/>
        <v/>
      </c>
      <c r="C141" s="62">
        <f>IF(D94="","-",+C140+1)</f>
        <v>2063</v>
      </c>
      <c r="D141" s="647">
        <f>IF(F140+SUM(E$100:E140)=D$93,F140,D$93-SUM(E$100:E140))</f>
        <v>0</v>
      </c>
      <c r="E141" s="509">
        <f t="shared" si="15"/>
        <v>0</v>
      </c>
      <c r="F141" s="648">
        <f t="shared" si="16"/>
        <v>0</v>
      </c>
      <c r="G141" s="648">
        <f t="shared" si="17"/>
        <v>0</v>
      </c>
      <c r="H141" s="649">
        <f t="shared" si="20"/>
        <v>0</v>
      </c>
      <c r="I141" s="628">
        <f t="shared" si="19"/>
        <v>0</v>
      </c>
      <c r="J141" s="67">
        <f t="shared" si="21"/>
        <v>0</v>
      </c>
      <c r="K141" s="67"/>
      <c r="L141" s="130"/>
      <c r="M141" s="67">
        <f t="shared" si="22"/>
        <v>0</v>
      </c>
      <c r="N141" s="130"/>
      <c r="O141" s="67">
        <f t="shared" si="23"/>
        <v>0</v>
      </c>
      <c r="P141" s="67">
        <f t="shared" si="24"/>
        <v>0</v>
      </c>
    </row>
    <row r="142" spans="2:16">
      <c r="B142" t="str">
        <f t="shared" si="9"/>
        <v/>
      </c>
      <c r="C142" s="62">
        <f>IF(D94="","-",+C141+1)</f>
        <v>2064</v>
      </c>
      <c r="D142" s="647">
        <f>IF(F141+SUM(E$100:E141)=D$93,F141,D$93-SUM(E$100:E141))</f>
        <v>0</v>
      </c>
      <c r="E142" s="509">
        <f t="shared" si="15"/>
        <v>0</v>
      </c>
      <c r="F142" s="648">
        <f t="shared" si="16"/>
        <v>0</v>
      </c>
      <c r="G142" s="648">
        <f t="shared" si="17"/>
        <v>0</v>
      </c>
      <c r="H142" s="649">
        <f t="shared" si="20"/>
        <v>0</v>
      </c>
      <c r="I142" s="628">
        <f t="shared" si="19"/>
        <v>0</v>
      </c>
      <c r="J142" s="67">
        <f t="shared" si="21"/>
        <v>0</v>
      </c>
      <c r="K142" s="67"/>
      <c r="L142" s="130"/>
      <c r="M142" s="67">
        <f t="shared" si="22"/>
        <v>0</v>
      </c>
      <c r="N142" s="130"/>
      <c r="O142" s="67">
        <f t="shared" si="23"/>
        <v>0</v>
      </c>
      <c r="P142" s="67">
        <f t="shared" si="24"/>
        <v>0</v>
      </c>
    </row>
    <row r="143" spans="2:16">
      <c r="B143" t="str">
        <f t="shared" si="9"/>
        <v/>
      </c>
      <c r="C143" s="62">
        <f>IF(D94="","-",+C142+1)</f>
        <v>2065</v>
      </c>
      <c r="D143" s="647">
        <f>IF(F142+SUM(E$100:E142)=D$93,F142,D$93-SUM(E$100:E142))</f>
        <v>0</v>
      </c>
      <c r="E143" s="509">
        <f t="shared" si="15"/>
        <v>0</v>
      </c>
      <c r="F143" s="648">
        <f t="shared" si="16"/>
        <v>0</v>
      </c>
      <c r="G143" s="648">
        <f t="shared" si="17"/>
        <v>0</v>
      </c>
      <c r="H143" s="649">
        <f t="shared" si="20"/>
        <v>0</v>
      </c>
      <c r="I143" s="628">
        <f t="shared" si="19"/>
        <v>0</v>
      </c>
      <c r="J143" s="67">
        <f t="shared" si="21"/>
        <v>0</v>
      </c>
      <c r="K143" s="67"/>
      <c r="L143" s="130"/>
      <c r="M143" s="67">
        <f t="shared" si="22"/>
        <v>0</v>
      </c>
      <c r="N143" s="130"/>
      <c r="O143" s="67">
        <f t="shared" si="23"/>
        <v>0</v>
      </c>
      <c r="P143" s="67">
        <f t="shared" si="24"/>
        <v>0</v>
      </c>
    </row>
    <row r="144" spans="2:16">
      <c r="B144" t="str">
        <f t="shared" si="9"/>
        <v/>
      </c>
      <c r="C144" s="62">
        <f>IF(D94="","-",+C143+1)</f>
        <v>2066</v>
      </c>
      <c r="D144" s="647">
        <f>IF(F143+SUM(E$100:E143)=D$93,F143,D$93-SUM(E$100:E143))</f>
        <v>0</v>
      </c>
      <c r="E144" s="509">
        <f t="shared" si="15"/>
        <v>0</v>
      </c>
      <c r="F144" s="648">
        <f t="shared" si="16"/>
        <v>0</v>
      </c>
      <c r="G144" s="648">
        <f t="shared" si="17"/>
        <v>0</v>
      </c>
      <c r="H144" s="649">
        <f t="shared" si="20"/>
        <v>0</v>
      </c>
      <c r="I144" s="628">
        <f t="shared" si="19"/>
        <v>0</v>
      </c>
      <c r="J144" s="67">
        <f t="shared" si="21"/>
        <v>0</v>
      </c>
      <c r="K144" s="67"/>
      <c r="L144" s="130"/>
      <c r="M144" s="67">
        <f t="shared" si="22"/>
        <v>0</v>
      </c>
      <c r="N144" s="130"/>
      <c r="O144" s="67">
        <f t="shared" si="23"/>
        <v>0</v>
      </c>
      <c r="P144" s="67">
        <f t="shared" si="24"/>
        <v>0</v>
      </c>
    </row>
    <row r="145" spans="2:16">
      <c r="B145" t="str">
        <f t="shared" si="9"/>
        <v/>
      </c>
      <c r="C145" s="62">
        <f>IF(D94="","-",+C144+1)</f>
        <v>2067</v>
      </c>
      <c r="D145" s="647">
        <f>IF(F144+SUM(E$100:E144)=D$93,F144,D$93-SUM(E$100:E144))</f>
        <v>0</v>
      </c>
      <c r="E145" s="509">
        <f t="shared" si="15"/>
        <v>0</v>
      </c>
      <c r="F145" s="648">
        <f t="shared" si="16"/>
        <v>0</v>
      </c>
      <c r="G145" s="648">
        <f t="shared" si="17"/>
        <v>0</v>
      </c>
      <c r="H145" s="649">
        <f t="shared" si="20"/>
        <v>0</v>
      </c>
      <c r="I145" s="628">
        <f t="shared" si="19"/>
        <v>0</v>
      </c>
      <c r="J145" s="67">
        <f t="shared" si="21"/>
        <v>0</v>
      </c>
      <c r="K145" s="67"/>
      <c r="L145" s="130"/>
      <c r="M145" s="67">
        <f t="shared" si="22"/>
        <v>0</v>
      </c>
      <c r="N145" s="130"/>
      <c r="O145" s="67">
        <f t="shared" si="23"/>
        <v>0</v>
      </c>
      <c r="P145" s="67">
        <f t="shared" si="24"/>
        <v>0</v>
      </c>
    </row>
    <row r="146" spans="2:16">
      <c r="B146" t="str">
        <f t="shared" si="9"/>
        <v/>
      </c>
      <c r="C146" s="62">
        <f>IF(D94="","-",+C145+1)</f>
        <v>2068</v>
      </c>
      <c r="D146" s="647">
        <f>IF(F145+SUM(E$100:E145)=D$93,F145,D$93-SUM(E$100:E145))</f>
        <v>0</v>
      </c>
      <c r="E146" s="509">
        <f t="shared" si="15"/>
        <v>0</v>
      </c>
      <c r="F146" s="648">
        <f t="shared" si="16"/>
        <v>0</v>
      </c>
      <c r="G146" s="648">
        <f t="shared" si="17"/>
        <v>0</v>
      </c>
      <c r="H146" s="649">
        <f t="shared" si="20"/>
        <v>0</v>
      </c>
      <c r="I146" s="628">
        <f t="shared" si="19"/>
        <v>0</v>
      </c>
      <c r="J146" s="67">
        <f t="shared" si="21"/>
        <v>0</v>
      </c>
      <c r="K146" s="67"/>
      <c r="L146" s="130"/>
      <c r="M146" s="67">
        <f t="shared" si="22"/>
        <v>0</v>
      </c>
      <c r="N146" s="130"/>
      <c r="O146" s="67">
        <f t="shared" si="23"/>
        <v>0</v>
      </c>
      <c r="P146" s="67">
        <f t="shared" si="24"/>
        <v>0</v>
      </c>
    </row>
    <row r="147" spans="2:16">
      <c r="B147" t="str">
        <f t="shared" si="9"/>
        <v/>
      </c>
      <c r="C147" s="62">
        <f>IF(D94="","-",+C146+1)</f>
        <v>2069</v>
      </c>
      <c r="D147" s="647">
        <f>IF(F146+SUM(E$100:E146)=D$93,F146,D$93-SUM(E$100:E146))</f>
        <v>0</v>
      </c>
      <c r="E147" s="509">
        <f t="shared" si="15"/>
        <v>0</v>
      </c>
      <c r="F147" s="648">
        <f t="shared" si="16"/>
        <v>0</v>
      </c>
      <c r="G147" s="648">
        <f t="shared" si="17"/>
        <v>0</v>
      </c>
      <c r="H147" s="649">
        <f t="shared" si="20"/>
        <v>0</v>
      </c>
      <c r="I147" s="628">
        <f t="shared" si="19"/>
        <v>0</v>
      </c>
      <c r="J147" s="67">
        <f t="shared" si="21"/>
        <v>0</v>
      </c>
      <c r="K147" s="67"/>
      <c r="L147" s="130"/>
      <c r="M147" s="67">
        <f t="shared" si="22"/>
        <v>0</v>
      </c>
      <c r="N147" s="130"/>
      <c r="O147" s="67">
        <f t="shared" si="23"/>
        <v>0</v>
      </c>
      <c r="P147" s="67">
        <f t="shared" si="24"/>
        <v>0</v>
      </c>
    </row>
    <row r="148" spans="2:16">
      <c r="B148" t="str">
        <f t="shared" si="9"/>
        <v/>
      </c>
      <c r="C148" s="62">
        <f>IF(D94="","-",+C147+1)</f>
        <v>2070</v>
      </c>
      <c r="D148" s="647">
        <f>IF(F147+SUM(E$100:E147)=D$93,F147,D$93-SUM(E$100:E147))</f>
        <v>0</v>
      </c>
      <c r="E148" s="509">
        <f t="shared" si="15"/>
        <v>0</v>
      </c>
      <c r="F148" s="648">
        <f t="shared" si="16"/>
        <v>0</v>
      </c>
      <c r="G148" s="648">
        <f t="shared" si="17"/>
        <v>0</v>
      </c>
      <c r="H148" s="649">
        <f t="shared" si="20"/>
        <v>0</v>
      </c>
      <c r="I148" s="628">
        <f t="shared" si="19"/>
        <v>0</v>
      </c>
      <c r="J148" s="67">
        <f t="shared" si="21"/>
        <v>0</v>
      </c>
      <c r="K148" s="67"/>
      <c r="L148" s="130"/>
      <c r="M148" s="67">
        <f t="shared" si="22"/>
        <v>0</v>
      </c>
      <c r="N148" s="130"/>
      <c r="O148" s="67">
        <f t="shared" si="23"/>
        <v>0</v>
      </c>
      <c r="P148" s="67">
        <f t="shared" si="24"/>
        <v>0</v>
      </c>
    </row>
    <row r="149" spans="2:16">
      <c r="B149" t="str">
        <f t="shared" si="9"/>
        <v/>
      </c>
      <c r="C149" s="62">
        <f>IF(D94="","-",+C148+1)</f>
        <v>2071</v>
      </c>
      <c r="D149" s="647">
        <f>IF(F148+SUM(E$100:E148)=D$93,F148,D$93-SUM(E$100:E148))</f>
        <v>0</v>
      </c>
      <c r="E149" s="509">
        <f t="shared" si="15"/>
        <v>0</v>
      </c>
      <c r="F149" s="648">
        <f t="shared" si="16"/>
        <v>0</v>
      </c>
      <c r="G149" s="648">
        <f t="shared" si="17"/>
        <v>0</v>
      </c>
      <c r="H149" s="649">
        <f t="shared" si="20"/>
        <v>0</v>
      </c>
      <c r="I149" s="628">
        <f t="shared" si="19"/>
        <v>0</v>
      </c>
      <c r="J149" s="67">
        <f t="shared" si="21"/>
        <v>0</v>
      </c>
      <c r="K149" s="67"/>
      <c r="L149" s="130"/>
      <c r="M149" s="67">
        <f t="shared" si="22"/>
        <v>0</v>
      </c>
      <c r="N149" s="130"/>
      <c r="O149" s="67">
        <f t="shared" si="23"/>
        <v>0</v>
      </c>
      <c r="P149" s="67">
        <f t="shared" si="24"/>
        <v>0</v>
      </c>
    </row>
    <row r="150" spans="2:16">
      <c r="B150" t="str">
        <f t="shared" si="9"/>
        <v/>
      </c>
      <c r="C150" s="62">
        <f>IF(D94="","-",+C149+1)</f>
        <v>2072</v>
      </c>
      <c r="D150" s="647">
        <f>IF(F149+SUM(E$100:E149)=D$93,F149,D$93-SUM(E$100:E149))</f>
        <v>0</v>
      </c>
      <c r="E150" s="509">
        <f t="shared" si="15"/>
        <v>0</v>
      </c>
      <c r="F150" s="648">
        <f t="shared" si="16"/>
        <v>0</v>
      </c>
      <c r="G150" s="648">
        <f t="shared" si="17"/>
        <v>0</v>
      </c>
      <c r="H150" s="649">
        <f t="shared" si="20"/>
        <v>0</v>
      </c>
      <c r="I150" s="628">
        <f t="shared" si="19"/>
        <v>0</v>
      </c>
      <c r="J150" s="67">
        <f t="shared" si="21"/>
        <v>0</v>
      </c>
      <c r="K150" s="67"/>
      <c r="L150" s="130"/>
      <c r="M150" s="67">
        <f t="shared" si="22"/>
        <v>0</v>
      </c>
      <c r="N150" s="130"/>
      <c r="O150" s="67">
        <f t="shared" si="23"/>
        <v>0</v>
      </c>
      <c r="P150" s="67">
        <f t="shared" si="24"/>
        <v>0</v>
      </c>
    </row>
    <row r="151" spans="2:16">
      <c r="B151" t="str">
        <f t="shared" si="9"/>
        <v/>
      </c>
      <c r="C151" s="62">
        <f>IF(D94="","-",+C150+1)</f>
        <v>2073</v>
      </c>
      <c r="D151" s="647">
        <f>IF(F150+SUM(E$100:E150)=D$93,F150,D$93-SUM(E$100:E150))</f>
        <v>0</v>
      </c>
      <c r="E151" s="509">
        <f t="shared" si="15"/>
        <v>0</v>
      </c>
      <c r="F151" s="648">
        <f t="shared" si="16"/>
        <v>0</v>
      </c>
      <c r="G151" s="648">
        <f t="shared" si="17"/>
        <v>0</v>
      </c>
      <c r="H151" s="649">
        <f t="shared" si="20"/>
        <v>0</v>
      </c>
      <c r="I151" s="628">
        <f t="shared" si="19"/>
        <v>0</v>
      </c>
      <c r="J151" s="67">
        <f t="shared" si="21"/>
        <v>0</v>
      </c>
      <c r="K151" s="67"/>
      <c r="L151" s="130"/>
      <c r="M151" s="67">
        <f t="shared" si="22"/>
        <v>0</v>
      </c>
      <c r="N151" s="130"/>
      <c r="O151" s="67">
        <f t="shared" si="23"/>
        <v>0</v>
      </c>
      <c r="P151" s="67">
        <f t="shared" si="24"/>
        <v>0</v>
      </c>
    </row>
    <row r="152" spans="2:16">
      <c r="B152" t="str">
        <f t="shared" si="9"/>
        <v/>
      </c>
      <c r="C152" s="62">
        <f>IF(D94="","-",+C151+1)</f>
        <v>2074</v>
      </c>
      <c r="D152" s="647">
        <f>IF(F151+SUM(E$100:E151)=D$93,F151,D$93-SUM(E$100:E151))</f>
        <v>0</v>
      </c>
      <c r="E152" s="509">
        <f t="shared" si="15"/>
        <v>0</v>
      </c>
      <c r="F152" s="648">
        <f t="shared" si="16"/>
        <v>0</v>
      </c>
      <c r="G152" s="648">
        <f t="shared" si="17"/>
        <v>0</v>
      </c>
      <c r="H152" s="649">
        <f t="shared" si="20"/>
        <v>0</v>
      </c>
      <c r="I152" s="628">
        <f t="shared" si="19"/>
        <v>0</v>
      </c>
      <c r="J152" s="67">
        <f t="shared" si="21"/>
        <v>0</v>
      </c>
      <c r="K152" s="67"/>
      <c r="L152" s="130"/>
      <c r="M152" s="67">
        <f t="shared" si="22"/>
        <v>0</v>
      </c>
      <c r="N152" s="130"/>
      <c r="O152" s="67">
        <f t="shared" si="23"/>
        <v>0</v>
      </c>
      <c r="P152" s="67">
        <f t="shared" si="24"/>
        <v>0</v>
      </c>
    </row>
    <row r="153" spans="2:16">
      <c r="B153" t="str">
        <f t="shared" si="9"/>
        <v/>
      </c>
      <c r="C153" s="62">
        <f>IF(D94="","-",+C152+1)</f>
        <v>2075</v>
      </c>
      <c r="D153" s="647">
        <f>IF(F152+SUM(E$100:E152)=D$93,F152,D$93-SUM(E$100:E152))</f>
        <v>0</v>
      </c>
      <c r="E153" s="509">
        <f t="shared" si="15"/>
        <v>0</v>
      </c>
      <c r="F153" s="648">
        <f t="shared" si="16"/>
        <v>0</v>
      </c>
      <c r="G153" s="648">
        <f t="shared" si="17"/>
        <v>0</v>
      </c>
      <c r="H153" s="649">
        <f t="shared" si="20"/>
        <v>0</v>
      </c>
      <c r="I153" s="628">
        <f t="shared" si="19"/>
        <v>0</v>
      </c>
      <c r="J153" s="67">
        <f t="shared" si="21"/>
        <v>0</v>
      </c>
      <c r="K153" s="67"/>
      <c r="L153" s="130"/>
      <c r="M153" s="67">
        <f t="shared" si="22"/>
        <v>0</v>
      </c>
      <c r="N153" s="130"/>
      <c r="O153" s="67">
        <f t="shared" si="23"/>
        <v>0</v>
      </c>
      <c r="P153" s="67">
        <f t="shared" si="24"/>
        <v>0</v>
      </c>
    </row>
    <row r="154" spans="2:16">
      <c r="B154" t="str">
        <f t="shared" si="9"/>
        <v/>
      </c>
      <c r="C154" s="62">
        <f>IF(D94="","-",+C153+1)</f>
        <v>2076</v>
      </c>
      <c r="D154" s="647">
        <f>IF(F153+SUM(E$100:E153)=D$93,F153,D$93-SUM(E$100:E153))</f>
        <v>0</v>
      </c>
      <c r="E154" s="509">
        <f t="shared" si="15"/>
        <v>0</v>
      </c>
      <c r="F154" s="648">
        <f t="shared" si="16"/>
        <v>0</v>
      </c>
      <c r="G154" s="648">
        <f t="shared" si="17"/>
        <v>0</v>
      </c>
      <c r="H154" s="649">
        <f t="shared" si="20"/>
        <v>0</v>
      </c>
      <c r="I154" s="628">
        <f t="shared" si="19"/>
        <v>0</v>
      </c>
      <c r="J154" s="67">
        <f t="shared" si="21"/>
        <v>0</v>
      </c>
      <c r="K154" s="67"/>
      <c r="L154" s="130"/>
      <c r="M154" s="67">
        <f t="shared" si="22"/>
        <v>0</v>
      </c>
      <c r="N154" s="130"/>
      <c r="O154" s="67">
        <f t="shared" si="23"/>
        <v>0</v>
      </c>
      <c r="P154" s="67">
        <f t="shared" si="24"/>
        <v>0</v>
      </c>
    </row>
    <row r="155" spans="2:16" ht="13.5" thickBot="1">
      <c r="B155" t="str">
        <f t="shared" si="9"/>
        <v/>
      </c>
      <c r="C155" s="73">
        <f>IF(D94="","-",+C154+1)</f>
        <v>2077</v>
      </c>
      <c r="D155" s="650">
        <f>IF(F154+SUM(E$100:E154)=D$93,F154,D$93-SUM(E$100:E154))</f>
        <v>0</v>
      </c>
      <c r="E155" s="526">
        <f t="shared" si="15"/>
        <v>0</v>
      </c>
      <c r="F155" s="651">
        <f t="shared" si="16"/>
        <v>0</v>
      </c>
      <c r="G155" s="651">
        <f t="shared" si="17"/>
        <v>0</v>
      </c>
      <c r="H155" s="649">
        <f t="shared" si="20"/>
        <v>0</v>
      </c>
      <c r="I155" s="624">
        <f t="shared" si="19"/>
        <v>0</v>
      </c>
      <c r="J155" s="78">
        <f t="shared" si="21"/>
        <v>0</v>
      </c>
      <c r="K155" s="67"/>
      <c r="L155" s="131"/>
      <c r="M155" s="78">
        <f t="shared" si="22"/>
        <v>0</v>
      </c>
      <c r="N155" s="131"/>
      <c r="O155" s="78">
        <f t="shared" si="23"/>
        <v>0</v>
      </c>
      <c r="P155" s="78">
        <f t="shared" si="24"/>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5" right="0.25" top="1" bottom="0.5" header="0.25" footer="0.5"/>
  <pageSetup scale="47" orientation="landscape" r:id="rId1"/>
  <headerFooter>
    <oddHeader xml:space="preserve">&amp;R&amp;18AEPTCo - SPP Formula Rate
&amp;A TCOS - Worksheets F and G
Section IV -- (BPU Project Tables)
Page: &amp;P of &amp;N
</oddHeader>
    <oddFooter>&amp;L&amp;A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8"/>
  <dimension ref="A1:P163"/>
  <sheetViews>
    <sheetView topLeftCell="A91" zoomScaleNormal="100" workbookViewId="0">
      <selection activeCell="D100" sqref="D100:J107"/>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nk of 24</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0</v>
      </c>
      <c r="P5" s="1"/>
    </row>
    <row r="6" spans="1:16" ht="15.75">
      <c r="C6" s="8"/>
      <c r="D6" s="2"/>
      <c r="E6" s="1"/>
      <c r="F6" s="1"/>
      <c r="G6" s="1"/>
      <c r="H6" s="26"/>
      <c r="I6" s="26"/>
      <c r="J6" s="27"/>
      <c r="K6" s="28" t="s">
        <v>243</v>
      </c>
      <c r="L6" s="29"/>
      <c r="M6" s="4"/>
      <c r="N6" s="30">
        <f>VLOOKUP(I10,C17:I73,6)</f>
        <v>0</v>
      </c>
      <c r="O6" s="1"/>
      <c r="P6" s="1"/>
    </row>
    <row r="7" spans="1:16" ht="13.5" thickBot="1">
      <c r="C7" s="31" t="s">
        <v>46</v>
      </c>
      <c r="D7" s="104" t="s">
        <v>245</v>
      </c>
      <c r="E7" s="1"/>
      <c r="F7" s="1"/>
      <c r="G7" s="1"/>
      <c r="H7" s="3"/>
      <c r="I7" s="3"/>
      <c r="J7" s="19"/>
      <c r="K7" s="32" t="s">
        <v>47</v>
      </c>
      <c r="L7" s="33"/>
      <c r="M7" s="33"/>
      <c r="N7" s="34">
        <f>+N6-N5</f>
        <v>0</v>
      </c>
      <c r="O7" s="1"/>
      <c r="P7" s="1"/>
    </row>
    <row r="8" spans="1:16" ht="13.5" thickBot="1">
      <c r="C8" s="35"/>
      <c r="D8" s="114" t="str">
        <f>IF(D10&lt;100000,"DOES NOT MEET SPP $100,000 MINIMUM INVESTMENT FOR REGIONAL BPU SHARING.","")</f>
        <v>DOES NOT MEET SPP $100,000 MINIMUM INVESTMENT FOR REGIONAL BPU SHARING.</v>
      </c>
      <c r="E8" s="36"/>
      <c r="F8" s="36"/>
      <c r="G8" s="36"/>
      <c r="H8" s="36"/>
      <c r="I8" s="36"/>
      <c r="J8" s="15"/>
      <c r="K8" s="36"/>
      <c r="L8" s="36"/>
      <c r="M8" s="36"/>
      <c r="N8" s="36"/>
      <c r="O8" s="15"/>
      <c r="P8" s="9"/>
    </row>
    <row r="9" spans="1:16" ht="13.5" thickBot="1">
      <c r="C9" s="37" t="s">
        <v>48</v>
      </c>
      <c r="D9" s="106" t="s">
        <v>78</v>
      </c>
      <c r="E9" s="38"/>
      <c r="F9" s="38"/>
      <c r="G9" s="38"/>
      <c r="H9" s="38"/>
      <c r="I9" s="39"/>
      <c r="J9" s="40"/>
      <c r="O9" s="41"/>
      <c r="P9" s="4"/>
    </row>
    <row r="10" spans="1:16">
      <c r="C10" s="42" t="s">
        <v>49</v>
      </c>
      <c r="D10" s="43">
        <v>0</v>
      </c>
      <c r="E10" s="11" t="s">
        <v>50</v>
      </c>
      <c r="F10" s="41"/>
      <c r="G10" s="44"/>
      <c r="H10" s="44"/>
      <c r="I10" s="45">
        <f>+'OKT.WS.F.BPU.ATRR.Projected'!R101</f>
        <v>2024</v>
      </c>
      <c r="J10" s="40"/>
      <c r="K10" s="19" t="s">
        <v>51</v>
      </c>
      <c r="O10" s="4"/>
      <c r="P10" s="4"/>
    </row>
    <row r="11" spans="1:16">
      <c r="C11" s="46" t="s">
        <v>52</v>
      </c>
      <c r="D11" s="47">
        <v>2018</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4</v>
      </c>
      <c r="E12" s="46" t="s">
        <v>55</v>
      </c>
      <c r="F12" s="44"/>
      <c r="G12" s="7"/>
      <c r="H12" s="7"/>
      <c r="I12" s="50">
        <f>'OKT.WS.F.BPU.ATRR.Projected'!$F$79</f>
        <v>0.11393163315254198</v>
      </c>
      <c r="J12" s="51"/>
      <c r="K12" t="s">
        <v>56</v>
      </c>
      <c r="O12" s="4"/>
      <c r="P12" s="4"/>
    </row>
    <row r="13" spans="1:16">
      <c r="C13" s="46" t="s">
        <v>57</v>
      </c>
      <c r="D13" s="48">
        <f>+'OKT.WS.F.BPU.ATRR.Projected'!F$90</f>
        <v>31</v>
      </c>
      <c r="E13" s="46" t="s">
        <v>58</v>
      </c>
      <c r="F13" s="44"/>
      <c r="G13" s="7"/>
      <c r="H13" s="7"/>
      <c r="I13" s="50">
        <f>IF(G5="",I12,'OKT.WS.F.BPU.ATRR.Projected'!$F$78)</f>
        <v>0.11393163315254198</v>
      </c>
      <c r="J13" s="51"/>
      <c r="K13" s="19" t="s">
        <v>59</v>
      </c>
      <c r="L13" s="10"/>
      <c r="M13" s="10"/>
      <c r="N13" s="10"/>
      <c r="O13" s="4"/>
      <c r="P13" s="4"/>
    </row>
    <row r="14" spans="1:16" ht="13.5" thickBot="1">
      <c r="C14" s="46" t="s">
        <v>60</v>
      </c>
      <c r="D14" s="47" t="s">
        <v>61</v>
      </c>
      <c r="E14" s="4" t="s">
        <v>62</v>
      </c>
      <c r="F14" s="44"/>
      <c r="G14" s="7"/>
      <c r="H14" s="7"/>
      <c r="I14" s="52">
        <f>IF(D10=0,0,D10/D13)</f>
        <v>0</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2018</v>
      </c>
      <c r="D17" s="63">
        <v>0</v>
      </c>
      <c r="E17" s="64">
        <f>IF(D10&gt;=100000,I$14/12*(12-D12),0)</f>
        <v>0</v>
      </c>
      <c r="F17" s="68">
        <f>IF(D11=C17,+D10-E17,+D17-E17)</f>
        <v>0</v>
      </c>
      <c r="G17" s="64">
        <f>(D17+F17)/2*I$12+E17</f>
        <v>0</v>
      </c>
      <c r="H17" s="52">
        <f>+(D17+F17)/2*I$13+E17</f>
        <v>0</v>
      </c>
      <c r="I17" s="65">
        <f t="shared" ref="I17:I48" si="1">H17-G17</f>
        <v>0</v>
      </c>
      <c r="J17" s="65"/>
      <c r="K17" s="132"/>
      <c r="L17" s="66">
        <f t="shared" ref="L17:L48" si="2">IF(K17&lt;&gt;0,+G17-K17,0)</f>
        <v>0</v>
      </c>
      <c r="M17" s="132"/>
      <c r="N17" s="66">
        <f t="shared" ref="N17:N48" si="3">IF(M17&lt;&gt;0,+H17-M17,0)</f>
        <v>0</v>
      </c>
      <c r="O17" s="67">
        <f t="shared" ref="O17:O48" si="4">+N17-L17</f>
        <v>0</v>
      </c>
      <c r="P17" s="4"/>
    </row>
    <row r="18" spans="2:16">
      <c r="B18" t="str">
        <f t="shared" si="0"/>
        <v/>
      </c>
      <c r="C18" s="62">
        <f>IF(D11="","-",+C17+1)</f>
        <v>2019</v>
      </c>
      <c r="D18" s="71">
        <f>IF(F17+SUM(E$17:E17)=D$10,F17,D$10-SUM(E$17:E17))</f>
        <v>0</v>
      </c>
      <c r="E18" s="69">
        <f t="shared" ref="E18:E49" si="5">IF(+I$14&lt;F17,I$14,D18)</f>
        <v>0</v>
      </c>
      <c r="F18" s="68">
        <f t="shared" ref="F18:F48"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c r="B19" t="str">
        <f t="shared" si="0"/>
        <v/>
      </c>
      <c r="C19" s="62">
        <f>IF(D11="","-",+C18+1)</f>
        <v>2020</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c r="B20" t="str">
        <f t="shared" si="0"/>
        <v/>
      </c>
      <c r="C20" s="62">
        <f>IF(D11="","-",+C19+1)</f>
        <v>2021</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c r="B21" t="str">
        <f t="shared" si="0"/>
        <v/>
      </c>
      <c r="C21" s="62">
        <f>IF(D11="","-",+C20+1)</f>
        <v>2022</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c r="B22" t="str">
        <f t="shared" si="0"/>
        <v/>
      </c>
      <c r="C22" s="62">
        <f>IF(D11="","-",+C21+1)</f>
        <v>2023</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c r="B23" t="str">
        <f t="shared" si="0"/>
        <v/>
      </c>
      <c r="C23" s="62">
        <f>IF(D11="","-",+C22+1)</f>
        <v>2024</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c r="B24" t="str">
        <f t="shared" si="0"/>
        <v/>
      </c>
      <c r="C24" s="62">
        <f>IF(D11="","-",+C23+1)</f>
        <v>2025</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c r="B25" t="str">
        <f t="shared" si="0"/>
        <v/>
      </c>
      <c r="C25" s="62">
        <f>IF(D11="","-",+C24+1)</f>
        <v>2026</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c r="B26" t="str">
        <f t="shared" si="0"/>
        <v/>
      </c>
      <c r="C26" s="62">
        <f>IF(D11="","-",+C25+1)</f>
        <v>2027</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c r="B27" t="str">
        <f t="shared" si="0"/>
        <v/>
      </c>
      <c r="C27" s="62">
        <f>IF(D11="","-",+C26+1)</f>
        <v>2028</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c r="B28" t="str">
        <f t="shared" si="0"/>
        <v/>
      </c>
      <c r="C28" s="62">
        <f>IF(D11="","-",+C27+1)</f>
        <v>2029</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c r="B29" t="str">
        <f t="shared" si="0"/>
        <v/>
      </c>
      <c r="C29" s="62">
        <f>IF(D11="","-",+C28+1)</f>
        <v>2030</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c r="B30" t="str">
        <f t="shared" si="0"/>
        <v/>
      </c>
      <c r="C30" s="62">
        <f>IF(D11="","-",+C29+1)</f>
        <v>2031</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c r="B31" t="str">
        <f t="shared" si="0"/>
        <v/>
      </c>
      <c r="C31" s="62">
        <f>IF(D11="","-",+C30+1)</f>
        <v>2032</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c r="B32" t="str">
        <f t="shared" si="0"/>
        <v/>
      </c>
      <c r="C32" s="62">
        <f>IF(D11="","-",+C31+1)</f>
        <v>2033</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c r="B33" t="str">
        <f t="shared" si="0"/>
        <v/>
      </c>
      <c r="C33" s="62">
        <f>IF(D11="","-",+C32+1)</f>
        <v>2034</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c r="B34" t="str">
        <f t="shared" si="0"/>
        <v/>
      </c>
      <c r="C34" s="62">
        <f>IF(D11="","-",+C33+1)</f>
        <v>2035</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c r="B35" t="str">
        <f t="shared" si="0"/>
        <v/>
      </c>
      <c r="C35" s="62">
        <f>IF(D11="","-",+C34+1)</f>
        <v>2036</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c r="B36" t="str">
        <f t="shared" si="0"/>
        <v/>
      </c>
      <c r="C36" s="62">
        <f>IF(D11="","-",+C35+1)</f>
        <v>2037</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c r="B37" t="str">
        <f t="shared" si="0"/>
        <v/>
      </c>
      <c r="C37" s="62">
        <f>IF(D11="","-",+C36+1)</f>
        <v>2038</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c r="B38" t="str">
        <f t="shared" si="0"/>
        <v/>
      </c>
      <c r="C38" s="62">
        <f>IF(D11="","-",+C37+1)</f>
        <v>2039</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c r="B39" t="str">
        <f t="shared" si="0"/>
        <v/>
      </c>
      <c r="C39" s="62">
        <f>IF(D11="","-",+C38+1)</f>
        <v>2040</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c r="B40" t="str">
        <f t="shared" si="0"/>
        <v/>
      </c>
      <c r="C40" s="62">
        <f>IF(D11="","-",+C39+1)</f>
        <v>2041</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c r="B41" t="str">
        <f t="shared" si="0"/>
        <v/>
      </c>
      <c r="C41" s="62">
        <f>IF(D11="","-",+C40+1)</f>
        <v>2042</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c r="B42" t="str">
        <f t="shared" si="0"/>
        <v/>
      </c>
      <c r="C42" s="62">
        <f>IF(D11="","-",+C41+1)</f>
        <v>2043</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c r="B43" t="str">
        <f t="shared" si="0"/>
        <v/>
      </c>
      <c r="C43" s="62">
        <f>IF(D11="","-",+C42+1)</f>
        <v>2044</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c r="B44" t="str">
        <f t="shared" si="0"/>
        <v/>
      </c>
      <c r="C44" s="62">
        <f>IF(D11="","-",+C43+1)</f>
        <v>2045</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c r="B45" t="str">
        <f t="shared" si="0"/>
        <v/>
      </c>
      <c r="C45" s="62">
        <f>IF(D11="","-",+C44+1)</f>
        <v>2046</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c r="B46" t="str">
        <f t="shared" si="0"/>
        <v/>
      </c>
      <c r="C46" s="62">
        <f>IF(D11="","-",+C45+1)</f>
        <v>2047</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c r="B47" t="str">
        <f t="shared" si="0"/>
        <v/>
      </c>
      <c r="C47" s="62">
        <f>IF(D11="","-",+C46+1)</f>
        <v>2048</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c r="B48" t="str">
        <f t="shared" si="0"/>
        <v/>
      </c>
      <c r="C48" s="62">
        <f>IF(D11="","-",+C47+1)</f>
        <v>2049</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c r="B49" t="str">
        <f t="shared" si="0"/>
        <v/>
      </c>
      <c r="C49" s="62">
        <f>IF(D11="","-",+C48+1)</f>
        <v>2050</v>
      </c>
      <c r="D49" s="71">
        <f>IF(F48+SUM(E$17:E48)=D$10,F48,D$10-SUM(E$17:E48))</f>
        <v>0</v>
      </c>
      <c r="E49" s="69">
        <f t="shared" si="5"/>
        <v>0</v>
      </c>
      <c r="F49" s="68">
        <f t="shared" ref="F49:F71" si="9">+D49-E49</f>
        <v>0</v>
      </c>
      <c r="G49" s="70">
        <f t="shared" si="7"/>
        <v>0</v>
      </c>
      <c r="H49" s="52">
        <f t="shared" si="8"/>
        <v>0</v>
      </c>
      <c r="I49" s="65">
        <f t="shared" ref="I49:I71" si="10">H49-G49</f>
        <v>0</v>
      </c>
      <c r="J49" s="65"/>
      <c r="K49" s="130"/>
      <c r="L49" s="67">
        <f t="shared" ref="L49:L71" si="11">IF(K49&lt;&gt;0,+G49-K49,0)</f>
        <v>0</v>
      </c>
      <c r="M49" s="130"/>
      <c r="N49" s="67">
        <f t="shared" ref="N49:N71" si="12">IF(M49&lt;&gt;0,+H49-M49,0)</f>
        <v>0</v>
      </c>
      <c r="O49" s="67">
        <f t="shared" ref="O49:O71" si="13">+N49-L49</f>
        <v>0</v>
      </c>
      <c r="P49" s="4"/>
    </row>
    <row r="50" spans="2:16">
      <c r="B50" t="str">
        <f t="shared" si="0"/>
        <v/>
      </c>
      <c r="C50" s="62">
        <f>IF(D11="","-",+C49+1)</f>
        <v>2051</v>
      </c>
      <c r="D50" s="71">
        <f>IF(F49+SUM(E$17:E49)=D$10,F49,D$10-SUM(E$17:E49))</f>
        <v>0</v>
      </c>
      <c r="E50" s="69">
        <f t="shared" ref="E50:E71" si="14">IF(+I$14&lt;F49,I$14,D50)</f>
        <v>0</v>
      </c>
      <c r="F50" s="68">
        <f t="shared" si="9"/>
        <v>0</v>
      </c>
      <c r="G50" s="70">
        <f t="shared" si="7"/>
        <v>0</v>
      </c>
      <c r="H50" s="52">
        <f t="shared" si="8"/>
        <v>0</v>
      </c>
      <c r="I50" s="65">
        <f t="shared" si="10"/>
        <v>0</v>
      </c>
      <c r="J50" s="65"/>
      <c r="K50" s="130"/>
      <c r="L50" s="67">
        <f t="shared" si="11"/>
        <v>0</v>
      </c>
      <c r="M50" s="130"/>
      <c r="N50" s="67">
        <f t="shared" si="12"/>
        <v>0</v>
      </c>
      <c r="O50" s="67">
        <f t="shared" si="13"/>
        <v>0</v>
      </c>
      <c r="P50" s="4"/>
    </row>
    <row r="51" spans="2:16">
      <c r="B51" t="str">
        <f t="shared" si="0"/>
        <v/>
      </c>
      <c r="C51" s="62">
        <f>IF(D11="","-",+C50+1)</f>
        <v>2052</v>
      </c>
      <c r="D51" s="71">
        <f>IF(F50+SUM(E$17:E50)=D$10,F50,D$10-SUM(E$17:E50))</f>
        <v>0</v>
      </c>
      <c r="E51" s="69">
        <f t="shared" si="14"/>
        <v>0</v>
      </c>
      <c r="F51" s="68">
        <f t="shared" si="9"/>
        <v>0</v>
      </c>
      <c r="G51" s="70">
        <f t="shared" si="7"/>
        <v>0</v>
      </c>
      <c r="H51" s="52">
        <f t="shared" si="8"/>
        <v>0</v>
      </c>
      <c r="I51" s="65">
        <f t="shared" si="10"/>
        <v>0</v>
      </c>
      <c r="J51" s="65"/>
      <c r="K51" s="130"/>
      <c r="L51" s="67">
        <f t="shared" si="11"/>
        <v>0</v>
      </c>
      <c r="M51" s="130"/>
      <c r="N51" s="67">
        <f t="shared" si="12"/>
        <v>0</v>
      </c>
      <c r="O51" s="67">
        <f t="shared" si="13"/>
        <v>0</v>
      </c>
      <c r="P51" s="4"/>
    </row>
    <row r="52" spans="2:16">
      <c r="B52" t="str">
        <f t="shared" si="0"/>
        <v/>
      </c>
      <c r="C52" s="62">
        <f>IF(D11="","-",+C51+1)</f>
        <v>2053</v>
      </c>
      <c r="D52" s="71">
        <f>IF(F51+SUM(E$17:E51)=D$10,F51,D$10-SUM(E$17:E51))</f>
        <v>0</v>
      </c>
      <c r="E52" s="69">
        <f t="shared" si="14"/>
        <v>0</v>
      </c>
      <c r="F52" s="68">
        <f t="shared" si="9"/>
        <v>0</v>
      </c>
      <c r="G52" s="70">
        <f t="shared" si="7"/>
        <v>0</v>
      </c>
      <c r="H52" s="52">
        <f t="shared" si="8"/>
        <v>0</v>
      </c>
      <c r="I52" s="65">
        <f t="shared" si="10"/>
        <v>0</v>
      </c>
      <c r="J52" s="65"/>
      <c r="K52" s="130"/>
      <c r="L52" s="67">
        <f t="shared" si="11"/>
        <v>0</v>
      </c>
      <c r="M52" s="130"/>
      <c r="N52" s="67">
        <f t="shared" si="12"/>
        <v>0</v>
      </c>
      <c r="O52" s="67">
        <f t="shared" si="13"/>
        <v>0</v>
      </c>
      <c r="P52" s="4"/>
    </row>
    <row r="53" spans="2:16">
      <c r="B53" t="str">
        <f t="shared" si="0"/>
        <v/>
      </c>
      <c r="C53" s="62">
        <f>IF(D11="","-",+C52+1)</f>
        <v>2054</v>
      </c>
      <c r="D53" s="71">
        <f>IF(F52+SUM(E$17:E52)=D$10,F52,D$10-SUM(E$17:E52))</f>
        <v>0</v>
      </c>
      <c r="E53" s="69">
        <f t="shared" si="14"/>
        <v>0</v>
      </c>
      <c r="F53" s="68">
        <f t="shared" si="9"/>
        <v>0</v>
      </c>
      <c r="G53" s="70">
        <f t="shared" si="7"/>
        <v>0</v>
      </c>
      <c r="H53" s="52">
        <f t="shared" si="8"/>
        <v>0</v>
      </c>
      <c r="I53" s="65">
        <f t="shared" si="10"/>
        <v>0</v>
      </c>
      <c r="J53" s="65"/>
      <c r="K53" s="130"/>
      <c r="L53" s="67">
        <f t="shared" si="11"/>
        <v>0</v>
      </c>
      <c r="M53" s="130"/>
      <c r="N53" s="67">
        <f t="shared" si="12"/>
        <v>0</v>
      </c>
      <c r="O53" s="67">
        <f t="shared" si="13"/>
        <v>0</v>
      </c>
      <c r="P53" s="4"/>
    </row>
    <row r="54" spans="2:16">
      <c r="B54" t="str">
        <f t="shared" si="0"/>
        <v/>
      </c>
      <c r="C54" s="62">
        <f>IF(D11="","-",+C53+1)</f>
        <v>2055</v>
      </c>
      <c r="D54" s="71">
        <f>IF(F53+SUM(E$17:E53)=D$10,F53,D$10-SUM(E$17:E53))</f>
        <v>0</v>
      </c>
      <c r="E54" s="69">
        <f t="shared" si="14"/>
        <v>0</v>
      </c>
      <c r="F54" s="68">
        <f t="shared" si="9"/>
        <v>0</v>
      </c>
      <c r="G54" s="70">
        <f t="shared" si="7"/>
        <v>0</v>
      </c>
      <c r="H54" s="52">
        <f t="shared" si="8"/>
        <v>0</v>
      </c>
      <c r="I54" s="65">
        <f t="shared" si="10"/>
        <v>0</v>
      </c>
      <c r="J54" s="65"/>
      <c r="K54" s="130"/>
      <c r="L54" s="67">
        <f t="shared" si="11"/>
        <v>0</v>
      </c>
      <c r="M54" s="130"/>
      <c r="N54" s="67">
        <f t="shared" si="12"/>
        <v>0</v>
      </c>
      <c r="O54" s="67">
        <f t="shared" si="13"/>
        <v>0</v>
      </c>
      <c r="P54" s="4"/>
    </row>
    <row r="55" spans="2:16">
      <c r="B55" t="str">
        <f t="shared" si="0"/>
        <v/>
      </c>
      <c r="C55" s="62">
        <f>IF(D11="","-",+C54+1)</f>
        <v>2056</v>
      </c>
      <c r="D55" s="71">
        <f>IF(F54+SUM(E$17:E54)=D$10,F54,D$10-SUM(E$17:E54))</f>
        <v>0</v>
      </c>
      <c r="E55" s="69">
        <f t="shared" si="14"/>
        <v>0</v>
      </c>
      <c r="F55" s="68">
        <f t="shared" si="9"/>
        <v>0</v>
      </c>
      <c r="G55" s="70">
        <f t="shared" si="7"/>
        <v>0</v>
      </c>
      <c r="H55" s="52">
        <f t="shared" si="8"/>
        <v>0</v>
      </c>
      <c r="I55" s="65">
        <f t="shared" si="10"/>
        <v>0</v>
      </c>
      <c r="J55" s="65"/>
      <c r="K55" s="130"/>
      <c r="L55" s="67">
        <f t="shared" si="11"/>
        <v>0</v>
      </c>
      <c r="M55" s="130"/>
      <c r="N55" s="67">
        <f t="shared" si="12"/>
        <v>0</v>
      </c>
      <c r="O55" s="67">
        <f t="shared" si="13"/>
        <v>0</v>
      </c>
      <c r="P55" s="4"/>
    </row>
    <row r="56" spans="2:16">
      <c r="B56" t="str">
        <f t="shared" si="0"/>
        <v/>
      </c>
      <c r="C56" s="62">
        <f>IF(D11="","-",+C55+1)</f>
        <v>2057</v>
      </c>
      <c r="D56" s="71">
        <f>IF(F55+SUM(E$17:E55)=D$10,F55,D$10-SUM(E$17:E55))</f>
        <v>0</v>
      </c>
      <c r="E56" s="69">
        <f t="shared" si="14"/>
        <v>0</v>
      </c>
      <c r="F56" s="68">
        <f t="shared" si="9"/>
        <v>0</v>
      </c>
      <c r="G56" s="70">
        <f t="shared" si="7"/>
        <v>0</v>
      </c>
      <c r="H56" s="52">
        <f t="shared" si="8"/>
        <v>0</v>
      </c>
      <c r="I56" s="65">
        <f t="shared" si="10"/>
        <v>0</v>
      </c>
      <c r="J56" s="65"/>
      <c r="K56" s="130"/>
      <c r="L56" s="67">
        <f t="shared" si="11"/>
        <v>0</v>
      </c>
      <c r="M56" s="130"/>
      <c r="N56" s="67">
        <f t="shared" si="12"/>
        <v>0</v>
      </c>
      <c r="O56" s="67">
        <f t="shared" si="13"/>
        <v>0</v>
      </c>
      <c r="P56" s="4"/>
    </row>
    <row r="57" spans="2:16">
      <c r="B57" t="str">
        <f t="shared" si="0"/>
        <v/>
      </c>
      <c r="C57" s="62">
        <f>IF(D11="","-",+C56+1)</f>
        <v>2058</v>
      </c>
      <c r="D57" s="71">
        <f>IF(F56+SUM(E$17:E56)=D$10,F56,D$10-SUM(E$17:E56))</f>
        <v>0</v>
      </c>
      <c r="E57" s="69">
        <f t="shared" si="14"/>
        <v>0</v>
      </c>
      <c r="F57" s="68">
        <f t="shared" si="9"/>
        <v>0</v>
      </c>
      <c r="G57" s="70">
        <f t="shared" si="7"/>
        <v>0</v>
      </c>
      <c r="H57" s="52">
        <f t="shared" si="8"/>
        <v>0</v>
      </c>
      <c r="I57" s="65">
        <f t="shared" si="10"/>
        <v>0</v>
      </c>
      <c r="J57" s="65"/>
      <c r="K57" s="130"/>
      <c r="L57" s="67">
        <f t="shared" si="11"/>
        <v>0</v>
      </c>
      <c r="M57" s="130"/>
      <c r="N57" s="67">
        <f t="shared" si="12"/>
        <v>0</v>
      </c>
      <c r="O57" s="67">
        <f t="shared" si="13"/>
        <v>0</v>
      </c>
      <c r="P57" s="4"/>
    </row>
    <row r="58" spans="2:16">
      <c r="B58" t="str">
        <f t="shared" si="0"/>
        <v/>
      </c>
      <c r="C58" s="62">
        <f>IF(D11="","-",+C57+1)</f>
        <v>2059</v>
      </c>
      <c r="D58" s="71">
        <f>IF(F57+SUM(E$17:E57)=D$10,F57,D$10-SUM(E$17:E57))</f>
        <v>0</v>
      </c>
      <c r="E58" s="69">
        <f t="shared" si="14"/>
        <v>0</v>
      </c>
      <c r="F58" s="68">
        <f t="shared" si="9"/>
        <v>0</v>
      </c>
      <c r="G58" s="70">
        <f t="shared" si="7"/>
        <v>0</v>
      </c>
      <c r="H58" s="52">
        <f t="shared" si="8"/>
        <v>0</v>
      </c>
      <c r="I58" s="65">
        <f t="shared" si="10"/>
        <v>0</v>
      </c>
      <c r="J58" s="65"/>
      <c r="K58" s="130"/>
      <c r="L58" s="67">
        <f t="shared" si="11"/>
        <v>0</v>
      </c>
      <c r="M58" s="130"/>
      <c r="N58" s="67">
        <f t="shared" si="12"/>
        <v>0</v>
      </c>
      <c r="O58" s="67">
        <f t="shared" si="13"/>
        <v>0</v>
      </c>
      <c r="P58" s="4"/>
    </row>
    <row r="59" spans="2:16">
      <c r="B59" t="str">
        <f t="shared" si="0"/>
        <v/>
      </c>
      <c r="C59" s="62">
        <f>IF(D11="","-",+C58+1)</f>
        <v>2060</v>
      </c>
      <c r="D59" s="71">
        <f>IF(F58+SUM(E$17:E58)=D$10,F58,D$10-SUM(E$17:E58))</f>
        <v>0</v>
      </c>
      <c r="E59" s="69">
        <f t="shared" si="14"/>
        <v>0</v>
      </c>
      <c r="F59" s="68">
        <f t="shared" si="9"/>
        <v>0</v>
      </c>
      <c r="G59" s="70">
        <f t="shared" si="7"/>
        <v>0</v>
      </c>
      <c r="H59" s="52">
        <f t="shared" si="8"/>
        <v>0</v>
      </c>
      <c r="I59" s="65">
        <f t="shared" si="10"/>
        <v>0</v>
      </c>
      <c r="J59" s="65"/>
      <c r="K59" s="130"/>
      <c r="L59" s="67">
        <f t="shared" si="11"/>
        <v>0</v>
      </c>
      <c r="M59" s="130"/>
      <c r="N59" s="67">
        <f t="shared" si="12"/>
        <v>0</v>
      </c>
      <c r="O59" s="67">
        <f t="shared" si="13"/>
        <v>0</v>
      </c>
      <c r="P59" s="4"/>
    </row>
    <row r="60" spans="2:16">
      <c r="B60" t="str">
        <f t="shared" si="0"/>
        <v/>
      </c>
      <c r="C60" s="62">
        <f>IF(D11="","-",+C59+1)</f>
        <v>2061</v>
      </c>
      <c r="D60" s="71">
        <f>IF(F59+SUM(E$17:E59)=D$10,F59,D$10-SUM(E$17:E59))</f>
        <v>0</v>
      </c>
      <c r="E60" s="69">
        <f t="shared" si="14"/>
        <v>0</v>
      </c>
      <c r="F60" s="68">
        <f t="shared" si="9"/>
        <v>0</v>
      </c>
      <c r="G60" s="70">
        <f t="shared" si="7"/>
        <v>0</v>
      </c>
      <c r="H60" s="52">
        <f t="shared" si="8"/>
        <v>0</v>
      </c>
      <c r="I60" s="65">
        <f t="shared" si="10"/>
        <v>0</v>
      </c>
      <c r="J60" s="65"/>
      <c r="K60" s="130"/>
      <c r="L60" s="67">
        <f t="shared" si="11"/>
        <v>0</v>
      </c>
      <c r="M60" s="130"/>
      <c r="N60" s="67">
        <f t="shared" si="12"/>
        <v>0</v>
      </c>
      <c r="O60" s="67">
        <f t="shared" si="13"/>
        <v>0</v>
      </c>
      <c r="P60" s="4"/>
    </row>
    <row r="61" spans="2:16">
      <c r="B61" t="str">
        <f t="shared" si="0"/>
        <v/>
      </c>
      <c r="C61" s="62">
        <f>IF(D11="","-",+C60+1)</f>
        <v>2062</v>
      </c>
      <c r="D61" s="71">
        <f>IF(F60+SUM(E$17:E60)=D$10,F60,D$10-SUM(E$17:E60))</f>
        <v>0</v>
      </c>
      <c r="E61" s="69">
        <f t="shared" si="14"/>
        <v>0</v>
      </c>
      <c r="F61" s="68">
        <f t="shared" si="9"/>
        <v>0</v>
      </c>
      <c r="G61" s="72">
        <f t="shared" si="7"/>
        <v>0</v>
      </c>
      <c r="H61" s="52">
        <f t="shared" si="8"/>
        <v>0</v>
      </c>
      <c r="I61" s="65">
        <f t="shared" si="10"/>
        <v>0</v>
      </c>
      <c r="J61" s="65"/>
      <c r="K61" s="130"/>
      <c r="L61" s="67">
        <f t="shared" si="11"/>
        <v>0</v>
      </c>
      <c r="M61" s="130"/>
      <c r="N61" s="67">
        <f t="shared" si="12"/>
        <v>0</v>
      </c>
      <c r="O61" s="67">
        <f t="shared" si="13"/>
        <v>0</v>
      </c>
      <c r="P61" s="4"/>
    </row>
    <row r="62" spans="2:16">
      <c r="B62" t="str">
        <f t="shared" si="0"/>
        <v/>
      </c>
      <c r="C62" s="62">
        <f>IF(D11="","-",+C61+1)</f>
        <v>2063</v>
      </c>
      <c r="D62" s="71">
        <f>IF(F61+SUM(E$17:E61)=D$10,F61,D$10-SUM(E$17:E61))</f>
        <v>0</v>
      </c>
      <c r="E62" s="69">
        <f t="shared" si="14"/>
        <v>0</v>
      </c>
      <c r="F62" s="68">
        <f t="shared" si="9"/>
        <v>0</v>
      </c>
      <c r="G62" s="72">
        <f t="shared" si="7"/>
        <v>0</v>
      </c>
      <c r="H62" s="52">
        <f t="shared" si="8"/>
        <v>0</v>
      </c>
      <c r="I62" s="65">
        <f t="shared" si="10"/>
        <v>0</v>
      </c>
      <c r="J62" s="65"/>
      <c r="K62" s="130"/>
      <c r="L62" s="67">
        <f t="shared" si="11"/>
        <v>0</v>
      </c>
      <c r="M62" s="130"/>
      <c r="N62" s="67">
        <f t="shared" si="12"/>
        <v>0</v>
      </c>
      <c r="O62" s="67">
        <f t="shared" si="13"/>
        <v>0</v>
      </c>
      <c r="P62" s="4"/>
    </row>
    <row r="63" spans="2:16">
      <c r="B63" t="str">
        <f t="shared" si="0"/>
        <v/>
      </c>
      <c r="C63" s="62">
        <f>IF(D11="","-",+C62+1)</f>
        <v>2064</v>
      </c>
      <c r="D63" s="71">
        <f>IF(F62+SUM(E$17:E62)=D$10,F62,D$10-SUM(E$17:E62))</f>
        <v>0</v>
      </c>
      <c r="E63" s="69">
        <f t="shared" si="14"/>
        <v>0</v>
      </c>
      <c r="F63" s="68">
        <f t="shared" si="9"/>
        <v>0</v>
      </c>
      <c r="G63" s="72">
        <f t="shared" si="7"/>
        <v>0</v>
      </c>
      <c r="H63" s="52">
        <f t="shared" si="8"/>
        <v>0</v>
      </c>
      <c r="I63" s="65">
        <f t="shared" si="10"/>
        <v>0</v>
      </c>
      <c r="J63" s="65"/>
      <c r="K63" s="130"/>
      <c r="L63" s="67">
        <f t="shared" si="11"/>
        <v>0</v>
      </c>
      <c r="M63" s="130"/>
      <c r="N63" s="67">
        <f t="shared" si="12"/>
        <v>0</v>
      </c>
      <c r="O63" s="67">
        <f t="shared" si="13"/>
        <v>0</v>
      </c>
      <c r="P63" s="4"/>
    </row>
    <row r="64" spans="2:16">
      <c r="B64" t="str">
        <f t="shared" si="0"/>
        <v/>
      </c>
      <c r="C64" s="62">
        <f>IF(D11="","-",+C63+1)</f>
        <v>2065</v>
      </c>
      <c r="D64" s="71">
        <f>IF(F63+SUM(E$17:E63)=D$10,F63,D$10-SUM(E$17:E63))</f>
        <v>0</v>
      </c>
      <c r="E64" s="69">
        <f t="shared" si="14"/>
        <v>0</v>
      </c>
      <c r="F64" s="68">
        <f t="shared" si="9"/>
        <v>0</v>
      </c>
      <c r="G64" s="72">
        <f t="shared" si="7"/>
        <v>0</v>
      </c>
      <c r="H64" s="52">
        <f t="shared" si="8"/>
        <v>0</v>
      </c>
      <c r="I64" s="65">
        <f t="shared" si="10"/>
        <v>0</v>
      </c>
      <c r="J64" s="65"/>
      <c r="K64" s="130"/>
      <c r="L64" s="67">
        <f t="shared" si="11"/>
        <v>0</v>
      </c>
      <c r="M64" s="130"/>
      <c r="N64" s="67">
        <f t="shared" si="12"/>
        <v>0</v>
      </c>
      <c r="O64" s="67">
        <f t="shared" si="13"/>
        <v>0</v>
      </c>
      <c r="P64" s="4"/>
    </row>
    <row r="65" spans="2:16">
      <c r="B65" t="str">
        <f t="shared" si="0"/>
        <v/>
      </c>
      <c r="C65" s="62">
        <f>IF(D11="","-",+C64+1)</f>
        <v>2066</v>
      </c>
      <c r="D65" s="71">
        <f>IF(F64+SUM(E$17:E64)=D$10,F64,D$10-SUM(E$17:E64))</f>
        <v>0</v>
      </c>
      <c r="E65" s="69">
        <f t="shared" si="14"/>
        <v>0</v>
      </c>
      <c r="F65" s="68">
        <f t="shared" si="9"/>
        <v>0</v>
      </c>
      <c r="G65" s="72">
        <f t="shared" si="7"/>
        <v>0</v>
      </c>
      <c r="H65" s="52">
        <f t="shared" si="8"/>
        <v>0</v>
      </c>
      <c r="I65" s="65">
        <f t="shared" si="10"/>
        <v>0</v>
      </c>
      <c r="J65" s="65"/>
      <c r="K65" s="130"/>
      <c r="L65" s="67">
        <f t="shared" si="11"/>
        <v>0</v>
      </c>
      <c r="M65" s="130"/>
      <c r="N65" s="67">
        <f t="shared" si="12"/>
        <v>0</v>
      </c>
      <c r="O65" s="67">
        <f t="shared" si="13"/>
        <v>0</v>
      </c>
      <c r="P65" s="4"/>
    </row>
    <row r="66" spans="2:16">
      <c r="B66" t="str">
        <f t="shared" si="0"/>
        <v/>
      </c>
      <c r="C66" s="62">
        <f>IF(D11="","-",+C65+1)</f>
        <v>2067</v>
      </c>
      <c r="D66" s="71">
        <f>IF(F65+SUM(E$17:E65)=D$10,F65,D$10-SUM(E$17:E65))</f>
        <v>0</v>
      </c>
      <c r="E66" s="69">
        <f t="shared" si="14"/>
        <v>0</v>
      </c>
      <c r="F66" s="68">
        <f t="shared" si="9"/>
        <v>0</v>
      </c>
      <c r="G66" s="72">
        <f t="shared" si="7"/>
        <v>0</v>
      </c>
      <c r="H66" s="52">
        <f t="shared" si="8"/>
        <v>0</v>
      </c>
      <c r="I66" s="65">
        <f t="shared" si="10"/>
        <v>0</v>
      </c>
      <c r="J66" s="65"/>
      <c r="K66" s="130"/>
      <c r="L66" s="67">
        <f t="shared" si="11"/>
        <v>0</v>
      </c>
      <c r="M66" s="130"/>
      <c r="N66" s="67">
        <f t="shared" si="12"/>
        <v>0</v>
      </c>
      <c r="O66" s="67">
        <f t="shared" si="13"/>
        <v>0</v>
      </c>
      <c r="P66" s="4"/>
    </row>
    <row r="67" spans="2:16">
      <c r="B67" t="str">
        <f t="shared" si="0"/>
        <v/>
      </c>
      <c r="C67" s="62">
        <f>IF(D11="","-",+C66+1)</f>
        <v>2068</v>
      </c>
      <c r="D67" s="71">
        <f>IF(F66+SUM(E$17:E66)=D$10,F66,D$10-SUM(E$17:E66))</f>
        <v>0</v>
      </c>
      <c r="E67" s="69">
        <f t="shared" si="14"/>
        <v>0</v>
      </c>
      <c r="F67" s="68">
        <f t="shared" si="9"/>
        <v>0</v>
      </c>
      <c r="G67" s="72">
        <f t="shared" si="7"/>
        <v>0</v>
      </c>
      <c r="H67" s="52">
        <f t="shared" si="8"/>
        <v>0</v>
      </c>
      <c r="I67" s="65">
        <f t="shared" si="10"/>
        <v>0</v>
      </c>
      <c r="J67" s="65"/>
      <c r="K67" s="130"/>
      <c r="L67" s="67">
        <f t="shared" si="11"/>
        <v>0</v>
      </c>
      <c r="M67" s="130"/>
      <c r="N67" s="67">
        <f t="shared" si="12"/>
        <v>0</v>
      </c>
      <c r="O67" s="67">
        <f t="shared" si="13"/>
        <v>0</v>
      </c>
      <c r="P67" s="4"/>
    </row>
    <row r="68" spans="2:16">
      <c r="B68" t="str">
        <f t="shared" si="0"/>
        <v/>
      </c>
      <c r="C68" s="62">
        <f>IF(D11="","-",+C67+1)</f>
        <v>2069</v>
      </c>
      <c r="D68" s="71">
        <f>IF(F67+SUM(E$17:E67)=D$10,F67,D$10-SUM(E$17:E67))</f>
        <v>0</v>
      </c>
      <c r="E68" s="69">
        <f t="shared" si="14"/>
        <v>0</v>
      </c>
      <c r="F68" s="68">
        <f t="shared" si="9"/>
        <v>0</v>
      </c>
      <c r="G68" s="72">
        <f t="shared" si="7"/>
        <v>0</v>
      </c>
      <c r="H68" s="52">
        <f t="shared" si="8"/>
        <v>0</v>
      </c>
      <c r="I68" s="65">
        <f t="shared" si="10"/>
        <v>0</v>
      </c>
      <c r="J68" s="65"/>
      <c r="K68" s="130"/>
      <c r="L68" s="67">
        <f t="shared" si="11"/>
        <v>0</v>
      </c>
      <c r="M68" s="130"/>
      <c r="N68" s="67">
        <f t="shared" si="12"/>
        <v>0</v>
      </c>
      <c r="O68" s="67">
        <f t="shared" si="13"/>
        <v>0</v>
      </c>
      <c r="P68" s="4"/>
    </row>
    <row r="69" spans="2:16">
      <c r="B69" t="str">
        <f t="shared" si="0"/>
        <v/>
      </c>
      <c r="C69" s="62">
        <f>IF(D11="","-",+C68+1)</f>
        <v>2070</v>
      </c>
      <c r="D69" s="71">
        <f>IF(F68+SUM(E$17:E68)=D$10,F68,D$10-SUM(E$17:E68))</f>
        <v>0</v>
      </c>
      <c r="E69" s="69">
        <f t="shared" si="14"/>
        <v>0</v>
      </c>
      <c r="F69" s="68">
        <f t="shared" si="9"/>
        <v>0</v>
      </c>
      <c r="G69" s="72">
        <f t="shared" si="7"/>
        <v>0</v>
      </c>
      <c r="H69" s="52">
        <f t="shared" si="8"/>
        <v>0</v>
      </c>
      <c r="I69" s="65">
        <f t="shared" si="10"/>
        <v>0</v>
      </c>
      <c r="J69" s="65"/>
      <c r="K69" s="130"/>
      <c r="L69" s="67">
        <f t="shared" si="11"/>
        <v>0</v>
      </c>
      <c r="M69" s="130"/>
      <c r="N69" s="67">
        <f t="shared" si="12"/>
        <v>0</v>
      </c>
      <c r="O69" s="67">
        <f t="shared" si="13"/>
        <v>0</v>
      </c>
      <c r="P69" s="4"/>
    </row>
    <row r="70" spans="2:16">
      <c r="B70" t="str">
        <f t="shared" si="0"/>
        <v/>
      </c>
      <c r="C70" s="62">
        <f>IF(D11="","-",+C69+1)</f>
        <v>2071</v>
      </c>
      <c r="D70" s="71">
        <f>IF(F69+SUM(E$17:E69)=D$10,F69,D$10-SUM(E$17:E69))</f>
        <v>0</v>
      </c>
      <c r="E70" s="69">
        <f t="shared" si="14"/>
        <v>0</v>
      </c>
      <c r="F70" s="68">
        <f t="shared" si="9"/>
        <v>0</v>
      </c>
      <c r="G70" s="72">
        <f t="shared" si="7"/>
        <v>0</v>
      </c>
      <c r="H70" s="52">
        <f t="shared" si="8"/>
        <v>0</v>
      </c>
      <c r="I70" s="65">
        <f t="shared" si="10"/>
        <v>0</v>
      </c>
      <c r="J70" s="65"/>
      <c r="K70" s="130"/>
      <c r="L70" s="67">
        <f t="shared" si="11"/>
        <v>0</v>
      </c>
      <c r="M70" s="130"/>
      <c r="N70" s="67">
        <f t="shared" si="12"/>
        <v>0</v>
      </c>
      <c r="O70" s="67">
        <f t="shared" si="13"/>
        <v>0</v>
      </c>
      <c r="P70" s="4"/>
    </row>
    <row r="71" spans="2:16">
      <c r="B71" t="str">
        <f t="shared" si="0"/>
        <v/>
      </c>
      <c r="C71" s="62">
        <f>IF(D11="","-",+C70+1)</f>
        <v>2072</v>
      </c>
      <c r="D71" s="71">
        <f>IF(F70+SUM(E$17:E70)=D$10,F70,D$10-SUM(E$17:E70))</f>
        <v>0</v>
      </c>
      <c r="E71" s="69">
        <f t="shared" si="14"/>
        <v>0</v>
      </c>
      <c r="F71" s="68">
        <f t="shared" si="9"/>
        <v>0</v>
      </c>
      <c r="G71" s="72">
        <f t="shared" si="7"/>
        <v>0</v>
      </c>
      <c r="H71" s="52">
        <f t="shared" si="8"/>
        <v>0</v>
      </c>
      <c r="I71" s="65">
        <f t="shared" si="10"/>
        <v>0</v>
      </c>
      <c r="J71" s="65"/>
      <c r="K71" s="130"/>
      <c r="L71" s="67">
        <f t="shared" si="11"/>
        <v>0</v>
      </c>
      <c r="M71" s="130"/>
      <c r="N71" s="67">
        <f t="shared" si="12"/>
        <v>0</v>
      </c>
      <c r="O71" s="67">
        <f t="shared" si="13"/>
        <v>0</v>
      </c>
      <c r="P71" s="4"/>
    </row>
    <row r="72" spans="2:16">
      <c r="C72" s="62">
        <f>IF(D12="","-",+C71+1)</f>
        <v>2073</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2074</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0</v>
      </c>
      <c r="F74" s="19"/>
      <c r="G74" s="19">
        <f>SUM(G17:G73)</f>
        <v>0</v>
      </c>
      <c r="H74" s="19">
        <f>SUM(H17:H73)</f>
        <v>0</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nk of 24</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2021</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insert project name here</v>
      </c>
      <c r="E90" s="1"/>
      <c r="F90" s="1"/>
      <c r="G90" s="1"/>
      <c r="H90" s="1"/>
      <c r="I90" s="3"/>
      <c r="J90" s="3"/>
      <c r="K90" s="126"/>
      <c r="L90" s="127" t="s">
        <v>135</v>
      </c>
      <c r="M90" s="88">
        <f>+M89-M88</f>
        <v>0</v>
      </c>
      <c r="N90" s="88">
        <f>+N89-N88</f>
        <v>0</v>
      </c>
      <c r="O90" s="89">
        <f>+O89-O88</f>
        <v>0</v>
      </c>
      <c r="P90" s="1"/>
    </row>
    <row r="91" spans="1:16" ht="13.5" thickBot="1">
      <c r="C91" s="79"/>
      <c r="D91" s="81" t="str">
        <f>IF(D8="","",D8)</f>
        <v>DOES NOT MEET SPP $100,000 MINIMUM INVESTMENT FOR REGIONAL BPU SHARING.</v>
      </c>
      <c r="E91" s="17"/>
      <c r="F91" s="17"/>
      <c r="G91" s="17"/>
      <c r="H91" s="36"/>
      <c r="I91" s="3"/>
      <c r="J91" s="3"/>
      <c r="K91" s="19"/>
      <c r="L91" s="3"/>
      <c r="M91" s="3"/>
      <c r="N91" s="3"/>
      <c r="O91" s="19"/>
      <c r="P91" s="1"/>
    </row>
    <row r="92" spans="1:16" ht="13.5" thickBot="1">
      <c r="A92" s="16"/>
      <c r="C92" s="90" t="s">
        <v>83</v>
      </c>
      <c r="D92" s="105" t="str">
        <f>+D9</f>
        <v>TP2004033</v>
      </c>
      <c r="E92" s="91"/>
      <c r="F92" s="91"/>
      <c r="G92" s="91"/>
      <c r="H92" s="91"/>
      <c r="I92" s="91"/>
      <c r="J92" s="91"/>
      <c r="K92" s="92"/>
      <c r="P92" s="41"/>
    </row>
    <row r="93" spans="1:16">
      <c r="C93" s="46" t="s">
        <v>49</v>
      </c>
      <c r="D93" s="102">
        <v>0</v>
      </c>
      <c r="E93" s="9" t="s">
        <v>84</v>
      </c>
      <c r="H93" s="44"/>
      <c r="I93" s="44"/>
      <c r="J93" s="45">
        <f>+'OKT.WS.G.BPU.ATRR.True-up'!M16</f>
        <v>2021</v>
      </c>
      <c r="K93" s="40"/>
      <c r="L93" s="19" t="s">
        <v>85</v>
      </c>
      <c r="P93" s="4"/>
    </row>
    <row r="94" spans="1:16">
      <c r="C94" s="46" t="s">
        <v>52</v>
      </c>
      <c r="D94" s="102">
        <f>IF(D11="","",D11)</f>
        <v>2018</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4</v>
      </c>
      <c r="E95" s="46" t="s">
        <v>55</v>
      </c>
      <c r="F95" s="44"/>
      <c r="G95" s="44"/>
      <c r="J95" s="50">
        <f>'OKT.WS.G.BPU.ATRR.True-up'!$F$81</f>
        <v>0.11796201313639214</v>
      </c>
      <c r="K95" s="51"/>
      <c r="L95" t="s">
        <v>86</v>
      </c>
      <c r="P95" s="4"/>
    </row>
    <row r="96" spans="1:16">
      <c r="C96" s="46" t="s">
        <v>57</v>
      </c>
      <c r="D96" s="48">
        <f>'OKT.WS.G.BPU.ATRR.True-up'!F$93</f>
        <v>25</v>
      </c>
      <c r="E96" s="46" t="s">
        <v>58</v>
      </c>
      <c r="F96" s="44"/>
      <c r="G96" s="44"/>
      <c r="J96" s="50">
        <f>IF(H88="",J95,'OKT.WS.G.BPU.ATRR.True-up'!$F$80)</f>
        <v>0.11796201313639214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5">IF(D100=F99,"","IU")</f>
        <v>IU</v>
      </c>
      <c r="C100" s="62">
        <f>IF(D94= "","-",D94)</f>
        <v>2018</v>
      </c>
      <c r="D100" s="63">
        <f>IF(D94=C100,0,IF(D93&lt;100000,0,D93))</f>
        <v>0</v>
      </c>
      <c r="E100" s="70">
        <f>IF(D93&lt;100000,0,J$97/12*(12-D95))</f>
        <v>0</v>
      </c>
      <c r="F100" s="68">
        <f>IF(D94=C100,+D93-E100,+D100-E100)</f>
        <v>0</v>
      </c>
      <c r="G100" s="98">
        <f>+(F100+D100)/2</f>
        <v>0</v>
      </c>
      <c r="H100" s="98">
        <f t="shared" ref="H100:H155" si="16">+J$95*G100+E100</f>
        <v>0</v>
      </c>
      <c r="I100" s="98">
        <f>+J$96*G100+E100</f>
        <v>0</v>
      </c>
      <c r="J100" s="67">
        <f t="shared" ref="J100:J131" si="17">+I100-H100</f>
        <v>0</v>
      </c>
      <c r="K100" s="67"/>
      <c r="L100" s="129"/>
      <c r="M100" s="66">
        <f t="shared" ref="M100:M131" si="18">IF(L100&lt;&gt;0,+H100-L100,0)</f>
        <v>0</v>
      </c>
      <c r="N100" s="129"/>
      <c r="O100" s="66">
        <f t="shared" ref="O100:O131" si="19">IF(N100&lt;&gt;0,+I100-N100,0)</f>
        <v>0</v>
      </c>
      <c r="P100" s="66">
        <f t="shared" ref="P100:P131" si="20">+O100-M100</f>
        <v>0</v>
      </c>
    </row>
    <row r="101" spans="1:16">
      <c r="B101" t="str">
        <f t="shared" si="15"/>
        <v/>
      </c>
      <c r="C101" s="62">
        <f>IF(D94="","-",+C100+1)</f>
        <v>2019</v>
      </c>
      <c r="D101" s="63">
        <f>IF(F100+SUM(E$100:E100)=D$93,F100,D$93-SUM(E$100:E100))</f>
        <v>0</v>
      </c>
      <c r="E101" s="69">
        <f t="shared" ref="E101:E132" si="21">IF(+J$97&lt;F100,J$97,D101)</f>
        <v>0</v>
      </c>
      <c r="F101" s="68">
        <f t="shared" ref="F101:F131" si="22">+D101-E101</f>
        <v>0</v>
      </c>
      <c r="G101" s="68">
        <f t="shared" ref="G101:G131" si="23">+(F101+D101)/2</f>
        <v>0</v>
      </c>
      <c r="H101" s="128">
        <f t="shared" si="16"/>
        <v>0</v>
      </c>
      <c r="I101" s="137">
        <f t="shared" ref="I101:I155" si="24">+J$96*G101+E101</f>
        <v>0</v>
      </c>
      <c r="J101" s="67">
        <f t="shared" si="17"/>
        <v>0</v>
      </c>
      <c r="K101" s="67"/>
      <c r="L101" s="130"/>
      <c r="M101" s="67">
        <f t="shared" si="18"/>
        <v>0</v>
      </c>
      <c r="N101" s="130"/>
      <c r="O101" s="67">
        <f t="shared" si="19"/>
        <v>0</v>
      </c>
      <c r="P101" s="67">
        <f t="shared" si="20"/>
        <v>0</v>
      </c>
    </row>
    <row r="102" spans="1:16">
      <c r="B102" t="str">
        <f t="shared" si="15"/>
        <v/>
      </c>
      <c r="C102" s="62">
        <f>IF(D94="","-",+C101+1)</f>
        <v>2020</v>
      </c>
      <c r="D102" s="63">
        <f>IF(F101+SUM(E$100:E101)=D$93,F101,D$93-SUM(E$100:E101))</f>
        <v>0</v>
      </c>
      <c r="E102" s="69">
        <f t="shared" si="21"/>
        <v>0</v>
      </c>
      <c r="F102" s="68">
        <f t="shared" si="22"/>
        <v>0</v>
      </c>
      <c r="G102" s="68">
        <f t="shared" si="23"/>
        <v>0</v>
      </c>
      <c r="H102" s="128">
        <f t="shared" si="16"/>
        <v>0</v>
      </c>
      <c r="I102" s="137">
        <f t="shared" si="24"/>
        <v>0</v>
      </c>
      <c r="J102" s="67">
        <f t="shared" si="17"/>
        <v>0</v>
      </c>
      <c r="K102" s="67"/>
      <c r="L102" s="130"/>
      <c r="M102" s="67">
        <f t="shared" si="18"/>
        <v>0</v>
      </c>
      <c r="N102" s="130"/>
      <c r="O102" s="67">
        <f t="shared" si="19"/>
        <v>0</v>
      </c>
      <c r="P102" s="67">
        <f t="shared" si="20"/>
        <v>0</v>
      </c>
    </row>
    <row r="103" spans="1:16">
      <c r="B103" t="str">
        <f t="shared" si="15"/>
        <v/>
      </c>
      <c r="C103" s="62">
        <f>IF(D94="","-",+C102+1)</f>
        <v>2021</v>
      </c>
      <c r="D103" s="63">
        <f>IF(F102+SUM(E$100:E102)=D$93,F102,D$93-SUM(E$100:E102))</f>
        <v>0</v>
      </c>
      <c r="E103" s="69">
        <f t="shared" si="21"/>
        <v>0</v>
      </c>
      <c r="F103" s="68">
        <f t="shared" si="22"/>
        <v>0</v>
      </c>
      <c r="G103" s="68">
        <f t="shared" si="23"/>
        <v>0</v>
      </c>
      <c r="H103" s="128">
        <f t="shared" si="16"/>
        <v>0</v>
      </c>
      <c r="I103" s="137">
        <f t="shared" si="24"/>
        <v>0</v>
      </c>
      <c r="J103" s="67">
        <f t="shared" si="17"/>
        <v>0</v>
      </c>
      <c r="K103" s="67"/>
      <c r="L103" s="130"/>
      <c r="M103" s="67">
        <f t="shared" si="18"/>
        <v>0</v>
      </c>
      <c r="N103" s="130"/>
      <c r="O103" s="67">
        <f t="shared" si="19"/>
        <v>0</v>
      </c>
      <c r="P103" s="67">
        <f t="shared" si="20"/>
        <v>0</v>
      </c>
    </row>
    <row r="104" spans="1:16">
      <c r="B104" t="str">
        <f t="shared" si="15"/>
        <v/>
      </c>
      <c r="C104" s="62">
        <f>IF(D94="","-",+C103+1)</f>
        <v>2022</v>
      </c>
      <c r="D104" s="63">
        <f>IF(F103+SUM(E$100:E103)=D$93,F103,D$93-SUM(E$100:E103))</f>
        <v>0</v>
      </c>
      <c r="E104" s="69">
        <f t="shared" si="21"/>
        <v>0</v>
      </c>
      <c r="F104" s="68">
        <f t="shared" si="22"/>
        <v>0</v>
      </c>
      <c r="G104" s="68">
        <f t="shared" si="23"/>
        <v>0</v>
      </c>
      <c r="H104" s="128">
        <f t="shared" si="16"/>
        <v>0</v>
      </c>
      <c r="I104" s="137">
        <f t="shared" si="24"/>
        <v>0</v>
      </c>
      <c r="J104" s="67">
        <f t="shared" si="17"/>
        <v>0</v>
      </c>
      <c r="K104" s="67"/>
      <c r="L104" s="130"/>
      <c r="M104" s="67">
        <f t="shared" si="18"/>
        <v>0</v>
      </c>
      <c r="N104" s="130"/>
      <c r="O104" s="67">
        <f t="shared" si="19"/>
        <v>0</v>
      </c>
      <c r="P104" s="67">
        <f t="shared" si="20"/>
        <v>0</v>
      </c>
    </row>
    <row r="105" spans="1:16">
      <c r="B105" t="str">
        <f t="shared" si="15"/>
        <v/>
      </c>
      <c r="C105" s="62">
        <f>IF(D94="","-",+C104+1)</f>
        <v>2023</v>
      </c>
      <c r="D105" s="63">
        <f>IF(F104+SUM(E$100:E104)=D$93,F104,D$93-SUM(E$100:E104))</f>
        <v>0</v>
      </c>
      <c r="E105" s="69">
        <f t="shared" si="21"/>
        <v>0</v>
      </c>
      <c r="F105" s="68">
        <f t="shared" si="22"/>
        <v>0</v>
      </c>
      <c r="G105" s="68">
        <f t="shared" si="23"/>
        <v>0</v>
      </c>
      <c r="H105" s="128">
        <f t="shared" si="16"/>
        <v>0</v>
      </c>
      <c r="I105" s="137">
        <f t="shared" si="24"/>
        <v>0</v>
      </c>
      <c r="J105" s="67">
        <f t="shared" si="17"/>
        <v>0</v>
      </c>
      <c r="K105" s="67"/>
      <c r="L105" s="130"/>
      <c r="M105" s="67">
        <f t="shared" si="18"/>
        <v>0</v>
      </c>
      <c r="N105" s="130"/>
      <c r="O105" s="67">
        <f t="shared" si="19"/>
        <v>0</v>
      </c>
      <c r="P105" s="67">
        <f t="shared" si="20"/>
        <v>0</v>
      </c>
    </row>
    <row r="106" spans="1:16">
      <c r="B106" t="str">
        <f t="shared" si="15"/>
        <v/>
      </c>
      <c r="C106" s="62">
        <f>IF(D94="","-",+C105+1)</f>
        <v>2024</v>
      </c>
      <c r="D106" s="63">
        <f>IF(F105+SUM(E$100:E105)=D$93,F105,D$93-SUM(E$100:E105))</f>
        <v>0</v>
      </c>
      <c r="E106" s="69">
        <f t="shared" si="21"/>
        <v>0</v>
      </c>
      <c r="F106" s="68">
        <f t="shared" si="22"/>
        <v>0</v>
      </c>
      <c r="G106" s="68">
        <f t="shared" si="23"/>
        <v>0</v>
      </c>
      <c r="H106" s="128">
        <f t="shared" si="16"/>
        <v>0</v>
      </c>
      <c r="I106" s="137">
        <f t="shared" si="24"/>
        <v>0</v>
      </c>
      <c r="J106" s="67">
        <f t="shared" si="17"/>
        <v>0</v>
      </c>
      <c r="K106" s="67"/>
      <c r="L106" s="130"/>
      <c r="M106" s="67">
        <f t="shared" si="18"/>
        <v>0</v>
      </c>
      <c r="N106" s="130"/>
      <c r="O106" s="67">
        <f t="shared" si="19"/>
        <v>0</v>
      </c>
      <c r="P106" s="67">
        <f t="shared" si="20"/>
        <v>0</v>
      </c>
    </row>
    <row r="107" spans="1:16">
      <c r="B107" t="str">
        <f t="shared" si="15"/>
        <v/>
      </c>
      <c r="C107" s="62">
        <f>IF(D94="","-",+C106+1)</f>
        <v>2025</v>
      </c>
      <c r="D107" s="63">
        <f>IF(F106+SUM(E$100:E106)=D$93,F106,D$93-SUM(E$100:E106))</f>
        <v>0</v>
      </c>
      <c r="E107" s="69">
        <f t="shared" si="21"/>
        <v>0</v>
      </c>
      <c r="F107" s="68">
        <f t="shared" si="22"/>
        <v>0</v>
      </c>
      <c r="G107" s="68">
        <f t="shared" si="23"/>
        <v>0</v>
      </c>
      <c r="H107" s="128">
        <f t="shared" si="16"/>
        <v>0</v>
      </c>
      <c r="I107" s="137">
        <f t="shared" si="24"/>
        <v>0</v>
      </c>
      <c r="J107" s="67">
        <f t="shared" si="17"/>
        <v>0</v>
      </c>
      <c r="K107" s="67"/>
      <c r="L107" s="130"/>
      <c r="M107" s="67">
        <f t="shared" si="18"/>
        <v>0</v>
      </c>
      <c r="N107" s="130"/>
      <c r="O107" s="67">
        <f t="shared" si="19"/>
        <v>0</v>
      </c>
      <c r="P107" s="67">
        <f t="shared" si="20"/>
        <v>0</v>
      </c>
    </row>
    <row r="108" spans="1:16">
      <c r="B108" t="str">
        <f t="shared" si="15"/>
        <v/>
      </c>
      <c r="C108" s="62">
        <f>IF(D94="","-",+C107+1)</f>
        <v>2026</v>
      </c>
      <c r="D108" s="63">
        <f>IF(F107+SUM(E$100:E107)=D$93,F107,D$93-SUM(E$100:E107))</f>
        <v>0</v>
      </c>
      <c r="E108" s="69">
        <f t="shared" si="21"/>
        <v>0</v>
      </c>
      <c r="F108" s="68">
        <f t="shared" si="22"/>
        <v>0</v>
      </c>
      <c r="G108" s="68">
        <f t="shared" si="23"/>
        <v>0</v>
      </c>
      <c r="H108" s="128">
        <f t="shared" si="16"/>
        <v>0</v>
      </c>
      <c r="I108" s="137">
        <f t="shared" si="24"/>
        <v>0</v>
      </c>
      <c r="J108" s="67">
        <f t="shared" si="17"/>
        <v>0</v>
      </c>
      <c r="K108" s="67"/>
      <c r="L108" s="130"/>
      <c r="M108" s="67">
        <f t="shared" si="18"/>
        <v>0</v>
      </c>
      <c r="N108" s="130"/>
      <c r="O108" s="67">
        <f t="shared" si="19"/>
        <v>0</v>
      </c>
      <c r="P108" s="67">
        <f t="shared" si="20"/>
        <v>0</v>
      </c>
    </row>
    <row r="109" spans="1:16">
      <c r="B109" t="str">
        <f t="shared" si="15"/>
        <v/>
      </c>
      <c r="C109" s="62">
        <f>IF(D94="","-",+C108+1)</f>
        <v>2027</v>
      </c>
      <c r="D109" s="63">
        <f>IF(F108+SUM(E$100:E108)=D$93,F108,D$93-SUM(E$100:E108))</f>
        <v>0</v>
      </c>
      <c r="E109" s="69">
        <f t="shared" si="21"/>
        <v>0</v>
      </c>
      <c r="F109" s="68">
        <f t="shared" si="22"/>
        <v>0</v>
      </c>
      <c r="G109" s="68">
        <f t="shared" si="23"/>
        <v>0</v>
      </c>
      <c r="H109" s="128">
        <f t="shared" si="16"/>
        <v>0</v>
      </c>
      <c r="I109" s="137">
        <f t="shared" si="24"/>
        <v>0</v>
      </c>
      <c r="J109" s="67">
        <f t="shared" si="17"/>
        <v>0</v>
      </c>
      <c r="K109" s="67"/>
      <c r="L109" s="130"/>
      <c r="M109" s="67">
        <f t="shared" si="18"/>
        <v>0</v>
      </c>
      <c r="N109" s="130"/>
      <c r="O109" s="67">
        <f t="shared" si="19"/>
        <v>0</v>
      </c>
      <c r="P109" s="67">
        <f t="shared" si="20"/>
        <v>0</v>
      </c>
    </row>
    <row r="110" spans="1:16">
      <c r="B110" t="str">
        <f t="shared" si="15"/>
        <v/>
      </c>
      <c r="C110" s="62">
        <f>IF(D94="","-",+C109+1)</f>
        <v>2028</v>
      </c>
      <c r="D110" s="63">
        <f>IF(F109+SUM(E$100:E109)=D$93,F109,D$93-SUM(E$100:E109))</f>
        <v>0</v>
      </c>
      <c r="E110" s="69">
        <f t="shared" si="21"/>
        <v>0</v>
      </c>
      <c r="F110" s="68">
        <f t="shared" si="22"/>
        <v>0</v>
      </c>
      <c r="G110" s="68">
        <f t="shared" si="23"/>
        <v>0</v>
      </c>
      <c r="H110" s="128">
        <f t="shared" si="16"/>
        <v>0</v>
      </c>
      <c r="I110" s="137">
        <f t="shared" si="24"/>
        <v>0</v>
      </c>
      <c r="J110" s="67">
        <f t="shared" si="17"/>
        <v>0</v>
      </c>
      <c r="K110" s="67"/>
      <c r="L110" s="130"/>
      <c r="M110" s="67">
        <f t="shared" si="18"/>
        <v>0</v>
      </c>
      <c r="N110" s="130"/>
      <c r="O110" s="67">
        <f t="shared" si="19"/>
        <v>0</v>
      </c>
      <c r="P110" s="67">
        <f t="shared" si="20"/>
        <v>0</v>
      </c>
    </row>
    <row r="111" spans="1:16">
      <c r="B111" t="str">
        <f t="shared" si="15"/>
        <v/>
      </c>
      <c r="C111" s="62">
        <f>IF(D94="","-",+C110+1)</f>
        <v>2029</v>
      </c>
      <c r="D111" s="63">
        <f>IF(F110+SUM(E$100:E110)=D$93,F110,D$93-SUM(E$100:E110))</f>
        <v>0</v>
      </c>
      <c r="E111" s="69">
        <f t="shared" si="21"/>
        <v>0</v>
      </c>
      <c r="F111" s="68">
        <f t="shared" si="22"/>
        <v>0</v>
      </c>
      <c r="G111" s="68">
        <f t="shared" si="23"/>
        <v>0</v>
      </c>
      <c r="H111" s="128">
        <f t="shared" si="16"/>
        <v>0</v>
      </c>
      <c r="I111" s="137">
        <f t="shared" si="24"/>
        <v>0</v>
      </c>
      <c r="J111" s="67">
        <f t="shared" si="17"/>
        <v>0</v>
      </c>
      <c r="K111" s="67"/>
      <c r="L111" s="130"/>
      <c r="M111" s="67">
        <f t="shared" si="18"/>
        <v>0</v>
      </c>
      <c r="N111" s="130"/>
      <c r="O111" s="67">
        <f t="shared" si="19"/>
        <v>0</v>
      </c>
      <c r="P111" s="67">
        <f t="shared" si="20"/>
        <v>0</v>
      </c>
    </row>
    <row r="112" spans="1:16">
      <c r="B112" t="str">
        <f t="shared" si="15"/>
        <v/>
      </c>
      <c r="C112" s="62">
        <f>IF(D94="","-",+C111+1)</f>
        <v>2030</v>
      </c>
      <c r="D112" s="63">
        <f>IF(F111+SUM(E$100:E111)=D$93,F111,D$93-SUM(E$100:E111))</f>
        <v>0</v>
      </c>
      <c r="E112" s="69">
        <f t="shared" si="21"/>
        <v>0</v>
      </c>
      <c r="F112" s="68">
        <f t="shared" si="22"/>
        <v>0</v>
      </c>
      <c r="G112" s="68">
        <f t="shared" si="23"/>
        <v>0</v>
      </c>
      <c r="H112" s="128">
        <f t="shared" si="16"/>
        <v>0</v>
      </c>
      <c r="I112" s="137">
        <f t="shared" si="24"/>
        <v>0</v>
      </c>
      <c r="J112" s="67">
        <f t="shared" si="17"/>
        <v>0</v>
      </c>
      <c r="K112" s="67"/>
      <c r="L112" s="130"/>
      <c r="M112" s="67">
        <f t="shared" si="18"/>
        <v>0</v>
      </c>
      <c r="N112" s="130"/>
      <c r="O112" s="67">
        <f t="shared" si="19"/>
        <v>0</v>
      </c>
      <c r="P112" s="67">
        <f t="shared" si="20"/>
        <v>0</v>
      </c>
    </row>
    <row r="113" spans="2:16">
      <c r="B113" t="str">
        <f t="shared" si="15"/>
        <v/>
      </c>
      <c r="C113" s="62">
        <f>IF(D94="","-",+C112+1)</f>
        <v>2031</v>
      </c>
      <c r="D113" s="63">
        <f>IF(F112+SUM(E$100:E112)=D$93,F112,D$93-SUM(E$100:E112))</f>
        <v>0</v>
      </c>
      <c r="E113" s="69">
        <f t="shared" si="21"/>
        <v>0</v>
      </c>
      <c r="F113" s="68">
        <f t="shared" si="22"/>
        <v>0</v>
      </c>
      <c r="G113" s="68">
        <f t="shared" si="23"/>
        <v>0</v>
      </c>
      <c r="H113" s="128">
        <f t="shared" si="16"/>
        <v>0</v>
      </c>
      <c r="I113" s="137">
        <f t="shared" si="24"/>
        <v>0</v>
      </c>
      <c r="J113" s="67">
        <f t="shared" si="17"/>
        <v>0</v>
      </c>
      <c r="K113" s="67"/>
      <c r="L113" s="130"/>
      <c r="M113" s="67">
        <f t="shared" si="18"/>
        <v>0</v>
      </c>
      <c r="N113" s="130"/>
      <c r="O113" s="67">
        <f t="shared" si="19"/>
        <v>0</v>
      </c>
      <c r="P113" s="67">
        <f t="shared" si="20"/>
        <v>0</v>
      </c>
    </row>
    <row r="114" spans="2:16">
      <c r="B114" t="str">
        <f t="shared" si="15"/>
        <v/>
      </c>
      <c r="C114" s="62">
        <f>IF(D94="","-",+C113+1)</f>
        <v>2032</v>
      </c>
      <c r="D114" s="63">
        <f>IF(F113+SUM(E$100:E113)=D$93,F113,D$93-SUM(E$100:E113))</f>
        <v>0</v>
      </c>
      <c r="E114" s="69">
        <f t="shared" si="21"/>
        <v>0</v>
      </c>
      <c r="F114" s="68">
        <f t="shared" si="22"/>
        <v>0</v>
      </c>
      <c r="G114" s="68">
        <f t="shared" si="23"/>
        <v>0</v>
      </c>
      <c r="H114" s="128">
        <f t="shared" si="16"/>
        <v>0</v>
      </c>
      <c r="I114" s="137">
        <f t="shared" si="24"/>
        <v>0</v>
      </c>
      <c r="J114" s="67">
        <f t="shared" si="17"/>
        <v>0</v>
      </c>
      <c r="K114" s="67"/>
      <c r="L114" s="130"/>
      <c r="M114" s="67">
        <f t="shared" si="18"/>
        <v>0</v>
      </c>
      <c r="N114" s="130"/>
      <c r="O114" s="67">
        <f t="shared" si="19"/>
        <v>0</v>
      </c>
      <c r="P114" s="67">
        <f t="shared" si="20"/>
        <v>0</v>
      </c>
    </row>
    <row r="115" spans="2:16">
      <c r="B115" t="str">
        <f t="shared" si="15"/>
        <v/>
      </c>
      <c r="C115" s="62">
        <f>IF(D94="","-",+C114+1)</f>
        <v>2033</v>
      </c>
      <c r="D115" s="63">
        <f>IF(F114+SUM(E$100:E114)=D$93,F114,D$93-SUM(E$100:E114))</f>
        <v>0</v>
      </c>
      <c r="E115" s="69">
        <f t="shared" si="21"/>
        <v>0</v>
      </c>
      <c r="F115" s="68">
        <f t="shared" si="22"/>
        <v>0</v>
      </c>
      <c r="G115" s="68">
        <f t="shared" si="23"/>
        <v>0</v>
      </c>
      <c r="H115" s="128">
        <f t="shared" si="16"/>
        <v>0</v>
      </c>
      <c r="I115" s="137">
        <f t="shared" si="24"/>
        <v>0</v>
      </c>
      <c r="J115" s="67">
        <f t="shared" si="17"/>
        <v>0</v>
      </c>
      <c r="K115" s="67"/>
      <c r="L115" s="130"/>
      <c r="M115" s="67">
        <f t="shared" si="18"/>
        <v>0</v>
      </c>
      <c r="N115" s="130"/>
      <c r="O115" s="67">
        <f t="shared" si="19"/>
        <v>0</v>
      </c>
      <c r="P115" s="67">
        <f t="shared" si="20"/>
        <v>0</v>
      </c>
    </row>
    <row r="116" spans="2:16">
      <c r="B116" t="str">
        <f t="shared" si="15"/>
        <v/>
      </c>
      <c r="C116" s="62">
        <f>IF(D94="","-",+C115+1)</f>
        <v>2034</v>
      </c>
      <c r="D116" s="63">
        <f>IF(F115+SUM(E$100:E115)=D$93,F115,D$93-SUM(E$100:E115))</f>
        <v>0</v>
      </c>
      <c r="E116" s="69">
        <f t="shared" si="21"/>
        <v>0</v>
      </c>
      <c r="F116" s="68">
        <f t="shared" si="22"/>
        <v>0</v>
      </c>
      <c r="G116" s="68">
        <f t="shared" si="23"/>
        <v>0</v>
      </c>
      <c r="H116" s="128">
        <f t="shared" si="16"/>
        <v>0</v>
      </c>
      <c r="I116" s="137">
        <f t="shared" si="24"/>
        <v>0</v>
      </c>
      <c r="J116" s="67">
        <f t="shared" si="17"/>
        <v>0</v>
      </c>
      <c r="K116" s="67"/>
      <c r="L116" s="130"/>
      <c r="M116" s="67">
        <f t="shared" si="18"/>
        <v>0</v>
      </c>
      <c r="N116" s="130"/>
      <c r="O116" s="67">
        <f t="shared" si="19"/>
        <v>0</v>
      </c>
      <c r="P116" s="67">
        <f t="shared" si="20"/>
        <v>0</v>
      </c>
    </row>
    <row r="117" spans="2:16">
      <c r="B117" t="str">
        <f t="shared" si="15"/>
        <v/>
      </c>
      <c r="C117" s="62">
        <f>IF(D94="","-",+C116+1)</f>
        <v>2035</v>
      </c>
      <c r="D117" s="63">
        <f>IF(F116+SUM(E$100:E116)=D$93,F116,D$93-SUM(E$100:E116))</f>
        <v>0</v>
      </c>
      <c r="E117" s="69">
        <f t="shared" si="21"/>
        <v>0</v>
      </c>
      <c r="F117" s="68">
        <f t="shared" si="22"/>
        <v>0</v>
      </c>
      <c r="G117" s="68">
        <f t="shared" si="23"/>
        <v>0</v>
      </c>
      <c r="H117" s="128">
        <f t="shared" si="16"/>
        <v>0</v>
      </c>
      <c r="I117" s="137">
        <f t="shared" si="24"/>
        <v>0</v>
      </c>
      <c r="J117" s="67">
        <f t="shared" si="17"/>
        <v>0</v>
      </c>
      <c r="K117" s="67"/>
      <c r="L117" s="130"/>
      <c r="M117" s="67">
        <f t="shared" si="18"/>
        <v>0</v>
      </c>
      <c r="N117" s="130"/>
      <c r="O117" s="67">
        <f t="shared" si="19"/>
        <v>0</v>
      </c>
      <c r="P117" s="67">
        <f t="shared" si="20"/>
        <v>0</v>
      </c>
    </row>
    <row r="118" spans="2:16">
      <c r="B118" t="str">
        <f t="shared" si="15"/>
        <v/>
      </c>
      <c r="C118" s="62">
        <f>IF(D94="","-",+C117+1)</f>
        <v>2036</v>
      </c>
      <c r="D118" s="63">
        <f>IF(F117+SUM(E$100:E117)=D$93,F117,D$93-SUM(E$100:E117))</f>
        <v>0</v>
      </c>
      <c r="E118" s="69">
        <f t="shared" si="21"/>
        <v>0</v>
      </c>
      <c r="F118" s="68">
        <f t="shared" si="22"/>
        <v>0</v>
      </c>
      <c r="G118" s="68">
        <f t="shared" si="23"/>
        <v>0</v>
      </c>
      <c r="H118" s="128">
        <f t="shared" si="16"/>
        <v>0</v>
      </c>
      <c r="I118" s="137">
        <f t="shared" si="24"/>
        <v>0</v>
      </c>
      <c r="J118" s="67">
        <f t="shared" si="17"/>
        <v>0</v>
      </c>
      <c r="K118" s="67"/>
      <c r="L118" s="130"/>
      <c r="M118" s="67">
        <f t="shared" si="18"/>
        <v>0</v>
      </c>
      <c r="N118" s="130"/>
      <c r="O118" s="67">
        <f t="shared" si="19"/>
        <v>0</v>
      </c>
      <c r="P118" s="67">
        <f t="shared" si="20"/>
        <v>0</v>
      </c>
    </row>
    <row r="119" spans="2:16">
      <c r="B119" t="str">
        <f t="shared" si="15"/>
        <v/>
      </c>
      <c r="C119" s="62">
        <f>IF(D94="","-",+C118+1)</f>
        <v>2037</v>
      </c>
      <c r="D119" s="63">
        <f>IF(F118+SUM(E$100:E118)=D$93,F118,D$93-SUM(E$100:E118))</f>
        <v>0</v>
      </c>
      <c r="E119" s="69">
        <f t="shared" si="21"/>
        <v>0</v>
      </c>
      <c r="F119" s="68">
        <f t="shared" si="22"/>
        <v>0</v>
      </c>
      <c r="G119" s="68">
        <f t="shared" si="23"/>
        <v>0</v>
      </c>
      <c r="H119" s="128">
        <f t="shared" si="16"/>
        <v>0</v>
      </c>
      <c r="I119" s="137">
        <f t="shared" si="24"/>
        <v>0</v>
      </c>
      <c r="J119" s="67">
        <f t="shared" si="17"/>
        <v>0</v>
      </c>
      <c r="K119" s="67"/>
      <c r="L119" s="130"/>
      <c r="M119" s="67">
        <f t="shared" si="18"/>
        <v>0</v>
      </c>
      <c r="N119" s="130"/>
      <c r="O119" s="67">
        <f t="shared" si="19"/>
        <v>0</v>
      </c>
      <c r="P119" s="67">
        <f t="shared" si="20"/>
        <v>0</v>
      </c>
    </row>
    <row r="120" spans="2:16">
      <c r="B120" t="str">
        <f t="shared" si="15"/>
        <v/>
      </c>
      <c r="C120" s="62">
        <f>IF(D94="","-",+C119+1)</f>
        <v>2038</v>
      </c>
      <c r="D120" s="63">
        <f>IF(F119+SUM(E$100:E119)=D$93,F119,D$93-SUM(E$100:E119))</f>
        <v>0</v>
      </c>
      <c r="E120" s="69">
        <f t="shared" si="21"/>
        <v>0</v>
      </c>
      <c r="F120" s="68">
        <f t="shared" si="22"/>
        <v>0</v>
      </c>
      <c r="G120" s="68">
        <f t="shared" si="23"/>
        <v>0</v>
      </c>
      <c r="H120" s="128">
        <f t="shared" si="16"/>
        <v>0</v>
      </c>
      <c r="I120" s="137">
        <f t="shared" si="24"/>
        <v>0</v>
      </c>
      <c r="J120" s="67">
        <f t="shared" si="17"/>
        <v>0</v>
      </c>
      <c r="K120" s="67"/>
      <c r="L120" s="130"/>
      <c r="M120" s="67">
        <f t="shared" si="18"/>
        <v>0</v>
      </c>
      <c r="N120" s="130"/>
      <c r="O120" s="67">
        <f t="shared" si="19"/>
        <v>0</v>
      </c>
      <c r="P120" s="67">
        <f t="shared" si="20"/>
        <v>0</v>
      </c>
    </row>
    <row r="121" spans="2:16">
      <c r="B121" t="str">
        <f t="shared" si="15"/>
        <v/>
      </c>
      <c r="C121" s="62">
        <f>IF(D94="","-",+C120+1)</f>
        <v>2039</v>
      </c>
      <c r="D121" s="63">
        <f>IF(F120+SUM(E$100:E120)=D$93,F120,D$93-SUM(E$100:E120))</f>
        <v>0</v>
      </c>
      <c r="E121" s="69">
        <f t="shared" si="21"/>
        <v>0</v>
      </c>
      <c r="F121" s="68">
        <f t="shared" si="22"/>
        <v>0</v>
      </c>
      <c r="G121" s="68">
        <f t="shared" si="23"/>
        <v>0</v>
      </c>
      <c r="H121" s="128">
        <f t="shared" si="16"/>
        <v>0</v>
      </c>
      <c r="I121" s="137">
        <f t="shared" si="24"/>
        <v>0</v>
      </c>
      <c r="J121" s="67">
        <f t="shared" si="17"/>
        <v>0</v>
      </c>
      <c r="K121" s="67"/>
      <c r="L121" s="130"/>
      <c r="M121" s="67">
        <f t="shared" si="18"/>
        <v>0</v>
      </c>
      <c r="N121" s="130"/>
      <c r="O121" s="67">
        <f t="shared" si="19"/>
        <v>0</v>
      </c>
      <c r="P121" s="67">
        <f t="shared" si="20"/>
        <v>0</v>
      </c>
    </row>
    <row r="122" spans="2:16">
      <c r="B122" t="str">
        <f t="shared" si="15"/>
        <v/>
      </c>
      <c r="C122" s="62">
        <f>IF(D94="","-",+C121+1)</f>
        <v>2040</v>
      </c>
      <c r="D122" s="63">
        <f>IF(F121+SUM(E$100:E121)=D$93,F121,D$93-SUM(E$100:E121))</f>
        <v>0</v>
      </c>
      <c r="E122" s="69">
        <f t="shared" si="21"/>
        <v>0</v>
      </c>
      <c r="F122" s="68">
        <f t="shared" si="22"/>
        <v>0</v>
      </c>
      <c r="G122" s="68">
        <f t="shared" si="23"/>
        <v>0</v>
      </c>
      <c r="H122" s="128">
        <f t="shared" si="16"/>
        <v>0</v>
      </c>
      <c r="I122" s="137">
        <f t="shared" si="24"/>
        <v>0</v>
      </c>
      <c r="J122" s="67">
        <f t="shared" si="17"/>
        <v>0</v>
      </c>
      <c r="K122" s="67"/>
      <c r="L122" s="130"/>
      <c r="M122" s="67">
        <f t="shared" si="18"/>
        <v>0</v>
      </c>
      <c r="N122" s="130"/>
      <c r="O122" s="67">
        <f t="shared" si="19"/>
        <v>0</v>
      </c>
      <c r="P122" s="67">
        <f t="shared" si="20"/>
        <v>0</v>
      </c>
    </row>
    <row r="123" spans="2:16">
      <c r="B123" t="str">
        <f t="shared" si="15"/>
        <v/>
      </c>
      <c r="C123" s="62">
        <f>IF(D94="","-",+C122+1)</f>
        <v>2041</v>
      </c>
      <c r="D123" s="63">
        <f>IF(F122+SUM(E$100:E122)=D$93,F122,D$93-SUM(E$100:E122))</f>
        <v>0</v>
      </c>
      <c r="E123" s="69">
        <f t="shared" si="21"/>
        <v>0</v>
      </c>
      <c r="F123" s="68">
        <f t="shared" si="22"/>
        <v>0</v>
      </c>
      <c r="G123" s="68">
        <f t="shared" si="23"/>
        <v>0</v>
      </c>
      <c r="H123" s="128">
        <f t="shared" si="16"/>
        <v>0</v>
      </c>
      <c r="I123" s="137">
        <f t="shared" si="24"/>
        <v>0</v>
      </c>
      <c r="J123" s="67">
        <f t="shared" si="17"/>
        <v>0</v>
      </c>
      <c r="K123" s="67"/>
      <c r="L123" s="130"/>
      <c r="M123" s="67">
        <f t="shared" si="18"/>
        <v>0</v>
      </c>
      <c r="N123" s="130"/>
      <c r="O123" s="67">
        <f t="shared" si="19"/>
        <v>0</v>
      </c>
      <c r="P123" s="67">
        <f t="shared" si="20"/>
        <v>0</v>
      </c>
    </row>
    <row r="124" spans="2:16">
      <c r="B124" t="str">
        <f t="shared" si="15"/>
        <v/>
      </c>
      <c r="C124" s="62">
        <f>IF(D94="","-",+C123+1)</f>
        <v>2042</v>
      </c>
      <c r="D124" s="63">
        <f>IF(F123+SUM(E$100:E123)=D$93,F123,D$93-SUM(E$100:E123))</f>
        <v>0</v>
      </c>
      <c r="E124" s="69">
        <f t="shared" si="21"/>
        <v>0</v>
      </c>
      <c r="F124" s="68">
        <f t="shared" si="22"/>
        <v>0</v>
      </c>
      <c r="G124" s="68">
        <f t="shared" si="23"/>
        <v>0</v>
      </c>
      <c r="H124" s="128">
        <f t="shared" si="16"/>
        <v>0</v>
      </c>
      <c r="I124" s="137">
        <f t="shared" si="24"/>
        <v>0</v>
      </c>
      <c r="J124" s="67">
        <f t="shared" si="17"/>
        <v>0</v>
      </c>
      <c r="K124" s="67"/>
      <c r="L124" s="130"/>
      <c r="M124" s="67">
        <f t="shared" si="18"/>
        <v>0</v>
      </c>
      <c r="N124" s="130"/>
      <c r="O124" s="67">
        <f t="shared" si="19"/>
        <v>0</v>
      </c>
      <c r="P124" s="67">
        <f t="shared" si="20"/>
        <v>0</v>
      </c>
    </row>
    <row r="125" spans="2:16">
      <c r="B125" t="str">
        <f t="shared" si="15"/>
        <v/>
      </c>
      <c r="C125" s="62">
        <f>IF(D94="","-",+C124+1)</f>
        <v>2043</v>
      </c>
      <c r="D125" s="63">
        <f>IF(F124+SUM(E$100:E124)=D$93,F124,D$93-SUM(E$100:E124))</f>
        <v>0</v>
      </c>
      <c r="E125" s="69">
        <f t="shared" si="21"/>
        <v>0</v>
      </c>
      <c r="F125" s="68">
        <f t="shared" si="22"/>
        <v>0</v>
      </c>
      <c r="G125" s="68">
        <f t="shared" si="23"/>
        <v>0</v>
      </c>
      <c r="H125" s="128">
        <f t="shared" si="16"/>
        <v>0</v>
      </c>
      <c r="I125" s="137">
        <f t="shared" si="24"/>
        <v>0</v>
      </c>
      <c r="J125" s="67">
        <f t="shared" si="17"/>
        <v>0</v>
      </c>
      <c r="K125" s="67"/>
      <c r="L125" s="130"/>
      <c r="M125" s="67">
        <f t="shared" si="18"/>
        <v>0</v>
      </c>
      <c r="N125" s="130"/>
      <c r="O125" s="67">
        <f t="shared" si="19"/>
        <v>0</v>
      </c>
      <c r="P125" s="67">
        <f t="shared" si="20"/>
        <v>0</v>
      </c>
    </row>
    <row r="126" spans="2:16">
      <c r="B126" t="str">
        <f t="shared" si="15"/>
        <v/>
      </c>
      <c r="C126" s="62">
        <f>IF(D94="","-",+C125+1)</f>
        <v>2044</v>
      </c>
      <c r="D126" s="63">
        <f>IF(F125+SUM(E$100:E125)=D$93,F125,D$93-SUM(E$100:E125))</f>
        <v>0</v>
      </c>
      <c r="E126" s="69">
        <f t="shared" si="21"/>
        <v>0</v>
      </c>
      <c r="F126" s="68">
        <f t="shared" si="22"/>
        <v>0</v>
      </c>
      <c r="G126" s="68">
        <f t="shared" si="23"/>
        <v>0</v>
      </c>
      <c r="H126" s="128">
        <f t="shared" si="16"/>
        <v>0</v>
      </c>
      <c r="I126" s="137">
        <f t="shared" si="24"/>
        <v>0</v>
      </c>
      <c r="J126" s="67">
        <f t="shared" si="17"/>
        <v>0</v>
      </c>
      <c r="K126" s="67"/>
      <c r="L126" s="130"/>
      <c r="M126" s="67">
        <f t="shared" si="18"/>
        <v>0</v>
      </c>
      <c r="N126" s="130"/>
      <c r="O126" s="67">
        <f t="shared" si="19"/>
        <v>0</v>
      </c>
      <c r="P126" s="67">
        <f t="shared" si="20"/>
        <v>0</v>
      </c>
    </row>
    <row r="127" spans="2:16">
      <c r="B127" t="str">
        <f t="shared" si="15"/>
        <v/>
      </c>
      <c r="C127" s="62">
        <f>IF(D94="","-",+C126+1)</f>
        <v>2045</v>
      </c>
      <c r="D127" s="63">
        <f>IF(F126+SUM(E$100:E126)=D$93,F126,D$93-SUM(E$100:E126))</f>
        <v>0</v>
      </c>
      <c r="E127" s="69">
        <f t="shared" si="21"/>
        <v>0</v>
      </c>
      <c r="F127" s="68">
        <f t="shared" si="22"/>
        <v>0</v>
      </c>
      <c r="G127" s="68">
        <f t="shared" si="23"/>
        <v>0</v>
      </c>
      <c r="H127" s="128">
        <f t="shared" si="16"/>
        <v>0</v>
      </c>
      <c r="I127" s="137">
        <f t="shared" si="24"/>
        <v>0</v>
      </c>
      <c r="J127" s="67">
        <f t="shared" si="17"/>
        <v>0</v>
      </c>
      <c r="K127" s="67"/>
      <c r="L127" s="130"/>
      <c r="M127" s="67">
        <f t="shared" si="18"/>
        <v>0</v>
      </c>
      <c r="N127" s="130"/>
      <c r="O127" s="67">
        <f t="shared" si="19"/>
        <v>0</v>
      </c>
      <c r="P127" s="67">
        <f t="shared" si="20"/>
        <v>0</v>
      </c>
    </row>
    <row r="128" spans="2:16">
      <c r="B128" t="str">
        <f t="shared" si="15"/>
        <v/>
      </c>
      <c r="C128" s="62">
        <f>IF(D94="","-",+C127+1)</f>
        <v>2046</v>
      </c>
      <c r="D128" s="63">
        <f>IF(F127+SUM(E$100:E127)=D$93,F127,D$93-SUM(E$100:E127))</f>
        <v>0</v>
      </c>
      <c r="E128" s="69">
        <f t="shared" si="21"/>
        <v>0</v>
      </c>
      <c r="F128" s="68">
        <f t="shared" si="22"/>
        <v>0</v>
      </c>
      <c r="G128" s="68">
        <f t="shared" si="23"/>
        <v>0</v>
      </c>
      <c r="H128" s="128">
        <f t="shared" si="16"/>
        <v>0</v>
      </c>
      <c r="I128" s="137">
        <f t="shared" si="24"/>
        <v>0</v>
      </c>
      <c r="J128" s="67">
        <f t="shared" si="17"/>
        <v>0</v>
      </c>
      <c r="K128" s="67"/>
      <c r="L128" s="130"/>
      <c r="M128" s="67">
        <f t="shared" si="18"/>
        <v>0</v>
      </c>
      <c r="N128" s="130"/>
      <c r="O128" s="67">
        <f t="shared" si="19"/>
        <v>0</v>
      </c>
      <c r="P128" s="67">
        <f t="shared" si="20"/>
        <v>0</v>
      </c>
    </row>
    <row r="129" spans="2:16">
      <c r="B129" t="str">
        <f t="shared" si="15"/>
        <v/>
      </c>
      <c r="C129" s="62">
        <f>IF(D94="","-",+C128+1)</f>
        <v>2047</v>
      </c>
      <c r="D129" s="63">
        <f>IF(F128+SUM(E$100:E128)=D$93,F128,D$93-SUM(E$100:E128))</f>
        <v>0</v>
      </c>
      <c r="E129" s="69">
        <f t="shared" si="21"/>
        <v>0</v>
      </c>
      <c r="F129" s="68">
        <f t="shared" si="22"/>
        <v>0</v>
      </c>
      <c r="G129" s="68">
        <f t="shared" si="23"/>
        <v>0</v>
      </c>
      <c r="H129" s="128">
        <f t="shared" si="16"/>
        <v>0</v>
      </c>
      <c r="I129" s="137">
        <f t="shared" si="24"/>
        <v>0</v>
      </c>
      <c r="J129" s="67">
        <f t="shared" si="17"/>
        <v>0</v>
      </c>
      <c r="K129" s="67"/>
      <c r="L129" s="130"/>
      <c r="M129" s="67">
        <f t="shared" si="18"/>
        <v>0</v>
      </c>
      <c r="N129" s="130"/>
      <c r="O129" s="67">
        <f t="shared" si="19"/>
        <v>0</v>
      </c>
      <c r="P129" s="67">
        <f t="shared" si="20"/>
        <v>0</v>
      </c>
    </row>
    <row r="130" spans="2:16">
      <c r="B130" t="str">
        <f t="shared" si="15"/>
        <v/>
      </c>
      <c r="C130" s="62">
        <f>IF(D94="","-",+C129+1)</f>
        <v>2048</v>
      </c>
      <c r="D130" s="63">
        <f>IF(F129+SUM(E$100:E129)=D$93,F129,D$93-SUM(E$100:E129))</f>
        <v>0</v>
      </c>
      <c r="E130" s="69">
        <f t="shared" si="21"/>
        <v>0</v>
      </c>
      <c r="F130" s="68">
        <f t="shared" si="22"/>
        <v>0</v>
      </c>
      <c r="G130" s="68">
        <f t="shared" si="23"/>
        <v>0</v>
      </c>
      <c r="H130" s="128">
        <f t="shared" si="16"/>
        <v>0</v>
      </c>
      <c r="I130" s="137">
        <f t="shared" si="24"/>
        <v>0</v>
      </c>
      <c r="J130" s="67">
        <f t="shared" si="17"/>
        <v>0</v>
      </c>
      <c r="K130" s="67"/>
      <c r="L130" s="130"/>
      <c r="M130" s="67">
        <f t="shared" si="18"/>
        <v>0</v>
      </c>
      <c r="N130" s="130"/>
      <c r="O130" s="67">
        <f t="shared" si="19"/>
        <v>0</v>
      </c>
      <c r="P130" s="67">
        <f t="shared" si="20"/>
        <v>0</v>
      </c>
    </row>
    <row r="131" spans="2:16">
      <c r="B131" t="str">
        <f t="shared" si="15"/>
        <v/>
      </c>
      <c r="C131" s="62">
        <f>IF(D94="","-",+C130+1)</f>
        <v>2049</v>
      </c>
      <c r="D131" s="63">
        <f>IF(F130+SUM(E$100:E130)=D$93,F130,D$93-SUM(E$100:E130))</f>
        <v>0</v>
      </c>
      <c r="E131" s="69">
        <f t="shared" si="21"/>
        <v>0</v>
      </c>
      <c r="F131" s="68">
        <f t="shared" si="22"/>
        <v>0</v>
      </c>
      <c r="G131" s="68">
        <f t="shared" si="23"/>
        <v>0</v>
      </c>
      <c r="H131" s="128">
        <f t="shared" si="16"/>
        <v>0</v>
      </c>
      <c r="I131" s="137">
        <f t="shared" si="24"/>
        <v>0</v>
      </c>
      <c r="J131" s="67">
        <f t="shared" si="17"/>
        <v>0</v>
      </c>
      <c r="K131" s="67"/>
      <c r="L131" s="130"/>
      <c r="M131" s="67">
        <f t="shared" si="18"/>
        <v>0</v>
      </c>
      <c r="N131" s="130"/>
      <c r="O131" s="67">
        <f t="shared" si="19"/>
        <v>0</v>
      </c>
      <c r="P131" s="67">
        <f t="shared" si="20"/>
        <v>0</v>
      </c>
    </row>
    <row r="132" spans="2:16">
      <c r="B132" t="str">
        <f t="shared" si="15"/>
        <v/>
      </c>
      <c r="C132" s="62">
        <f>IF(D94="","-",+C131+1)</f>
        <v>2050</v>
      </c>
      <c r="D132" s="63">
        <f>IF(F131+SUM(E$100:E131)=D$93,F131,D$93-SUM(E$100:E131))</f>
        <v>0</v>
      </c>
      <c r="E132" s="69">
        <f t="shared" si="21"/>
        <v>0</v>
      </c>
      <c r="F132" s="68">
        <f t="shared" ref="F132:F155" si="25">+D132-E132</f>
        <v>0</v>
      </c>
      <c r="G132" s="68">
        <f t="shared" ref="G132:G155" si="26">+(F132+D132)/2</f>
        <v>0</v>
      </c>
      <c r="H132" s="128">
        <f t="shared" si="16"/>
        <v>0</v>
      </c>
      <c r="I132" s="137">
        <f t="shared" si="24"/>
        <v>0</v>
      </c>
      <c r="J132" s="67">
        <f t="shared" ref="J132:J155" si="27">+I542-H542</f>
        <v>0</v>
      </c>
      <c r="K132" s="67"/>
      <c r="L132" s="130"/>
      <c r="M132" s="67">
        <f t="shared" ref="M132:M155" si="28">IF(L542&lt;&gt;0,+H542-L542,0)</f>
        <v>0</v>
      </c>
      <c r="N132" s="130"/>
      <c r="O132" s="67">
        <f t="shared" ref="O132:O155" si="29">IF(N542&lt;&gt;0,+I542-N542,0)</f>
        <v>0</v>
      </c>
      <c r="P132" s="67">
        <f t="shared" ref="P132:P155" si="30">+O542-M542</f>
        <v>0</v>
      </c>
    </row>
    <row r="133" spans="2:16">
      <c r="B133" t="str">
        <f t="shared" si="15"/>
        <v/>
      </c>
      <c r="C133" s="62">
        <f>IF(D94="","-",+C132+1)</f>
        <v>2051</v>
      </c>
      <c r="D133" s="63">
        <f>IF(F132+SUM(E$100:E132)=D$93,F132,D$93-SUM(E$100:E132))</f>
        <v>0</v>
      </c>
      <c r="E133" s="69">
        <f t="shared" ref="E133:E155" si="31">IF(+J$97&lt;F132,J$97,D133)</f>
        <v>0</v>
      </c>
      <c r="F133" s="68">
        <f t="shared" si="25"/>
        <v>0</v>
      </c>
      <c r="G133" s="68">
        <f t="shared" si="26"/>
        <v>0</v>
      </c>
      <c r="H133" s="128">
        <f t="shared" si="16"/>
        <v>0</v>
      </c>
      <c r="I133" s="137">
        <f t="shared" si="24"/>
        <v>0</v>
      </c>
      <c r="J133" s="67">
        <f t="shared" si="27"/>
        <v>0</v>
      </c>
      <c r="K133" s="67"/>
      <c r="L133" s="130"/>
      <c r="M133" s="67">
        <f t="shared" si="28"/>
        <v>0</v>
      </c>
      <c r="N133" s="130"/>
      <c r="O133" s="67">
        <f t="shared" si="29"/>
        <v>0</v>
      </c>
      <c r="P133" s="67">
        <f t="shared" si="30"/>
        <v>0</v>
      </c>
    </row>
    <row r="134" spans="2:16">
      <c r="B134" t="str">
        <f t="shared" si="15"/>
        <v/>
      </c>
      <c r="C134" s="62">
        <f>IF(D94="","-",+C133+1)</f>
        <v>2052</v>
      </c>
      <c r="D134" s="63">
        <f>IF(F133+SUM(E$100:E133)=D$93,F133,D$93-SUM(E$100:E133))</f>
        <v>0</v>
      </c>
      <c r="E134" s="69">
        <f t="shared" si="31"/>
        <v>0</v>
      </c>
      <c r="F134" s="68">
        <f t="shared" si="25"/>
        <v>0</v>
      </c>
      <c r="G134" s="68">
        <f t="shared" si="26"/>
        <v>0</v>
      </c>
      <c r="H134" s="128">
        <f t="shared" si="16"/>
        <v>0</v>
      </c>
      <c r="I134" s="137">
        <f t="shared" si="24"/>
        <v>0</v>
      </c>
      <c r="J134" s="67">
        <f t="shared" si="27"/>
        <v>0</v>
      </c>
      <c r="K134" s="67"/>
      <c r="L134" s="130"/>
      <c r="M134" s="67">
        <f t="shared" si="28"/>
        <v>0</v>
      </c>
      <c r="N134" s="130"/>
      <c r="O134" s="67">
        <f t="shared" si="29"/>
        <v>0</v>
      </c>
      <c r="P134" s="67">
        <f t="shared" si="30"/>
        <v>0</v>
      </c>
    </row>
    <row r="135" spans="2:16">
      <c r="B135" t="str">
        <f t="shared" si="15"/>
        <v/>
      </c>
      <c r="C135" s="62">
        <f>IF(D94="","-",+C134+1)</f>
        <v>2053</v>
      </c>
      <c r="D135" s="63">
        <f>IF(F134+SUM(E$100:E134)=D$93,F134,D$93-SUM(E$100:E134))</f>
        <v>0</v>
      </c>
      <c r="E135" s="69">
        <f t="shared" si="31"/>
        <v>0</v>
      </c>
      <c r="F135" s="68">
        <f t="shared" si="25"/>
        <v>0</v>
      </c>
      <c r="G135" s="68">
        <f t="shared" si="26"/>
        <v>0</v>
      </c>
      <c r="H135" s="128">
        <f t="shared" si="16"/>
        <v>0</v>
      </c>
      <c r="I135" s="137">
        <f t="shared" si="24"/>
        <v>0</v>
      </c>
      <c r="J135" s="67">
        <f t="shared" si="27"/>
        <v>0</v>
      </c>
      <c r="K135" s="67"/>
      <c r="L135" s="130"/>
      <c r="M135" s="67">
        <f t="shared" si="28"/>
        <v>0</v>
      </c>
      <c r="N135" s="130"/>
      <c r="O135" s="67">
        <f t="shared" si="29"/>
        <v>0</v>
      </c>
      <c r="P135" s="67">
        <f t="shared" si="30"/>
        <v>0</v>
      </c>
    </row>
    <row r="136" spans="2:16">
      <c r="B136" t="str">
        <f t="shared" si="15"/>
        <v/>
      </c>
      <c r="C136" s="62">
        <f>IF(D94="","-",+C135+1)</f>
        <v>2054</v>
      </c>
      <c r="D136" s="63">
        <f>IF(F135+SUM(E$100:E135)=D$93,F135,D$93-SUM(E$100:E135))</f>
        <v>0</v>
      </c>
      <c r="E136" s="69">
        <f t="shared" si="31"/>
        <v>0</v>
      </c>
      <c r="F136" s="68">
        <f t="shared" si="25"/>
        <v>0</v>
      </c>
      <c r="G136" s="68">
        <f t="shared" si="26"/>
        <v>0</v>
      </c>
      <c r="H136" s="128">
        <f t="shared" si="16"/>
        <v>0</v>
      </c>
      <c r="I136" s="137">
        <f t="shared" si="24"/>
        <v>0</v>
      </c>
      <c r="J136" s="67">
        <f t="shared" si="27"/>
        <v>0</v>
      </c>
      <c r="K136" s="67"/>
      <c r="L136" s="130"/>
      <c r="M136" s="67">
        <f t="shared" si="28"/>
        <v>0</v>
      </c>
      <c r="N136" s="130"/>
      <c r="O136" s="67">
        <f t="shared" si="29"/>
        <v>0</v>
      </c>
      <c r="P136" s="67">
        <f t="shared" si="30"/>
        <v>0</v>
      </c>
    </row>
    <row r="137" spans="2:16">
      <c r="B137" t="str">
        <f t="shared" si="15"/>
        <v/>
      </c>
      <c r="C137" s="62">
        <f>IF(D94="","-",+C136+1)</f>
        <v>2055</v>
      </c>
      <c r="D137" s="63">
        <f>IF(F136+SUM(E$100:E136)=D$93,F136,D$93-SUM(E$100:E136))</f>
        <v>0</v>
      </c>
      <c r="E137" s="69">
        <f t="shared" si="31"/>
        <v>0</v>
      </c>
      <c r="F137" s="68">
        <f t="shared" si="25"/>
        <v>0</v>
      </c>
      <c r="G137" s="68">
        <f t="shared" si="26"/>
        <v>0</v>
      </c>
      <c r="H137" s="128">
        <f t="shared" si="16"/>
        <v>0</v>
      </c>
      <c r="I137" s="137">
        <f t="shared" si="24"/>
        <v>0</v>
      </c>
      <c r="J137" s="67">
        <f t="shared" si="27"/>
        <v>0</v>
      </c>
      <c r="K137" s="67"/>
      <c r="L137" s="130"/>
      <c r="M137" s="67">
        <f t="shared" si="28"/>
        <v>0</v>
      </c>
      <c r="N137" s="130"/>
      <c r="O137" s="67">
        <f t="shared" si="29"/>
        <v>0</v>
      </c>
      <c r="P137" s="67">
        <f t="shared" si="30"/>
        <v>0</v>
      </c>
    </row>
    <row r="138" spans="2:16">
      <c r="B138" t="str">
        <f t="shared" si="15"/>
        <v/>
      </c>
      <c r="C138" s="62">
        <f>IF(D94="","-",+C137+1)</f>
        <v>2056</v>
      </c>
      <c r="D138" s="63">
        <f>IF(F137+SUM(E$100:E137)=D$93,F137,D$93-SUM(E$100:E137))</f>
        <v>0</v>
      </c>
      <c r="E138" s="69">
        <f t="shared" si="31"/>
        <v>0</v>
      </c>
      <c r="F138" s="68">
        <f t="shared" si="25"/>
        <v>0</v>
      </c>
      <c r="G138" s="68">
        <f t="shared" si="26"/>
        <v>0</v>
      </c>
      <c r="H138" s="128">
        <f t="shared" si="16"/>
        <v>0</v>
      </c>
      <c r="I138" s="137">
        <f t="shared" si="24"/>
        <v>0</v>
      </c>
      <c r="J138" s="67">
        <f t="shared" si="27"/>
        <v>0</v>
      </c>
      <c r="K138" s="67"/>
      <c r="L138" s="130"/>
      <c r="M138" s="67">
        <f t="shared" si="28"/>
        <v>0</v>
      </c>
      <c r="N138" s="130"/>
      <c r="O138" s="67">
        <f t="shared" si="29"/>
        <v>0</v>
      </c>
      <c r="P138" s="67">
        <f t="shared" si="30"/>
        <v>0</v>
      </c>
    </row>
    <row r="139" spans="2:16">
      <c r="B139" t="str">
        <f t="shared" si="15"/>
        <v/>
      </c>
      <c r="C139" s="62">
        <f>IF(D94="","-",+C138+1)</f>
        <v>2057</v>
      </c>
      <c r="D139" s="63">
        <f>IF(F138+SUM(E$100:E138)=D$93,F138,D$93-SUM(E$100:E138))</f>
        <v>0</v>
      </c>
      <c r="E139" s="69">
        <f t="shared" si="31"/>
        <v>0</v>
      </c>
      <c r="F139" s="68">
        <f t="shared" si="25"/>
        <v>0</v>
      </c>
      <c r="G139" s="68">
        <f t="shared" si="26"/>
        <v>0</v>
      </c>
      <c r="H139" s="128">
        <f t="shared" si="16"/>
        <v>0</v>
      </c>
      <c r="I139" s="137">
        <f t="shared" si="24"/>
        <v>0</v>
      </c>
      <c r="J139" s="67">
        <f t="shared" si="27"/>
        <v>0</v>
      </c>
      <c r="K139" s="67"/>
      <c r="L139" s="130"/>
      <c r="M139" s="67">
        <f t="shared" si="28"/>
        <v>0</v>
      </c>
      <c r="N139" s="130"/>
      <c r="O139" s="67">
        <f t="shared" si="29"/>
        <v>0</v>
      </c>
      <c r="P139" s="67">
        <f t="shared" si="30"/>
        <v>0</v>
      </c>
    </row>
    <row r="140" spans="2:16">
      <c r="B140" t="str">
        <f t="shared" si="15"/>
        <v/>
      </c>
      <c r="C140" s="62">
        <f>IF(D94="","-",+C139+1)</f>
        <v>2058</v>
      </c>
      <c r="D140" s="63">
        <f>IF(F139+SUM(E$100:E139)=D$93,F139,D$93-SUM(E$100:E139))</f>
        <v>0</v>
      </c>
      <c r="E140" s="69">
        <f t="shared" si="31"/>
        <v>0</v>
      </c>
      <c r="F140" s="68">
        <f t="shared" si="25"/>
        <v>0</v>
      </c>
      <c r="G140" s="68">
        <f t="shared" si="26"/>
        <v>0</v>
      </c>
      <c r="H140" s="128">
        <f t="shared" si="16"/>
        <v>0</v>
      </c>
      <c r="I140" s="137">
        <f t="shared" si="24"/>
        <v>0</v>
      </c>
      <c r="J140" s="67">
        <f t="shared" si="27"/>
        <v>0</v>
      </c>
      <c r="K140" s="67"/>
      <c r="L140" s="130"/>
      <c r="M140" s="67">
        <f t="shared" si="28"/>
        <v>0</v>
      </c>
      <c r="N140" s="130"/>
      <c r="O140" s="67">
        <f t="shared" si="29"/>
        <v>0</v>
      </c>
      <c r="P140" s="67">
        <f t="shared" si="30"/>
        <v>0</v>
      </c>
    </row>
    <row r="141" spans="2:16">
      <c r="B141" t="str">
        <f t="shared" si="15"/>
        <v/>
      </c>
      <c r="C141" s="62">
        <f>IF(D94="","-",+C140+1)</f>
        <v>2059</v>
      </c>
      <c r="D141" s="63">
        <f>IF(F140+SUM(E$100:E140)=D$93,F140,D$93-SUM(E$100:E140))</f>
        <v>0</v>
      </c>
      <c r="E141" s="69">
        <f t="shared" si="31"/>
        <v>0</v>
      </c>
      <c r="F141" s="68">
        <f t="shared" si="25"/>
        <v>0</v>
      </c>
      <c r="G141" s="68">
        <f t="shared" si="26"/>
        <v>0</v>
      </c>
      <c r="H141" s="128">
        <f t="shared" si="16"/>
        <v>0</v>
      </c>
      <c r="I141" s="137">
        <f t="shared" si="24"/>
        <v>0</v>
      </c>
      <c r="J141" s="67">
        <f t="shared" si="27"/>
        <v>0</v>
      </c>
      <c r="K141" s="67"/>
      <c r="L141" s="130"/>
      <c r="M141" s="67">
        <f t="shared" si="28"/>
        <v>0</v>
      </c>
      <c r="N141" s="130"/>
      <c r="O141" s="67">
        <f t="shared" si="29"/>
        <v>0</v>
      </c>
      <c r="P141" s="67">
        <f t="shared" si="30"/>
        <v>0</v>
      </c>
    </row>
    <row r="142" spans="2:16">
      <c r="B142" t="str">
        <f t="shared" si="15"/>
        <v/>
      </c>
      <c r="C142" s="62">
        <f>IF(D94="","-",+C141+1)</f>
        <v>2060</v>
      </c>
      <c r="D142" s="63">
        <f>IF(F141+SUM(E$100:E141)=D$93,F141,D$93-SUM(E$100:E141))</f>
        <v>0</v>
      </c>
      <c r="E142" s="69">
        <f t="shared" si="31"/>
        <v>0</v>
      </c>
      <c r="F142" s="68">
        <f t="shared" si="25"/>
        <v>0</v>
      </c>
      <c r="G142" s="68">
        <f t="shared" si="26"/>
        <v>0</v>
      </c>
      <c r="H142" s="128">
        <f t="shared" si="16"/>
        <v>0</v>
      </c>
      <c r="I142" s="137">
        <f t="shared" si="24"/>
        <v>0</v>
      </c>
      <c r="J142" s="67">
        <f t="shared" si="27"/>
        <v>0</v>
      </c>
      <c r="K142" s="67"/>
      <c r="L142" s="130"/>
      <c r="M142" s="67">
        <f t="shared" si="28"/>
        <v>0</v>
      </c>
      <c r="N142" s="130"/>
      <c r="O142" s="67">
        <f t="shared" si="29"/>
        <v>0</v>
      </c>
      <c r="P142" s="67">
        <f t="shared" si="30"/>
        <v>0</v>
      </c>
    </row>
    <row r="143" spans="2:16">
      <c r="B143" t="str">
        <f t="shared" si="15"/>
        <v/>
      </c>
      <c r="C143" s="62">
        <f>IF(D94="","-",+C142+1)</f>
        <v>2061</v>
      </c>
      <c r="D143" s="63">
        <f>IF(F142+SUM(E$100:E142)=D$93,F142,D$93-SUM(E$100:E142))</f>
        <v>0</v>
      </c>
      <c r="E143" s="69">
        <f t="shared" si="31"/>
        <v>0</v>
      </c>
      <c r="F143" s="68">
        <f t="shared" si="25"/>
        <v>0</v>
      </c>
      <c r="G143" s="68">
        <f t="shared" si="26"/>
        <v>0</v>
      </c>
      <c r="H143" s="128">
        <f t="shared" si="16"/>
        <v>0</v>
      </c>
      <c r="I143" s="137">
        <f t="shared" si="24"/>
        <v>0</v>
      </c>
      <c r="J143" s="67">
        <f t="shared" si="27"/>
        <v>0</v>
      </c>
      <c r="K143" s="67"/>
      <c r="L143" s="130"/>
      <c r="M143" s="67">
        <f t="shared" si="28"/>
        <v>0</v>
      </c>
      <c r="N143" s="130"/>
      <c r="O143" s="67">
        <f t="shared" si="29"/>
        <v>0</v>
      </c>
      <c r="P143" s="67">
        <f t="shared" si="30"/>
        <v>0</v>
      </c>
    </row>
    <row r="144" spans="2:16">
      <c r="B144" t="str">
        <f t="shared" si="15"/>
        <v/>
      </c>
      <c r="C144" s="62">
        <f>IF(D94="","-",+C143+1)</f>
        <v>2062</v>
      </c>
      <c r="D144" s="63">
        <f>IF(F143+SUM(E$100:E143)=D$93,F143,D$93-SUM(E$100:E143))</f>
        <v>0</v>
      </c>
      <c r="E144" s="69">
        <f t="shared" si="31"/>
        <v>0</v>
      </c>
      <c r="F144" s="68">
        <f t="shared" si="25"/>
        <v>0</v>
      </c>
      <c r="G144" s="68">
        <f t="shared" si="26"/>
        <v>0</v>
      </c>
      <c r="H144" s="128">
        <f t="shared" si="16"/>
        <v>0</v>
      </c>
      <c r="I144" s="137">
        <f t="shared" si="24"/>
        <v>0</v>
      </c>
      <c r="J144" s="67">
        <f t="shared" si="27"/>
        <v>0</v>
      </c>
      <c r="K144" s="67"/>
      <c r="L144" s="130"/>
      <c r="M144" s="67">
        <f t="shared" si="28"/>
        <v>0</v>
      </c>
      <c r="N144" s="130"/>
      <c r="O144" s="67">
        <f t="shared" si="29"/>
        <v>0</v>
      </c>
      <c r="P144" s="67">
        <f t="shared" si="30"/>
        <v>0</v>
      </c>
    </row>
    <row r="145" spans="2:16">
      <c r="B145" t="str">
        <f t="shared" si="15"/>
        <v/>
      </c>
      <c r="C145" s="62">
        <f>IF(D94="","-",+C144+1)</f>
        <v>2063</v>
      </c>
      <c r="D145" s="63">
        <f>IF(F144+SUM(E$100:E144)=D$93,F144,D$93-SUM(E$100:E144))</f>
        <v>0</v>
      </c>
      <c r="E145" s="69">
        <f t="shared" si="31"/>
        <v>0</v>
      </c>
      <c r="F145" s="68">
        <f t="shared" si="25"/>
        <v>0</v>
      </c>
      <c r="G145" s="68">
        <f t="shared" si="26"/>
        <v>0</v>
      </c>
      <c r="H145" s="128">
        <f t="shared" si="16"/>
        <v>0</v>
      </c>
      <c r="I145" s="137">
        <f t="shared" si="24"/>
        <v>0</v>
      </c>
      <c r="J145" s="67">
        <f t="shared" si="27"/>
        <v>0</v>
      </c>
      <c r="K145" s="67"/>
      <c r="L145" s="130"/>
      <c r="M145" s="67">
        <f t="shared" si="28"/>
        <v>0</v>
      </c>
      <c r="N145" s="130"/>
      <c r="O145" s="67">
        <f t="shared" si="29"/>
        <v>0</v>
      </c>
      <c r="P145" s="67">
        <f t="shared" si="30"/>
        <v>0</v>
      </c>
    </row>
    <row r="146" spans="2:16">
      <c r="B146" t="str">
        <f t="shared" si="15"/>
        <v/>
      </c>
      <c r="C146" s="62">
        <f>IF(D94="","-",+C145+1)</f>
        <v>2064</v>
      </c>
      <c r="D146" s="63">
        <f>IF(F145+SUM(E$100:E145)=D$93,F145,D$93-SUM(E$100:E145))</f>
        <v>0</v>
      </c>
      <c r="E146" s="69">
        <f t="shared" si="31"/>
        <v>0</v>
      </c>
      <c r="F146" s="68">
        <f t="shared" si="25"/>
        <v>0</v>
      </c>
      <c r="G146" s="68">
        <f t="shared" si="26"/>
        <v>0</v>
      </c>
      <c r="H146" s="128">
        <f t="shared" si="16"/>
        <v>0</v>
      </c>
      <c r="I146" s="137">
        <f t="shared" si="24"/>
        <v>0</v>
      </c>
      <c r="J146" s="67">
        <f t="shared" si="27"/>
        <v>0</v>
      </c>
      <c r="K146" s="67"/>
      <c r="L146" s="130"/>
      <c r="M146" s="67">
        <f t="shared" si="28"/>
        <v>0</v>
      </c>
      <c r="N146" s="130"/>
      <c r="O146" s="67">
        <f t="shared" si="29"/>
        <v>0</v>
      </c>
      <c r="P146" s="67">
        <f t="shared" si="30"/>
        <v>0</v>
      </c>
    </row>
    <row r="147" spans="2:16">
      <c r="B147" t="str">
        <f t="shared" si="15"/>
        <v/>
      </c>
      <c r="C147" s="62">
        <f>IF(D94="","-",+C146+1)</f>
        <v>2065</v>
      </c>
      <c r="D147" s="63">
        <f>IF(F146+SUM(E$100:E146)=D$93,F146,D$93-SUM(E$100:E146))</f>
        <v>0</v>
      </c>
      <c r="E147" s="69">
        <f t="shared" si="31"/>
        <v>0</v>
      </c>
      <c r="F147" s="68">
        <f t="shared" si="25"/>
        <v>0</v>
      </c>
      <c r="G147" s="68">
        <f t="shared" si="26"/>
        <v>0</v>
      </c>
      <c r="H147" s="128">
        <f t="shared" si="16"/>
        <v>0</v>
      </c>
      <c r="I147" s="137">
        <f t="shared" si="24"/>
        <v>0</v>
      </c>
      <c r="J147" s="67">
        <f t="shared" si="27"/>
        <v>0</v>
      </c>
      <c r="K147" s="67"/>
      <c r="L147" s="130"/>
      <c r="M147" s="67">
        <f t="shared" si="28"/>
        <v>0</v>
      </c>
      <c r="N147" s="130"/>
      <c r="O147" s="67">
        <f t="shared" si="29"/>
        <v>0</v>
      </c>
      <c r="P147" s="67">
        <f t="shared" si="30"/>
        <v>0</v>
      </c>
    </row>
    <row r="148" spans="2:16">
      <c r="B148" t="str">
        <f t="shared" si="15"/>
        <v/>
      </c>
      <c r="C148" s="62">
        <f>IF(D94="","-",+C147+1)</f>
        <v>2066</v>
      </c>
      <c r="D148" s="63">
        <f>IF(F147+SUM(E$100:E147)=D$93,F147,D$93-SUM(E$100:E147))</f>
        <v>0</v>
      </c>
      <c r="E148" s="69">
        <f t="shared" si="31"/>
        <v>0</v>
      </c>
      <c r="F148" s="68">
        <f t="shared" si="25"/>
        <v>0</v>
      </c>
      <c r="G148" s="68">
        <f t="shared" si="26"/>
        <v>0</v>
      </c>
      <c r="H148" s="128">
        <f t="shared" si="16"/>
        <v>0</v>
      </c>
      <c r="I148" s="137">
        <f t="shared" si="24"/>
        <v>0</v>
      </c>
      <c r="J148" s="67">
        <f t="shared" si="27"/>
        <v>0</v>
      </c>
      <c r="K148" s="67"/>
      <c r="L148" s="130"/>
      <c r="M148" s="67">
        <f t="shared" si="28"/>
        <v>0</v>
      </c>
      <c r="N148" s="130"/>
      <c r="O148" s="67">
        <f t="shared" si="29"/>
        <v>0</v>
      </c>
      <c r="P148" s="67">
        <f t="shared" si="30"/>
        <v>0</v>
      </c>
    </row>
    <row r="149" spans="2:16">
      <c r="B149" t="str">
        <f t="shared" si="15"/>
        <v/>
      </c>
      <c r="C149" s="62">
        <f>IF(D94="","-",+C148+1)</f>
        <v>2067</v>
      </c>
      <c r="D149" s="63">
        <f>IF(F148+SUM(E$100:E148)=D$93,F148,D$93-SUM(E$100:E148))</f>
        <v>0</v>
      </c>
      <c r="E149" s="69">
        <f t="shared" si="31"/>
        <v>0</v>
      </c>
      <c r="F149" s="68">
        <f t="shared" si="25"/>
        <v>0</v>
      </c>
      <c r="G149" s="68">
        <f t="shared" si="26"/>
        <v>0</v>
      </c>
      <c r="H149" s="128">
        <f t="shared" si="16"/>
        <v>0</v>
      </c>
      <c r="I149" s="137">
        <f t="shared" si="24"/>
        <v>0</v>
      </c>
      <c r="J149" s="67">
        <f t="shared" si="27"/>
        <v>0</v>
      </c>
      <c r="K149" s="67"/>
      <c r="L149" s="130"/>
      <c r="M149" s="67">
        <f t="shared" si="28"/>
        <v>0</v>
      </c>
      <c r="N149" s="130"/>
      <c r="O149" s="67">
        <f t="shared" si="29"/>
        <v>0</v>
      </c>
      <c r="P149" s="67">
        <f t="shared" si="30"/>
        <v>0</v>
      </c>
    </row>
    <row r="150" spans="2:16">
      <c r="B150" t="str">
        <f t="shared" si="15"/>
        <v/>
      </c>
      <c r="C150" s="62">
        <f>IF(D94="","-",+C149+1)</f>
        <v>2068</v>
      </c>
      <c r="D150" s="63">
        <f>IF(F149+SUM(E$100:E149)=D$93,F149,D$93-SUM(E$100:E149))</f>
        <v>0</v>
      </c>
      <c r="E150" s="69">
        <f t="shared" si="31"/>
        <v>0</v>
      </c>
      <c r="F150" s="68">
        <f t="shared" si="25"/>
        <v>0</v>
      </c>
      <c r="G150" s="68">
        <f t="shared" si="26"/>
        <v>0</v>
      </c>
      <c r="H150" s="128">
        <f t="shared" si="16"/>
        <v>0</v>
      </c>
      <c r="I150" s="137">
        <f t="shared" si="24"/>
        <v>0</v>
      </c>
      <c r="J150" s="67">
        <f t="shared" si="27"/>
        <v>0</v>
      </c>
      <c r="K150" s="67"/>
      <c r="L150" s="130"/>
      <c r="M150" s="67">
        <f t="shared" si="28"/>
        <v>0</v>
      </c>
      <c r="N150" s="130"/>
      <c r="O150" s="67">
        <f t="shared" si="29"/>
        <v>0</v>
      </c>
      <c r="P150" s="67">
        <f t="shared" si="30"/>
        <v>0</v>
      </c>
    </row>
    <row r="151" spans="2:16">
      <c r="B151" t="str">
        <f t="shared" si="15"/>
        <v/>
      </c>
      <c r="C151" s="62">
        <f>IF(D94="","-",+C150+1)</f>
        <v>2069</v>
      </c>
      <c r="D151" s="63">
        <f>IF(F150+SUM(E$100:E150)=D$93,F150,D$93-SUM(E$100:E150))</f>
        <v>0</v>
      </c>
      <c r="E151" s="69">
        <f t="shared" si="31"/>
        <v>0</v>
      </c>
      <c r="F151" s="68">
        <f t="shared" si="25"/>
        <v>0</v>
      </c>
      <c r="G151" s="68">
        <f t="shared" si="26"/>
        <v>0</v>
      </c>
      <c r="H151" s="128">
        <f t="shared" si="16"/>
        <v>0</v>
      </c>
      <c r="I151" s="137">
        <f t="shared" si="24"/>
        <v>0</v>
      </c>
      <c r="J151" s="67">
        <f t="shared" si="27"/>
        <v>0</v>
      </c>
      <c r="K151" s="67"/>
      <c r="L151" s="130"/>
      <c r="M151" s="67">
        <f t="shared" si="28"/>
        <v>0</v>
      </c>
      <c r="N151" s="130"/>
      <c r="O151" s="67">
        <f t="shared" si="29"/>
        <v>0</v>
      </c>
      <c r="P151" s="67">
        <f t="shared" si="30"/>
        <v>0</v>
      </c>
    </row>
    <row r="152" spans="2:16">
      <c r="B152" t="str">
        <f t="shared" si="15"/>
        <v/>
      </c>
      <c r="C152" s="62">
        <f>IF(D94="","-",+C151+1)</f>
        <v>2070</v>
      </c>
      <c r="D152" s="63">
        <f>IF(F151+SUM(E$100:E151)=D$93,F151,D$93-SUM(E$100:E151))</f>
        <v>0</v>
      </c>
      <c r="E152" s="69">
        <f t="shared" si="31"/>
        <v>0</v>
      </c>
      <c r="F152" s="68">
        <f t="shared" si="25"/>
        <v>0</v>
      </c>
      <c r="G152" s="68">
        <f t="shared" si="26"/>
        <v>0</v>
      </c>
      <c r="H152" s="128">
        <f t="shared" si="16"/>
        <v>0</v>
      </c>
      <c r="I152" s="137">
        <f t="shared" si="24"/>
        <v>0</v>
      </c>
      <c r="J152" s="67">
        <f t="shared" si="27"/>
        <v>0</v>
      </c>
      <c r="K152" s="67"/>
      <c r="L152" s="130"/>
      <c r="M152" s="67">
        <f t="shared" si="28"/>
        <v>0</v>
      </c>
      <c r="N152" s="130"/>
      <c r="O152" s="67">
        <f t="shared" si="29"/>
        <v>0</v>
      </c>
      <c r="P152" s="67">
        <f t="shared" si="30"/>
        <v>0</v>
      </c>
    </row>
    <row r="153" spans="2:16">
      <c r="B153" t="str">
        <f t="shared" si="15"/>
        <v/>
      </c>
      <c r="C153" s="62">
        <f>IF(D94="","-",+C152+1)</f>
        <v>2071</v>
      </c>
      <c r="D153" s="63">
        <f>IF(F152+SUM(E$100:E152)=D$93,F152,D$93-SUM(E$100:E152))</f>
        <v>0</v>
      </c>
      <c r="E153" s="69">
        <f t="shared" si="31"/>
        <v>0</v>
      </c>
      <c r="F153" s="68">
        <f t="shared" si="25"/>
        <v>0</v>
      </c>
      <c r="G153" s="68">
        <f t="shared" si="26"/>
        <v>0</v>
      </c>
      <c r="H153" s="128">
        <f t="shared" si="16"/>
        <v>0</v>
      </c>
      <c r="I153" s="137">
        <f t="shared" si="24"/>
        <v>0</v>
      </c>
      <c r="J153" s="67">
        <f t="shared" si="27"/>
        <v>0</v>
      </c>
      <c r="K153" s="67"/>
      <c r="L153" s="130"/>
      <c r="M153" s="67">
        <f t="shared" si="28"/>
        <v>0</v>
      </c>
      <c r="N153" s="130"/>
      <c r="O153" s="67">
        <f t="shared" si="29"/>
        <v>0</v>
      </c>
      <c r="P153" s="67">
        <f t="shared" si="30"/>
        <v>0</v>
      </c>
    </row>
    <row r="154" spans="2:16">
      <c r="B154" t="str">
        <f t="shared" si="15"/>
        <v/>
      </c>
      <c r="C154" s="62">
        <f>IF(D94="","-",+C153+1)</f>
        <v>2072</v>
      </c>
      <c r="D154" s="63">
        <f>IF(F153+SUM(E$100:E153)=D$93,F153,D$93-SUM(E$100:E153))</f>
        <v>0</v>
      </c>
      <c r="E154" s="69">
        <f t="shared" si="31"/>
        <v>0</v>
      </c>
      <c r="F154" s="68">
        <f t="shared" si="25"/>
        <v>0</v>
      </c>
      <c r="G154" s="68">
        <f t="shared" si="26"/>
        <v>0</v>
      </c>
      <c r="H154" s="128">
        <f t="shared" si="16"/>
        <v>0</v>
      </c>
      <c r="I154" s="137">
        <f t="shared" si="24"/>
        <v>0</v>
      </c>
      <c r="J154" s="67">
        <f t="shared" si="27"/>
        <v>0</v>
      </c>
      <c r="K154" s="67"/>
      <c r="L154" s="130"/>
      <c r="M154" s="67">
        <f t="shared" si="28"/>
        <v>0</v>
      </c>
      <c r="N154" s="130"/>
      <c r="O154" s="67">
        <f t="shared" si="29"/>
        <v>0</v>
      </c>
      <c r="P154" s="67">
        <f t="shared" si="30"/>
        <v>0</v>
      </c>
    </row>
    <row r="155" spans="2:16" ht="13.5" thickBot="1">
      <c r="B155" t="str">
        <f t="shared" si="15"/>
        <v/>
      </c>
      <c r="C155" s="73">
        <f>IF(D94="","-",+C154+1)</f>
        <v>2073</v>
      </c>
      <c r="D155" s="99">
        <f>IF(F154+SUM(E$100:E154)=D$93,F154,D$93-SUM(E$100:E154))</f>
        <v>0</v>
      </c>
      <c r="E155" s="75">
        <f t="shared" si="31"/>
        <v>0</v>
      </c>
      <c r="F155" s="74">
        <f t="shared" si="25"/>
        <v>0</v>
      </c>
      <c r="G155" s="74">
        <f t="shared" si="26"/>
        <v>0</v>
      </c>
      <c r="H155" s="138">
        <f t="shared" si="16"/>
        <v>0</v>
      </c>
      <c r="I155" s="139">
        <f t="shared" si="24"/>
        <v>0</v>
      </c>
      <c r="J155" s="78">
        <f t="shared" si="27"/>
        <v>0</v>
      </c>
      <c r="K155" s="67"/>
      <c r="L155" s="131"/>
      <c r="M155" s="78">
        <f t="shared" si="28"/>
        <v>0</v>
      </c>
      <c r="N155" s="131"/>
      <c r="O155" s="78">
        <f t="shared" si="29"/>
        <v>0</v>
      </c>
      <c r="P155" s="78">
        <f t="shared" si="30"/>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S137"/>
  <sheetViews>
    <sheetView zoomScale="80" zoomScaleNormal="80" zoomScaleSheetLayoutView="100" workbookViewId="0">
      <selection activeCell="F86" sqref="F86"/>
    </sheetView>
  </sheetViews>
  <sheetFormatPr defaultColWidth="8.7109375" defaultRowHeight="12.75" customHeight="1"/>
  <cols>
    <col min="1" max="1" width="4.7109375" style="145" customWidth="1"/>
    <col min="2" max="2" width="6.7109375" style="145" customWidth="1"/>
    <col min="3" max="3" width="20.7109375" style="145" customWidth="1"/>
    <col min="4" max="9" width="17.7109375" style="145" customWidth="1"/>
    <col min="10" max="10" width="17.7109375" style="145" bestFit="1" customWidth="1"/>
    <col min="11" max="11" width="2.140625" style="145" customWidth="1"/>
    <col min="12" max="14" width="17.7109375" style="145" customWidth="1"/>
    <col min="15" max="15" width="20.85546875" style="145" customWidth="1"/>
    <col min="16" max="16" width="19.5703125" style="145" customWidth="1"/>
    <col min="17" max="17" width="2.140625" style="145" customWidth="1"/>
    <col min="18" max="18" width="16.42578125" style="145" customWidth="1"/>
    <col min="19" max="19" width="52.42578125" style="145" customWidth="1"/>
    <col min="20" max="16384" width="8.7109375" style="145"/>
  </cols>
  <sheetData>
    <row r="1" spans="1:19" ht="18">
      <c r="A1" s="680" t="str">
        <f>'OKT.WS.F.BPU.ATRR.Projected'!A1</f>
        <v xml:space="preserve">AEP West SPP Member Companies </v>
      </c>
      <c r="B1" s="685"/>
      <c r="C1" s="685"/>
      <c r="D1" s="685"/>
      <c r="E1" s="685"/>
      <c r="F1" s="685"/>
      <c r="G1" s="685"/>
      <c r="H1" s="685"/>
      <c r="I1" s="685"/>
      <c r="J1" s="685"/>
      <c r="K1" s="685"/>
      <c r="Q1" s="220"/>
      <c r="R1" s="220"/>
    </row>
    <row r="2" spans="1:19" ht="18">
      <c r="A2" s="680" t="str">
        <f>'OKT.WS.F.BPU.ATRR.Projected'!A2</f>
        <v>2024 Cost of Service Formula Rate Projected on 2023 FF1 Balances</v>
      </c>
      <c r="B2" s="685"/>
      <c r="C2" s="685"/>
      <c r="D2" s="685"/>
      <c r="E2" s="685"/>
      <c r="F2" s="685"/>
      <c r="G2" s="685"/>
      <c r="H2" s="685"/>
      <c r="I2" s="685"/>
      <c r="J2" s="685"/>
      <c r="K2" s="685"/>
      <c r="Q2" s="232" t="s">
        <v>110</v>
      </c>
      <c r="R2" s="220"/>
    </row>
    <row r="3" spans="1:19" ht="18">
      <c r="A3" s="682" t="s">
        <v>125</v>
      </c>
      <c r="B3" s="683"/>
      <c r="C3" s="683"/>
      <c r="D3" s="683"/>
      <c r="E3" s="683"/>
      <c r="F3" s="683"/>
      <c r="G3" s="683"/>
      <c r="H3" s="683"/>
      <c r="I3" s="683"/>
      <c r="J3" s="683"/>
      <c r="K3" s="683"/>
      <c r="Q3" s="220"/>
      <c r="R3" s="220"/>
    </row>
    <row r="4" spans="1:19" ht="18">
      <c r="A4" s="683" t="str">
        <f>"Based on a Carrying Charge Derived from ""Trued-Up"" "&amp;M16&amp;" Data"</f>
        <v>Based on a Carrying Charge Derived from "Trued-Up" 2021 Data</v>
      </c>
      <c r="B4" s="683"/>
      <c r="C4" s="683"/>
      <c r="D4" s="683"/>
      <c r="E4" s="683"/>
      <c r="F4" s="683"/>
      <c r="G4" s="683"/>
      <c r="H4" s="683"/>
      <c r="I4" s="683"/>
      <c r="J4" s="683"/>
      <c r="K4" s="683"/>
      <c r="Q4" s="220"/>
      <c r="R4" s="220"/>
    </row>
    <row r="5" spans="1:19" ht="18">
      <c r="A5" s="686" t="str">
        <f>'OKT.WS.F.BPU.ATRR.Projected'!A5</f>
        <v>OKLAHOMA TRANSMISSION COMPANY</v>
      </c>
      <c r="B5" s="687"/>
      <c r="C5" s="687"/>
      <c r="D5" s="687"/>
      <c r="E5" s="687"/>
      <c r="F5" s="687"/>
      <c r="G5" s="687"/>
      <c r="H5" s="687"/>
      <c r="I5" s="687"/>
      <c r="J5" s="687"/>
      <c r="K5" s="687"/>
      <c r="Q5" s="220"/>
      <c r="R5" s="220"/>
    </row>
    <row r="6" spans="1:19" ht="20.25">
      <c r="A6" s="380"/>
      <c r="C6" s="305"/>
      <c r="D6" s="157"/>
      <c r="I6" s="212"/>
      <c r="K6" s="220"/>
      <c r="Q6" s="220"/>
      <c r="R6" s="220"/>
    </row>
    <row r="7" spans="1:19">
      <c r="D7" s="157"/>
      <c r="I7" s="212"/>
      <c r="K7" s="220"/>
      <c r="Q7" s="220"/>
      <c r="R7" s="220"/>
    </row>
    <row r="8" spans="1:19" ht="39.75" customHeight="1">
      <c r="B8" s="233" t="s">
        <v>0</v>
      </c>
      <c r="C8" s="677" t="str">
        <f>"Calculate Return and Income Taxes with "&amp;F13&amp;" basis point ROE increase for Projects Qualified for Incentive."</f>
        <v>Calculate Return and Income Taxes with 0 basis point ROE increase for Projects Qualified for Incentive.</v>
      </c>
      <c r="D8" s="678"/>
      <c r="E8" s="678"/>
      <c r="F8" s="678"/>
      <c r="G8" s="678"/>
      <c r="H8" s="678"/>
      <c r="I8" s="678"/>
      <c r="K8" s="220"/>
      <c r="Q8" s="220"/>
      <c r="R8" s="220"/>
    </row>
    <row r="9" spans="1:19" ht="15.75" customHeight="1">
      <c r="C9" s="381"/>
      <c r="D9" s="381"/>
      <c r="E9" s="381"/>
      <c r="F9" s="381"/>
      <c r="G9" s="381"/>
      <c r="H9" s="381"/>
      <c r="I9" s="381"/>
      <c r="K9" s="220"/>
      <c r="Q9" s="220"/>
      <c r="R9" s="220"/>
    </row>
    <row r="10" spans="1:19" ht="15.75">
      <c r="C10" s="235" t="str">
        <f>"A.   Determine 'R' with hypothetical "&amp;F13&amp;" basis point increase in ROE for Identified Projects"</f>
        <v>A.   Determine 'R' with hypothetical 0 basis point increase in ROE for Identified Projects</v>
      </c>
      <c r="D10" s="157"/>
      <c r="I10" s="212"/>
      <c r="K10" s="220"/>
      <c r="Q10" s="220"/>
      <c r="R10" s="220"/>
    </row>
    <row r="11" spans="1:19">
      <c r="D11" s="157"/>
      <c r="I11" s="212"/>
      <c r="K11" s="220"/>
      <c r="Q11" s="220"/>
      <c r="R11" s="220"/>
    </row>
    <row r="12" spans="1:19">
      <c r="C12" s="236" t="str">
        <f>S105</f>
        <v xml:space="preserve">   ROE w/o incentives  (TCOS, ln 143)</v>
      </c>
      <c r="D12" s="157"/>
      <c r="E12" s="237"/>
      <c r="F12" s="238">
        <v>0.105</v>
      </c>
      <c r="G12" s="238"/>
      <c r="H12" s="239"/>
      <c r="I12" s="240"/>
      <c r="J12" s="241"/>
      <c r="K12" s="242"/>
      <c r="L12" s="241"/>
      <c r="M12" s="241"/>
      <c r="N12" s="241"/>
      <c r="O12" s="241"/>
      <c r="P12" s="241"/>
      <c r="Q12" s="242"/>
      <c r="R12" s="278"/>
      <c r="S12" s="243"/>
    </row>
    <row r="13" spans="1:19" ht="13.5" thickBot="1">
      <c r="C13" s="236" t="s">
        <v>1</v>
      </c>
      <c r="D13" s="157"/>
      <c r="E13" s="237"/>
      <c r="F13" s="245">
        <f>R106</f>
        <v>0</v>
      </c>
      <c r="G13" s="382" t="s">
        <v>133</v>
      </c>
      <c r="L13" s="241"/>
      <c r="M13" s="241"/>
      <c r="N13" s="241"/>
      <c r="O13" s="241"/>
      <c r="P13" s="241"/>
      <c r="Q13" s="242"/>
      <c r="R13" s="278"/>
      <c r="S13" s="243"/>
    </row>
    <row r="14" spans="1:19">
      <c r="C14" s="236" t="str">
        <f>"   ROE with additional "&amp;F13&amp;" basis point incentive"</f>
        <v xml:space="preserve">   ROE with additional 0 basis point incentive</v>
      </c>
      <c r="D14" s="237"/>
      <c r="E14" s="237"/>
      <c r="F14" s="246">
        <f>IF((F12+(F13/10000)&gt;0.1245),"ERROR",F12+(F13/10000))</f>
        <v>0.105</v>
      </c>
      <c r="G14" s="247" t="s">
        <v>2</v>
      </c>
      <c r="I14" s="241"/>
      <c r="J14" s="241"/>
      <c r="K14" s="242"/>
      <c r="L14" s="383" t="s">
        <v>79</v>
      </c>
      <c r="M14" s="384"/>
      <c r="N14" s="384"/>
      <c r="O14" s="384"/>
      <c r="P14" s="385"/>
      <c r="Q14" s="242"/>
      <c r="R14" s="278"/>
      <c r="S14" s="243"/>
    </row>
    <row r="15" spans="1:19">
      <c r="C15" s="236" t="s">
        <v>3</v>
      </c>
      <c r="D15" s="157"/>
      <c r="E15" s="237"/>
      <c r="F15" s="246"/>
      <c r="G15" s="246"/>
      <c r="H15" s="237"/>
      <c r="I15" s="241"/>
      <c r="J15" s="241"/>
      <c r="K15" s="242"/>
      <c r="L15" s="257"/>
      <c r="M15" s="242"/>
      <c r="N15" s="242" t="s">
        <v>9</v>
      </c>
      <c r="O15" s="242" t="s">
        <v>10</v>
      </c>
      <c r="P15" s="259" t="s">
        <v>11</v>
      </c>
      <c r="Q15" s="242"/>
      <c r="R15" s="278"/>
      <c r="S15" s="243"/>
    </row>
    <row r="16" spans="1:19">
      <c r="C16" s="242"/>
      <c r="D16" s="249" t="s">
        <v>5</v>
      </c>
      <c r="E16" s="249" t="s">
        <v>6</v>
      </c>
      <c r="F16" s="250" t="s">
        <v>7</v>
      </c>
      <c r="G16" s="250"/>
      <c r="H16" s="237"/>
      <c r="I16" s="241"/>
      <c r="J16" s="241"/>
      <c r="K16" s="242"/>
      <c r="L16" s="257" t="s">
        <v>80</v>
      </c>
      <c r="M16" s="386">
        <f>+R104</f>
        <v>2021</v>
      </c>
      <c r="N16" s="220"/>
      <c r="O16" s="220"/>
      <c r="P16" s="264"/>
      <c r="Q16" s="242"/>
      <c r="R16" s="278"/>
      <c r="S16" s="243"/>
    </row>
    <row r="17" spans="3:19">
      <c r="C17" s="251" t="s">
        <v>8</v>
      </c>
      <c r="D17" s="252">
        <f>R107</f>
        <v>0.44882270094833293</v>
      </c>
      <c r="E17" s="387">
        <f>R108</f>
        <v>4.0521037666801957E-2</v>
      </c>
      <c r="F17" s="388">
        <f>E17*D17</f>
        <v>1.8186761570843188E-2</v>
      </c>
      <c r="G17" s="388"/>
      <c r="H17" s="237"/>
      <c r="I17" s="241"/>
      <c r="J17" s="255"/>
      <c r="K17" s="256"/>
      <c r="L17" s="263"/>
      <c r="M17" s="389" t="s">
        <v>255</v>
      </c>
      <c r="N17" s="390">
        <f>SUM('OKT.001:OKT.xyz - blank'!M88)</f>
        <v>39209807.067353562</v>
      </c>
      <c r="O17" s="390">
        <f>SUM('OKT.001:OKT.xyz - blank'!N88)</f>
        <v>39209807.067353562</v>
      </c>
      <c r="P17" s="391">
        <f>+O17-N17</f>
        <v>0</v>
      </c>
      <c r="Q17" s="256"/>
      <c r="R17" s="278"/>
      <c r="S17" s="243"/>
    </row>
    <row r="18" spans="3:19" ht="13.5" thickBot="1">
      <c r="C18" s="251" t="s">
        <v>12</v>
      </c>
      <c r="D18" s="252">
        <f>R109</f>
        <v>0</v>
      </c>
      <c r="E18" s="387">
        <f>R110</f>
        <v>0</v>
      </c>
      <c r="F18" s="388">
        <f>E18*D18</f>
        <v>0</v>
      </c>
      <c r="G18" s="388"/>
      <c r="H18" s="260"/>
      <c r="I18" s="260"/>
      <c r="J18" s="261"/>
      <c r="K18" s="262"/>
      <c r="L18" s="263"/>
      <c r="M18" s="392" t="s">
        <v>256</v>
      </c>
      <c r="N18" s="393">
        <f>SUM('OKT.001:OKT.xyz - blank'!M89)</f>
        <v>43624395.879343174</v>
      </c>
      <c r="O18" s="393">
        <f>SUM('OKT.001:OKT.xyz - blank'!N89)</f>
        <v>43624395.879343174</v>
      </c>
      <c r="P18" s="270">
        <f>+O18-N18</f>
        <v>0</v>
      </c>
      <c r="Q18" s="262"/>
      <c r="R18" s="278"/>
      <c r="S18" s="243"/>
    </row>
    <row r="19" spans="3:19">
      <c r="C19" s="265" t="s">
        <v>13</v>
      </c>
      <c r="D19" s="252">
        <f>R111</f>
        <v>0.55117729905166701</v>
      </c>
      <c r="E19" s="387">
        <f>+F14</f>
        <v>0.105</v>
      </c>
      <c r="F19" s="394">
        <f>E19*D19</f>
        <v>5.7873616400425036E-2</v>
      </c>
      <c r="G19" s="394"/>
      <c r="H19" s="260"/>
      <c r="I19" s="260"/>
      <c r="J19" s="246"/>
      <c r="K19" s="262"/>
      <c r="L19" s="263"/>
      <c r="M19" s="395" t="str">
        <f>"True-up Adjustment For "&amp;M16&amp;""</f>
        <v>True-up Adjustment For 2021</v>
      </c>
      <c r="N19" s="396">
        <f>ROUND(N18-N17,0)</f>
        <v>4414589</v>
      </c>
      <c r="O19" s="396">
        <f>ROUND(+O18-O17,0)</f>
        <v>4414589</v>
      </c>
      <c r="P19" s="396">
        <f>ROUND(+P18-P17,0)</f>
        <v>0</v>
      </c>
      <c r="Q19" s="262"/>
      <c r="R19" s="278"/>
      <c r="S19" s="243"/>
    </row>
    <row r="20" spans="3:19">
      <c r="C20" s="236"/>
      <c r="D20" s="237"/>
      <c r="E20" s="289" t="s">
        <v>15</v>
      </c>
      <c r="F20" s="388">
        <f>SUM(F17:F19)</f>
        <v>7.6060377971268217E-2</v>
      </c>
      <c r="G20" s="388"/>
      <c r="H20" s="397"/>
      <c r="I20" s="260"/>
      <c r="J20" s="261"/>
      <c r="K20" s="262"/>
      <c r="L20" s="263"/>
      <c r="M20" s="220"/>
      <c r="N20" s="272" t="str">
        <f>IF(N19=ROUND(SUM('OKT.001:OKT.xyz - blank'!M90),0),"","ERROR")</f>
        <v/>
      </c>
      <c r="O20" s="272" t="str">
        <f>IF(O19=ROUND(SUM('OKT.001:OKT.xyz - blank'!N90),0),"","ERROR")</f>
        <v/>
      </c>
      <c r="P20" s="272" t="str">
        <f>IF(P19=ROUND(SUM('OKT.001:OKT.xyz - blank'!O90),0),"","ERROR")</f>
        <v/>
      </c>
      <c r="Q20" s="262"/>
      <c r="R20" s="278"/>
      <c r="S20" s="243"/>
    </row>
    <row r="21" spans="3:19" ht="13.5" thickBot="1">
      <c r="D21" s="273"/>
      <c r="E21" s="273"/>
      <c r="F21" s="260"/>
      <c r="G21" s="260"/>
      <c r="H21" s="260"/>
      <c r="I21" s="260"/>
      <c r="J21" s="260"/>
      <c r="K21" s="274"/>
      <c r="L21" s="398"/>
      <c r="M21" s="399"/>
      <c r="N21" s="400"/>
      <c r="O21" s="401"/>
      <c r="P21" s="270"/>
      <c r="Q21" s="274"/>
      <c r="R21" s="278"/>
      <c r="S21" s="243"/>
    </row>
    <row r="22" spans="3:19" ht="15.75">
      <c r="C22" s="235" t="str">
        <f>"B.   Determine Return using 'R' with hypothetical "&amp;F13&amp;" basis point ROE increase for Identified Projects."</f>
        <v>B.   Determine Return using 'R' with hypothetical 0 basis point ROE increase for Identified Projects.</v>
      </c>
      <c r="D22" s="273"/>
      <c r="E22" s="273"/>
      <c r="F22" s="275"/>
      <c r="G22" s="275"/>
      <c r="H22" s="260"/>
      <c r="I22" s="237"/>
      <c r="J22" s="260"/>
      <c r="K22" s="274"/>
      <c r="L22" s="260"/>
      <c r="M22" s="260"/>
      <c r="N22" s="260"/>
      <c r="O22" s="260"/>
      <c r="P22" s="260"/>
      <c r="Q22" s="274"/>
      <c r="R22" s="278"/>
      <c r="S22" s="243"/>
    </row>
    <row r="23" spans="3:19">
      <c r="C23" s="242"/>
      <c r="D23" s="273"/>
      <c r="E23" s="273"/>
      <c r="F23" s="274"/>
      <c r="G23" s="274"/>
      <c r="H23" s="274"/>
      <c r="I23" s="274"/>
      <c r="J23" s="274"/>
      <c r="K23" s="274"/>
      <c r="L23" s="175" t="s">
        <v>16</v>
      </c>
      <c r="M23" s="274"/>
      <c r="N23" s="274"/>
      <c r="O23" s="274"/>
      <c r="P23" s="274"/>
      <c r="Q23" s="274"/>
      <c r="R23" s="278"/>
      <c r="S23" s="243"/>
    </row>
    <row r="24" spans="3:19">
      <c r="C24" s="236" t="str">
        <f>S112</f>
        <v xml:space="preserve">   Rate Base  (TCOS, ln 63)</v>
      </c>
      <c r="D24" s="237"/>
      <c r="E24" s="279">
        <f>R112</f>
        <v>1024402726.4480751</v>
      </c>
      <c r="F24" s="280"/>
      <c r="G24" s="280"/>
      <c r="H24" s="274"/>
      <c r="I24" s="274"/>
      <c r="J24" s="274"/>
      <c r="K24" s="274"/>
      <c r="L24" s="145" t="s">
        <v>17</v>
      </c>
      <c r="M24" s="274"/>
      <c r="N24" s="274"/>
      <c r="O24" s="274"/>
      <c r="P24" s="280"/>
      <c r="Q24" s="274"/>
      <c r="R24" s="278"/>
      <c r="S24" s="243"/>
    </row>
    <row r="25" spans="3:19">
      <c r="C25" s="242" t="s">
        <v>18</v>
      </c>
      <c r="D25" s="239"/>
      <c r="E25" s="281">
        <f>F20</f>
        <v>7.6060377971268217E-2</v>
      </c>
      <c r="F25" s="274"/>
      <c r="G25" s="274"/>
      <c r="H25" s="274"/>
      <c r="I25" s="274"/>
      <c r="J25" s="274"/>
      <c r="K25" s="274"/>
      <c r="L25" s="274"/>
      <c r="M25" s="274"/>
      <c r="N25" s="274"/>
      <c r="O25" s="274"/>
      <c r="P25" s="274"/>
      <c r="Q25" s="274"/>
      <c r="R25" s="278"/>
      <c r="S25" s="243"/>
    </row>
    <row r="26" spans="3:19">
      <c r="C26" s="283" t="s">
        <v>19</v>
      </c>
      <c r="D26" s="283"/>
      <c r="E26" s="261">
        <f>E24*E25</f>
        <v>77916458.568438277</v>
      </c>
      <c r="F26" s="274"/>
      <c r="G26" s="274"/>
      <c r="H26" s="274"/>
      <c r="I26" s="274"/>
      <c r="J26" s="262"/>
      <c r="K26" s="262"/>
      <c r="L26" s="262"/>
      <c r="M26" s="262"/>
      <c r="N26" s="262"/>
      <c r="O26" s="262"/>
      <c r="P26" s="274"/>
      <c r="Q26" s="262"/>
      <c r="R26" s="278"/>
      <c r="S26" s="243"/>
    </row>
    <row r="27" spans="3:19" ht="13.5" thickBot="1">
      <c r="C27" s="284"/>
      <c r="D27" s="241"/>
      <c r="E27" s="241"/>
      <c r="F27" s="274"/>
      <c r="G27" s="274"/>
      <c r="H27" s="274"/>
      <c r="I27" s="274"/>
      <c r="J27" s="262"/>
      <c r="K27" s="262"/>
      <c r="L27" s="262"/>
      <c r="M27" s="262"/>
      <c r="N27" s="402">
        <v>39804485.030792631</v>
      </c>
      <c r="O27" s="262"/>
      <c r="P27" s="274"/>
      <c r="Q27" s="262"/>
      <c r="R27" s="278"/>
      <c r="S27" s="243"/>
    </row>
    <row r="28" spans="3:19" ht="15.75">
      <c r="C28" s="235" t="str">
        <f>"C.   Determine Income Taxes using Return with hypothetical "&amp;F13&amp;" basis point ROE increase for Identified Projects."</f>
        <v>C.   Determine Income Taxes using Return with hypothetical 0 basis point ROE increase for Identified Projects.</v>
      </c>
      <c r="D28" s="285"/>
      <c r="E28" s="285"/>
      <c r="F28" s="286"/>
      <c r="G28" s="286"/>
      <c r="H28" s="286"/>
      <c r="I28" s="286"/>
      <c r="J28" s="287"/>
      <c r="K28" s="287"/>
      <c r="L28" s="287"/>
      <c r="M28" s="287"/>
      <c r="N28" s="287">
        <f>+N18</f>
        <v>43624395.879343174</v>
      </c>
      <c r="O28" s="403"/>
      <c r="P28" s="286"/>
      <c r="Q28" s="287"/>
      <c r="R28" s="278"/>
      <c r="S28" s="243"/>
    </row>
    <row r="29" spans="3:19">
      <c r="C29" s="236"/>
      <c r="D29" s="241"/>
      <c r="E29" s="241"/>
      <c r="F29" s="274"/>
      <c r="G29" s="274"/>
      <c r="H29" s="274"/>
      <c r="I29" s="274"/>
      <c r="J29" s="262"/>
      <c r="K29" s="262"/>
      <c r="L29" s="262"/>
      <c r="M29" s="262"/>
      <c r="N29" s="404">
        <f>+N27-N28</f>
        <v>-3819910.8485505432</v>
      </c>
      <c r="O29" s="262"/>
      <c r="P29" s="274"/>
      <c r="Q29" s="262"/>
      <c r="R29" s="278"/>
      <c r="S29" s="243"/>
    </row>
    <row r="30" spans="3:19">
      <c r="C30" s="242" t="s">
        <v>20</v>
      </c>
      <c r="D30" s="289"/>
      <c r="E30" s="290">
        <f>E26</f>
        <v>77916458.568438277</v>
      </c>
      <c r="F30" s="274"/>
      <c r="G30" s="274"/>
      <c r="H30" s="274"/>
      <c r="I30" s="274"/>
      <c r="J30" s="274"/>
      <c r="K30" s="274"/>
      <c r="L30" s="274"/>
      <c r="M30" s="274"/>
      <c r="N30" s="274"/>
      <c r="O30" s="274"/>
      <c r="P30" s="274"/>
      <c r="Q30" s="274"/>
      <c r="R30" s="278"/>
      <c r="S30" s="243"/>
    </row>
    <row r="31" spans="3:19">
      <c r="C31" s="236" t="str">
        <f>S113</f>
        <v xml:space="preserve">   Tax Rate  (TCOS, ln 99)</v>
      </c>
      <c r="D31" s="289"/>
      <c r="E31" s="291">
        <f>R113</f>
        <v>0.25708399999999998</v>
      </c>
      <c r="F31" s="274"/>
      <c r="G31" s="274"/>
      <c r="H31" s="274"/>
      <c r="I31" s="274"/>
      <c r="J31" s="274"/>
      <c r="K31" s="274"/>
      <c r="L31" s="274"/>
      <c r="M31" s="274"/>
      <c r="N31" s="274"/>
      <c r="O31" s="274"/>
      <c r="P31" s="274"/>
      <c r="Q31" s="274"/>
      <c r="R31" s="278"/>
      <c r="S31" s="278"/>
    </row>
    <row r="32" spans="3:19">
      <c r="C32" s="242" t="s">
        <v>21</v>
      </c>
      <c r="D32" s="292"/>
      <c r="E32" s="246">
        <f>IF(F17&gt;0,($E31/(1-$E31))*(1-$F17/$F20),0)</f>
        <v>0.26330401341712056</v>
      </c>
      <c r="F32" s="278"/>
      <c r="G32" s="278"/>
      <c r="H32" s="278"/>
      <c r="I32" s="294"/>
      <c r="J32" s="278"/>
      <c r="K32" s="278"/>
      <c r="L32" s="278"/>
      <c r="M32" s="278"/>
      <c r="N32" s="278"/>
      <c r="O32" s="278"/>
      <c r="P32" s="278"/>
      <c r="Q32" s="278"/>
      <c r="R32" s="278"/>
      <c r="S32" s="291"/>
    </row>
    <row r="33" spans="2:19">
      <c r="C33" s="405" t="s">
        <v>22</v>
      </c>
      <c r="D33" s="406"/>
      <c r="E33" s="297">
        <f>E30*E32</f>
        <v>20515716.252318591</v>
      </c>
      <c r="F33" s="278"/>
      <c r="G33" s="278"/>
      <c r="H33" s="278"/>
      <c r="I33" s="294"/>
      <c r="J33" s="278"/>
      <c r="K33" s="278"/>
      <c r="L33" s="278"/>
      <c r="M33" s="278"/>
      <c r="N33" s="278"/>
      <c r="O33" s="278"/>
      <c r="P33" s="278"/>
      <c r="Q33" s="278"/>
      <c r="R33" s="278"/>
      <c r="S33" s="278"/>
    </row>
    <row r="34" spans="2:19" ht="15">
      <c r="C34" s="236" t="str">
        <f>S114</f>
        <v xml:space="preserve">   ITC Adjustment  (TCOS, ln 108)</v>
      </c>
      <c r="D34" s="300"/>
      <c r="E34" s="301">
        <f>R114</f>
        <v>0</v>
      </c>
      <c r="F34" s="278"/>
      <c r="G34" s="278"/>
      <c r="H34" s="278"/>
      <c r="I34" s="294"/>
      <c r="J34" s="278"/>
      <c r="K34" s="278"/>
      <c r="L34" s="278"/>
      <c r="M34" s="278"/>
      <c r="N34" s="278"/>
      <c r="O34" s="278"/>
      <c r="P34" s="278"/>
      <c r="Q34" s="278"/>
      <c r="R34" s="278"/>
      <c r="S34" s="278"/>
    </row>
    <row r="35" spans="2:19">
      <c r="C35" s="407" t="s">
        <v>327</v>
      </c>
      <c r="D35" s="408"/>
      <c r="E35" s="409">
        <v>871276.53008375282</v>
      </c>
      <c r="F35" s="278"/>
      <c r="G35" s="278"/>
      <c r="H35" s="278"/>
      <c r="I35" s="294"/>
      <c r="J35" s="278"/>
      <c r="K35" s="278"/>
      <c r="L35" s="278"/>
      <c r="M35" s="278"/>
      <c r="N35" s="278"/>
      <c r="O35" s="278"/>
      <c r="P35" s="278"/>
      <c r="Q35" s="278"/>
      <c r="R35" s="278"/>
      <c r="S35" s="278"/>
    </row>
    <row r="36" spans="2:19" ht="15">
      <c r="C36" s="407" t="s">
        <v>328</v>
      </c>
      <c r="D36" s="300"/>
      <c r="E36" s="409">
        <v>237532.97391873723</v>
      </c>
      <c r="F36" s="300"/>
      <c r="G36" s="300"/>
      <c r="H36" s="300"/>
      <c r="I36" s="300"/>
      <c r="J36" s="300"/>
      <c r="K36" s="300"/>
      <c r="L36" s="300"/>
      <c r="M36" s="300"/>
      <c r="N36" s="300"/>
      <c r="O36" s="300"/>
      <c r="P36" s="302"/>
      <c r="Q36" s="300"/>
      <c r="R36" s="278"/>
      <c r="S36" s="278"/>
    </row>
    <row r="37" spans="2:19" ht="15">
      <c r="C37" s="405" t="s">
        <v>23</v>
      </c>
      <c r="D37" s="410"/>
      <c r="E37" s="411">
        <f>SUM(E33:E36)</f>
        <v>21624525.75632108</v>
      </c>
      <c r="F37" s="300"/>
      <c r="G37" s="300"/>
      <c r="H37" s="300"/>
      <c r="I37" s="300"/>
      <c r="J37" s="300"/>
      <c r="K37" s="300"/>
      <c r="L37" s="300"/>
      <c r="M37" s="300"/>
      <c r="N37" s="300"/>
      <c r="O37" s="300"/>
      <c r="P37" s="303"/>
      <c r="Q37" s="300"/>
      <c r="R37" s="278"/>
      <c r="S37" s="243"/>
    </row>
    <row r="38" spans="2:19" ht="12.75" customHeight="1">
      <c r="C38" s="304"/>
      <c r="D38" s="300"/>
      <c r="E38" s="300"/>
      <c r="F38" s="300"/>
      <c r="G38" s="300"/>
      <c r="H38" s="300"/>
      <c r="I38" s="300"/>
      <c r="J38" s="300"/>
      <c r="K38" s="300"/>
      <c r="L38" s="300"/>
      <c r="M38" s="300"/>
      <c r="N38" s="300"/>
      <c r="O38" s="300"/>
      <c r="P38" s="303"/>
      <c r="Q38" s="300"/>
      <c r="R38" s="278"/>
      <c r="S38" s="243"/>
    </row>
    <row r="39" spans="2:19" ht="18.75">
      <c r="B39" s="233" t="s">
        <v>24</v>
      </c>
      <c r="C39" s="305" t="str">
        <f>"Calculate Net Plant Carrying Charge Rate (Fixed Charge Rate or FCR) with hypothetical "&amp;F13&amp;" basis point"</f>
        <v>Calculate Net Plant Carrying Charge Rate (Fixed Charge Rate or FCR) with hypothetical 0 basis point</v>
      </c>
      <c r="D39" s="300"/>
      <c r="E39" s="300"/>
      <c r="F39" s="300"/>
      <c r="G39" s="300"/>
      <c r="H39" s="300"/>
      <c r="I39" s="300"/>
      <c r="J39" s="300"/>
      <c r="K39" s="300"/>
      <c r="L39" s="300"/>
      <c r="M39" s="300"/>
      <c r="N39" s="300"/>
      <c r="O39" s="300"/>
      <c r="P39" s="303"/>
      <c r="Q39" s="300"/>
      <c r="R39" s="278"/>
      <c r="S39" s="243"/>
    </row>
    <row r="40" spans="2:19" ht="18.75" customHeight="1">
      <c r="B40" s="233"/>
      <c r="C40" s="305" t="str">
        <f>"ROE increase."</f>
        <v>ROE increase.</v>
      </c>
      <c r="D40" s="300"/>
      <c r="E40" s="300"/>
      <c r="F40" s="300"/>
      <c r="G40" s="300"/>
      <c r="H40" s="300"/>
      <c r="I40" s="300"/>
      <c r="J40" s="300"/>
      <c r="K40" s="300"/>
      <c r="L40" s="300"/>
      <c r="M40" s="300"/>
      <c r="N40" s="300"/>
      <c r="O40" s="300"/>
      <c r="P40" s="303"/>
      <c r="Q40" s="300"/>
      <c r="R40" s="278"/>
      <c r="S40" s="243"/>
    </row>
    <row r="41" spans="2:19" ht="12.75" customHeight="1">
      <c r="C41" s="304"/>
      <c r="D41" s="300"/>
      <c r="E41" s="300"/>
      <c r="F41" s="300"/>
      <c r="G41" s="300"/>
      <c r="H41" s="300"/>
      <c r="I41" s="300"/>
      <c r="J41" s="300"/>
      <c r="K41" s="300"/>
      <c r="L41" s="300"/>
      <c r="M41" s="300"/>
      <c r="N41" s="300"/>
      <c r="O41" s="300"/>
      <c r="P41" s="303"/>
      <c r="Q41" s="300"/>
      <c r="R41" s="278"/>
      <c r="S41" s="243"/>
    </row>
    <row r="42" spans="2:19" ht="15.75">
      <c r="B42" s="243"/>
      <c r="C42" s="306" t="s">
        <v>240</v>
      </c>
      <c r="D42" s="307"/>
      <c r="E42" s="307"/>
      <c r="F42" s="307"/>
      <c r="G42" s="307"/>
      <c r="H42" s="307"/>
      <c r="I42" s="307"/>
      <c r="J42" s="307"/>
      <c r="K42" s="307"/>
      <c r="L42" s="307"/>
      <c r="M42" s="307"/>
      <c r="N42" s="307"/>
      <c r="O42" s="307"/>
      <c r="P42" s="301"/>
      <c r="Q42" s="307"/>
      <c r="R42" s="278"/>
      <c r="S42" s="243"/>
    </row>
    <row r="43" spans="2:19" ht="15.75">
      <c r="B43" s="243"/>
      <c r="C43" s="306"/>
      <c r="D43" s="307"/>
      <c r="E43" s="307"/>
      <c r="F43" s="307"/>
      <c r="G43" s="307"/>
      <c r="H43" s="307"/>
      <c r="I43" s="307"/>
      <c r="J43" s="307"/>
      <c r="K43" s="307"/>
      <c r="L43" s="307"/>
      <c r="M43" s="307"/>
      <c r="N43" s="307"/>
      <c r="O43" s="307"/>
      <c r="P43" s="301"/>
      <c r="Q43" s="307"/>
      <c r="R43" s="278"/>
      <c r="S43" s="243"/>
    </row>
    <row r="44" spans="2:19" ht="12.75" customHeight="1">
      <c r="B44" s="243"/>
      <c r="C44" s="236" t="str">
        <f>S117</f>
        <v xml:space="preserve">   Net Revenue Requirement  (TCOS, ln 117)</v>
      </c>
      <c r="D44" s="307"/>
      <c r="E44" s="307"/>
      <c r="F44" s="301">
        <f>R117</f>
        <v>166029941.50559461</v>
      </c>
      <c r="G44" s="301"/>
      <c r="H44" s="307"/>
      <c r="I44" s="307"/>
      <c r="J44" s="307"/>
      <c r="K44" s="307"/>
      <c r="L44" s="307"/>
      <c r="M44" s="307"/>
      <c r="N44" s="307"/>
      <c r="O44" s="307"/>
      <c r="P44" s="301"/>
      <c r="Q44" s="307"/>
      <c r="R44" s="278"/>
      <c r="S44" s="243"/>
    </row>
    <row r="45" spans="2:19">
      <c r="B45" s="243"/>
      <c r="C45" s="236" t="str">
        <f>S118</f>
        <v xml:space="preserve">   Return  (TCOS, ln 112)</v>
      </c>
      <c r="D45" s="307"/>
      <c r="E45" s="307"/>
      <c r="F45" s="301">
        <f>R118</f>
        <v>77916458.568438277</v>
      </c>
      <c r="G45" s="308"/>
      <c r="H45" s="309"/>
      <c r="I45" s="309"/>
      <c r="J45" s="309"/>
      <c r="K45" s="309"/>
      <c r="L45" s="309"/>
      <c r="M45" s="309"/>
      <c r="N45" s="309"/>
      <c r="O45" s="309"/>
      <c r="P45" s="301"/>
      <c r="Q45" s="309"/>
      <c r="R45" s="278"/>
      <c r="S45" s="243"/>
    </row>
    <row r="46" spans="2:19">
      <c r="B46" s="243"/>
      <c r="C46" s="236" t="str">
        <f>S119</f>
        <v xml:space="preserve">   Income Taxes  (TCOS, ln 111)</v>
      </c>
      <c r="D46" s="307"/>
      <c r="E46" s="307"/>
      <c r="F46" s="301">
        <f>R119</f>
        <v>21824735.979156315</v>
      </c>
      <c r="G46" s="301"/>
      <c r="H46" s="307"/>
      <c r="I46" s="307"/>
      <c r="J46" s="310"/>
      <c r="K46" s="310"/>
      <c r="L46" s="310"/>
      <c r="M46" s="310"/>
      <c r="N46" s="310"/>
      <c r="O46" s="310"/>
      <c r="P46" s="307"/>
      <c r="Q46" s="310"/>
      <c r="R46" s="278"/>
      <c r="S46" s="243"/>
    </row>
    <row r="47" spans="2:19">
      <c r="B47" s="243"/>
      <c r="C47" s="236" t="str">
        <f>S120</f>
        <v xml:space="preserve">  Gross Margin Taxes  (TCOS, ln 116)</v>
      </c>
      <c r="D47" s="307"/>
      <c r="E47" s="307"/>
      <c r="F47" s="312">
        <f>R120</f>
        <v>0</v>
      </c>
      <c r="G47" s="301"/>
      <c r="H47" s="307"/>
      <c r="I47" s="307"/>
      <c r="J47" s="310"/>
      <c r="K47" s="310"/>
      <c r="L47" s="310"/>
      <c r="M47" s="310"/>
      <c r="N47" s="310"/>
      <c r="O47" s="310"/>
      <c r="P47" s="307"/>
      <c r="Q47" s="310"/>
      <c r="R47" s="278"/>
      <c r="S47" s="243"/>
    </row>
    <row r="48" spans="2:19">
      <c r="B48" s="243"/>
      <c r="C48" s="248" t="s">
        <v>25</v>
      </c>
      <c r="D48" s="307"/>
      <c r="E48" s="307"/>
      <c r="F48" s="308">
        <f>F44-F45-F46-F47</f>
        <v>66288746.958000019</v>
      </c>
      <c r="G48" s="308"/>
      <c r="H48" s="313"/>
      <c r="I48" s="307"/>
      <c r="J48" s="313"/>
      <c r="K48" s="313"/>
      <c r="L48" s="313"/>
      <c r="M48" s="313"/>
      <c r="N48" s="313"/>
      <c r="O48" s="313"/>
      <c r="P48" s="313"/>
      <c r="Q48" s="313"/>
      <c r="R48" s="278"/>
      <c r="S48" s="243"/>
    </row>
    <row r="49" spans="2:19">
      <c r="B49" s="243"/>
      <c r="C49" s="311"/>
      <c r="D49" s="307"/>
      <c r="E49" s="307"/>
      <c r="F49" s="301"/>
      <c r="G49" s="301"/>
      <c r="H49" s="314"/>
      <c r="I49" s="315"/>
      <c r="J49" s="315"/>
      <c r="K49" s="315"/>
      <c r="L49" s="315"/>
      <c r="M49" s="315"/>
      <c r="N49" s="315"/>
      <c r="O49" s="315"/>
      <c r="P49" s="315"/>
      <c r="Q49" s="315"/>
      <c r="R49" s="278"/>
      <c r="S49" s="243"/>
    </row>
    <row r="50" spans="2:19" ht="15.75">
      <c r="B50" s="243"/>
      <c r="C50" s="235" t="str">
        <f>"B.   Determine Net Revenue Requirement with hypothetical "&amp;F13&amp;" basis point increase in ROE."</f>
        <v>B.   Determine Net Revenue Requirement with hypothetical 0 basis point increase in ROE.</v>
      </c>
      <c r="D50" s="316"/>
      <c r="E50" s="316"/>
      <c r="F50" s="301"/>
      <c r="G50" s="301"/>
      <c r="H50" s="314"/>
      <c r="I50" s="315"/>
      <c r="J50" s="315"/>
      <c r="K50" s="315"/>
      <c r="L50" s="315"/>
      <c r="M50" s="315"/>
      <c r="N50" s="315"/>
      <c r="O50" s="315"/>
      <c r="P50" s="315"/>
      <c r="Q50" s="315"/>
      <c r="R50" s="278"/>
      <c r="S50" s="243"/>
    </row>
    <row r="51" spans="2:19">
      <c r="B51" s="243"/>
      <c r="C51" s="311"/>
      <c r="D51" s="316"/>
      <c r="E51" s="316"/>
      <c r="F51" s="301"/>
      <c r="G51" s="301"/>
      <c r="H51" s="314"/>
      <c r="I51" s="315"/>
      <c r="J51" s="315"/>
      <c r="K51" s="315"/>
      <c r="L51" s="315"/>
      <c r="M51" s="315"/>
      <c r="N51" s="315"/>
      <c r="O51" s="315"/>
      <c r="P51" s="315"/>
      <c r="Q51" s="315"/>
      <c r="R51" s="278"/>
      <c r="S51" s="243"/>
    </row>
    <row r="52" spans="2:19">
      <c r="B52" s="243"/>
      <c r="C52" s="311" t="str">
        <f>C48</f>
        <v xml:space="preserve">   Net Revenue Requirement, Less Return and Taxes</v>
      </c>
      <c r="D52" s="316"/>
      <c r="E52" s="316"/>
      <c r="F52" s="301">
        <f>F48</f>
        <v>66288746.958000019</v>
      </c>
      <c r="G52" s="301"/>
      <c r="H52" s="307"/>
      <c r="I52" s="307"/>
      <c r="J52" s="307"/>
      <c r="K52" s="307"/>
      <c r="L52" s="307"/>
      <c r="M52" s="307"/>
      <c r="N52" s="307"/>
      <c r="O52" s="307"/>
      <c r="P52" s="319"/>
      <c r="Q52" s="307"/>
      <c r="R52" s="278"/>
      <c r="S52" s="243"/>
    </row>
    <row r="53" spans="2:19">
      <c r="B53" s="243"/>
      <c r="C53" s="242" t="s">
        <v>92</v>
      </c>
      <c r="D53" s="321"/>
      <c r="E53" s="248"/>
      <c r="F53" s="322">
        <f>E26</f>
        <v>77916458.568438277</v>
      </c>
      <c r="G53" s="322"/>
      <c r="H53" s="248"/>
      <c r="I53" s="323"/>
      <c r="J53" s="248"/>
      <c r="K53" s="248"/>
      <c r="L53" s="248"/>
      <c r="M53" s="248"/>
      <c r="N53" s="248"/>
      <c r="O53" s="248"/>
      <c r="P53" s="248"/>
      <c r="Q53" s="248"/>
      <c r="R53" s="278"/>
      <c r="S53" s="243"/>
    </row>
    <row r="54" spans="2:19" ht="12.75" customHeight="1">
      <c r="B54" s="243"/>
      <c r="C54" s="236" t="s">
        <v>26</v>
      </c>
      <c r="D54" s="307"/>
      <c r="E54" s="307"/>
      <c r="F54" s="412">
        <f>E37</f>
        <v>21624525.75632108</v>
      </c>
      <c r="G54" s="324"/>
      <c r="H54" s="243"/>
      <c r="I54" s="325"/>
      <c r="J54" s="243"/>
      <c r="K54" s="278"/>
      <c r="L54" s="243"/>
      <c r="M54" s="243"/>
      <c r="N54" s="243"/>
      <c r="O54" s="243"/>
      <c r="P54" s="243"/>
      <c r="Q54" s="278"/>
      <c r="R54" s="278"/>
      <c r="S54" s="243"/>
    </row>
    <row r="55" spans="2:19">
      <c r="B55" s="243"/>
      <c r="C55" s="248" t="str">
        <f>"   Net Revenue Requirement, with "&amp;F13&amp;" Basis Point ROE increase"</f>
        <v xml:space="preserve">   Net Revenue Requirement, with 0 Basis Point ROE increase</v>
      </c>
      <c r="D55" s="292"/>
      <c r="E55" s="243"/>
      <c r="F55" s="326">
        <f>SUM(F52:F54)</f>
        <v>165829731.28275937</v>
      </c>
      <c r="G55" s="326"/>
      <c r="H55" s="243"/>
      <c r="I55" s="325"/>
      <c r="J55" s="243"/>
      <c r="K55" s="278"/>
      <c r="L55" s="243"/>
      <c r="M55" s="243"/>
      <c r="N55" s="243"/>
      <c r="O55" s="243"/>
      <c r="P55" s="243"/>
      <c r="Q55" s="278"/>
      <c r="R55" s="278"/>
      <c r="S55" s="243"/>
    </row>
    <row r="56" spans="2:19">
      <c r="B56" s="243"/>
      <c r="C56" s="299" t="str">
        <f>"   Gross Margin Tax with "&amp;F13&amp;" Basis Point ROE Increase (II C. below)"</f>
        <v xml:space="preserve">   Gross Margin Tax with 0 Basis Point ROE Increase (II C. below)</v>
      </c>
      <c r="D56" s="327"/>
      <c r="E56" s="327"/>
      <c r="F56" s="328">
        <f>+F71</f>
        <v>0</v>
      </c>
      <c r="G56" s="322"/>
      <c r="H56" s="243"/>
      <c r="I56" s="325"/>
      <c r="J56" s="243"/>
      <c r="K56" s="278"/>
      <c r="L56" s="243"/>
      <c r="M56" s="243"/>
      <c r="N56" s="243"/>
      <c r="O56" s="243"/>
      <c r="P56" s="243"/>
      <c r="Q56" s="278"/>
      <c r="R56" s="278"/>
      <c r="S56" s="243"/>
    </row>
    <row r="57" spans="2:19">
      <c r="B57" s="243"/>
      <c r="C57" s="248" t="s">
        <v>27</v>
      </c>
      <c r="D57" s="292"/>
      <c r="E57" s="243"/>
      <c r="F57" s="298">
        <f>+F55+F56</f>
        <v>165829731.28275937</v>
      </c>
      <c r="G57" s="298"/>
      <c r="H57" s="243"/>
      <c r="I57" s="325"/>
      <c r="J57" s="243"/>
      <c r="K57" s="278"/>
      <c r="L57" s="243"/>
      <c r="M57" s="243"/>
      <c r="N57" s="243"/>
      <c r="O57" s="243"/>
      <c r="P57" s="243"/>
      <c r="Q57" s="278"/>
      <c r="R57" s="278"/>
      <c r="S57" s="243"/>
    </row>
    <row r="58" spans="2:19">
      <c r="B58" s="243"/>
      <c r="C58" s="236" t="str">
        <f>S121</f>
        <v xml:space="preserve">   Less: Depreciation  (TCOS, ln 86)</v>
      </c>
      <c r="D58" s="292"/>
      <c r="E58" s="243"/>
      <c r="F58" s="329">
        <f>R121</f>
        <v>36381754</v>
      </c>
      <c r="G58" s="329"/>
      <c r="H58" s="243"/>
      <c r="I58" s="325"/>
      <c r="J58" s="243"/>
      <c r="K58" s="278"/>
      <c r="L58" s="243"/>
      <c r="M58" s="243"/>
      <c r="N58" s="243"/>
      <c r="O58" s="243"/>
      <c r="P58" s="243"/>
      <c r="Q58" s="278"/>
      <c r="R58" s="278"/>
      <c r="S58" s="243"/>
    </row>
    <row r="59" spans="2:19">
      <c r="B59" s="243"/>
      <c r="C59" s="248" t="str">
        <f>"   Net Rev. Req, w/"&amp;F13&amp;" Basis Point ROE increase, less Depreciation"</f>
        <v xml:space="preserve">   Net Rev. Req, w/0 Basis Point ROE increase, less Depreciation</v>
      </c>
      <c r="D59" s="292"/>
      <c r="E59" s="243"/>
      <c r="F59" s="326">
        <f>F57-F58</f>
        <v>129447977.28275937</v>
      </c>
      <c r="G59" s="326"/>
      <c r="H59" s="243"/>
      <c r="I59" s="325"/>
      <c r="J59" s="243"/>
      <c r="K59" s="278"/>
      <c r="L59" s="243"/>
      <c r="M59" s="243"/>
      <c r="N59" s="243"/>
      <c r="O59" s="243"/>
      <c r="P59" s="243"/>
      <c r="Q59" s="278"/>
      <c r="R59" s="278"/>
      <c r="S59" s="243"/>
    </row>
    <row r="60" spans="2:19">
      <c r="B60" s="243"/>
      <c r="C60" s="243"/>
      <c r="D60" s="292"/>
      <c r="E60" s="243"/>
      <c r="F60" s="243"/>
      <c r="G60" s="243"/>
      <c r="H60" s="243"/>
      <c r="I60" s="325"/>
      <c r="J60" s="243"/>
      <c r="K60" s="278"/>
      <c r="L60" s="243"/>
      <c r="M60" s="243"/>
      <c r="N60" s="243"/>
      <c r="O60" s="243"/>
      <c r="P60" s="243"/>
      <c r="Q60" s="278"/>
      <c r="R60" s="278"/>
      <c r="S60" s="243"/>
    </row>
    <row r="61" spans="2:19" ht="15.75">
      <c r="B61" s="243"/>
      <c r="C61" s="306" t="str">
        <f>"C.   Determine Gross Margin Tax with hypothetical "&amp;F13&amp;" basis point increase in ROE."</f>
        <v>C.   Determine Gross Margin Tax with hypothetical 0 basis point increase in ROE.</v>
      </c>
      <c r="D61" s="330"/>
      <c r="E61" s="330"/>
      <c r="F61" s="331"/>
      <c r="G61" s="331"/>
      <c r="H61" s="244"/>
      <c r="I61" s="325"/>
      <c r="J61" s="243"/>
      <c r="K61" s="278"/>
      <c r="L61" s="243"/>
      <c r="M61" s="243"/>
      <c r="N61" s="243"/>
      <c r="O61" s="243"/>
      <c r="P61" s="243"/>
      <c r="Q61" s="278"/>
      <c r="R61" s="278"/>
      <c r="S61" s="243"/>
    </row>
    <row r="62" spans="2:19">
      <c r="B62" s="243"/>
      <c r="C62" s="299" t="str">
        <f>"   Net Revenue Requirement before Gross Margin Taxes, with "&amp;F13&amp;" "</f>
        <v xml:space="preserve">   Net Revenue Requirement before Gross Margin Taxes, with 0 </v>
      </c>
      <c r="D62" s="330"/>
      <c r="E62" s="330"/>
      <c r="F62" s="331">
        <f>+F55</f>
        <v>165829731.28275937</v>
      </c>
      <c r="G62" s="331"/>
      <c r="H62" s="244"/>
      <c r="I62" s="325"/>
      <c r="J62" s="243"/>
      <c r="K62" s="278"/>
      <c r="L62" s="243"/>
      <c r="M62" s="243"/>
      <c r="N62" s="243"/>
      <c r="O62" s="243"/>
      <c r="P62" s="243"/>
      <c r="Q62" s="278"/>
      <c r="R62" s="278"/>
      <c r="S62" s="243"/>
    </row>
    <row r="63" spans="2:19">
      <c r="B63" s="243"/>
      <c r="C63" s="299" t="s">
        <v>28</v>
      </c>
      <c r="D63" s="330"/>
      <c r="E63" s="330"/>
      <c r="F63" s="331"/>
      <c r="G63" s="331"/>
      <c r="H63" s="244"/>
      <c r="I63" s="325"/>
      <c r="J63" s="243"/>
      <c r="K63" s="278"/>
      <c r="L63" s="243"/>
      <c r="M63" s="243"/>
      <c r="N63" s="243"/>
      <c r="O63" s="243"/>
      <c r="P63" s="243"/>
      <c r="Q63" s="278"/>
      <c r="R63" s="278"/>
      <c r="S63" s="243"/>
    </row>
    <row r="64" spans="2:19">
      <c r="B64" s="243"/>
      <c r="C64" s="248" t="str">
        <f>S120</f>
        <v xml:space="preserve">  Gross Margin Taxes  (TCOS, ln 116)</v>
      </c>
      <c r="D64" s="333"/>
      <c r="E64" s="244"/>
      <c r="F64" s="334">
        <f>R120</f>
        <v>0</v>
      </c>
      <c r="G64" s="413"/>
      <c r="H64" s="244"/>
      <c r="I64" s="325"/>
      <c r="J64" s="243"/>
      <c r="K64" s="278"/>
      <c r="L64" s="243"/>
      <c r="M64" s="243"/>
      <c r="N64" s="243"/>
      <c r="O64" s="243"/>
      <c r="P64" s="243"/>
      <c r="Q64" s="278"/>
      <c r="R64" s="278"/>
      <c r="S64" s="243"/>
    </row>
    <row r="65" spans="2:19">
      <c r="B65" s="243"/>
      <c r="C65" s="248" t="s">
        <v>29</v>
      </c>
      <c r="D65" s="333"/>
      <c r="E65" s="244"/>
      <c r="F65" s="331">
        <f>+F64*F62</f>
        <v>0</v>
      </c>
      <c r="G65" s="331"/>
      <c r="H65" s="244"/>
      <c r="I65" s="325"/>
      <c r="J65" s="243"/>
      <c r="K65" s="278"/>
      <c r="L65" s="243"/>
      <c r="M65" s="243"/>
      <c r="N65" s="243"/>
      <c r="O65" s="243"/>
      <c r="P65" s="243"/>
      <c r="Q65" s="278"/>
      <c r="R65" s="278"/>
      <c r="S65" s="243"/>
    </row>
    <row r="66" spans="2:19">
      <c r="B66" s="243"/>
      <c r="C66" s="248" t="str">
        <f>+'OKT.WS.F.BPU.ATRR.Projected'!C65</f>
        <v xml:space="preserve">       Taxable Percentage of Revenue (22%)</v>
      </c>
      <c r="D66" s="333"/>
      <c r="E66" s="244"/>
      <c r="F66" s="335">
        <f>+'OKT.WS.F.BPU.ATRR.Projected'!F65</f>
        <v>0.22</v>
      </c>
      <c r="G66" s="414"/>
      <c r="H66" s="244"/>
      <c r="I66" s="325"/>
      <c r="J66" s="243"/>
      <c r="K66" s="278"/>
      <c r="L66" s="243"/>
      <c r="M66" s="243"/>
      <c r="N66" s="243"/>
      <c r="O66" s="243"/>
      <c r="P66" s="243"/>
      <c r="Q66" s="278"/>
      <c r="R66" s="278"/>
      <c r="S66" s="243"/>
    </row>
    <row r="67" spans="2:19">
      <c r="B67" s="243"/>
      <c r="C67" s="248" t="s">
        <v>30</v>
      </c>
      <c r="D67" s="333"/>
      <c r="E67" s="244"/>
      <c r="F67" s="331">
        <f>+F65*F66</f>
        <v>0</v>
      </c>
      <c r="G67" s="331"/>
      <c r="H67" s="244"/>
      <c r="I67" s="325"/>
      <c r="J67" s="243"/>
      <c r="K67" s="278"/>
      <c r="L67" s="243"/>
      <c r="M67" s="243"/>
      <c r="N67" s="243"/>
      <c r="O67" s="243"/>
      <c r="P67" s="243"/>
      <c r="Q67" s="278"/>
      <c r="R67" s="278"/>
      <c r="S67" s="243"/>
    </row>
    <row r="68" spans="2:19">
      <c r="B68" s="243"/>
      <c r="C68" s="248" t="s">
        <v>31</v>
      </c>
      <c r="D68" s="333"/>
      <c r="E68" s="244"/>
      <c r="F68" s="335">
        <v>0.01</v>
      </c>
      <c r="G68" s="414"/>
      <c r="H68" s="244"/>
      <c r="I68" s="325"/>
      <c r="J68" s="243"/>
      <c r="K68" s="278"/>
      <c r="L68" s="243"/>
      <c r="M68" s="243"/>
      <c r="N68" s="243"/>
      <c r="O68" s="243"/>
      <c r="P68" s="243"/>
      <c r="Q68" s="278"/>
      <c r="R68" s="278"/>
      <c r="S68" s="243"/>
    </row>
    <row r="69" spans="2:19">
      <c r="B69" s="243"/>
      <c r="C69" s="248" t="s">
        <v>32</v>
      </c>
      <c r="D69" s="333"/>
      <c r="E69" s="244"/>
      <c r="F69" s="331">
        <f>+F67*F68</f>
        <v>0</v>
      </c>
      <c r="G69" s="331"/>
      <c r="H69" s="244"/>
      <c r="I69" s="325"/>
      <c r="J69" s="243"/>
      <c r="K69" s="278"/>
      <c r="L69" s="243"/>
      <c r="M69" s="243"/>
      <c r="N69" s="243"/>
      <c r="O69" s="243"/>
      <c r="P69" s="243"/>
      <c r="Q69" s="278"/>
      <c r="R69" s="278"/>
      <c r="S69" s="243"/>
    </row>
    <row r="70" spans="2:19">
      <c r="B70" s="243"/>
      <c r="C70" s="248" t="s">
        <v>33</v>
      </c>
      <c r="D70" s="333"/>
      <c r="E70" s="244"/>
      <c r="F70" s="336">
        <f>+ROUND((F69*F66*F64)/(1-F68)*F68,0)</f>
        <v>0</v>
      </c>
      <c r="G70" s="415"/>
      <c r="H70" s="244"/>
      <c r="I70" s="325"/>
      <c r="J70" s="243"/>
      <c r="K70" s="278"/>
      <c r="L70" s="243"/>
      <c r="M70" s="243"/>
      <c r="N70" s="243"/>
      <c r="O70" s="243"/>
      <c r="P70" s="243"/>
      <c r="Q70" s="278"/>
      <c r="R70" s="278"/>
      <c r="S70" s="243"/>
    </row>
    <row r="71" spans="2:19">
      <c r="B71" s="243"/>
      <c r="C71" s="248" t="s">
        <v>34</v>
      </c>
      <c r="D71" s="333"/>
      <c r="E71" s="244"/>
      <c r="F71" s="331">
        <f>+F69+F70</f>
        <v>0</v>
      </c>
      <c r="G71" s="331"/>
      <c r="H71" s="244"/>
      <c r="I71" s="325"/>
      <c r="J71" s="243"/>
      <c r="K71" s="278"/>
      <c r="L71" s="243"/>
      <c r="M71" s="243"/>
      <c r="N71" s="243"/>
      <c r="O71" s="243"/>
      <c r="P71" s="243"/>
      <c r="Q71" s="278"/>
      <c r="R71" s="278"/>
      <c r="S71" s="243"/>
    </row>
    <row r="72" spans="2:19">
      <c r="B72" s="243"/>
      <c r="C72" s="243"/>
      <c r="D72" s="292"/>
      <c r="E72" s="243"/>
      <c r="F72" s="243"/>
      <c r="G72" s="243"/>
      <c r="H72" s="243"/>
      <c r="I72" s="325"/>
      <c r="J72" s="243"/>
      <c r="K72" s="278"/>
      <c r="L72" s="243"/>
      <c r="M72" s="243"/>
      <c r="N72" s="243"/>
      <c r="O72" s="243"/>
      <c r="P72" s="243"/>
      <c r="Q72" s="278"/>
      <c r="R72" s="278"/>
      <c r="S72" s="243"/>
    </row>
    <row r="73" spans="2:19" ht="15.75">
      <c r="B73" s="243"/>
      <c r="C73" s="235" t="str">
        <f>"D.   Determine FCR with hypothetical "&amp;F13&amp;" basis point ROE increase."</f>
        <v>D.   Determine FCR with hypothetical 0 basis point ROE increase.</v>
      </c>
      <c r="D73" s="292"/>
      <c r="E73" s="243"/>
      <c r="F73" s="243"/>
      <c r="G73" s="243"/>
      <c r="H73" s="243"/>
      <c r="I73" s="212"/>
      <c r="J73" s="243"/>
      <c r="K73" s="278"/>
      <c r="L73" s="243"/>
      <c r="M73" s="243"/>
      <c r="N73" s="243"/>
      <c r="O73" s="243"/>
      <c r="P73" s="243"/>
      <c r="Q73" s="278"/>
      <c r="R73" s="278"/>
      <c r="S73" s="243"/>
    </row>
    <row r="74" spans="2:19">
      <c r="B74" s="243"/>
      <c r="C74" s="243"/>
      <c r="D74" s="292"/>
      <c r="E74" s="243"/>
      <c r="F74" s="243"/>
      <c r="G74" s="243"/>
      <c r="H74" s="243"/>
      <c r="I74" s="325"/>
      <c r="J74" s="243"/>
      <c r="K74" s="278"/>
      <c r="L74" s="243"/>
      <c r="M74" s="243"/>
      <c r="N74" s="243"/>
      <c r="O74" s="243"/>
      <c r="P74" s="243"/>
      <c r="Q74" s="278"/>
      <c r="R74" s="278"/>
      <c r="S74" s="243"/>
    </row>
    <row r="75" spans="2:19">
      <c r="B75" s="243"/>
      <c r="C75" s="311" t="str">
        <f>S123</f>
        <v xml:space="preserve">   Net Transmission Plant  (TCOS, ln 37)</v>
      </c>
      <c r="D75" s="292"/>
      <c r="E75" s="243"/>
      <c r="F75" s="326">
        <f>R123</f>
        <v>1099067268</v>
      </c>
      <c r="G75" s="326"/>
      <c r="I75" s="212"/>
      <c r="J75" s="243"/>
      <c r="K75" s="278"/>
      <c r="L75" s="243"/>
      <c r="M75" s="243"/>
      <c r="N75" s="243"/>
      <c r="O75" s="243"/>
      <c r="P75" s="243"/>
      <c r="Q75" s="278"/>
      <c r="R75" s="278"/>
      <c r="S75" s="243"/>
    </row>
    <row r="76" spans="2:19" ht="15">
      <c r="B76" s="243"/>
      <c r="C76" s="248" t="str">
        <f>"   Net Revenue Requirement, with "&amp;F13&amp;" Basis Point ROE increase"</f>
        <v xml:space="preserve">   Net Revenue Requirement, with 0 Basis Point ROE increase</v>
      </c>
      <c r="D76" s="292"/>
      <c r="E76" s="243"/>
      <c r="F76" s="416">
        <f>+F57</f>
        <v>165829731.28275937</v>
      </c>
      <c r="G76" s="416"/>
      <c r="I76" s="212"/>
      <c r="J76" s="243"/>
      <c r="K76" s="278"/>
      <c r="L76" s="243"/>
      <c r="M76" s="243"/>
      <c r="N76" s="243"/>
      <c r="O76" s="243"/>
      <c r="P76" s="243"/>
      <c r="Q76" s="278"/>
      <c r="R76" s="278"/>
      <c r="S76" s="243"/>
    </row>
    <row r="77" spans="2:19">
      <c r="B77" s="243"/>
      <c r="C77" s="248" t="str">
        <f>"   FCR with "&amp;F13&amp;" Basis Point increase in ROE"</f>
        <v xml:space="preserve">   FCR with 0 Basis Point increase in ROE</v>
      </c>
      <c r="D77" s="292"/>
      <c r="E77" s="243"/>
      <c r="F77" s="339">
        <f>IF(F75=0,0,F76/F75)</f>
        <v>0.15088223997838079</v>
      </c>
      <c r="G77" s="339"/>
      <c r="I77" s="212"/>
      <c r="J77" s="243"/>
      <c r="K77" s="278"/>
      <c r="L77" s="243"/>
      <c r="M77" s="243"/>
      <c r="N77" s="243"/>
      <c r="O77" s="243"/>
      <c r="P77" s="243"/>
      <c r="Q77" s="278"/>
      <c r="R77" s="278"/>
      <c r="S77" s="243"/>
    </row>
    <row r="78" spans="2:19">
      <c r="B78" s="243"/>
      <c r="D78" s="292"/>
      <c r="E78" s="243"/>
      <c r="F78" s="244"/>
      <c r="G78" s="244"/>
      <c r="H78" s="417"/>
      <c r="I78" s="212"/>
      <c r="J78" s="243"/>
      <c r="K78" s="278"/>
      <c r="L78" s="243"/>
      <c r="M78" s="243"/>
      <c r="N78" s="243"/>
      <c r="O78" s="243"/>
      <c r="P78" s="243"/>
      <c r="Q78" s="278"/>
      <c r="R78" s="278"/>
      <c r="S78" s="243"/>
    </row>
    <row r="79" spans="2:19">
      <c r="B79" s="243"/>
      <c r="C79" s="248" t="str">
        <f>"   Net Rev. Req, w / "&amp;F13&amp;" Basis Point ROE increase, less Dep."</f>
        <v xml:space="preserve">   Net Rev. Req, w / 0 Basis Point ROE increase, less Dep.</v>
      </c>
      <c r="D79" s="292"/>
      <c r="E79" s="243"/>
      <c r="F79" s="326">
        <f>+F59</f>
        <v>129447977.28275937</v>
      </c>
      <c r="G79" s="326"/>
      <c r="I79" s="212"/>
      <c r="J79" s="243"/>
      <c r="K79" s="278"/>
      <c r="L79" s="243"/>
      <c r="M79" s="243"/>
      <c r="N79" s="243"/>
      <c r="O79" s="243"/>
      <c r="P79" s="243"/>
      <c r="Q79" s="278"/>
      <c r="R79" s="278"/>
      <c r="S79" s="243"/>
    </row>
    <row r="80" spans="2:19">
      <c r="B80" s="243"/>
      <c r="C80" s="248" t="str">
        <f>"   FCR with "&amp;F13&amp;" Basis Point ROE increase, less Depreciation"</f>
        <v xml:space="preserve">   FCR with 0 Basis Point ROE increase, less Depreciation</v>
      </c>
      <c r="D80" s="292"/>
      <c r="E80" s="243"/>
      <c r="F80" s="339">
        <f>IF(F75=0,0,F79/F75)</f>
        <v>0.11777984937930057</v>
      </c>
      <c r="G80" s="339"/>
      <c r="H80" s="337"/>
      <c r="I80" s="212"/>
      <c r="J80" s="243"/>
      <c r="K80" s="278"/>
      <c r="L80" s="243"/>
      <c r="M80" s="243"/>
      <c r="N80" s="243"/>
      <c r="O80" s="243"/>
      <c r="P80" s="243"/>
      <c r="Q80" s="278"/>
      <c r="R80" s="278"/>
      <c r="S80" s="243"/>
    </row>
    <row r="81" spans="2:19">
      <c r="B81" s="243"/>
      <c r="C81" s="311" t="str">
        <f>S124</f>
        <v xml:space="preserve">   FCR less Depreciation  (TCOS, ln 10)</v>
      </c>
      <c r="D81" s="292"/>
      <c r="E81" s="243"/>
      <c r="F81" s="340">
        <f>R124</f>
        <v>0.11796201313639214</v>
      </c>
      <c r="G81" s="340"/>
      <c r="H81" s="418"/>
      <c r="I81" s="212"/>
      <c r="J81" s="243"/>
      <c r="K81" s="278"/>
      <c r="L81" s="243"/>
      <c r="M81" s="243"/>
      <c r="N81" s="243"/>
      <c r="O81" s="243"/>
      <c r="P81" s="243"/>
      <c r="Q81" s="278"/>
      <c r="R81" s="278"/>
      <c r="S81" s="243"/>
    </row>
    <row r="82" spans="2:19">
      <c r="B82" s="243"/>
      <c r="C82" s="248" t="str">
        <f>"   Incremental FCR with "&amp;F13&amp;" Basis Point ROE increase, less Depreciation"</f>
        <v xml:space="preserve">   Incremental FCR with 0 Basis Point ROE increase, less Depreciation</v>
      </c>
      <c r="D82" s="292"/>
      <c r="E82" s="243"/>
      <c r="F82" s="339">
        <f>F80-F81</f>
        <v>-1.8216375709156907E-4</v>
      </c>
      <c r="G82" s="339"/>
      <c r="I82" s="212"/>
      <c r="J82" s="243"/>
      <c r="K82" s="278"/>
      <c r="L82" s="243"/>
      <c r="M82" s="243"/>
      <c r="N82" s="243"/>
      <c r="O82" s="243"/>
      <c r="P82" s="243"/>
      <c r="Q82" s="278"/>
      <c r="R82" s="278"/>
      <c r="S82" s="243"/>
    </row>
    <row r="83" spans="2:19">
      <c r="B83" s="243"/>
      <c r="C83" s="248"/>
      <c r="D83" s="292"/>
      <c r="E83" s="243"/>
      <c r="F83" s="339"/>
      <c r="G83" s="339"/>
      <c r="H83" s="243"/>
      <c r="I83" s="325"/>
      <c r="J83" s="243"/>
      <c r="K83" s="278"/>
      <c r="L83" s="243"/>
      <c r="M83" s="243"/>
      <c r="N83" s="243"/>
      <c r="O83" s="243"/>
      <c r="P83" s="243"/>
      <c r="Q83" s="278"/>
      <c r="R83" s="278"/>
      <c r="S83" s="243"/>
    </row>
    <row r="84" spans="2:19" ht="18.75">
      <c r="B84" s="233" t="s">
        <v>35</v>
      </c>
      <c r="C84" s="305" t="s">
        <v>36</v>
      </c>
      <c r="D84" s="292"/>
      <c r="E84" s="243"/>
      <c r="F84" s="339"/>
      <c r="G84" s="339"/>
      <c r="H84" s="243"/>
      <c r="I84" s="325"/>
      <c r="J84" s="243"/>
      <c r="K84" s="278"/>
      <c r="L84" s="243"/>
      <c r="M84" s="243"/>
      <c r="N84" s="243"/>
      <c r="O84" s="243"/>
      <c r="P84" s="243"/>
      <c r="Q84" s="278"/>
      <c r="R84" s="278"/>
      <c r="S84" s="243"/>
    </row>
    <row r="85" spans="2:19" ht="12.75" customHeight="1">
      <c r="B85" s="233"/>
      <c r="C85" s="305"/>
      <c r="D85" s="292"/>
      <c r="E85" s="243"/>
      <c r="F85" s="339"/>
      <c r="G85" s="339"/>
      <c r="H85" s="243"/>
      <c r="I85" s="325"/>
      <c r="J85" s="243"/>
      <c r="K85" s="278"/>
      <c r="L85" s="243"/>
      <c r="M85" s="243"/>
      <c r="N85" s="243"/>
      <c r="O85" s="243"/>
      <c r="P85" s="243"/>
      <c r="Q85" s="278"/>
      <c r="R85" s="278"/>
      <c r="S85" s="243"/>
    </row>
    <row r="86" spans="2:19" ht="12.75" customHeight="1">
      <c r="B86" s="233"/>
      <c r="C86" s="248" t="s">
        <v>37</v>
      </c>
      <c r="D86" s="292"/>
      <c r="F86" s="419">
        <v>849082429</v>
      </c>
      <c r="G86" s="243" t="s">
        <v>241</v>
      </c>
      <c r="I86" s="670" t="s">
        <v>259</v>
      </c>
      <c r="J86" s="670"/>
      <c r="K86" s="670"/>
      <c r="L86" s="670"/>
      <c r="M86" s="670"/>
      <c r="N86" s="670"/>
      <c r="O86" s="243"/>
      <c r="P86" s="243"/>
      <c r="Q86" s="278"/>
      <c r="R86" s="278"/>
      <c r="S86" s="243"/>
    </row>
    <row r="87" spans="2:19" ht="12.75" customHeight="1">
      <c r="B87" s="233"/>
      <c r="C87" s="248" t="s">
        <v>38</v>
      </c>
      <c r="D87" s="292"/>
      <c r="F87" s="420">
        <v>958546907</v>
      </c>
      <c r="G87" s="243" t="s">
        <v>241</v>
      </c>
      <c r="I87" s="670"/>
      <c r="J87" s="670"/>
      <c r="K87" s="670"/>
      <c r="L87" s="670"/>
      <c r="M87" s="670"/>
      <c r="N87" s="670"/>
      <c r="O87" s="243"/>
      <c r="P87" s="243"/>
      <c r="Q87" s="278"/>
      <c r="R87" s="278"/>
      <c r="S87" s="243"/>
    </row>
    <row r="88" spans="2:19" ht="12.75" customHeight="1">
      <c r="B88" s="233"/>
      <c r="C88" s="248"/>
      <c r="D88" s="292"/>
      <c r="F88" s="332">
        <f>SUM(F86:F87)</f>
        <v>1807629336</v>
      </c>
      <c r="G88" s="325"/>
      <c r="H88" s="243"/>
      <c r="I88" s="670"/>
      <c r="J88" s="670"/>
      <c r="K88" s="670"/>
      <c r="L88" s="670"/>
      <c r="M88" s="670"/>
      <c r="N88" s="670"/>
      <c r="O88" s="243"/>
      <c r="P88" s="243"/>
      <c r="Q88" s="278"/>
      <c r="R88" s="278"/>
      <c r="S88" s="243"/>
    </row>
    <row r="89" spans="2:19">
      <c r="B89" s="243"/>
      <c r="C89" s="248" t="str">
        <f>+S125</f>
        <v>Transmission Plant @ Beginning of Period (P.206, ln 58)</v>
      </c>
      <c r="D89" s="333"/>
      <c r="E89" s="152"/>
      <c r="F89" s="342">
        <f>+F88/2</f>
        <v>903814668</v>
      </c>
      <c r="G89" s="323"/>
      <c r="I89" s="670"/>
      <c r="J89" s="670"/>
      <c r="K89" s="670"/>
      <c r="L89" s="670"/>
      <c r="M89" s="670"/>
      <c r="N89" s="670"/>
      <c r="O89" s="243"/>
      <c r="P89" s="243"/>
      <c r="Q89" s="278"/>
      <c r="R89" s="278"/>
      <c r="S89" s="243"/>
    </row>
    <row r="90" spans="2:19">
      <c r="B90" s="243"/>
      <c r="C90" s="236" t="str">
        <f>S128</f>
        <v>Annual Depreciation Expense  (TCOS, ln 86)</v>
      </c>
      <c r="D90" s="333"/>
      <c r="E90" s="244"/>
      <c r="F90" s="342">
        <f>R128</f>
        <v>36381754</v>
      </c>
      <c r="G90" s="323"/>
      <c r="I90" s="670"/>
      <c r="J90" s="670"/>
      <c r="K90" s="670"/>
      <c r="L90" s="670"/>
      <c r="M90" s="670"/>
      <c r="N90" s="670"/>
      <c r="O90" s="243"/>
      <c r="P90" s="243"/>
      <c r="Q90" s="278"/>
      <c r="R90" s="278"/>
      <c r="S90" s="243"/>
    </row>
    <row r="91" spans="2:19">
      <c r="B91" s="243"/>
      <c r="C91" s="248" t="s">
        <v>39</v>
      </c>
      <c r="D91" s="292"/>
      <c r="E91" s="243"/>
      <c r="F91" s="344">
        <f>F90/F89</f>
        <v>4.0253555610584538E-2</v>
      </c>
      <c r="G91" s="339"/>
      <c r="H91" s="243"/>
      <c r="I91" s="670"/>
      <c r="J91" s="670"/>
      <c r="K91" s="670"/>
      <c r="L91" s="670"/>
      <c r="M91" s="670"/>
      <c r="N91" s="670"/>
      <c r="O91" s="243"/>
      <c r="P91" s="243"/>
      <c r="Q91" s="278"/>
      <c r="R91" s="278"/>
      <c r="S91" s="243"/>
    </row>
    <row r="92" spans="2:19">
      <c r="B92" s="243"/>
      <c r="C92" s="248" t="s">
        <v>40</v>
      </c>
      <c r="D92" s="292"/>
      <c r="E92" s="243"/>
      <c r="F92" s="346">
        <f>IF(F91=0,0,1/F91)</f>
        <v>24.842525954081268</v>
      </c>
      <c r="G92" s="346"/>
      <c r="H92" s="243"/>
      <c r="I92" s="325"/>
      <c r="J92" s="243"/>
      <c r="K92" s="278"/>
      <c r="L92" s="243"/>
      <c r="M92" s="243"/>
      <c r="N92" s="243"/>
      <c r="O92" s="243"/>
      <c r="P92" s="243"/>
      <c r="Q92" s="278"/>
      <c r="R92" s="278"/>
      <c r="S92" s="243"/>
    </row>
    <row r="93" spans="2:19">
      <c r="B93" s="243"/>
      <c r="C93" s="248" t="s">
        <v>41</v>
      </c>
      <c r="D93" s="292"/>
      <c r="E93" s="243"/>
      <c r="F93" s="347">
        <f>ROUND(F92,0)</f>
        <v>25</v>
      </c>
      <c r="G93" s="347"/>
      <c r="H93" s="243"/>
      <c r="I93" s="325"/>
      <c r="J93" s="243"/>
      <c r="K93" s="278"/>
      <c r="L93" s="243"/>
      <c r="M93" s="243"/>
      <c r="N93" s="243"/>
      <c r="O93" s="243"/>
      <c r="P93" s="243"/>
      <c r="Q93" s="278"/>
      <c r="R93" s="278"/>
      <c r="S93" s="243"/>
    </row>
    <row r="94" spans="2:19">
      <c r="B94" s="243"/>
      <c r="C94" s="248"/>
      <c r="D94" s="292"/>
      <c r="E94" s="243"/>
      <c r="F94" s="347"/>
      <c r="G94" s="347"/>
      <c r="H94" s="243"/>
      <c r="I94" s="325"/>
      <c r="J94" s="243"/>
      <c r="K94" s="278"/>
      <c r="L94" s="243"/>
      <c r="M94" s="243"/>
      <c r="N94" s="243"/>
      <c r="O94" s="243"/>
      <c r="P94" s="243"/>
      <c r="Q94" s="278"/>
      <c r="R94" s="278"/>
      <c r="S94" s="243"/>
    </row>
    <row r="95" spans="2:19">
      <c r="B95" s="243"/>
      <c r="C95" s="248"/>
      <c r="D95" s="292"/>
      <c r="E95" s="243"/>
      <c r="F95" s="347"/>
      <c r="G95" s="347"/>
      <c r="H95" s="243"/>
      <c r="I95" s="325"/>
      <c r="J95" s="243"/>
      <c r="K95" s="278"/>
      <c r="L95" s="243"/>
      <c r="M95" s="243"/>
      <c r="N95" s="243"/>
      <c r="O95" s="243"/>
      <c r="P95" s="243"/>
      <c r="Q95" s="278"/>
      <c r="R95" s="278"/>
      <c r="S95" s="243"/>
    </row>
    <row r="96" spans="2:19">
      <c r="B96" s="243"/>
      <c r="C96" s="248"/>
      <c r="D96" s="292"/>
      <c r="E96" s="243"/>
      <c r="F96" s="347"/>
      <c r="G96" s="347"/>
      <c r="H96" s="243"/>
      <c r="I96" s="325"/>
      <c r="J96" s="243"/>
      <c r="K96" s="278"/>
      <c r="L96" s="243"/>
      <c r="M96" s="243"/>
      <c r="N96" s="243"/>
      <c r="O96" s="243"/>
      <c r="P96" s="243"/>
      <c r="Q96" s="278"/>
      <c r="R96" s="278"/>
      <c r="S96" s="243"/>
    </row>
    <row r="97" spans="3:19">
      <c r="C97" s="243"/>
      <c r="D97" s="292"/>
      <c r="E97" s="243"/>
      <c r="F97" s="243"/>
      <c r="G97" s="243"/>
      <c r="H97" s="243"/>
      <c r="I97" s="325"/>
      <c r="J97" s="243"/>
      <c r="K97" s="278"/>
      <c r="L97" s="243"/>
      <c r="M97" s="243"/>
      <c r="N97" s="243"/>
      <c r="O97" s="243"/>
      <c r="P97" s="243"/>
      <c r="Q97" s="278"/>
      <c r="R97" s="351" t="s">
        <v>111</v>
      </c>
      <c r="S97" s="352" t="s">
        <v>117</v>
      </c>
    </row>
    <row r="98" spans="3:19">
      <c r="C98" s="243"/>
      <c r="D98" s="292"/>
      <c r="E98" s="243"/>
      <c r="F98" s="243"/>
      <c r="G98" s="243"/>
      <c r="H98" s="243"/>
      <c r="I98" s="325"/>
      <c r="J98" s="243"/>
      <c r="K98" s="278"/>
      <c r="L98" s="243"/>
      <c r="M98" s="243"/>
      <c r="N98" s="243"/>
      <c r="O98" s="243"/>
      <c r="P98" s="243"/>
      <c r="Q98" s="278"/>
    </row>
    <row r="99" spans="3:19">
      <c r="C99" s="232" t="s">
        <v>108</v>
      </c>
      <c r="J99" s="220"/>
      <c r="L99" s="232" t="s">
        <v>107</v>
      </c>
      <c r="N99" s="243"/>
      <c r="O99" s="243"/>
      <c r="P99" s="243"/>
      <c r="Q99" s="278"/>
    </row>
    <row r="100" spans="3:19">
      <c r="C100" s="243"/>
      <c r="D100" s="292"/>
      <c r="E100" s="243"/>
      <c r="F100" s="243"/>
      <c r="G100" s="243"/>
      <c r="H100" s="243"/>
      <c r="I100" s="325"/>
      <c r="J100" s="243"/>
      <c r="K100" s="278"/>
      <c r="L100" s="243"/>
      <c r="M100" s="243"/>
      <c r="N100" s="243"/>
      <c r="O100" s="243"/>
      <c r="P100" s="243"/>
      <c r="Q100" s="278"/>
      <c r="S100" s="352" t="s">
        <v>105</v>
      </c>
    </row>
    <row r="101" spans="3:19">
      <c r="C101" s="243"/>
      <c r="D101" s="292"/>
      <c r="E101" s="243"/>
      <c r="F101" s="243"/>
      <c r="G101" s="243"/>
      <c r="H101" s="243"/>
      <c r="I101" s="325"/>
      <c r="J101" s="243"/>
      <c r="K101" s="278"/>
      <c r="L101" s="243"/>
      <c r="M101" s="243"/>
      <c r="N101" s="243"/>
      <c r="O101" s="243"/>
      <c r="P101" s="243"/>
      <c r="Q101" s="278"/>
      <c r="R101" s="351" t="s">
        <v>102</v>
      </c>
      <c r="S101" s="200" t="s">
        <v>119</v>
      </c>
    </row>
    <row r="102" spans="3:19" ht="13.5" thickBot="1">
      <c r="C102" s="243"/>
      <c r="D102" s="292"/>
      <c r="E102" s="243"/>
      <c r="F102" s="243"/>
      <c r="G102" s="243"/>
      <c r="H102" s="243"/>
      <c r="I102" s="325"/>
      <c r="J102" s="243"/>
      <c r="K102" s="278"/>
      <c r="L102" s="243"/>
      <c r="M102" s="243"/>
      <c r="N102" s="243"/>
      <c r="O102" s="243"/>
      <c r="Q102" s="278"/>
      <c r="R102" s="353" t="s">
        <v>186</v>
      </c>
    </row>
    <row r="103" spans="3:19">
      <c r="C103" s="243"/>
      <c r="D103" s="292"/>
      <c r="E103" s="243"/>
      <c r="F103" s="243"/>
      <c r="G103" s="243"/>
      <c r="H103" s="243"/>
      <c r="I103" s="325"/>
      <c r="J103" s="243"/>
      <c r="K103" s="278"/>
      <c r="L103" s="243"/>
      <c r="M103" s="243"/>
      <c r="N103" s="243"/>
      <c r="O103" s="243"/>
      <c r="Q103" s="278"/>
      <c r="R103" s="421" t="s">
        <v>178</v>
      </c>
      <c r="S103" s="422" t="s">
        <v>127</v>
      </c>
    </row>
    <row r="104" spans="3:19">
      <c r="C104" s="243"/>
      <c r="D104" s="292"/>
      <c r="E104" s="243"/>
      <c r="F104" s="243"/>
      <c r="G104" s="243"/>
      <c r="H104" s="243"/>
      <c r="I104" s="325"/>
      <c r="J104" s="243"/>
      <c r="K104" s="278"/>
      <c r="L104" s="243"/>
      <c r="M104" s="243"/>
      <c r="N104" s="243"/>
      <c r="O104" s="243"/>
      <c r="Q104" s="278"/>
      <c r="R104" s="356">
        <v>2021</v>
      </c>
      <c r="S104" s="423" t="s">
        <v>84</v>
      </c>
    </row>
    <row r="105" spans="3:19">
      <c r="C105" s="243"/>
      <c r="D105" s="292"/>
      <c r="E105" s="243"/>
      <c r="F105" s="243"/>
      <c r="G105" s="243"/>
      <c r="H105" s="243"/>
      <c r="I105" s="325"/>
      <c r="J105" s="243"/>
      <c r="K105" s="278"/>
      <c r="L105" s="243"/>
      <c r="M105" s="243"/>
      <c r="N105" s="243"/>
      <c r="O105" s="243"/>
      <c r="Q105" s="278"/>
      <c r="R105" s="424">
        <v>0.105</v>
      </c>
      <c r="S105" s="423" t="s">
        <v>270</v>
      </c>
    </row>
    <row r="106" spans="3:19">
      <c r="C106" s="243"/>
      <c r="D106" s="292"/>
      <c r="E106" s="243"/>
      <c r="F106" s="243"/>
      <c r="G106" s="243"/>
      <c r="H106" s="243"/>
      <c r="I106" s="325"/>
      <c r="J106" s="243"/>
      <c r="K106" s="278"/>
      <c r="L106" s="243"/>
      <c r="M106" s="243"/>
      <c r="N106" s="243"/>
      <c r="O106" s="243"/>
      <c r="Q106" s="278"/>
      <c r="R106" s="425">
        <v>0</v>
      </c>
      <c r="S106" s="423" t="s">
        <v>1</v>
      </c>
    </row>
    <row r="107" spans="3:19">
      <c r="C107" s="243"/>
      <c r="D107" s="292"/>
      <c r="E107" s="243"/>
      <c r="F107" s="243"/>
      <c r="G107" s="243"/>
      <c r="H107" s="243"/>
      <c r="I107" s="325"/>
      <c r="J107" s="243"/>
      <c r="K107" s="278"/>
      <c r="L107" s="243"/>
      <c r="M107" s="243"/>
      <c r="N107" s="243"/>
      <c r="O107" s="243"/>
      <c r="Q107" s="278"/>
      <c r="R107" s="424">
        <v>0.44882270094833293</v>
      </c>
      <c r="S107" s="426" t="s">
        <v>97</v>
      </c>
    </row>
    <row r="108" spans="3:19">
      <c r="C108" s="243"/>
      <c r="D108" s="292"/>
      <c r="E108" s="243"/>
      <c r="F108" s="243"/>
      <c r="G108" s="243"/>
      <c r="H108" s="243"/>
      <c r="I108" s="325"/>
      <c r="J108" s="243"/>
      <c r="K108" s="278"/>
      <c r="L108" s="243"/>
      <c r="M108" s="243"/>
      <c r="N108" s="243"/>
      <c r="O108" s="243"/>
      <c r="Q108" s="278"/>
      <c r="R108" s="427">
        <v>4.0521037666801957E-2</v>
      </c>
      <c r="S108" s="426" t="s">
        <v>98</v>
      </c>
    </row>
    <row r="109" spans="3:19">
      <c r="C109" s="243"/>
      <c r="D109" s="292"/>
      <c r="E109" s="243"/>
      <c r="F109" s="243"/>
      <c r="G109" s="243"/>
      <c r="H109" s="243"/>
      <c r="I109" s="325"/>
      <c r="J109" s="243"/>
      <c r="K109" s="278"/>
      <c r="L109" s="243"/>
      <c r="M109" s="243"/>
      <c r="N109" s="243"/>
      <c r="O109" s="243"/>
      <c r="Q109" s="278"/>
      <c r="R109" s="424">
        <v>0</v>
      </c>
      <c r="S109" s="426" t="s">
        <v>99</v>
      </c>
    </row>
    <row r="110" spans="3:19">
      <c r="C110" s="243"/>
      <c r="D110" s="292"/>
      <c r="E110" s="243"/>
      <c r="F110" s="243"/>
      <c r="G110" s="243"/>
      <c r="H110" s="243"/>
      <c r="I110" s="325"/>
      <c r="J110" s="243"/>
      <c r="K110" s="278"/>
      <c r="L110" s="243"/>
      <c r="M110" s="243"/>
      <c r="N110" s="243"/>
      <c r="O110" s="243"/>
      <c r="Q110" s="278"/>
      <c r="R110" s="427">
        <v>0</v>
      </c>
      <c r="S110" s="426" t="s">
        <v>100</v>
      </c>
    </row>
    <row r="111" spans="3:19">
      <c r="C111" s="243"/>
      <c r="D111" s="292"/>
      <c r="E111" s="243"/>
      <c r="F111" s="243"/>
      <c r="G111" s="243"/>
      <c r="H111" s="243"/>
      <c r="I111" s="325"/>
      <c r="J111" s="243"/>
      <c r="K111" s="278"/>
      <c r="L111" s="243"/>
      <c r="M111" s="243"/>
      <c r="N111" s="243"/>
      <c r="O111" s="243"/>
      <c r="Q111" s="278"/>
      <c r="R111" s="424">
        <v>0.55117729905166701</v>
      </c>
      <c r="S111" s="428" t="s">
        <v>101</v>
      </c>
    </row>
    <row r="112" spans="3:19">
      <c r="C112" s="243"/>
      <c r="D112" s="292"/>
      <c r="E112" s="243"/>
      <c r="F112" s="243"/>
      <c r="G112" s="243"/>
      <c r="H112" s="243"/>
      <c r="I112" s="325"/>
      <c r="J112" s="243"/>
      <c r="K112" s="278"/>
      <c r="L112" s="243"/>
      <c r="M112" s="243"/>
      <c r="N112" s="243"/>
      <c r="O112" s="243"/>
      <c r="Q112" s="278"/>
      <c r="R112" s="429">
        <v>1024402726.4480751</v>
      </c>
      <c r="S112" s="430" t="s">
        <v>271</v>
      </c>
    </row>
    <row r="113" spans="3:19">
      <c r="C113" s="243"/>
      <c r="D113" s="292"/>
      <c r="E113" s="243"/>
      <c r="F113" s="243"/>
      <c r="G113" s="243"/>
      <c r="H113" s="243"/>
      <c r="I113" s="325"/>
      <c r="J113" s="243"/>
      <c r="K113" s="278"/>
      <c r="L113" s="243"/>
      <c r="M113" s="243"/>
      <c r="N113" s="243"/>
      <c r="O113" s="243"/>
      <c r="Q113" s="278"/>
      <c r="R113" s="365">
        <v>0.25708399999999998</v>
      </c>
      <c r="S113" s="423" t="s">
        <v>272</v>
      </c>
    </row>
    <row r="114" spans="3:19">
      <c r="C114" s="243"/>
      <c r="D114" s="292"/>
      <c r="E114" s="243"/>
      <c r="F114" s="243"/>
      <c r="G114" s="243"/>
      <c r="H114" s="243"/>
      <c r="I114" s="325"/>
      <c r="J114" s="243"/>
      <c r="K114" s="278"/>
      <c r="L114" s="243"/>
      <c r="M114" s="243"/>
      <c r="N114" s="243"/>
      <c r="O114" s="243"/>
      <c r="Q114" s="278"/>
      <c r="R114" s="429">
        <v>0</v>
      </c>
      <c r="S114" s="423" t="s">
        <v>273</v>
      </c>
    </row>
    <row r="115" spans="3:19">
      <c r="C115" s="243"/>
      <c r="D115" s="292"/>
      <c r="E115" s="243"/>
      <c r="F115" s="243"/>
      <c r="G115" s="243"/>
      <c r="H115" s="243"/>
      <c r="I115" s="325"/>
      <c r="J115" s="243"/>
      <c r="K115" s="278"/>
      <c r="L115" s="243"/>
      <c r="M115" s="243"/>
      <c r="N115" s="243"/>
      <c r="O115" s="243"/>
      <c r="Q115" s="278"/>
      <c r="R115" s="429">
        <v>916292.83712206408</v>
      </c>
      <c r="S115" s="423" t="s">
        <v>274</v>
      </c>
    </row>
    <row r="116" spans="3:19">
      <c r="C116" s="243"/>
      <c r="D116" s="292"/>
      <c r="E116" s="243"/>
      <c r="F116" s="243"/>
      <c r="G116" s="243"/>
      <c r="H116" s="243"/>
      <c r="I116" s="325"/>
      <c r="J116" s="243"/>
      <c r="K116" s="278"/>
      <c r="L116" s="243"/>
      <c r="M116" s="243"/>
      <c r="N116" s="243"/>
      <c r="O116" s="243"/>
      <c r="Q116" s="278"/>
      <c r="R116" s="429">
        <v>392726.88971566106</v>
      </c>
      <c r="S116" s="423" t="s">
        <v>275</v>
      </c>
    </row>
    <row r="117" spans="3:19">
      <c r="C117" s="243"/>
      <c r="D117" s="292"/>
      <c r="E117" s="243"/>
      <c r="F117" s="243"/>
      <c r="G117" s="243"/>
      <c r="H117" s="243"/>
      <c r="I117" s="325"/>
      <c r="J117" s="243"/>
      <c r="K117" s="278"/>
      <c r="L117" s="243"/>
      <c r="M117" s="243"/>
      <c r="N117" s="243"/>
      <c r="O117" s="243"/>
      <c r="Q117" s="278"/>
      <c r="R117" s="429">
        <v>166029941.50559461</v>
      </c>
      <c r="S117" s="423" t="s">
        <v>276</v>
      </c>
    </row>
    <row r="118" spans="3:19">
      <c r="C118" s="243"/>
      <c r="D118" s="292"/>
      <c r="E118" s="243"/>
      <c r="F118" s="243"/>
      <c r="G118" s="243"/>
      <c r="H118" s="243"/>
      <c r="I118" s="325"/>
      <c r="J118" s="243"/>
      <c r="K118" s="278"/>
      <c r="L118" s="243"/>
      <c r="M118" s="243"/>
      <c r="N118" s="243"/>
      <c r="O118" s="243"/>
      <c r="Q118" s="278"/>
      <c r="R118" s="429">
        <v>77916458.568438277</v>
      </c>
      <c r="S118" s="423" t="s">
        <v>277</v>
      </c>
    </row>
    <row r="119" spans="3:19">
      <c r="C119" s="243"/>
      <c r="D119" s="292"/>
      <c r="E119" s="243"/>
      <c r="F119" s="243"/>
      <c r="G119" s="243"/>
      <c r="H119" s="243"/>
      <c r="I119" s="325"/>
      <c r="J119" s="243"/>
      <c r="K119" s="278"/>
      <c r="L119" s="243"/>
      <c r="M119" s="243"/>
      <c r="N119" s="243"/>
      <c r="O119" s="243"/>
      <c r="Q119" s="278"/>
      <c r="R119" s="429">
        <v>21824735.979156315</v>
      </c>
      <c r="S119" s="423" t="s">
        <v>278</v>
      </c>
    </row>
    <row r="120" spans="3:19">
      <c r="C120" s="243"/>
      <c r="D120" s="292"/>
      <c r="E120" s="243"/>
      <c r="F120" s="243"/>
      <c r="G120" s="243"/>
      <c r="H120" s="243"/>
      <c r="I120" s="325"/>
      <c r="J120" s="243"/>
      <c r="K120" s="278"/>
      <c r="L120" s="243"/>
      <c r="M120" s="243"/>
      <c r="N120" s="243"/>
      <c r="O120" s="243"/>
      <c r="Q120" s="278"/>
      <c r="R120" s="429">
        <v>0</v>
      </c>
      <c r="S120" s="423" t="s">
        <v>279</v>
      </c>
    </row>
    <row r="121" spans="3:19">
      <c r="C121" s="243"/>
      <c r="D121" s="292"/>
      <c r="E121" s="243"/>
      <c r="F121" s="243"/>
      <c r="G121" s="243"/>
      <c r="H121" s="243"/>
      <c r="I121" s="325"/>
      <c r="J121" s="243"/>
      <c r="K121" s="278"/>
      <c r="L121" s="243"/>
      <c r="M121" s="243"/>
      <c r="N121" s="243"/>
      <c r="O121" s="243"/>
      <c r="Q121" s="278"/>
      <c r="R121" s="429">
        <v>36381754</v>
      </c>
      <c r="S121" s="423" t="s">
        <v>280</v>
      </c>
    </row>
    <row r="122" spans="3:19">
      <c r="C122" s="243"/>
      <c r="D122" s="292"/>
      <c r="E122" s="243"/>
      <c r="F122" s="243"/>
      <c r="G122" s="243"/>
      <c r="H122" s="243"/>
      <c r="I122" s="325"/>
      <c r="J122" s="243"/>
      <c r="K122" s="278"/>
      <c r="L122" s="243"/>
      <c r="M122" s="243"/>
      <c r="N122" s="243"/>
      <c r="O122" s="243"/>
      <c r="Q122" s="278"/>
      <c r="R122" s="365">
        <v>0</v>
      </c>
      <c r="S122" s="423" t="s">
        <v>104</v>
      </c>
    </row>
    <row r="123" spans="3:19">
      <c r="C123" s="243"/>
      <c r="D123" s="292"/>
      <c r="E123" s="243"/>
      <c r="F123" s="243"/>
      <c r="G123" s="243"/>
      <c r="H123" s="243"/>
      <c r="I123" s="325"/>
      <c r="J123" s="243"/>
      <c r="K123" s="278"/>
      <c r="L123" s="243"/>
      <c r="M123" s="243"/>
      <c r="N123" s="243"/>
      <c r="O123" s="243"/>
      <c r="Q123" s="278"/>
      <c r="R123" s="429">
        <v>1099067268</v>
      </c>
      <c r="S123" s="423" t="s">
        <v>281</v>
      </c>
    </row>
    <row r="124" spans="3:19">
      <c r="C124" s="243"/>
      <c r="D124" s="292"/>
      <c r="E124" s="243"/>
      <c r="F124" s="243"/>
      <c r="G124" s="243"/>
      <c r="H124" s="243"/>
      <c r="I124" s="325"/>
      <c r="J124" s="243"/>
      <c r="K124" s="278"/>
      <c r="L124" s="243"/>
      <c r="M124" s="243"/>
      <c r="N124" s="243"/>
      <c r="O124" s="243" t="s">
        <v>288</v>
      </c>
      <c r="Q124" s="278"/>
      <c r="R124" s="365">
        <v>0.11796201313639214</v>
      </c>
      <c r="S124" s="431" t="s">
        <v>282</v>
      </c>
    </row>
    <row r="125" spans="3:19">
      <c r="C125" s="243"/>
      <c r="D125" s="292"/>
      <c r="E125" s="243"/>
      <c r="F125" s="243"/>
      <c r="G125" s="243"/>
      <c r="H125" s="243"/>
      <c r="I125" s="325"/>
      <c r="J125" s="243"/>
      <c r="K125" s="278"/>
      <c r="L125" s="243"/>
      <c r="M125" s="243"/>
      <c r="N125" s="243"/>
      <c r="O125" s="243"/>
      <c r="Q125" s="278"/>
      <c r="R125" s="432">
        <v>1184346694</v>
      </c>
      <c r="S125" s="248" t="s">
        <v>37</v>
      </c>
    </row>
    <row r="126" spans="3:19">
      <c r="C126" s="243"/>
      <c r="D126" s="292"/>
      <c r="E126" s="243"/>
      <c r="F126" s="243"/>
      <c r="G126" s="243"/>
      <c r="H126" s="243"/>
      <c r="I126" s="325"/>
      <c r="J126" s="243"/>
      <c r="K126" s="278"/>
      <c r="L126" s="243"/>
      <c r="M126" s="243"/>
      <c r="N126" s="243"/>
      <c r="O126" s="243"/>
      <c r="Q126" s="278"/>
      <c r="R126" s="432">
        <v>1332475327</v>
      </c>
      <c r="S126" s="248" t="s">
        <v>38</v>
      </c>
    </row>
    <row r="127" spans="3:19">
      <c r="C127" s="243"/>
      <c r="D127" s="292"/>
      <c r="E127" s="243"/>
      <c r="F127" s="243"/>
      <c r="G127" s="243"/>
      <c r="H127" s="243"/>
      <c r="I127" s="325"/>
      <c r="J127" s="243"/>
      <c r="K127" s="278"/>
      <c r="L127" s="243"/>
      <c r="M127" s="243"/>
      <c r="N127" s="243"/>
      <c r="O127" s="243"/>
      <c r="Q127" s="278"/>
      <c r="R127" s="432">
        <v>1240990679</v>
      </c>
      <c r="S127" s="372" t="s">
        <v>284</v>
      </c>
    </row>
    <row r="128" spans="3:19" ht="13.5" thickBot="1">
      <c r="C128" s="243"/>
      <c r="D128" s="292"/>
      <c r="E128" s="243"/>
      <c r="F128" s="243"/>
      <c r="G128" s="243"/>
      <c r="H128" s="243"/>
      <c r="I128" s="325"/>
      <c r="J128" s="243"/>
      <c r="K128" s="278"/>
      <c r="L128" s="243"/>
      <c r="M128" s="243"/>
      <c r="N128" s="243"/>
      <c r="O128" s="243"/>
      <c r="Q128" s="278"/>
      <c r="R128" s="433">
        <v>36381754</v>
      </c>
      <c r="S128" s="434" t="s">
        <v>283</v>
      </c>
    </row>
    <row r="129" spans="3:19">
      <c r="C129" s="243"/>
      <c r="D129" s="292"/>
      <c r="E129" s="243"/>
      <c r="F129" s="243"/>
      <c r="G129" s="243"/>
      <c r="H129" s="243"/>
      <c r="I129" s="325"/>
      <c r="J129" s="243"/>
      <c r="K129" s="278"/>
      <c r="L129" s="243"/>
      <c r="M129" s="243"/>
      <c r="N129" s="243"/>
      <c r="O129" s="243"/>
      <c r="Q129" s="278"/>
      <c r="R129" s="243"/>
      <c r="S129" s="243"/>
    </row>
    <row r="130" spans="3:19">
      <c r="C130" s="243"/>
      <c r="D130" s="292"/>
      <c r="E130" s="243"/>
      <c r="F130" s="243"/>
      <c r="G130" s="243"/>
      <c r="H130" s="243"/>
      <c r="I130" s="325"/>
      <c r="J130" s="243"/>
      <c r="K130" s="278"/>
      <c r="L130" s="243"/>
      <c r="M130" s="243"/>
      <c r="N130" s="243"/>
      <c r="O130" s="243"/>
      <c r="Q130" s="278"/>
      <c r="R130" s="351" t="s">
        <v>103</v>
      </c>
      <c r="S130" s="243" t="s">
        <v>115</v>
      </c>
    </row>
    <row r="131" spans="3:19" ht="13.5" thickBot="1">
      <c r="C131" s="243"/>
      <c r="D131" s="292"/>
      <c r="E131" s="243"/>
      <c r="F131" s="243"/>
      <c r="G131" s="243"/>
      <c r="H131" s="243"/>
      <c r="I131" s="325"/>
      <c r="J131" s="243"/>
      <c r="K131" s="278"/>
      <c r="L131" s="243"/>
      <c r="M131" s="243"/>
      <c r="N131" s="243"/>
      <c r="O131" s="243"/>
      <c r="Q131" s="278"/>
      <c r="R131" s="353" t="s">
        <v>187</v>
      </c>
      <c r="S131" s="243"/>
    </row>
    <row r="132" spans="3:19">
      <c r="C132" s="243"/>
      <c r="D132" s="292"/>
      <c r="E132" s="243"/>
      <c r="F132" s="243"/>
      <c r="G132" s="243"/>
      <c r="H132" s="243"/>
      <c r="I132" s="325"/>
      <c r="J132" s="243"/>
      <c r="K132" s="278"/>
      <c r="L132" s="243"/>
      <c r="M132" s="243"/>
      <c r="N132" s="243"/>
      <c r="O132" s="243"/>
      <c r="Q132" s="278"/>
      <c r="R132" s="377">
        <v>39209807.067353562</v>
      </c>
      <c r="S132" s="145" t="s">
        <v>120</v>
      </c>
    </row>
    <row r="133" spans="3:19">
      <c r="C133" s="243"/>
      <c r="D133" s="292"/>
      <c r="E133" s="243"/>
      <c r="F133" s="243"/>
      <c r="G133" s="243"/>
      <c r="H133" s="243"/>
      <c r="I133" s="325"/>
      <c r="J133" s="243"/>
      <c r="K133" s="278"/>
      <c r="L133" s="243"/>
      <c r="M133" s="243"/>
      <c r="N133" s="243"/>
      <c r="O133" s="243"/>
      <c r="Q133" s="278"/>
      <c r="R133" s="378">
        <v>39209807.067353562</v>
      </c>
      <c r="S133" s="145" t="s">
        <v>121</v>
      </c>
    </row>
    <row r="134" spans="3:19">
      <c r="C134" s="243"/>
      <c r="D134" s="292"/>
      <c r="E134" s="243"/>
      <c r="F134" s="243"/>
      <c r="G134" s="243"/>
      <c r="H134" s="243"/>
      <c r="I134" s="325"/>
      <c r="J134" s="243"/>
      <c r="K134" s="278"/>
      <c r="L134" s="243"/>
      <c r="M134" s="243"/>
      <c r="N134" s="243"/>
      <c r="O134" s="243"/>
      <c r="Q134" s="278"/>
      <c r="R134" s="435">
        <v>43514763.10129635</v>
      </c>
      <c r="S134" s="145" t="s">
        <v>122</v>
      </c>
    </row>
    <row r="135" spans="3:19" ht="13.5" thickBot="1">
      <c r="C135" s="243"/>
      <c r="D135" s="292"/>
      <c r="E135" s="243"/>
      <c r="F135" s="243"/>
      <c r="G135" s="243"/>
      <c r="H135" s="243"/>
      <c r="I135" s="325"/>
      <c r="J135" s="243"/>
      <c r="K135" s="278"/>
      <c r="L135" s="243"/>
      <c r="M135" s="243"/>
      <c r="N135" s="243"/>
      <c r="O135" s="243"/>
      <c r="Q135" s="278"/>
      <c r="R135" s="436">
        <v>43514763.10129635</v>
      </c>
      <c r="S135" s="145" t="s">
        <v>123</v>
      </c>
    </row>
    <row r="136" spans="3:19">
      <c r="C136" s="243"/>
      <c r="D136" s="292"/>
      <c r="E136" s="243"/>
      <c r="F136" s="243"/>
      <c r="G136" s="243"/>
      <c r="H136" s="243"/>
      <c r="I136" s="325"/>
      <c r="J136" s="243"/>
      <c r="K136" s="278"/>
      <c r="L136" s="243"/>
      <c r="M136" s="243"/>
      <c r="N136" s="243"/>
      <c r="O136" s="243"/>
      <c r="Q136" s="278"/>
      <c r="R136" s="243"/>
      <c r="S136" s="243"/>
    </row>
    <row r="137" spans="3:19">
      <c r="C137" s="243"/>
      <c r="D137" s="292"/>
      <c r="E137" s="243"/>
      <c r="F137" s="243"/>
      <c r="G137" s="243"/>
      <c r="H137" s="243"/>
      <c r="I137" s="325"/>
      <c r="J137" s="243"/>
      <c r="K137" s="278"/>
      <c r="L137" s="243"/>
      <c r="M137" s="243"/>
      <c r="N137" s="243"/>
      <c r="O137" s="243"/>
      <c r="Q137" s="278"/>
      <c r="R137" s="351" t="s">
        <v>113</v>
      </c>
      <c r="S137" s="352"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9"/>
  <dimension ref="A1:U163"/>
  <sheetViews>
    <sheetView view="pageBreakPreview" topLeftCell="A13" zoomScale="90" zoomScaleNormal="100" zoomScaleSheetLayoutView="90"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14062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1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t="str">
        <f>RIGHT(N3,3)</f>
        <v/>
      </c>
      <c r="P3" s="442">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79523.896357772843</v>
      </c>
      <c r="P5" s="243"/>
      <c r="R5" s="243"/>
      <c r="S5" s="243"/>
      <c r="T5" s="243"/>
      <c r="U5" s="243"/>
    </row>
    <row r="6" spans="1:21" ht="15.75">
      <c r="C6" s="235"/>
      <c r="D6" s="292"/>
      <c r="E6" s="243"/>
      <c r="F6" s="243"/>
      <c r="G6" s="243"/>
      <c r="H6" s="449"/>
      <c r="I6" s="449"/>
      <c r="J6" s="450"/>
      <c r="K6" s="451" t="s">
        <v>243</v>
      </c>
      <c r="L6" s="452"/>
      <c r="M6" s="278"/>
      <c r="N6" s="453">
        <f>VLOOKUP(I10,C17:I73,6)</f>
        <v>79523.896357772843</v>
      </c>
      <c r="O6" s="243"/>
      <c r="P6" s="243"/>
      <c r="R6" s="243"/>
      <c r="S6" s="243"/>
      <c r="T6" s="243"/>
      <c r="U6" s="243"/>
    </row>
    <row r="7" spans="1:21" ht="13.5" thickBot="1">
      <c r="C7" s="454" t="s">
        <v>46</v>
      </c>
      <c r="D7" s="455" t="s">
        <v>191</v>
      </c>
      <c r="E7" s="330"/>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196</v>
      </c>
      <c r="E9" s="646" t="s">
        <v>312</v>
      </c>
      <c r="F9" s="465"/>
      <c r="G9" s="465"/>
      <c r="H9" s="465"/>
      <c r="I9" s="466"/>
      <c r="J9" s="467"/>
      <c r="O9" s="468"/>
      <c r="P9" s="278"/>
      <c r="R9" s="243"/>
      <c r="S9" s="243"/>
      <c r="T9" s="243"/>
      <c r="U9" s="243"/>
    </row>
    <row r="10" spans="1:21">
      <c r="C10" s="469" t="s">
        <v>49</v>
      </c>
      <c r="D10" s="470">
        <v>723818</v>
      </c>
      <c r="E10" s="299" t="s">
        <v>50</v>
      </c>
      <c r="F10" s="468"/>
      <c r="G10" s="408"/>
      <c r="H10" s="408"/>
      <c r="I10" s="471">
        <f>+'OKT.WS.F.BPU.ATRR.Projected'!R101</f>
        <v>2024</v>
      </c>
      <c r="J10" s="467"/>
      <c r="K10" s="294" t="s">
        <v>51</v>
      </c>
      <c r="O10" s="278"/>
      <c r="P10" s="278"/>
      <c r="R10" s="243"/>
      <c r="S10" s="243"/>
      <c r="T10" s="243"/>
      <c r="U10" s="243"/>
    </row>
    <row r="11" spans="1:21">
      <c r="C11" s="472" t="s">
        <v>52</v>
      </c>
      <c r="D11" s="473">
        <v>2010</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12</v>
      </c>
      <c r="E12" s="472" t="s">
        <v>55</v>
      </c>
      <c r="F12" s="408"/>
      <c r="G12" s="220"/>
      <c r="H12" s="220"/>
      <c r="I12" s="476">
        <f>'OKT.WS.F.BPU.ATRR.Projected'!$F$79</f>
        <v>0.11393163315254198</v>
      </c>
      <c r="J12" s="413"/>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c r="E14" s="278" t="s">
        <v>62</v>
      </c>
      <c r="F14" s="408"/>
      <c r="G14" s="220"/>
      <c r="H14" s="220"/>
      <c r="I14" s="477">
        <f>IF(D10=0,0,D10/D13)</f>
        <v>23348.967741935485</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IF(D17=F16,"","IU")</f>
        <v>IU</v>
      </c>
      <c r="C17" s="495">
        <f>IF(D11= "","-",D11)</f>
        <v>2010</v>
      </c>
      <c r="D17" s="496">
        <v>767749</v>
      </c>
      <c r="E17" s="497">
        <v>0</v>
      </c>
      <c r="F17" s="496">
        <v>767749</v>
      </c>
      <c r="G17" s="498">
        <v>92753.205799400443</v>
      </c>
      <c r="H17" s="499">
        <v>92753.205799400443</v>
      </c>
      <c r="I17" s="500">
        <f t="shared" ref="I17:I49" si="0">H17-G17</f>
        <v>0</v>
      </c>
      <c r="J17" s="500"/>
      <c r="K17" s="501">
        <f t="shared" ref="K17:K22" si="1">G17</f>
        <v>92753.205799400443</v>
      </c>
      <c r="L17" s="502">
        <f t="shared" ref="L17:L49" si="2">IF(K17&lt;&gt;0,+G17-K17,0)</f>
        <v>0</v>
      </c>
      <c r="M17" s="501">
        <f t="shared" ref="M17:M22" si="3">H17</f>
        <v>92753.205799400443</v>
      </c>
      <c r="N17" s="503">
        <f t="shared" ref="N17:N49" si="4">IF(M17&lt;&gt;0,+H17-M17,0)</f>
        <v>0</v>
      </c>
      <c r="O17" s="504">
        <f t="shared" ref="O17:O49" si="5">+N17-L17</f>
        <v>0</v>
      </c>
      <c r="P17" s="278"/>
      <c r="R17" s="243"/>
      <c r="S17" s="243"/>
      <c r="T17" s="243"/>
      <c r="U17" s="243"/>
    </row>
    <row r="18" spans="2:21">
      <c r="B18" s="145" t="str">
        <f>IF(D18=F17,"","IU")</f>
        <v/>
      </c>
      <c r="C18" s="495">
        <f>IF(D11="","-",+C17+1)</f>
        <v>2011</v>
      </c>
      <c r="D18" s="505">
        <v>767749</v>
      </c>
      <c r="E18" s="498">
        <v>10981.365584860865</v>
      </c>
      <c r="F18" s="505">
        <v>756767.63441513909</v>
      </c>
      <c r="G18" s="498">
        <v>109365.67160279222</v>
      </c>
      <c r="H18" s="499">
        <v>109365.67160279222</v>
      </c>
      <c r="I18" s="500">
        <f t="shared" si="0"/>
        <v>0</v>
      </c>
      <c r="J18" s="500"/>
      <c r="K18" s="506">
        <f t="shared" si="1"/>
        <v>109365.67160279222</v>
      </c>
      <c r="L18" s="507">
        <f t="shared" si="2"/>
        <v>0</v>
      </c>
      <c r="M18" s="506">
        <f t="shared" si="3"/>
        <v>109365.67160279222</v>
      </c>
      <c r="N18" s="504">
        <f t="shared" si="4"/>
        <v>0</v>
      </c>
      <c r="O18" s="504">
        <f t="shared" si="5"/>
        <v>0</v>
      </c>
      <c r="P18" s="278"/>
      <c r="R18" s="243"/>
      <c r="S18" s="243"/>
      <c r="T18" s="243"/>
      <c r="U18" s="243"/>
    </row>
    <row r="19" spans="2:21">
      <c r="B19" s="145" t="str">
        <f t="shared" ref="B19:B73" si="6">IF(D19=F18,"","IU")</f>
        <v/>
      </c>
      <c r="C19" s="495">
        <f>IF(D11="","-",+C18+1)</f>
        <v>2012</v>
      </c>
      <c r="D19" s="505">
        <v>756767.63441513909</v>
      </c>
      <c r="E19" s="498">
        <v>12221.81530625035</v>
      </c>
      <c r="F19" s="505">
        <v>744545.81910888874</v>
      </c>
      <c r="G19" s="498">
        <v>84179.959434377466</v>
      </c>
      <c r="H19" s="499">
        <v>84179.959434377466</v>
      </c>
      <c r="I19" s="500">
        <v>0</v>
      </c>
      <c r="J19" s="500"/>
      <c r="K19" s="506">
        <f t="shared" si="1"/>
        <v>84179.959434377466</v>
      </c>
      <c r="L19" s="504">
        <f t="shared" si="2"/>
        <v>0</v>
      </c>
      <c r="M19" s="506">
        <f t="shared" si="3"/>
        <v>84179.959434377466</v>
      </c>
      <c r="N19" s="504">
        <f t="shared" si="4"/>
        <v>0</v>
      </c>
      <c r="O19" s="504">
        <f t="shared" si="5"/>
        <v>0</v>
      </c>
      <c r="P19" s="278"/>
      <c r="R19" s="243"/>
      <c r="S19" s="243"/>
      <c r="T19" s="243"/>
      <c r="U19" s="243"/>
    </row>
    <row r="20" spans="2:21">
      <c r="B20" s="145" t="str">
        <f t="shared" si="6"/>
        <v>IU</v>
      </c>
      <c r="C20" s="495">
        <f>IF(D11="","-",+C19+1)</f>
        <v>2013</v>
      </c>
      <c r="D20" s="505">
        <v>700614.81910888874</v>
      </c>
      <c r="E20" s="498">
        <v>12521.479662412485</v>
      </c>
      <c r="F20" s="505">
        <v>688093.33944647631</v>
      </c>
      <c r="G20" s="498">
        <v>87689.629791132116</v>
      </c>
      <c r="H20" s="499">
        <v>87689.629791132116</v>
      </c>
      <c r="I20" s="500">
        <v>0</v>
      </c>
      <c r="J20" s="500"/>
      <c r="K20" s="506">
        <f t="shared" si="1"/>
        <v>87689.629791132116</v>
      </c>
      <c r="L20" s="504">
        <f t="shared" ref="L20:L25" si="7">IF(K20&lt;&gt;0,+G20-K20,0)</f>
        <v>0</v>
      </c>
      <c r="M20" s="506">
        <f t="shared" si="3"/>
        <v>87689.629791132116</v>
      </c>
      <c r="N20" s="504">
        <f>IF(M20&lt;&gt;0,+H20-M20,0)</f>
        <v>0</v>
      </c>
      <c r="O20" s="504">
        <f>+N20-L20</f>
        <v>0</v>
      </c>
      <c r="P20" s="278"/>
      <c r="R20" s="243"/>
      <c r="S20" s="243"/>
      <c r="T20" s="243"/>
      <c r="U20" s="243"/>
    </row>
    <row r="21" spans="2:21">
      <c r="B21" s="145" t="str">
        <f t="shared" si="6"/>
        <v/>
      </c>
      <c r="C21" s="495">
        <f>IF(D12="","-",+C20+1)</f>
        <v>2014</v>
      </c>
      <c r="D21" s="505">
        <v>688093.33944647631</v>
      </c>
      <c r="E21" s="498">
        <v>12521.479662412485</v>
      </c>
      <c r="F21" s="505">
        <v>675571.85978406388</v>
      </c>
      <c r="G21" s="498">
        <v>86852.845850246973</v>
      </c>
      <c r="H21" s="499">
        <v>86852.845850246973</v>
      </c>
      <c r="I21" s="500">
        <v>0</v>
      </c>
      <c r="J21" s="500"/>
      <c r="K21" s="506">
        <f t="shared" si="1"/>
        <v>86852.845850246973</v>
      </c>
      <c r="L21" s="504">
        <f t="shared" si="7"/>
        <v>0</v>
      </c>
      <c r="M21" s="506">
        <f t="shared" si="3"/>
        <v>86852.845850246973</v>
      </c>
      <c r="N21" s="504">
        <f>IF(M21&lt;&gt;0,+H21-M21,0)</f>
        <v>0</v>
      </c>
      <c r="O21" s="504">
        <f>+N21-L21</f>
        <v>0</v>
      </c>
      <c r="P21" s="278"/>
      <c r="R21" s="243"/>
      <c r="S21" s="243"/>
      <c r="T21" s="243"/>
      <c r="U21" s="243"/>
    </row>
    <row r="22" spans="2:21">
      <c r="B22" s="145" t="str">
        <f t="shared" si="6"/>
        <v/>
      </c>
      <c r="C22" s="495">
        <f>IF(D11="","-",+C21+1)</f>
        <v>2015</v>
      </c>
      <c r="D22" s="505">
        <v>675571.85978406388</v>
      </c>
      <c r="E22" s="498">
        <v>12521.479662412485</v>
      </c>
      <c r="F22" s="505">
        <v>663050.38012165145</v>
      </c>
      <c r="G22" s="498">
        <v>80859.057608604737</v>
      </c>
      <c r="H22" s="499">
        <v>80859.057608604737</v>
      </c>
      <c r="I22" s="500">
        <f t="shared" si="0"/>
        <v>0</v>
      </c>
      <c r="J22" s="500"/>
      <c r="K22" s="506">
        <f t="shared" si="1"/>
        <v>80859.057608604737</v>
      </c>
      <c r="L22" s="504">
        <f t="shared" si="7"/>
        <v>0</v>
      </c>
      <c r="M22" s="506">
        <f t="shared" si="3"/>
        <v>80859.057608604737</v>
      </c>
      <c r="N22" s="504">
        <f>IF(M22&lt;&gt;0,+H22-M22,0)</f>
        <v>0</v>
      </c>
      <c r="O22" s="504">
        <f>+N22-L22</f>
        <v>0</v>
      </c>
      <c r="P22" s="278"/>
      <c r="R22" s="243"/>
      <c r="S22" s="243"/>
      <c r="T22" s="243"/>
      <c r="U22" s="243"/>
    </row>
    <row r="23" spans="2:21">
      <c r="B23" s="145" t="str">
        <f t="shared" si="6"/>
        <v/>
      </c>
      <c r="C23" s="495">
        <f>IF(D11="","-",+C22+1)</f>
        <v>2016</v>
      </c>
      <c r="D23" s="505">
        <v>663050.38012165145</v>
      </c>
      <c r="E23" s="498">
        <v>15040.542945521509</v>
      </c>
      <c r="F23" s="505">
        <v>648009.83717612992</v>
      </c>
      <c r="G23" s="498">
        <v>84948.083991581108</v>
      </c>
      <c r="H23" s="499">
        <v>84948.083991581108</v>
      </c>
      <c r="I23" s="500">
        <f t="shared" si="0"/>
        <v>0</v>
      </c>
      <c r="J23" s="500"/>
      <c r="K23" s="506">
        <f t="shared" ref="K23:K28" si="8">G23</f>
        <v>84948.083991581108</v>
      </c>
      <c r="L23" s="504">
        <f t="shared" si="7"/>
        <v>0</v>
      </c>
      <c r="M23" s="506">
        <f t="shared" ref="M23:M28" si="9">H23</f>
        <v>84948.083991581108</v>
      </c>
      <c r="N23" s="504">
        <f t="shared" si="4"/>
        <v>0</v>
      </c>
      <c r="O23" s="504">
        <f t="shared" si="5"/>
        <v>0</v>
      </c>
      <c r="P23" s="278"/>
      <c r="R23" s="243"/>
      <c r="S23" s="243"/>
      <c r="T23" s="243"/>
      <c r="U23" s="243"/>
    </row>
    <row r="24" spans="2:21">
      <c r="B24" s="145" t="str">
        <f t="shared" si="6"/>
        <v/>
      </c>
      <c r="C24" s="495">
        <f>IF(D11="","-",+C23+1)</f>
        <v>2017</v>
      </c>
      <c r="D24" s="505">
        <v>648009.83717612992</v>
      </c>
      <c r="E24" s="498">
        <v>14231.694883080969</v>
      </c>
      <c r="F24" s="505">
        <v>633778.14229304891</v>
      </c>
      <c r="G24" s="498">
        <v>84691.562397354341</v>
      </c>
      <c r="H24" s="499">
        <v>84691.562397354341</v>
      </c>
      <c r="I24" s="500">
        <f t="shared" si="0"/>
        <v>0</v>
      </c>
      <c r="J24" s="500"/>
      <c r="K24" s="506">
        <f t="shared" si="8"/>
        <v>84691.562397354341</v>
      </c>
      <c r="L24" s="504">
        <f t="shared" si="7"/>
        <v>0</v>
      </c>
      <c r="M24" s="506">
        <f t="shared" si="9"/>
        <v>84691.562397354341</v>
      </c>
      <c r="N24" s="504">
        <f>IF(M24&lt;&gt;0,+H24-M24,0)</f>
        <v>0</v>
      </c>
      <c r="O24" s="504">
        <f>+N24-L24</f>
        <v>0</v>
      </c>
      <c r="P24" s="278"/>
      <c r="R24" s="243"/>
      <c r="S24" s="243"/>
      <c r="T24" s="243"/>
      <c r="U24" s="243"/>
    </row>
    <row r="25" spans="2:21">
      <c r="B25" s="145" t="str">
        <f t="shared" si="6"/>
        <v/>
      </c>
      <c r="C25" s="495">
        <f>IF(D11="","-",+C24+1)</f>
        <v>2018</v>
      </c>
      <c r="D25" s="505">
        <v>633778.14229304891</v>
      </c>
      <c r="E25" s="498">
        <v>17751.333847969061</v>
      </c>
      <c r="F25" s="505">
        <v>616026.80844507983</v>
      </c>
      <c r="G25" s="498">
        <v>81256.204053950511</v>
      </c>
      <c r="H25" s="499">
        <v>81256.204053950511</v>
      </c>
      <c r="I25" s="500">
        <f t="shared" si="0"/>
        <v>0</v>
      </c>
      <c r="J25" s="500"/>
      <c r="K25" s="506">
        <f t="shared" si="8"/>
        <v>81256.204053950511</v>
      </c>
      <c r="L25" s="504">
        <f t="shared" si="7"/>
        <v>0</v>
      </c>
      <c r="M25" s="506">
        <f t="shared" si="9"/>
        <v>81256.204053950511</v>
      </c>
      <c r="N25" s="504">
        <f>IF(M25&lt;&gt;0,+H25-M25,0)</f>
        <v>0</v>
      </c>
      <c r="O25" s="504">
        <f>+N25-L25</f>
        <v>0</v>
      </c>
      <c r="P25" s="278"/>
      <c r="R25" s="243"/>
      <c r="S25" s="243"/>
      <c r="T25" s="243"/>
      <c r="U25" s="243"/>
    </row>
    <row r="26" spans="2:21">
      <c r="B26" s="145" t="str">
        <f t="shared" si="6"/>
        <v/>
      </c>
      <c r="C26" s="495">
        <f>IF(D11="","-",+C25+1)</f>
        <v>2019</v>
      </c>
      <c r="D26" s="505">
        <v>616026.80844507983</v>
      </c>
      <c r="E26" s="498">
        <v>21467.607261508991</v>
      </c>
      <c r="F26" s="505">
        <v>594559.2011835709</v>
      </c>
      <c r="G26" s="498">
        <v>84379.319531027868</v>
      </c>
      <c r="H26" s="499">
        <v>84379.319531027868</v>
      </c>
      <c r="I26" s="500">
        <f t="shared" si="0"/>
        <v>0</v>
      </c>
      <c r="J26" s="500"/>
      <c r="K26" s="506">
        <f t="shared" si="8"/>
        <v>84379.319531027868</v>
      </c>
      <c r="L26" s="504">
        <f t="shared" ref="L26" si="10">IF(K26&lt;&gt;0,+G26-K26,0)</f>
        <v>0</v>
      </c>
      <c r="M26" s="506">
        <f t="shared" si="9"/>
        <v>84379.319531027868</v>
      </c>
      <c r="N26" s="504">
        <f>IF(M26&lt;&gt;0,+H26-M26,0)</f>
        <v>0</v>
      </c>
      <c r="O26" s="504">
        <f>+N26-L26</f>
        <v>0</v>
      </c>
      <c r="P26" s="278"/>
      <c r="R26" s="243"/>
      <c r="S26" s="243"/>
      <c r="T26" s="243"/>
      <c r="U26" s="243"/>
    </row>
    <row r="27" spans="2:21">
      <c r="B27" s="145" t="str">
        <f t="shared" si="6"/>
        <v>IU</v>
      </c>
      <c r="C27" s="495">
        <f>IF(D11="","-",+C26+1)</f>
        <v>2020</v>
      </c>
      <c r="D27" s="505">
        <v>598275.47459711076</v>
      </c>
      <c r="E27" s="498">
        <v>21194.679776158337</v>
      </c>
      <c r="F27" s="505">
        <v>577080.79482095246</v>
      </c>
      <c r="G27" s="498">
        <v>82861.19585201345</v>
      </c>
      <c r="H27" s="499">
        <v>82861.19585201345</v>
      </c>
      <c r="I27" s="500">
        <f t="shared" si="0"/>
        <v>0</v>
      </c>
      <c r="J27" s="500"/>
      <c r="K27" s="506">
        <f t="shared" si="8"/>
        <v>82861.19585201345</v>
      </c>
      <c r="L27" s="504">
        <f t="shared" ref="L27" si="11">IF(K27&lt;&gt;0,+G27-K27,0)</f>
        <v>0</v>
      </c>
      <c r="M27" s="506">
        <f t="shared" si="9"/>
        <v>82861.19585201345</v>
      </c>
      <c r="N27" s="504">
        <f>IF(M27&lt;&gt;0,+H27-M27,0)</f>
        <v>0</v>
      </c>
      <c r="O27" s="504">
        <f>+N27-L27</f>
        <v>0</v>
      </c>
      <c r="P27" s="278"/>
      <c r="R27" s="243"/>
      <c r="S27" s="243"/>
      <c r="T27" s="243"/>
      <c r="U27" s="243"/>
    </row>
    <row r="28" spans="2:21">
      <c r="B28" s="145" t="str">
        <f t="shared" si="6"/>
        <v>IU</v>
      </c>
      <c r="C28" s="495">
        <f>IF(D11="","-",+C27+1)</f>
        <v>2021</v>
      </c>
      <c r="D28" s="505">
        <v>573364.52140741248</v>
      </c>
      <c r="E28" s="498">
        <v>23348.967741935485</v>
      </c>
      <c r="F28" s="505">
        <v>550015.55366547697</v>
      </c>
      <c r="G28" s="498">
        <v>84115.442190341273</v>
      </c>
      <c r="H28" s="499">
        <v>84115.442190341273</v>
      </c>
      <c r="I28" s="500">
        <f t="shared" si="0"/>
        <v>0</v>
      </c>
      <c r="J28" s="500"/>
      <c r="K28" s="506">
        <f t="shared" si="8"/>
        <v>84115.442190341273</v>
      </c>
      <c r="L28" s="504">
        <f t="shared" ref="L28" si="12">IF(K28&lt;&gt;0,+G28-K28,0)</f>
        <v>0</v>
      </c>
      <c r="M28" s="506">
        <f t="shared" si="9"/>
        <v>84115.442190341273</v>
      </c>
      <c r="N28" s="504">
        <f>IF(M28&lt;&gt;0,+H28-M28,0)</f>
        <v>0</v>
      </c>
      <c r="O28" s="504">
        <f>+N28-L28</f>
        <v>0</v>
      </c>
      <c r="P28" s="278"/>
      <c r="R28" s="243"/>
      <c r="S28" s="243"/>
      <c r="T28" s="243"/>
      <c r="U28" s="243"/>
    </row>
    <row r="29" spans="2:21">
      <c r="B29" s="145" t="str">
        <f t="shared" si="6"/>
        <v/>
      </c>
      <c r="C29" s="580">
        <f>IF(D11="","-",+C28+1)</f>
        <v>2022</v>
      </c>
      <c r="D29" s="505">
        <v>550015.55366547697</v>
      </c>
      <c r="E29" s="498">
        <v>21933.878787878788</v>
      </c>
      <c r="F29" s="505">
        <v>528081.67487759818</v>
      </c>
      <c r="G29" s="498">
        <v>83794.43683291944</v>
      </c>
      <c r="H29" s="499">
        <v>83794.43683291944</v>
      </c>
      <c r="I29" s="500">
        <f t="shared" si="0"/>
        <v>0</v>
      </c>
      <c r="J29" s="500"/>
      <c r="K29" s="506">
        <f t="shared" ref="K29" si="13">G29</f>
        <v>83794.43683291944</v>
      </c>
      <c r="L29" s="504">
        <f t="shared" ref="L29" si="14">IF(K29&lt;&gt;0,+G29-K29,0)</f>
        <v>0</v>
      </c>
      <c r="M29" s="506">
        <f t="shared" ref="M29" si="15">H29</f>
        <v>83794.43683291944</v>
      </c>
      <c r="N29" s="504">
        <f t="shared" si="4"/>
        <v>0</v>
      </c>
      <c r="O29" s="504">
        <f t="shared" si="5"/>
        <v>0</v>
      </c>
      <c r="P29" s="278"/>
      <c r="R29" s="243"/>
      <c r="S29" s="243"/>
      <c r="T29" s="243"/>
      <c r="U29" s="243"/>
    </row>
    <row r="30" spans="2:21">
      <c r="B30" s="145" t="str">
        <f t="shared" si="6"/>
        <v/>
      </c>
      <c r="C30" s="495">
        <f>IF(D11="","-",+C29+1)</f>
        <v>2023</v>
      </c>
      <c r="D30" s="505">
        <v>528081.67487759818</v>
      </c>
      <c r="E30" s="498">
        <v>23348.967741935485</v>
      </c>
      <c r="F30" s="505">
        <v>504732.70713566267</v>
      </c>
      <c r="G30" s="498">
        <v>81719.946902595548</v>
      </c>
      <c r="H30" s="499">
        <v>81719.946902595548</v>
      </c>
      <c r="I30" s="500">
        <f t="shared" si="0"/>
        <v>0</v>
      </c>
      <c r="J30" s="500"/>
      <c r="K30" s="512"/>
      <c r="L30" s="504">
        <f t="shared" si="2"/>
        <v>0</v>
      </c>
      <c r="M30" s="512"/>
      <c r="N30" s="504">
        <f t="shared" si="4"/>
        <v>0</v>
      </c>
      <c r="O30" s="504">
        <f t="shared" si="5"/>
        <v>0</v>
      </c>
      <c r="P30" s="278"/>
      <c r="R30" s="243"/>
      <c r="S30" s="243"/>
      <c r="T30" s="243"/>
      <c r="U30" s="243"/>
    </row>
    <row r="31" spans="2:21">
      <c r="B31" s="145" t="str">
        <f t="shared" si="6"/>
        <v/>
      </c>
      <c r="C31" s="495">
        <f>IF(D11="","-",+C30+1)</f>
        <v>2024</v>
      </c>
      <c r="D31" s="508">
        <f>IF(F30+SUM(E$17:E30)=D$10,F30,D$10-SUM(E$17:E30))</f>
        <v>504732.70713566267</v>
      </c>
      <c r="E31" s="509">
        <f>IF(+I14&lt;F30,I14,D31)</f>
        <v>23348.967741935485</v>
      </c>
      <c r="F31" s="510">
        <f t="shared" ref="F31:F49" si="16">+D31-E31</f>
        <v>481383.73939372716</v>
      </c>
      <c r="G31" s="511">
        <f t="shared" ref="G31:G73" si="17">(D31+F31)/2*I$12+E31</f>
        <v>79523.896357772843</v>
      </c>
      <c r="H31" s="477">
        <f t="shared" ref="H31:H73" si="18">+(D31+F31)/2*I$13+E31</f>
        <v>79523.896357772843</v>
      </c>
      <c r="I31" s="500">
        <f t="shared" si="0"/>
        <v>0</v>
      </c>
      <c r="J31" s="500"/>
      <c r="K31" s="512"/>
      <c r="L31" s="504">
        <f t="shared" si="2"/>
        <v>0</v>
      </c>
      <c r="M31" s="512"/>
      <c r="N31" s="504">
        <f t="shared" si="4"/>
        <v>0</v>
      </c>
      <c r="O31" s="504">
        <f t="shared" si="5"/>
        <v>0</v>
      </c>
      <c r="P31" s="278"/>
      <c r="Q31" s="220"/>
      <c r="R31" s="278"/>
      <c r="S31" s="278"/>
      <c r="T31" s="278"/>
      <c r="U31" s="243"/>
    </row>
    <row r="32" spans="2:21">
      <c r="C32" s="495">
        <f>IF(D12="","-",+C31+1)</f>
        <v>2025</v>
      </c>
      <c r="D32" s="508">
        <f>IF(F31+SUM(E$17:E31)=D$10,F31,D$10-SUM(E$17:E31))</f>
        <v>481383.73939372716</v>
      </c>
      <c r="E32" s="509">
        <f>IF(+I14&lt;F31,I14,D32)</f>
        <v>23348.967741935485</v>
      </c>
      <c r="F32" s="510">
        <f>+D32-E32</f>
        <v>458034.77165179164</v>
      </c>
      <c r="G32" s="511">
        <f t="shared" si="17"/>
        <v>76863.710330508111</v>
      </c>
      <c r="H32" s="477">
        <f t="shared" si="18"/>
        <v>76863.710330508111</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IF(D33=F31,"","IU")</f>
        <v/>
      </c>
      <c r="C33" s="495">
        <f>IF(D13="","-",+C32+1)</f>
        <v>2026</v>
      </c>
      <c r="D33" s="508">
        <f>IF(F31+SUM(E$17:E31)=D$10,F31,D$10-SUM(E$17:E31))</f>
        <v>481383.73939372716</v>
      </c>
      <c r="E33" s="509">
        <f>IF(+I14&lt;F31,I14,D33)</f>
        <v>23348.967741935485</v>
      </c>
      <c r="F33" s="510">
        <f t="shared" si="16"/>
        <v>458034.77165179164</v>
      </c>
      <c r="G33" s="511">
        <f t="shared" si="17"/>
        <v>76863.710330508111</v>
      </c>
      <c r="H33" s="477">
        <f t="shared" si="18"/>
        <v>76863.710330508111</v>
      </c>
      <c r="I33" s="500">
        <f t="shared" si="0"/>
        <v>0</v>
      </c>
      <c r="J33" s="500"/>
      <c r="K33" s="512"/>
      <c r="L33" s="504">
        <f t="shared" si="2"/>
        <v>0</v>
      </c>
      <c r="M33" s="512"/>
      <c r="N33" s="504">
        <f t="shared" si="4"/>
        <v>0</v>
      </c>
      <c r="O33" s="504">
        <f t="shared" si="5"/>
        <v>0</v>
      </c>
      <c r="P33" s="278"/>
      <c r="R33" s="243"/>
      <c r="S33" s="243"/>
      <c r="T33" s="243"/>
      <c r="U33" s="243"/>
    </row>
    <row r="34" spans="2:21">
      <c r="B34" s="145" t="str">
        <f>IF(D34=F33,"","IU")</f>
        <v>IU</v>
      </c>
      <c r="C34" s="513">
        <f>IF(D11="","-",+C33+1)</f>
        <v>2027</v>
      </c>
      <c r="D34" s="514">
        <f>IF(F33+SUM(E$17:E33)=D$10,F33,D$10-SUM(E$17:E33))</f>
        <v>434685.80390985624</v>
      </c>
      <c r="E34" s="515">
        <f>IF(+I14&lt;F33,I14,D34)</f>
        <v>23348.967741935485</v>
      </c>
      <c r="F34" s="516">
        <f t="shared" si="16"/>
        <v>411336.83616792073</v>
      </c>
      <c r="G34" s="517">
        <f t="shared" si="17"/>
        <v>71543.338275978662</v>
      </c>
      <c r="H34" s="518">
        <f t="shared" si="18"/>
        <v>71543.338275978662</v>
      </c>
      <c r="I34" s="519">
        <f t="shared" si="0"/>
        <v>0</v>
      </c>
      <c r="J34" s="519"/>
      <c r="K34" s="520"/>
      <c r="L34" s="521">
        <f t="shared" si="2"/>
        <v>0</v>
      </c>
      <c r="M34" s="520"/>
      <c r="N34" s="521">
        <f t="shared" si="4"/>
        <v>0</v>
      </c>
      <c r="O34" s="521">
        <f t="shared" si="5"/>
        <v>0</v>
      </c>
      <c r="P34" s="522"/>
      <c r="Q34" s="216"/>
      <c r="R34" s="522"/>
      <c r="S34" s="522"/>
      <c r="T34" s="522"/>
      <c r="U34" s="243"/>
    </row>
    <row r="35" spans="2:21">
      <c r="B35" s="145" t="str">
        <f t="shared" si="6"/>
        <v/>
      </c>
      <c r="C35" s="495">
        <f>IF(D11="","-",+C34+1)</f>
        <v>2028</v>
      </c>
      <c r="D35" s="508">
        <f>IF(F34+SUM(E$17:E34)=D$10,F34,D$10-SUM(E$17:E34))</f>
        <v>411336.83616792073</v>
      </c>
      <c r="E35" s="509">
        <f>IF(+I14&lt;F34,I14,D35)</f>
        <v>23348.967741935485</v>
      </c>
      <c r="F35" s="510">
        <f t="shared" si="16"/>
        <v>387987.86842598522</v>
      </c>
      <c r="G35" s="511">
        <f t="shared" si="17"/>
        <v>68883.152248713915</v>
      </c>
      <c r="H35" s="477">
        <f t="shared" si="18"/>
        <v>68883.152248713915</v>
      </c>
      <c r="I35" s="500">
        <f t="shared" si="0"/>
        <v>0</v>
      </c>
      <c r="J35" s="500"/>
      <c r="K35" s="512"/>
      <c r="L35" s="504">
        <f t="shared" si="2"/>
        <v>0</v>
      </c>
      <c r="M35" s="512"/>
      <c r="N35" s="504">
        <f t="shared" si="4"/>
        <v>0</v>
      </c>
      <c r="O35" s="504">
        <f t="shared" si="5"/>
        <v>0</v>
      </c>
      <c r="P35" s="278"/>
      <c r="R35" s="243"/>
      <c r="S35" s="243"/>
      <c r="T35" s="243"/>
      <c r="U35" s="243"/>
    </row>
    <row r="36" spans="2:21">
      <c r="B36" s="145" t="str">
        <f t="shared" si="6"/>
        <v/>
      </c>
      <c r="C36" s="495">
        <f>IF(D11="","-",+C35+1)</f>
        <v>2029</v>
      </c>
      <c r="D36" s="508">
        <f>IF(F35+SUM(E$17:E35)=D$10,F35,D$10-SUM(E$17:E35))</f>
        <v>387987.86842598522</v>
      </c>
      <c r="E36" s="509">
        <f>IF(+I14&lt;F35,I14,D36)</f>
        <v>23348.967741935485</v>
      </c>
      <c r="F36" s="510">
        <f t="shared" si="16"/>
        <v>364638.9006840497</v>
      </c>
      <c r="G36" s="511">
        <f t="shared" si="17"/>
        <v>66222.966221449198</v>
      </c>
      <c r="H36" s="477">
        <f t="shared" si="18"/>
        <v>66222.966221449198</v>
      </c>
      <c r="I36" s="500">
        <f t="shared" si="0"/>
        <v>0</v>
      </c>
      <c r="J36" s="500"/>
      <c r="K36" s="512"/>
      <c r="L36" s="504">
        <f t="shared" si="2"/>
        <v>0</v>
      </c>
      <c r="M36" s="512"/>
      <c r="N36" s="504">
        <f t="shared" si="4"/>
        <v>0</v>
      </c>
      <c r="O36" s="504">
        <f t="shared" si="5"/>
        <v>0</v>
      </c>
      <c r="P36" s="278"/>
      <c r="R36" s="243"/>
      <c r="S36" s="243"/>
      <c r="T36" s="243"/>
      <c r="U36" s="243"/>
    </row>
    <row r="37" spans="2:21">
      <c r="B37" s="145" t="str">
        <f t="shared" si="6"/>
        <v/>
      </c>
      <c r="C37" s="495">
        <f>IF(D11="","-",+C36+1)</f>
        <v>2030</v>
      </c>
      <c r="D37" s="508">
        <f>IF(F36+SUM(E$17:E36)=D$10,F36,D$10-SUM(E$17:E36))</f>
        <v>364638.9006840497</v>
      </c>
      <c r="E37" s="509">
        <f>IF(+I14&lt;F36,I14,D37)</f>
        <v>23348.967741935485</v>
      </c>
      <c r="F37" s="510">
        <f t="shared" si="16"/>
        <v>341289.93294211419</v>
      </c>
      <c r="G37" s="511">
        <f t="shared" si="17"/>
        <v>63562.780194184459</v>
      </c>
      <c r="H37" s="477">
        <f t="shared" si="18"/>
        <v>63562.780194184459</v>
      </c>
      <c r="I37" s="500">
        <f t="shared" si="0"/>
        <v>0</v>
      </c>
      <c r="J37" s="500"/>
      <c r="K37" s="512"/>
      <c r="L37" s="504">
        <f t="shared" si="2"/>
        <v>0</v>
      </c>
      <c r="M37" s="512"/>
      <c r="N37" s="504">
        <f t="shared" si="4"/>
        <v>0</v>
      </c>
      <c r="O37" s="504">
        <f t="shared" si="5"/>
        <v>0</v>
      </c>
      <c r="P37" s="278"/>
      <c r="R37" s="243"/>
      <c r="S37" s="243"/>
      <c r="T37" s="243"/>
      <c r="U37" s="243"/>
    </row>
    <row r="38" spans="2:21">
      <c r="B38" s="145" t="str">
        <f t="shared" si="6"/>
        <v/>
      </c>
      <c r="C38" s="495">
        <f>IF(D11="","-",+C37+1)</f>
        <v>2031</v>
      </c>
      <c r="D38" s="508">
        <f>IF(F37+SUM(E$17:E37)=D$10,F37,D$10-SUM(E$17:E37))</f>
        <v>341289.93294211419</v>
      </c>
      <c r="E38" s="509">
        <f>IF(+I14&lt;F37,I14,D38)</f>
        <v>23348.967741935485</v>
      </c>
      <c r="F38" s="510">
        <f t="shared" si="16"/>
        <v>317940.96520017867</v>
      </c>
      <c r="G38" s="511">
        <f t="shared" si="17"/>
        <v>60902.594166919727</v>
      </c>
      <c r="H38" s="477">
        <f t="shared" si="18"/>
        <v>60902.594166919727</v>
      </c>
      <c r="I38" s="500">
        <f t="shared" si="0"/>
        <v>0</v>
      </c>
      <c r="J38" s="500"/>
      <c r="K38" s="512"/>
      <c r="L38" s="504">
        <f t="shared" si="2"/>
        <v>0</v>
      </c>
      <c r="M38" s="512"/>
      <c r="N38" s="504">
        <f t="shared" si="4"/>
        <v>0</v>
      </c>
      <c r="O38" s="504">
        <f t="shared" si="5"/>
        <v>0</v>
      </c>
      <c r="P38" s="278"/>
      <c r="R38" s="243"/>
      <c r="S38" s="243"/>
      <c r="T38" s="243"/>
      <c r="U38" s="243"/>
    </row>
    <row r="39" spans="2:21">
      <c r="B39" s="145" t="str">
        <f t="shared" si="6"/>
        <v/>
      </c>
      <c r="C39" s="495">
        <f>IF(D11="","-",+C38+1)</f>
        <v>2032</v>
      </c>
      <c r="D39" s="508">
        <f>IF(F38+SUM(E$17:E38)=D$10,F38,D$10-SUM(E$17:E38))</f>
        <v>317940.96520017867</v>
      </c>
      <c r="E39" s="509">
        <f>IF(+I14&lt;F38,I14,D39)</f>
        <v>23348.967741935485</v>
      </c>
      <c r="F39" s="510">
        <f t="shared" si="16"/>
        <v>294591.99745824316</v>
      </c>
      <c r="G39" s="511">
        <f t="shared" si="17"/>
        <v>58242.408139654988</v>
      </c>
      <c r="H39" s="477">
        <f t="shared" si="18"/>
        <v>58242.408139654988</v>
      </c>
      <c r="I39" s="500">
        <f t="shared" si="0"/>
        <v>0</v>
      </c>
      <c r="J39" s="500"/>
      <c r="K39" s="512"/>
      <c r="L39" s="504">
        <f t="shared" si="2"/>
        <v>0</v>
      </c>
      <c r="M39" s="512"/>
      <c r="N39" s="504">
        <f t="shared" si="4"/>
        <v>0</v>
      </c>
      <c r="O39" s="504">
        <f t="shared" si="5"/>
        <v>0</v>
      </c>
      <c r="P39" s="278"/>
      <c r="R39" s="243"/>
      <c r="S39" s="243"/>
      <c r="T39" s="243"/>
      <c r="U39" s="243"/>
    </row>
    <row r="40" spans="2:21">
      <c r="B40" s="145" t="str">
        <f t="shared" si="6"/>
        <v/>
      </c>
      <c r="C40" s="495">
        <f>IF(D11="","-",+C39+1)</f>
        <v>2033</v>
      </c>
      <c r="D40" s="508">
        <f>IF(F39+SUM(E$17:E39)=D$10,F39,D$10-SUM(E$17:E39))</f>
        <v>294591.99745824316</v>
      </c>
      <c r="E40" s="509">
        <f>IF(+I14&lt;F39,I14,D40)</f>
        <v>23348.967741935485</v>
      </c>
      <c r="F40" s="510">
        <f t="shared" si="16"/>
        <v>271243.02971630765</v>
      </c>
      <c r="G40" s="511">
        <f t="shared" si="17"/>
        <v>55582.222112390256</v>
      </c>
      <c r="H40" s="477">
        <f t="shared" si="18"/>
        <v>55582.222112390256</v>
      </c>
      <c r="I40" s="500">
        <f t="shared" si="0"/>
        <v>0</v>
      </c>
      <c r="J40" s="500"/>
      <c r="K40" s="512"/>
      <c r="L40" s="504">
        <f t="shared" si="2"/>
        <v>0</v>
      </c>
      <c r="M40" s="512"/>
      <c r="N40" s="504">
        <f t="shared" si="4"/>
        <v>0</v>
      </c>
      <c r="O40" s="504">
        <f t="shared" si="5"/>
        <v>0</v>
      </c>
      <c r="P40" s="278"/>
      <c r="R40" s="243"/>
      <c r="S40" s="243"/>
      <c r="T40" s="243"/>
      <c r="U40" s="243"/>
    </row>
    <row r="41" spans="2:21">
      <c r="B41" s="145" t="str">
        <f t="shared" si="6"/>
        <v/>
      </c>
      <c r="C41" s="495">
        <f>IF(D12="","-",+C40+1)</f>
        <v>2034</v>
      </c>
      <c r="D41" s="508">
        <f>IF(F40+SUM(E$17:E40)=D$10,F40,D$10-SUM(E$17:E40))</f>
        <v>271243.02971630765</v>
      </c>
      <c r="E41" s="509">
        <f>IF(+I14&lt;F40,I14,D41)</f>
        <v>23348.967741935485</v>
      </c>
      <c r="F41" s="510">
        <f t="shared" si="16"/>
        <v>247894.06197437216</v>
      </c>
      <c r="G41" s="511">
        <f t="shared" si="17"/>
        <v>52922.036085125525</v>
      </c>
      <c r="H41" s="477">
        <f t="shared" si="18"/>
        <v>52922.036085125525</v>
      </c>
      <c r="I41" s="500">
        <f t="shared" si="0"/>
        <v>0</v>
      </c>
      <c r="J41" s="500"/>
      <c r="K41" s="512"/>
      <c r="L41" s="504">
        <f t="shared" si="2"/>
        <v>0</v>
      </c>
      <c r="M41" s="512"/>
      <c r="N41" s="504">
        <f t="shared" si="4"/>
        <v>0</v>
      </c>
      <c r="O41" s="504">
        <f t="shared" si="5"/>
        <v>0</v>
      </c>
      <c r="P41" s="278"/>
      <c r="R41" s="243"/>
      <c r="S41" s="243"/>
      <c r="T41" s="243"/>
      <c r="U41" s="243"/>
    </row>
    <row r="42" spans="2:21">
      <c r="B42" s="145" t="str">
        <f t="shared" si="6"/>
        <v/>
      </c>
      <c r="C42" s="495">
        <f>IF(D13="","-",+C41+1)</f>
        <v>2035</v>
      </c>
      <c r="D42" s="508">
        <f>IF(F41+SUM(E$17:E41)=D$10,F41,D$10-SUM(E$17:E41))</f>
        <v>247894.06197437216</v>
      </c>
      <c r="E42" s="509">
        <f>IF(+I14&lt;F41,I14,D42)</f>
        <v>23348.967741935485</v>
      </c>
      <c r="F42" s="510">
        <f t="shared" si="16"/>
        <v>224545.09423243668</v>
      </c>
      <c r="G42" s="511">
        <f t="shared" si="17"/>
        <v>50261.850057860793</v>
      </c>
      <c r="H42" s="477">
        <f t="shared" si="18"/>
        <v>50261.850057860793</v>
      </c>
      <c r="I42" s="500">
        <f t="shared" si="0"/>
        <v>0</v>
      </c>
      <c r="J42" s="500"/>
      <c r="K42" s="512"/>
      <c r="L42" s="504">
        <f t="shared" si="2"/>
        <v>0</v>
      </c>
      <c r="M42" s="512"/>
      <c r="N42" s="504">
        <f t="shared" si="4"/>
        <v>0</v>
      </c>
      <c r="O42" s="504">
        <f t="shared" si="5"/>
        <v>0</v>
      </c>
      <c r="P42" s="278"/>
      <c r="R42" s="243"/>
      <c r="S42" s="243"/>
      <c r="T42" s="243"/>
      <c r="U42" s="243"/>
    </row>
    <row r="43" spans="2:21">
      <c r="B43" s="145" t="str">
        <f t="shared" si="6"/>
        <v/>
      </c>
      <c r="C43" s="495">
        <f>IF(D11="","-",+C42+1)</f>
        <v>2036</v>
      </c>
      <c r="D43" s="508">
        <f>IF(F42+SUM(E$17:E42)=D$10,F42,D$10-SUM(E$17:E42))</f>
        <v>224545.09423243668</v>
      </c>
      <c r="E43" s="509">
        <f>IF(+I14&lt;F42,I14,D43)</f>
        <v>23348.967741935485</v>
      </c>
      <c r="F43" s="510">
        <f t="shared" si="16"/>
        <v>201196.12649050119</v>
      </c>
      <c r="G43" s="511">
        <f t="shared" si="17"/>
        <v>47601.664030596061</v>
      </c>
      <c r="H43" s="477">
        <f t="shared" si="18"/>
        <v>47601.664030596061</v>
      </c>
      <c r="I43" s="500">
        <f t="shared" si="0"/>
        <v>0</v>
      </c>
      <c r="J43" s="500"/>
      <c r="K43" s="512"/>
      <c r="L43" s="504">
        <f t="shared" si="2"/>
        <v>0</v>
      </c>
      <c r="M43" s="512"/>
      <c r="N43" s="504">
        <f t="shared" si="4"/>
        <v>0</v>
      </c>
      <c r="O43" s="504">
        <f t="shared" si="5"/>
        <v>0</v>
      </c>
      <c r="P43" s="278"/>
      <c r="R43" s="243"/>
      <c r="S43" s="243"/>
      <c r="T43" s="243"/>
      <c r="U43" s="243"/>
    </row>
    <row r="44" spans="2:21">
      <c r="B44" s="145" t="str">
        <f t="shared" si="6"/>
        <v/>
      </c>
      <c r="C44" s="495">
        <f>IF(D11="","-",+C43+1)</f>
        <v>2037</v>
      </c>
      <c r="D44" s="508">
        <f>IF(F43+SUM(E$17:E43)=D$10,F43,D$10-SUM(E$17:E43))</f>
        <v>201196.12649050119</v>
      </c>
      <c r="E44" s="509">
        <f>IF(+I14&lt;F43,I14,D44)</f>
        <v>23348.967741935485</v>
      </c>
      <c r="F44" s="510">
        <f t="shared" si="16"/>
        <v>177847.15874856571</v>
      </c>
      <c r="G44" s="511">
        <f t="shared" si="17"/>
        <v>44941.478003331336</v>
      </c>
      <c r="H44" s="477">
        <f t="shared" si="18"/>
        <v>44941.478003331336</v>
      </c>
      <c r="I44" s="500">
        <f t="shared" si="0"/>
        <v>0</v>
      </c>
      <c r="J44" s="500"/>
      <c r="K44" s="512"/>
      <c r="L44" s="504">
        <f t="shared" si="2"/>
        <v>0</v>
      </c>
      <c r="M44" s="512"/>
      <c r="N44" s="504">
        <f t="shared" si="4"/>
        <v>0</v>
      </c>
      <c r="O44" s="504">
        <f t="shared" si="5"/>
        <v>0</v>
      </c>
      <c r="P44" s="278"/>
      <c r="R44" s="243"/>
      <c r="S44" s="243"/>
      <c r="T44" s="243"/>
      <c r="U44" s="243"/>
    </row>
    <row r="45" spans="2:21">
      <c r="B45" s="145" t="str">
        <f t="shared" si="6"/>
        <v/>
      </c>
      <c r="C45" s="495">
        <f>IF(D11="","-",+C44+1)</f>
        <v>2038</v>
      </c>
      <c r="D45" s="508">
        <f>IF(F44+SUM(E$17:E44)=D$10,F44,D$10-SUM(E$17:E44))</f>
        <v>177847.15874856571</v>
      </c>
      <c r="E45" s="509">
        <f>IF(+I14&lt;F44,I14,D45)</f>
        <v>23348.967741935485</v>
      </c>
      <c r="F45" s="510">
        <f t="shared" si="16"/>
        <v>154498.19100663022</v>
      </c>
      <c r="G45" s="511">
        <f t="shared" si="17"/>
        <v>42281.291976066605</v>
      </c>
      <c r="H45" s="477">
        <f t="shared" si="18"/>
        <v>42281.291976066605</v>
      </c>
      <c r="I45" s="500">
        <f t="shared" si="0"/>
        <v>0</v>
      </c>
      <c r="J45" s="500"/>
      <c r="K45" s="512"/>
      <c r="L45" s="504">
        <f t="shared" si="2"/>
        <v>0</v>
      </c>
      <c r="M45" s="512"/>
      <c r="N45" s="504">
        <f t="shared" si="4"/>
        <v>0</v>
      </c>
      <c r="O45" s="504">
        <f t="shared" si="5"/>
        <v>0</v>
      </c>
      <c r="P45" s="278"/>
      <c r="R45" s="243"/>
      <c r="S45" s="243"/>
      <c r="T45" s="243"/>
      <c r="U45" s="243"/>
    </row>
    <row r="46" spans="2:21">
      <c r="B46" s="145" t="str">
        <f t="shared" si="6"/>
        <v/>
      </c>
      <c r="C46" s="495">
        <f>IF(D11="","-",+C45+1)</f>
        <v>2039</v>
      </c>
      <c r="D46" s="508">
        <f>IF(F45+SUM(E$17:E45)=D$10,F45,D$10-SUM(E$17:E45))</f>
        <v>154498.19100663022</v>
      </c>
      <c r="E46" s="509">
        <f>IF(+I14&lt;F45,I14,D46)</f>
        <v>23348.967741935485</v>
      </c>
      <c r="F46" s="510">
        <f t="shared" si="16"/>
        <v>131149.22326469474</v>
      </c>
      <c r="G46" s="511">
        <f t="shared" si="17"/>
        <v>39621.10594880188</v>
      </c>
      <c r="H46" s="477">
        <f t="shared" si="18"/>
        <v>39621.10594880188</v>
      </c>
      <c r="I46" s="500">
        <f t="shared" si="0"/>
        <v>0</v>
      </c>
      <c r="J46" s="500"/>
      <c r="K46" s="512"/>
      <c r="L46" s="504">
        <f t="shared" si="2"/>
        <v>0</v>
      </c>
      <c r="M46" s="512"/>
      <c r="N46" s="504">
        <f t="shared" si="4"/>
        <v>0</v>
      </c>
      <c r="O46" s="504">
        <f t="shared" si="5"/>
        <v>0</v>
      </c>
      <c r="P46" s="278"/>
      <c r="R46" s="243"/>
      <c r="S46" s="243"/>
      <c r="T46" s="243"/>
      <c r="U46" s="243"/>
    </row>
    <row r="47" spans="2:21">
      <c r="B47" s="145" t="str">
        <f t="shared" si="6"/>
        <v/>
      </c>
      <c r="C47" s="495">
        <f>IF(D11="","-",+C46+1)</f>
        <v>2040</v>
      </c>
      <c r="D47" s="508">
        <f>IF(F46+SUM(E$17:E46)=D$10,F46,D$10-SUM(E$17:E46))</f>
        <v>131149.22326469474</v>
      </c>
      <c r="E47" s="509">
        <f>IF(+I14&lt;F46,I14,D47)</f>
        <v>23348.967741935485</v>
      </c>
      <c r="F47" s="510">
        <f t="shared" si="16"/>
        <v>107800.25552275925</v>
      </c>
      <c r="G47" s="511">
        <f t="shared" si="17"/>
        <v>36960.919921537148</v>
      </c>
      <c r="H47" s="477">
        <f t="shared" si="18"/>
        <v>36960.919921537148</v>
      </c>
      <c r="I47" s="500">
        <f t="shared" si="0"/>
        <v>0</v>
      </c>
      <c r="J47" s="500"/>
      <c r="K47" s="512"/>
      <c r="L47" s="504">
        <f t="shared" si="2"/>
        <v>0</v>
      </c>
      <c r="M47" s="512"/>
      <c r="N47" s="504">
        <f t="shared" si="4"/>
        <v>0</v>
      </c>
      <c r="O47" s="504">
        <f t="shared" si="5"/>
        <v>0</v>
      </c>
      <c r="P47" s="278"/>
      <c r="R47" s="243"/>
      <c r="S47" s="243"/>
      <c r="T47" s="243"/>
      <c r="U47" s="243"/>
    </row>
    <row r="48" spans="2:21">
      <c r="B48" s="145" t="str">
        <f t="shared" si="6"/>
        <v/>
      </c>
      <c r="C48" s="495">
        <f>IF(D11="","-",+C47+1)</f>
        <v>2041</v>
      </c>
      <c r="D48" s="508">
        <f>IF(F47+SUM(E$17:E47)=D$10,F47,D$10-SUM(E$17:E47))</f>
        <v>107800.25552275925</v>
      </c>
      <c r="E48" s="509">
        <f>IF(+I14&lt;F47,I14,D48)</f>
        <v>23348.967741935485</v>
      </c>
      <c r="F48" s="510">
        <f t="shared" si="16"/>
        <v>84451.287780823768</v>
      </c>
      <c r="G48" s="511">
        <f t="shared" si="17"/>
        <v>34300.733894272416</v>
      </c>
      <c r="H48" s="477">
        <f t="shared" si="18"/>
        <v>34300.733894272416</v>
      </c>
      <c r="I48" s="500">
        <f t="shared" si="0"/>
        <v>0</v>
      </c>
      <c r="J48" s="500"/>
      <c r="K48" s="512"/>
      <c r="L48" s="504">
        <f t="shared" si="2"/>
        <v>0</v>
      </c>
      <c r="M48" s="512"/>
      <c r="N48" s="504">
        <f t="shared" si="4"/>
        <v>0</v>
      </c>
      <c r="O48" s="504">
        <f t="shared" si="5"/>
        <v>0</v>
      </c>
      <c r="P48" s="278"/>
      <c r="R48" s="243"/>
      <c r="S48" s="243"/>
      <c r="T48" s="243"/>
      <c r="U48" s="243"/>
    </row>
    <row r="49" spans="2:21">
      <c r="B49" s="145" t="str">
        <f t="shared" si="6"/>
        <v/>
      </c>
      <c r="C49" s="495">
        <f>IF(D11="","-",+C48+1)</f>
        <v>2042</v>
      </c>
      <c r="D49" s="508">
        <f>IF(F48+SUM(E$17:E48)=D$10,F48,D$10-SUM(E$17:E48))</f>
        <v>84451.287780823768</v>
      </c>
      <c r="E49" s="509">
        <f>IF(+I14&lt;F48,I14,D49)</f>
        <v>23348.967741935485</v>
      </c>
      <c r="F49" s="510">
        <f t="shared" si="16"/>
        <v>61102.320038888283</v>
      </c>
      <c r="G49" s="511">
        <f t="shared" si="17"/>
        <v>31640.547867007685</v>
      </c>
      <c r="H49" s="477">
        <f t="shared" si="18"/>
        <v>31640.547867007685</v>
      </c>
      <c r="I49" s="500">
        <f t="shared" si="0"/>
        <v>0</v>
      </c>
      <c r="J49" s="500"/>
      <c r="K49" s="512"/>
      <c r="L49" s="504">
        <f t="shared" si="2"/>
        <v>0</v>
      </c>
      <c r="M49" s="512"/>
      <c r="N49" s="504">
        <f t="shared" si="4"/>
        <v>0</v>
      </c>
      <c r="O49" s="504">
        <f t="shared" si="5"/>
        <v>0</v>
      </c>
      <c r="P49" s="278"/>
      <c r="R49" s="243"/>
      <c r="S49" s="243"/>
      <c r="T49" s="243"/>
      <c r="U49" s="243"/>
    </row>
    <row r="50" spans="2:21">
      <c r="B50" s="145" t="str">
        <f t="shared" si="6"/>
        <v/>
      </c>
      <c r="C50" s="495">
        <f>IF(D11="","-",+C49+1)</f>
        <v>2043</v>
      </c>
      <c r="D50" s="508">
        <f>IF(F49+SUM(E$17:E49)=D$10,F49,D$10-SUM(E$17:E49))</f>
        <v>61102.320038888283</v>
      </c>
      <c r="E50" s="509">
        <f>IF(+I14&lt;F49,I14,D50)</f>
        <v>23348.967741935485</v>
      </c>
      <c r="F50" s="510">
        <f t="shared" ref="F50:F73" si="19">+D50-E50</f>
        <v>37753.352296952798</v>
      </c>
      <c r="G50" s="511">
        <f t="shared" si="17"/>
        <v>28980.361839742953</v>
      </c>
      <c r="H50" s="477">
        <f t="shared" si="18"/>
        <v>28980.361839742953</v>
      </c>
      <c r="I50" s="500">
        <f t="shared" ref="I50:I73" si="20">H50-G50</f>
        <v>0</v>
      </c>
      <c r="J50" s="500"/>
      <c r="K50" s="512"/>
      <c r="L50" s="504">
        <f t="shared" ref="L50:L73" si="21">IF(K50&lt;&gt;0,+G50-K50,0)</f>
        <v>0</v>
      </c>
      <c r="M50" s="512"/>
      <c r="N50" s="504">
        <f t="shared" ref="N50:N73" si="22">IF(M50&lt;&gt;0,+H50-M50,0)</f>
        <v>0</v>
      </c>
      <c r="O50" s="504">
        <f t="shared" ref="O50:O73" si="23">+N50-L50</f>
        <v>0</v>
      </c>
      <c r="P50" s="278"/>
      <c r="R50" s="243"/>
      <c r="S50" s="243"/>
      <c r="T50" s="243"/>
      <c r="U50" s="243"/>
    </row>
    <row r="51" spans="2:21">
      <c r="B51" s="145" t="str">
        <f t="shared" si="6"/>
        <v/>
      </c>
      <c r="C51" s="495">
        <f>IF(D11="","-",+C50+1)</f>
        <v>2044</v>
      </c>
      <c r="D51" s="508">
        <f>IF(F50+SUM(E$17:E50)=D$10,F50,D$10-SUM(E$17:E50))</f>
        <v>37753.352296952798</v>
      </c>
      <c r="E51" s="509">
        <f>IF(+I14&lt;F50,I14,D51)</f>
        <v>23348.967741935485</v>
      </c>
      <c r="F51" s="510">
        <f t="shared" si="19"/>
        <v>14404.384555017314</v>
      </c>
      <c r="G51" s="511">
        <f t="shared" si="17"/>
        <v>26320.175812478225</v>
      </c>
      <c r="H51" s="477">
        <f t="shared" si="18"/>
        <v>26320.175812478225</v>
      </c>
      <c r="I51" s="500">
        <f t="shared" si="20"/>
        <v>0</v>
      </c>
      <c r="J51" s="500"/>
      <c r="K51" s="512"/>
      <c r="L51" s="504">
        <f t="shared" si="21"/>
        <v>0</v>
      </c>
      <c r="M51" s="512"/>
      <c r="N51" s="504">
        <f t="shared" si="22"/>
        <v>0</v>
      </c>
      <c r="O51" s="504">
        <f t="shared" si="23"/>
        <v>0</v>
      </c>
      <c r="P51" s="278"/>
      <c r="R51" s="243"/>
      <c r="S51" s="243"/>
      <c r="T51" s="243"/>
      <c r="U51" s="243"/>
    </row>
    <row r="52" spans="2:21">
      <c r="B52" s="145" t="str">
        <f t="shared" si="6"/>
        <v/>
      </c>
      <c r="C52" s="495">
        <f>IF(D11="","-",+C51+1)</f>
        <v>2045</v>
      </c>
      <c r="D52" s="508">
        <f>IF(F51+SUM(E$17:E51)=D$10,F51,D$10-SUM(E$17:E51))</f>
        <v>14404.384555017314</v>
      </c>
      <c r="E52" s="509">
        <f>IF(+I14&lt;F51,I14,D52)</f>
        <v>14404.384555017314</v>
      </c>
      <c r="F52" s="510">
        <f t="shared" si="19"/>
        <v>0</v>
      </c>
      <c r="G52" s="511">
        <f t="shared" si="17"/>
        <v>15224.942083472501</v>
      </c>
      <c r="H52" s="477">
        <f t="shared" si="18"/>
        <v>15224.942083472501</v>
      </c>
      <c r="I52" s="500">
        <f t="shared" si="20"/>
        <v>0</v>
      </c>
      <c r="J52" s="500"/>
      <c r="K52" s="512"/>
      <c r="L52" s="504">
        <f t="shared" si="21"/>
        <v>0</v>
      </c>
      <c r="M52" s="512"/>
      <c r="N52" s="504">
        <f t="shared" si="22"/>
        <v>0</v>
      </c>
      <c r="O52" s="504">
        <f t="shared" si="23"/>
        <v>0</v>
      </c>
      <c r="P52" s="278"/>
      <c r="R52" s="243"/>
      <c r="S52" s="243"/>
      <c r="T52" s="243"/>
      <c r="U52" s="243"/>
    </row>
    <row r="53" spans="2:21">
      <c r="B53" s="145" t="str">
        <f t="shared" si="6"/>
        <v/>
      </c>
      <c r="C53" s="495">
        <f>IF(D11="","-",+C52+1)</f>
        <v>2046</v>
      </c>
      <c r="D53" s="508">
        <f>IF(F52+SUM(E$17:E52)=D$10,F52,D$10-SUM(E$17:E52))</f>
        <v>0</v>
      </c>
      <c r="E53" s="509">
        <f>IF(+I14&lt;F52,I14,D53)</f>
        <v>0</v>
      </c>
      <c r="F53" s="510">
        <f t="shared" si="19"/>
        <v>0</v>
      </c>
      <c r="G53" s="511">
        <f t="shared" si="17"/>
        <v>0</v>
      </c>
      <c r="H53" s="477">
        <f t="shared" si="18"/>
        <v>0</v>
      </c>
      <c r="I53" s="500">
        <f t="shared" si="20"/>
        <v>0</v>
      </c>
      <c r="J53" s="500"/>
      <c r="K53" s="512"/>
      <c r="L53" s="504">
        <f t="shared" si="21"/>
        <v>0</v>
      </c>
      <c r="M53" s="512"/>
      <c r="N53" s="504">
        <f t="shared" si="22"/>
        <v>0</v>
      </c>
      <c r="O53" s="504">
        <f t="shared" si="23"/>
        <v>0</v>
      </c>
      <c r="P53" s="278"/>
      <c r="R53" s="243"/>
      <c r="S53" s="243"/>
      <c r="T53" s="243"/>
      <c r="U53" s="243"/>
    </row>
    <row r="54" spans="2:21">
      <c r="B54" s="145" t="str">
        <f t="shared" si="6"/>
        <v/>
      </c>
      <c r="C54" s="495">
        <f>IF(D11="","-",+C53+1)</f>
        <v>2047</v>
      </c>
      <c r="D54" s="508">
        <f>IF(F53+SUM(E$17:E53)=D$10,F53,D$10-SUM(E$17:E53))</f>
        <v>0</v>
      </c>
      <c r="E54" s="509">
        <f>IF(+I14&lt;F53,I14,D54)</f>
        <v>0</v>
      </c>
      <c r="F54" s="510">
        <f t="shared" si="19"/>
        <v>0</v>
      </c>
      <c r="G54" s="511">
        <f t="shared" si="17"/>
        <v>0</v>
      </c>
      <c r="H54" s="477">
        <f t="shared" si="18"/>
        <v>0</v>
      </c>
      <c r="I54" s="500">
        <f t="shared" si="20"/>
        <v>0</v>
      </c>
      <c r="J54" s="500"/>
      <c r="K54" s="512"/>
      <c r="L54" s="504">
        <f t="shared" si="21"/>
        <v>0</v>
      </c>
      <c r="M54" s="512"/>
      <c r="N54" s="504">
        <f t="shared" si="22"/>
        <v>0</v>
      </c>
      <c r="O54" s="504">
        <f t="shared" si="23"/>
        <v>0</v>
      </c>
      <c r="P54" s="278"/>
      <c r="R54" s="243"/>
      <c r="S54" s="243"/>
      <c r="T54" s="243"/>
      <c r="U54" s="243"/>
    </row>
    <row r="55" spans="2:21">
      <c r="B55" s="145" t="str">
        <f t="shared" si="6"/>
        <v/>
      </c>
      <c r="C55" s="495">
        <f>IF(D11="","-",+C54+1)</f>
        <v>2048</v>
      </c>
      <c r="D55" s="508">
        <f>IF(F54+SUM(E$17:E54)=D$10,F54,D$10-SUM(E$17:E54))</f>
        <v>0</v>
      </c>
      <c r="E55" s="509">
        <f>IF(+I14&lt;F54,I14,D55)</f>
        <v>0</v>
      </c>
      <c r="F55" s="510">
        <f t="shared" si="19"/>
        <v>0</v>
      </c>
      <c r="G55" s="511">
        <f t="shared" si="17"/>
        <v>0</v>
      </c>
      <c r="H55" s="477">
        <f t="shared" si="18"/>
        <v>0</v>
      </c>
      <c r="I55" s="500">
        <f t="shared" si="20"/>
        <v>0</v>
      </c>
      <c r="J55" s="500"/>
      <c r="K55" s="512"/>
      <c r="L55" s="504">
        <f t="shared" si="21"/>
        <v>0</v>
      </c>
      <c r="M55" s="512"/>
      <c r="N55" s="504">
        <f t="shared" si="22"/>
        <v>0</v>
      </c>
      <c r="O55" s="504">
        <f t="shared" si="23"/>
        <v>0</v>
      </c>
      <c r="P55" s="278"/>
      <c r="R55" s="243"/>
      <c r="S55" s="243"/>
      <c r="T55" s="243"/>
      <c r="U55" s="243"/>
    </row>
    <row r="56" spans="2:21">
      <c r="B56" s="145" t="str">
        <f t="shared" si="6"/>
        <v/>
      </c>
      <c r="C56" s="495">
        <f>IF(D11="","-",+C55+1)</f>
        <v>2049</v>
      </c>
      <c r="D56" s="508">
        <f>IF(F55+SUM(E$17:E55)=D$10,F55,D$10-SUM(E$17:E55))</f>
        <v>0</v>
      </c>
      <c r="E56" s="509">
        <f>IF(+I14&lt;F55,I14,D56)</f>
        <v>0</v>
      </c>
      <c r="F56" s="510">
        <f t="shared" si="19"/>
        <v>0</v>
      </c>
      <c r="G56" s="511">
        <f t="shared" si="17"/>
        <v>0</v>
      </c>
      <c r="H56" s="477">
        <f t="shared" si="18"/>
        <v>0</v>
      </c>
      <c r="I56" s="500">
        <f t="shared" si="20"/>
        <v>0</v>
      </c>
      <c r="J56" s="500"/>
      <c r="K56" s="512"/>
      <c r="L56" s="504">
        <f t="shared" si="21"/>
        <v>0</v>
      </c>
      <c r="M56" s="512"/>
      <c r="N56" s="504">
        <f t="shared" si="22"/>
        <v>0</v>
      </c>
      <c r="O56" s="504">
        <f t="shared" si="23"/>
        <v>0</v>
      </c>
      <c r="P56" s="278"/>
      <c r="R56" s="243"/>
      <c r="S56" s="243"/>
      <c r="T56" s="243"/>
      <c r="U56" s="243"/>
    </row>
    <row r="57" spans="2:21">
      <c r="B57" s="145" t="str">
        <f t="shared" si="6"/>
        <v/>
      </c>
      <c r="C57" s="495">
        <f>IF(D11="","-",+C56+1)</f>
        <v>2050</v>
      </c>
      <c r="D57" s="508">
        <f>IF(F56+SUM(E$17:E56)=D$10,F56,D$10-SUM(E$17:E56))</f>
        <v>0</v>
      </c>
      <c r="E57" s="509">
        <f>IF(+I14&lt;F56,I14,D57)</f>
        <v>0</v>
      </c>
      <c r="F57" s="510">
        <f t="shared" si="19"/>
        <v>0</v>
      </c>
      <c r="G57" s="511">
        <f t="shared" si="17"/>
        <v>0</v>
      </c>
      <c r="H57" s="477">
        <f t="shared" si="18"/>
        <v>0</v>
      </c>
      <c r="I57" s="500">
        <f t="shared" si="20"/>
        <v>0</v>
      </c>
      <c r="J57" s="500"/>
      <c r="K57" s="512"/>
      <c r="L57" s="504">
        <f t="shared" si="21"/>
        <v>0</v>
      </c>
      <c r="M57" s="512"/>
      <c r="N57" s="504">
        <f t="shared" si="22"/>
        <v>0</v>
      </c>
      <c r="O57" s="504">
        <f t="shared" si="23"/>
        <v>0</v>
      </c>
      <c r="P57" s="278"/>
      <c r="R57" s="243"/>
      <c r="S57" s="243"/>
      <c r="T57" s="243"/>
      <c r="U57" s="243"/>
    </row>
    <row r="58" spans="2:21">
      <c r="B58" s="145" t="str">
        <f t="shared" si="6"/>
        <v/>
      </c>
      <c r="C58" s="495">
        <f>IF(D11="","-",+C57+1)</f>
        <v>2051</v>
      </c>
      <c r="D58" s="508">
        <f>IF(F57+SUM(E$17:E57)=D$10,F57,D$10-SUM(E$17:E57))</f>
        <v>0</v>
      </c>
      <c r="E58" s="509">
        <f>IF(+I14&lt;F57,I14,D58)</f>
        <v>0</v>
      </c>
      <c r="F58" s="510">
        <f t="shared" si="19"/>
        <v>0</v>
      </c>
      <c r="G58" s="511">
        <f t="shared" si="17"/>
        <v>0</v>
      </c>
      <c r="H58" s="477">
        <f t="shared" si="18"/>
        <v>0</v>
      </c>
      <c r="I58" s="500">
        <f t="shared" si="20"/>
        <v>0</v>
      </c>
      <c r="J58" s="500"/>
      <c r="K58" s="512"/>
      <c r="L58" s="504">
        <f t="shared" si="21"/>
        <v>0</v>
      </c>
      <c r="M58" s="512"/>
      <c r="N58" s="504">
        <f t="shared" si="22"/>
        <v>0</v>
      </c>
      <c r="O58" s="504">
        <f t="shared" si="23"/>
        <v>0</v>
      </c>
      <c r="P58" s="278"/>
      <c r="R58" s="243"/>
      <c r="S58" s="243"/>
      <c r="T58" s="243"/>
      <c r="U58" s="243"/>
    </row>
    <row r="59" spans="2:21">
      <c r="B59" s="145" t="str">
        <f t="shared" si="6"/>
        <v/>
      </c>
      <c r="C59" s="495">
        <f>IF(D11="","-",+C58+1)</f>
        <v>2052</v>
      </c>
      <c r="D59" s="508">
        <f>IF(F58+SUM(E$17:E58)=D$10,F58,D$10-SUM(E$17:E58))</f>
        <v>0</v>
      </c>
      <c r="E59" s="509">
        <f>IF(+I14&lt;F58,I14,D59)</f>
        <v>0</v>
      </c>
      <c r="F59" s="510">
        <f t="shared" si="19"/>
        <v>0</v>
      </c>
      <c r="G59" s="511">
        <f t="shared" si="17"/>
        <v>0</v>
      </c>
      <c r="H59" s="477">
        <f t="shared" si="18"/>
        <v>0</v>
      </c>
      <c r="I59" s="500">
        <f t="shared" si="20"/>
        <v>0</v>
      </c>
      <c r="J59" s="500"/>
      <c r="K59" s="512"/>
      <c r="L59" s="504">
        <f t="shared" si="21"/>
        <v>0</v>
      </c>
      <c r="M59" s="512"/>
      <c r="N59" s="504">
        <f t="shared" si="22"/>
        <v>0</v>
      </c>
      <c r="O59" s="504">
        <f t="shared" si="23"/>
        <v>0</v>
      </c>
      <c r="P59" s="278"/>
      <c r="R59" s="243"/>
      <c r="S59" s="243"/>
      <c r="T59" s="243"/>
      <c r="U59" s="243"/>
    </row>
    <row r="60" spans="2:21">
      <c r="B60" s="145" t="str">
        <f t="shared" si="6"/>
        <v/>
      </c>
      <c r="C60" s="495">
        <f>IF(D11="","-",+C59+1)</f>
        <v>2053</v>
      </c>
      <c r="D60" s="508">
        <f>IF(F59+SUM(E$17:E59)=D$10,F59,D$10-SUM(E$17:E59))</f>
        <v>0</v>
      </c>
      <c r="E60" s="509">
        <f>IF(+I14&lt;F59,I14,D60)</f>
        <v>0</v>
      </c>
      <c r="F60" s="510">
        <f t="shared" si="19"/>
        <v>0</v>
      </c>
      <c r="G60" s="511">
        <f t="shared" si="17"/>
        <v>0</v>
      </c>
      <c r="H60" s="477">
        <f t="shared" si="18"/>
        <v>0</v>
      </c>
      <c r="I60" s="500">
        <f t="shared" si="20"/>
        <v>0</v>
      </c>
      <c r="J60" s="500"/>
      <c r="K60" s="512"/>
      <c r="L60" s="504">
        <f t="shared" si="21"/>
        <v>0</v>
      </c>
      <c r="M60" s="512"/>
      <c r="N60" s="504">
        <f t="shared" si="22"/>
        <v>0</v>
      </c>
      <c r="O60" s="504">
        <f t="shared" si="23"/>
        <v>0</v>
      </c>
      <c r="P60" s="278"/>
      <c r="R60" s="243"/>
      <c r="S60" s="243"/>
      <c r="T60" s="243"/>
      <c r="U60" s="243"/>
    </row>
    <row r="61" spans="2:21">
      <c r="B61" s="145" t="str">
        <f t="shared" si="6"/>
        <v/>
      </c>
      <c r="C61" s="495">
        <f>IF(D11="","-",+C60+1)</f>
        <v>2054</v>
      </c>
      <c r="D61" s="508">
        <f>IF(F60+SUM(E$17:E60)=D$10,F60,D$10-SUM(E$17:E60))</f>
        <v>0</v>
      </c>
      <c r="E61" s="509">
        <f>IF(+I14&lt;F60,I14,D61)</f>
        <v>0</v>
      </c>
      <c r="F61" s="510">
        <f t="shared" si="19"/>
        <v>0</v>
      </c>
      <c r="G61" s="511">
        <f t="shared" si="17"/>
        <v>0</v>
      </c>
      <c r="H61" s="477">
        <f t="shared" si="18"/>
        <v>0</v>
      </c>
      <c r="I61" s="500">
        <f t="shared" si="20"/>
        <v>0</v>
      </c>
      <c r="J61" s="500"/>
      <c r="K61" s="512"/>
      <c r="L61" s="504">
        <f t="shared" si="21"/>
        <v>0</v>
      </c>
      <c r="M61" s="512"/>
      <c r="N61" s="504">
        <f t="shared" si="22"/>
        <v>0</v>
      </c>
      <c r="O61" s="504">
        <f t="shared" si="23"/>
        <v>0</v>
      </c>
      <c r="P61" s="278"/>
      <c r="R61" s="243"/>
      <c r="S61" s="243"/>
      <c r="T61" s="243"/>
      <c r="U61" s="243"/>
    </row>
    <row r="62" spans="2:21">
      <c r="B62" s="145" t="str">
        <f t="shared" si="6"/>
        <v/>
      </c>
      <c r="C62" s="495">
        <f>IF(D11="","-",+C61+1)</f>
        <v>2055</v>
      </c>
      <c r="D62" s="508">
        <f>IF(F61+SUM(E$17:E61)=D$10,F61,D$10-SUM(E$17:E61))</f>
        <v>0</v>
      </c>
      <c r="E62" s="509">
        <f>IF(+I14&lt;F61,I14,D62)</f>
        <v>0</v>
      </c>
      <c r="F62" s="510">
        <f t="shared" si="19"/>
        <v>0</v>
      </c>
      <c r="G62" s="523">
        <f t="shared" si="17"/>
        <v>0</v>
      </c>
      <c r="H62" s="477">
        <f t="shared" si="18"/>
        <v>0</v>
      </c>
      <c r="I62" s="500">
        <f t="shared" si="20"/>
        <v>0</v>
      </c>
      <c r="J62" s="500"/>
      <c r="K62" s="512"/>
      <c r="L62" s="504">
        <f t="shared" si="21"/>
        <v>0</v>
      </c>
      <c r="M62" s="512"/>
      <c r="N62" s="504">
        <f t="shared" si="22"/>
        <v>0</v>
      </c>
      <c r="O62" s="504">
        <f t="shared" si="23"/>
        <v>0</v>
      </c>
      <c r="P62" s="278"/>
      <c r="R62" s="243"/>
      <c r="S62" s="243"/>
      <c r="T62" s="243"/>
      <c r="U62" s="243"/>
    </row>
    <row r="63" spans="2:21">
      <c r="B63" s="145" t="str">
        <f t="shared" si="6"/>
        <v/>
      </c>
      <c r="C63" s="495">
        <f>IF(D11="","-",+C62+1)</f>
        <v>2056</v>
      </c>
      <c r="D63" s="508">
        <f>IF(F62+SUM(E$17:E62)=D$10,F62,D$10-SUM(E$17:E62))</f>
        <v>0</v>
      </c>
      <c r="E63" s="509">
        <f>IF(+I14&lt;F62,I14,D63)</f>
        <v>0</v>
      </c>
      <c r="F63" s="510">
        <f t="shared" si="19"/>
        <v>0</v>
      </c>
      <c r="G63" s="523">
        <f t="shared" si="17"/>
        <v>0</v>
      </c>
      <c r="H63" s="477">
        <f t="shared" si="18"/>
        <v>0</v>
      </c>
      <c r="I63" s="500">
        <f t="shared" si="20"/>
        <v>0</v>
      </c>
      <c r="J63" s="500"/>
      <c r="K63" s="512"/>
      <c r="L63" s="504">
        <f t="shared" si="21"/>
        <v>0</v>
      </c>
      <c r="M63" s="512"/>
      <c r="N63" s="504">
        <f t="shared" si="22"/>
        <v>0</v>
      </c>
      <c r="O63" s="504">
        <f t="shared" si="23"/>
        <v>0</v>
      </c>
      <c r="P63" s="278"/>
      <c r="R63" s="243"/>
      <c r="S63" s="243"/>
      <c r="T63" s="243"/>
      <c r="U63" s="243"/>
    </row>
    <row r="64" spans="2:21">
      <c r="B64" s="145" t="str">
        <f t="shared" si="6"/>
        <v/>
      </c>
      <c r="C64" s="495">
        <f>IF(D11="","-",+C63+1)</f>
        <v>2057</v>
      </c>
      <c r="D64" s="508">
        <f>IF(F63+SUM(E$17:E63)=D$10,F63,D$10-SUM(E$17:E63))</f>
        <v>0</v>
      </c>
      <c r="E64" s="509">
        <f>IF(+I14&lt;F63,I14,D64)</f>
        <v>0</v>
      </c>
      <c r="F64" s="510">
        <f t="shared" si="19"/>
        <v>0</v>
      </c>
      <c r="G64" s="523">
        <f t="shared" si="17"/>
        <v>0</v>
      </c>
      <c r="H64" s="477">
        <f t="shared" si="18"/>
        <v>0</v>
      </c>
      <c r="I64" s="500">
        <f t="shared" si="20"/>
        <v>0</v>
      </c>
      <c r="J64" s="500"/>
      <c r="K64" s="512"/>
      <c r="L64" s="504">
        <f t="shared" si="21"/>
        <v>0</v>
      </c>
      <c r="M64" s="512"/>
      <c r="N64" s="504">
        <f t="shared" si="22"/>
        <v>0</v>
      </c>
      <c r="O64" s="504">
        <f t="shared" si="23"/>
        <v>0</v>
      </c>
      <c r="P64" s="278"/>
      <c r="R64" s="243"/>
      <c r="S64" s="243"/>
      <c r="T64" s="243"/>
      <c r="U64" s="243"/>
    </row>
    <row r="65" spans="1:21">
      <c r="B65" s="145" t="str">
        <f t="shared" si="6"/>
        <v/>
      </c>
      <c r="C65" s="495">
        <f>IF(D11="","-",+C64+1)</f>
        <v>2058</v>
      </c>
      <c r="D65" s="508">
        <f>IF(F64+SUM(E$17:E64)=D$10,F64,D$10-SUM(E$17:E64))</f>
        <v>0</v>
      </c>
      <c r="E65" s="509">
        <f>IF(+I14&lt;F64,I14,D65)</f>
        <v>0</v>
      </c>
      <c r="F65" s="510">
        <f t="shared" si="19"/>
        <v>0</v>
      </c>
      <c r="G65" s="523">
        <f t="shared" si="17"/>
        <v>0</v>
      </c>
      <c r="H65" s="477">
        <f t="shared" si="18"/>
        <v>0</v>
      </c>
      <c r="I65" s="500">
        <f t="shared" si="20"/>
        <v>0</v>
      </c>
      <c r="J65" s="500"/>
      <c r="K65" s="512"/>
      <c r="L65" s="504">
        <f t="shared" si="21"/>
        <v>0</v>
      </c>
      <c r="M65" s="512"/>
      <c r="N65" s="504">
        <f t="shared" si="22"/>
        <v>0</v>
      </c>
      <c r="O65" s="504">
        <f t="shared" si="23"/>
        <v>0</v>
      </c>
      <c r="P65" s="278"/>
      <c r="R65" s="243"/>
      <c r="S65" s="243"/>
      <c r="T65" s="243"/>
      <c r="U65" s="243"/>
    </row>
    <row r="66" spans="1:21">
      <c r="B66" s="145" t="str">
        <f t="shared" si="6"/>
        <v/>
      </c>
      <c r="C66" s="495">
        <f>IF(D11="","-",+C65+1)</f>
        <v>2059</v>
      </c>
      <c r="D66" s="508">
        <f>IF(F65+SUM(E$17:E65)=D$10,F65,D$10-SUM(E$17:E65))</f>
        <v>0</v>
      </c>
      <c r="E66" s="509">
        <f>IF(+I14&lt;F65,I14,D66)</f>
        <v>0</v>
      </c>
      <c r="F66" s="510">
        <f t="shared" si="19"/>
        <v>0</v>
      </c>
      <c r="G66" s="523">
        <f t="shared" si="17"/>
        <v>0</v>
      </c>
      <c r="H66" s="477">
        <f t="shared" si="18"/>
        <v>0</v>
      </c>
      <c r="I66" s="500">
        <f t="shared" si="20"/>
        <v>0</v>
      </c>
      <c r="J66" s="500"/>
      <c r="K66" s="512"/>
      <c r="L66" s="504">
        <f t="shared" si="21"/>
        <v>0</v>
      </c>
      <c r="M66" s="512"/>
      <c r="N66" s="504">
        <f t="shared" si="22"/>
        <v>0</v>
      </c>
      <c r="O66" s="504">
        <f t="shared" si="23"/>
        <v>0</v>
      </c>
      <c r="P66" s="278"/>
      <c r="R66" s="243"/>
      <c r="S66" s="243"/>
      <c r="T66" s="243"/>
      <c r="U66" s="243"/>
    </row>
    <row r="67" spans="1:21">
      <c r="B67" s="145" t="str">
        <f t="shared" si="6"/>
        <v/>
      </c>
      <c r="C67" s="495">
        <f>IF(D11="","-",+C66+1)</f>
        <v>2060</v>
      </c>
      <c r="D67" s="508">
        <f>IF(F66+SUM(E$17:E66)=D$10,F66,D$10-SUM(E$17:E66))</f>
        <v>0</v>
      </c>
      <c r="E67" s="509">
        <f>IF(+I14&lt;F66,I14,D67)</f>
        <v>0</v>
      </c>
      <c r="F67" s="510">
        <f t="shared" si="19"/>
        <v>0</v>
      </c>
      <c r="G67" s="523">
        <f t="shared" si="17"/>
        <v>0</v>
      </c>
      <c r="H67" s="477">
        <f t="shared" si="18"/>
        <v>0</v>
      </c>
      <c r="I67" s="500">
        <f t="shared" si="20"/>
        <v>0</v>
      </c>
      <c r="J67" s="500"/>
      <c r="K67" s="512"/>
      <c r="L67" s="504">
        <f t="shared" si="21"/>
        <v>0</v>
      </c>
      <c r="M67" s="512"/>
      <c r="N67" s="504">
        <f t="shared" si="22"/>
        <v>0</v>
      </c>
      <c r="O67" s="504">
        <f t="shared" si="23"/>
        <v>0</v>
      </c>
      <c r="P67" s="278"/>
      <c r="R67" s="243"/>
      <c r="S67" s="243"/>
      <c r="T67" s="243"/>
      <c r="U67" s="243"/>
    </row>
    <row r="68" spans="1:21">
      <c r="B68" s="145" t="str">
        <f t="shared" si="6"/>
        <v/>
      </c>
      <c r="C68" s="495">
        <f>IF(D11="","-",+C67+1)</f>
        <v>2061</v>
      </c>
      <c r="D68" s="508">
        <f>IF(F67+SUM(E$17:E67)=D$10,F67,D$10-SUM(E$17:E67))</f>
        <v>0</v>
      </c>
      <c r="E68" s="509">
        <f>IF(+I14&lt;F67,I14,D68)</f>
        <v>0</v>
      </c>
      <c r="F68" s="510">
        <f t="shared" si="19"/>
        <v>0</v>
      </c>
      <c r="G68" s="523">
        <f t="shared" si="17"/>
        <v>0</v>
      </c>
      <c r="H68" s="477">
        <f t="shared" si="18"/>
        <v>0</v>
      </c>
      <c r="I68" s="500">
        <f t="shared" si="20"/>
        <v>0</v>
      </c>
      <c r="J68" s="500"/>
      <c r="K68" s="512"/>
      <c r="L68" s="504">
        <f t="shared" si="21"/>
        <v>0</v>
      </c>
      <c r="M68" s="512"/>
      <c r="N68" s="504">
        <f t="shared" si="22"/>
        <v>0</v>
      </c>
      <c r="O68" s="504">
        <f t="shared" si="23"/>
        <v>0</v>
      </c>
      <c r="P68" s="278"/>
      <c r="R68" s="243"/>
      <c r="S68" s="243"/>
      <c r="T68" s="243"/>
      <c r="U68" s="243"/>
    </row>
    <row r="69" spans="1:21">
      <c r="B69" s="145" t="str">
        <f t="shared" si="6"/>
        <v/>
      </c>
      <c r="C69" s="495">
        <f>IF(D11="","-",+C68+1)</f>
        <v>2062</v>
      </c>
      <c r="D69" s="508">
        <f>IF(F68+SUM(E$17:E68)=D$10,F68,D$10-SUM(E$17:E68))</f>
        <v>0</v>
      </c>
      <c r="E69" s="509">
        <f>IF(+I14&lt;F68,I14,D69)</f>
        <v>0</v>
      </c>
      <c r="F69" s="510">
        <f t="shared" si="19"/>
        <v>0</v>
      </c>
      <c r="G69" s="523">
        <f t="shared" si="17"/>
        <v>0</v>
      </c>
      <c r="H69" s="477">
        <f t="shared" si="18"/>
        <v>0</v>
      </c>
      <c r="I69" s="500">
        <f t="shared" si="20"/>
        <v>0</v>
      </c>
      <c r="J69" s="500"/>
      <c r="K69" s="512"/>
      <c r="L69" s="504">
        <f t="shared" si="21"/>
        <v>0</v>
      </c>
      <c r="M69" s="512"/>
      <c r="N69" s="504">
        <f t="shared" si="22"/>
        <v>0</v>
      </c>
      <c r="O69" s="504">
        <f t="shared" si="23"/>
        <v>0</v>
      </c>
      <c r="P69" s="278"/>
      <c r="R69" s="243"/>
      <c r="S69" s="243"/>
      <c r="T69" s="243"/>
      <c r="U69" s="243"/>
    </row>
    <row r="70" spans="1:21">
      <c r="B70" s="145" t="str">
        <f t="shared" si="6"/>
        <v/>
      </c>
      <c r="C70" s="495">
        <f>IF(D11="","-",+C69+1)</f>
        <v>2063</v>
      </c>
      <c r="D70" s="508">
        <f>IF(F69+SUM(E$17:E69)=D$10,F69,D$10-SUM(E$17:E69))</f>
        <v>0</v>
      </c>
      <c r="E70" s="509">
        <f>IF(+I14&lt;F69,I14,D70)</f>
        <v>0</v>
      </c>
      <c r="F70" s="510">
        <f t="shared" si="19"/>
        <v>0</v>
      </c>
      <c r="G70" s="523">
        <f t="shared" si="17"/>
        <v>0</v>
      </c>
      <c r="H70" s="477">
        <f t="shared" si="18"/>
        <v>0</v>
      </c>
      <c r="I70" s="500">
        <f t="shared" si="20"/>
        <v>0</v>
      </c>
      <c r="J70" s="500"/>
      <c r="K70" s="512"/>
      <c r="L70" s="504">
        <f t="shared" si="21"/>
        <v>0</v>
      </c>
      <c r="M70" s="512"/>
      <c r="N70" s="504">
        <f t="shared" si="22"/>
        <v>0</v>
      </c>
      <c r="O70" s="504">
        <f t="shared" si="23"/>
        <v>0</v>
      </c>
      <c r="P70" s="278"/>
      <c r="R70" s="243"/>
      <c r="S70" s="243"/>
      <c r="T70" s="243"/>
      <c r="U70" s="243"/>
    </row>
    <row r="71" spans="1:21">
      <c r="B71" s="145" t="str">
        <f t="shared" si="6"/>
        <v/>
      </c>
      <c r="C71" s="495">
        <f>IF(D11="","-",+C70+1)</f>
        <v>2064</v>
      </c>
      <c r="D71" s="508">
        <f>IF(F70+SUM(E$17:E70)=D$10,F70,D$10-SUM(E$17:E70))</f>
        <v>0</v>
      </c>
      <c r="E71" s="509">
        <f>IF(+I14&lt;F70,I14,D71)</f>
        <v>0</v>
      </c>
      <c r="F71" s="510">
        <f t="shared" si="19"/>
        <v>0</v>
      </c>
      <c r="G71" s="523">
        <f t="shared" si="17"/>
        <v>0</v>
      </c>
      <c r="H71" s="477">
        <f t="shared" si="18"/>
        <v>0</v>
      </c>
      <c r="I71" s="500">
        <f t="shared" si="20"/>
        <v>0</v>
      </c>
      <c r="J71" s="500"/>
      <c r="K71" s="512"/>
      <c r="L71" s="504">
        <f t="shared" si="21"/>
        <v>0</v>
      </c>
      <c r="M71" s="512"/>
      <c r="N71" s="504">
        <f t="shared" si="22"/>
        <v>0</v>
      </c>
      <c r="O71" s="504">
        <f t="shared" si="23"/>
        <v>0</v>
      </c>
      <c r="P71" s="278"/>
      <c r="R71" s="243"/>
      <c r="S71" s="243"/>
      <c r="T71" s="243"/>
      <c r="U71" s="243"/>
    </row>
    <row r="72" spans="1:21">
      <c r="B72" s="145" t="str">
        <f t="shared" si="6"/>
        <v/>
      </c>
      <c r="C72" s="495">
        <f>IF(D11="","-",+C71+1)</f>
        <v>2065</v>
      </c>
      <c r="D72" s="508">
        <f>IF(F71+SUM(E$17:E71)=D$10,F71,D$10-SUM(E$17:E71))</f>
        <v>0</v>
      </c>
      <c r="E72" s="509">
        <f>IF(+I14&lt;F71,I14,D72)</f>
        <v>0</v>
      </c>
      <c r="F72" s="510">
        <f t="shared" si="19"/>
        <v>0</v>
      </c>
      <c r="G72" s="523">
        <f t="shared" si="17"/>
        <v>0</v>
      </c>
      <c r="H72" s="477">
        <f t="shared" si="18"/>
        <v>0</v>
      </c>
      <c r="I72" s="500">
        <f t="shared" si="20"/>
        <v>0</v>
      </c>
      <c r="J72" s="500"/>
      <c r="K72" s="512"/>
      <c r="L72" s="504">
        <f t="shared" si="21"/>
        <v>0</v>
      </c>
      <c r="M72" s="512"/>
      <c r="N72" s="504">
        <f t="shared" si="22"/>
        <v>0</v>
      </c>
      <c r="O72" s="504">
        <f t="shared" si="23"/>
        <v>0</v>
      </c>
      <c r="P72" s="278"/>
      <c r="R72" s="243"/>
      <c r="S72" s="243"/>
      <c r="T72" s="243"/>
      <c r="U72" s="243"/>
    </row>
    <row r="73" spans="1:21" ht="13.5" thickBot="1">
      <c r="B73" s="145" t="str">
        <f t="shared" si="6"/>
        <v/>
      </c>
      <c r="C73" s="524">
        <f>IF(D11="","-",+C72+1)</f>
        <v>2066</v>
      </c>
      <c r="D73" s="525">
        <f>IF(F72+SUM(E$17:E72)=D$10,F72,D$10-SUM(E$17:E72))</f>
        <v>0</v>
      </c>
      <c r="E73" s="526">
        <f>IF(+I14&lt;F72,I14,D73)</f>
        <v>0</v>
      </c>
      <c r="F73" s="527">
        <f t="shared" si="19"/>
        <v>0</v>
      </c>
      <c r="G73" s="528">
        <f t="shared" si="17"/>
        <v>0</v>
      </c>
      <c r="H73" s="458">
        <f t="shared" si="18"/>
        <v>0</v>
      </c>
      <c r="I73" s="529">
        <f t="shared" si="20"/>
        <v>0</v>
      </c>
      <c r="J73" s="500"/>
      <c r="K73" s="530"/>
      <c r="L73" s="531">
        <f t="shared" si="21"/>
        <v>0</v>
      </c>
      <c r="M73" s="530"/>
      <c r="N73" s="531">
        <f t="shared" si="22"/>
        <v>0</v>
      </c>
      <c r="O73" s="531">
        <f t="shared" si="23"/>
        <v>0</v>
      </c>
      <c r="P73" s="278"/>
      <c r="R73" s="243"/>
      <c r="S73" s="243"/>
      <c r="T73" s="243"/>
      <c r="U73" s="243"/>
    </row>
    <row r="74" spans="1:21">
      <c r="C74" s="349" t="s">
        <v>75</v>
      </c>
      <c r="D74" s="294"/>
      <c r="E74" s="294">
        <f>SUM(E17:E73)</f>
        <v>723818.00000000035</v>
      </c>
      <c r="F74" s="294"/>
      <c r="G74" s="294">
        <f>SUM(G17:G73)</f>
        <v>2338714.4477367103</v>
      </c>
      <c r="H74" s="294">
        <f>SUM(H17:H73)</f>
        <v>2338714.4477367103</v>
      </c>
      <c r="I74" s="294">
        <f>SUM(I17:I73)</f>
        <v>0</v>
      </c>
      <c r="J74" s="294"/>
      <c r="K74" s="294"/>
      <c r="L74" s="294"/>
      <c r="M74" s="294"/>
      <c r="N74" s="294"/>
      <c r="O74" s="278"/>
      <c r="P74" s="278"/>
      <c r="R74" s="243"/>
      <c r="S74" s="243"/>
      <c r="T74" s="243"/>
      <c r="U74" s="243"/>
    </row>
    <row r="75" spans="1:21">
      <c r="D75" s="292"/>
      <c r="E75" s="243"/>
      <c r="F75" s="243"/>
      <c r="G75" s="243"/>
      <c r="H75" s="325"/>
      <c r="I75" s="325"/>
      <c r="J75" s="294"/>
      <c r="K75" s="325"/>
      <c r="L75" s="325"/>
      <c r="M75" s="325"/>
      <c r="N75" s="325"/>
      <c r="O75" s="243"/>
      <c r="P75" s="243"/>
      <c r="R75" s="243"/>
      <c r="S75" s="243"/>
      <c r="T75" s="243"/>
      <c r="U75" s="243"/>
    </row>
    <row r="76" spans="1:21">
      <c r="C76" s="532" t="s">
        <v>95</v>
      </c>
      <c r="D76" s="292"/>
      <c r="E76" s="243"/>
      <c r="F76" s="243"/>
      <c r="G76" s="243"/>
      <c r="H76" s="325"/>
      <c r="I76" s="325"/>
      <c r="J76" s="294"/>
      <c r="K76" s="325"/>
      <c r="L76" s="325"/>
      <c r="M76" s="325"/>
      <c r="N76" s="325"/>
      <c r="O76" s="243"/>
      <c r="P76" s="243"/>
      <c r="R76" s="243"/>
      <c r="S76" s="243"/>
      <c r="T76" s="243"/>
      <c r="U76" s="243"/>
    </row>
    <row r="77" spans="1:21">
      <c r="C77" s="454" t="s">
        <v>76</v>
      </c>
      <c r="D77" s="292"/>
      <c r="E77" s="243"/>
      <c r="F77" s="243"/>
      <c r="G77" s="243"/>
      <c r="H77" s="325"/>
      <c r="I77" s="325"/>
      <c r="J77" s="294"/>
      <c r="K77" s="325"/>
      <c r="L77" s="325"/>
      <c r="M77" s="325"/>
      <c r="N77" s="325"/>
      <c r="O77" s="278"/>
      <c r="P77" s="278"/>
      <c r="R77" s="243"/>
      <c r="S77" s="243"/>
      <c r="T77" s="243"/>
      <c r="U77" s="243"/>
    </row>
    <row r="78" spans="1:21" ht="18">
      <c r="C78" s="454" t="s">
        <v>77</v>
      </c>
      <c r="D78" s="349"/>
      <c r="E78" s="349"/>
      <c r="F78" s="349"/>
      <c r="G78" s="294"/>
      <c r="H78" s="294"/>
      <c r="I78" s="350"/>
      <c r="J78" s="350"/>
      <c r="K78" s="350"/>
      <c r="L78" s="350"/>
      <c r="M78" s="350"/>
      <c r="N78" s="350"/>
      <c r="O78" s="533"/>
      <c r="P78" s="278"/>
      <c r="R78" s="243"/>
      <c r="S78" s="243"/>
      <c r="T78" s="243"/>
      <c r="U78" s="243"/>
    </row>
    <row r="79" spans="1:21">
      <c r="C79" s="454"/>
      <c r="D79" s="349"/>
      <c r="E79" s="349"/>
      <c r="F79" s="349"/>
      <c r="G79" s="294"/>
      <c r="H79" s="294"/>
      <c r="I79" s="350"/>
      <c r="J79" s="350"/>
      <c r="K79" s="350"/>
      <c r="L79" s="350"/>
      <c r="M79" s="350"/>
      <c r="N79" s="350"/>
      <c r="O79" s="278"/>
      <c r="P79" s="243"/>
      <c r="R79" s="243"/>
      <c r="S79" s="243"/>
      <c r="T79" s="243"/>
      <c r="U79" s="243"/>
    </row>
    <row r="80" spans="1:21" ht="15">
      <c r="A80" s="534"/>
      <c r="B80" s="243"/>
      <c r="C80" s="248"/>
      <c r="D80" s="292"/>
      <c r="E80" s="243"/>
      <c r="F80" s="347"/>
      <c r="G80" s="243"/>
      <c r="H80" s="325"/>
      <c r="I80" s="243"/>
      <c r="J80" s="278"/>
      <c r="K80" s="243"/>
      <c r="L80" s="243"/>
      <c r="M80" s="243"/>
      <c r="N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535"/>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1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84115.442190341273</v>
      </c>
      <c r="N88" s="544">
        <f>IF(J93&lt;D11,0,VLOOKUP(J93,C17:O73,11))</f>
        <v>84115.442190341273</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93394.372694725258</v>
      </c>
      <c r="N89" s="548">
        <f>IF(J93&lt;D11,0,VLOOKUP(J93,C100:P155,7))</f>
        <v>93394.372694725258</v>
      </c>
      <c r="O89" s="549">
        <f>+N89-M89</f>
        <v>0</v>
      </c>
      <c r="P89" s="243"/>
      <c r="Q89" s="243"/>
      <c r="R89" s="243"/>
      <c r="S89" s="243"/>
      <c r="T89" s="243"/>
      <c r="U89" s="243"/>
    </row>
    <row r="90" spans="1:21" ht="13.5" thickBot="1">
      <c r="C90" s="454" t="s">
        <v>82</v>
      </c>
      <c r="D90" s="550" t="str">
        <f>+D7</f>
        <v>Snyder 138 kV Terminal Addition</v>
      </c>
      <c r="E90" s="243"/>
      <c r="F90" s="243"/>
      <c r="G90" s="243"/>
      <c r="H90" s="243"/>
      <c r="I90" s="325"/>
      <c r="J90" s="325"/>
      <c r="K90" s="551"/>
      <c r="L90" s="552" t="s">
        <v>135</v>
      </c>
      <c r="M90" s="553">
        <f>+M89-M88</f>
        <v>9278.930504383985</v>
      </c>
      <c r="N90" s="553">
        <f>+N89-N88</f>
        <v>9278.930504383985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TP2009013</v>
      </c>
      <c r="E92" s="558"/>
      <c r="F92" s="558"/>
      <c r="G92" s="558"/>
      <c r="H92" s="558"/>
      <c r="I92" s="558"/>
      <c r="J92" s="559"/>
      <c r="K92" s="560"/>
      <c r="P92" s="468"/>
      <c r="Q92" s="243"/>
      <c r="R92" s="243"/>
      <c r="S92" s="243"/>
      <c r="T92" s="243"/>
      <c r="U92" s="243"/>
    </row>
    <row r="93" spans="1:21">
      <c r="C93" s="472" t="s">
        <v>49</v>
      </c>
      <c r="D93" s="470">
        <f>IF(D11=I10,0,D10)</f>
        <v>723818</v>
      </c>
      <c r="E93" s="248" t="s">
        <v>84</v>
      </c>
      <c r="H93" s="408"/>
      <c r="I93" s="408"/>
      <c r="J93" s="471">
        <f>+'OKT.WS.G.BPU.ATRR.True-up'!M16</f>
        <v>2021</v>
      </c>
      <c r="K93" s="467"/>
      <c r="L93" s="294" t="s">
        <v>85</v>
      </c>
      <c r="P93" s="278"/>
      <c r="Q93" s="243"/>
      <c r="R93" s="243"/>
      <c r="S93" s="243"/>
      <c r="T93" s="243"/>
      <c r="U93" s="243"/>
    </row>
    <row r="94" spans="1:21">
      <c r="C94" s="472" t="s">
        <v>52</v>
      </c>
      <c r="D94" s="561">
        <f>D11</f>
        <v>2010</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12</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f>+D14</f>
        <v>0</v>
      </c>
      <c r="E97" s="563" t="s">
        <v>62</v>
      </c>
      <c r="F97" s="564"/>
      <c r="G97" s="564"/>
      <c r="H97" s="565"/>
      <c r="I97" s="565"/>
      <c r="J97" s="458">
        <f>IF(D93=0,0,D93/D96)</f>
        <v>28952.720000000001</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IF(D100=F99,"","IU")</f>
        <v>IU</v>
      </c>
      <c r="C100" s="495">
        <f>IF(D94= "","-",D94)</f>
        <v>2010</v>
      </c>
      <c r="D100" s="496">
        <v>0</v>
      </c>
      <c r="E100" s="498">
        <v>0</v>
      </c>
      <c r="F100" s="505">
        <v>634790</v>
      </c>
      <c r="G100" s="571">
        <v>317395</v>
      </c>
      <c r="H100" s="571">
        <v>107896.39563165967</v>
      </c>
      <c r="I100" s="571">
        <v>107896.39563165967</v>
      </c>
      <c r="J100" s="504">
        <f t="shared" ref="J100:J131" si="24">+I100-H100</f>
        <v>0</v>
      </c>
      <c r="K100" s="504"/>
      <c r="L100" s="506">
        <f t="shared" ref="L100:L105" si="25">H100</f>
        <v>107896.39563165967</v>
      </c>
      <c r="M100" s="507">
        <f>IF(L100&lt;&gt;0,+H100-L100,0)</f>
        <v>0</v>
      </c>
      <c r="N100" s="506">
        <f t="shared" ref="N100:N105" si="26">I100</f>
        <v>107896.39563165967</v>
      </c>
      <c r="O100" s="503">
        <f t="shared" ref="O100:O131" si="27">IF(N100&lt;&gt;0,+I100-N100,0)</f>
        <v>0</v>
      </c>
      <c r="P100" s="503">
        <f t="shared" ref="P100:P131" si="28">+O100-M100</f>
        <v>0</v>
      </c>
      <c r="Q100" s="243"/>
      <c r="R100" s="243"/>
      <c r="S100" s="243"/>
      <c r="T100" s="243"/>
      <c r="U100" s="243"/>
    </row>
    <row r="101" spans="1:21">
      <c r="B101" s="145" t="str">
        <f t="shared" ref="B101:B155" si="29">IF(D101=F100,"","IU")</f>
        <v/>
      </c>
      <c r="C101" s="495">
        <f>IF(D94="","-",+C100+1)</f>
        <v>2011</v>
      </c>
      <c r="D101" s="496">
        <v>634790</v>
      </c>
      <c r="E101" s="498">
        <v>12180.958103448274</v>
      </c>
      <c r="F101" s="505">
        <v>622609.04189655173</v>
      </c>
      <c r="G101" s="505">
        <v>628699.52094827592</v>
      </c>
      <c r="H101" s="498">
        <v>58926.291922257748</v>
      </c>
      <c r="I101" s="499">
        <v>58926.291922257748</v>
      </c>
      <c r="J101" s="504">
        <v>0</v>
      </c>
      <c r="K101" s="504"/>
      <c r="L101" s="506">
        <f t="shared" si="25"/>
        <v>58926.291922257748</v>
      </c>
      <c r="M101" s="504">
        <f t="shared" ref="M101:M131" si="30">IF(L101&lt;&gt;0,+H101-L101,0)</f>
        <v>0</v>
      </c>
      <c r="N101" s="506">
        <f t="shared" si="26"/>
        <v>58926.291922257748</v>
      </c>
      <c r="O101" s="504">
        <f t="shared" si="27"/>
        <v>0</v>
      </c>
      <c r="P101" s="504">
        <f t="shared" si="28"/>
        <v>0</v>
      </c>
      <c r="Q101" s="243"/>
      <c r="R101" s="243"/>
      <c r="S101" s="243"/>
      <c r="T101" s="243"/>
      <c r="U101" s="243"/>
    </row>
    <row r="102" spans="1:21">
      <c r="B102" s="145" t="str">
        <f t="shared" si="29"/>
        <v>IU</v>
      </c>
      <c r="C102" s="495">
        <f>IF(D94="","-",+C101+1)</f>
        <v>2012</v>
      </c>
      <c r="D102" s="496">
        <v>711637.04189655173</v>
      </c>
      <c r="E102" s="498">
        <v>12479.620689655172</v>
      </c>
      <c r="F102" s="505">
        <v>699157.42120689654</v>
      </c>
      <c r="G102" s="505">
        <v>705397.23155172414</v>
      </c>
      <c r="H102" s="498">
        <v>83971.238209738236</v>
      </c>
      <c r="I102" s="499">
        <v>83971.238209738236</v>
      </c>
      <c r="J102" s="504">
        <v>0</v>
      </c>
      <c r="K102" s="504"/>
      <c r="L102" s="506">
        <f t="shared" si="25"/>
        <v>83971.238209738236</v>
      </c>
      <c r="M102" s="504">
        <f t="shared" ref="M102:M107" si="31">IF(L102&lt;&gt;0,+H102-L102,0)</f>
        <v>0</v>
      </c>
      <c r="N102" s="506">
        <f t="shared" si="26"/>
        <v>83971.238209738236</v>
      </c>
      <c r="O102" s="504">
        <f>IF(N102&lt;&gt;0,+I102-N102,0)</f>
        <v>0</v>
      </c>
      <c r="P102" s="504">
        <f>+O102-M102</f>
        <v>0</v>
      </c>
      <c r="Q102" s="243"/>
      <c r="R102" s="243"/>
      <c r="S102" s="243"/>
      <c r="T102" s="243"/>
      <c r="U102" s="243"/>
    </row>
    <row r="103" spans="1:21">
      <c r="B103" s="145" t="str">
        <f t="shared" si="29"/>
        <v/>
      </c>
      <c r="C103" s="495">
        <f>IF(D94="","-",+C102+1)</f>
        <v>2013</v>
      </c>
      <c r="D103" s="496">
        <v>699157.42120689654</v>
      </c>
      <c r="E103" s="498">
        <v>12479.620689655172</v>
      </c>
      <c r="F103" s="505">
        <v>686677.80051724135</v>
      </c>
      <c r="G103" s="505">
        <v>692917.61086206895</v>
      </c>
      <c r="H103" s="498">
        <v>91236.605288625666</v>
      </c>
      <c r="I103" s="499">
        <v>91236.605288625666</v>
      </c>
      <c r="J103" s="504">
        <v>0</v>
      </c>
      <c r="K103" s="504"/>
      <c r="L103" s="506">
        <f t="shared" si="25"/>
        <v>91236.605288625666</v>
      </c>
      <c r="M103" s="504">
        <f t="shared" si="31"/>
        <v>0</v>
      </c>
      <c r="N103" s="506">
        <f t="shared" si="26"/>
        <v>91236.605288625666</v>
      </c>
      <c r="O103" s="504">
        <f>IF(N103&lt;&gt;0,+I103-N103,0)</f>
        <v>0</v>
      </c>
      <c r="P103" s="504">
        <f>+O103-M103</f>
        <v>0</v>
      </c>
      <c r="Q103" s="243"/>
      <c r="R103" s="243"/>
      <c r="S103" s="243"/>
      <c r="T103" s="243"/>
      <c r="U103" s="243"/>
    </row>
    <row r="104" spans="1:21">
      <c r="B104" s="145" t="str">
        <f t="shared" si="29"/>
        <v/>
      </c>
      <c r="C104" s="495">
        <f>IF(D94="","-",+C103+1)</f>
        <v>2014</v>
      </c>
      <c r="D104" s="496">
        <v>686677.80051724135</v>
      </c>
      <c r="E104" s="498">
        <v>12479.620689655172</v>
      </c>
      <c r="F104" s="505">
        <v>674198.17982758617</v>
      </c>
      <c r="G104" s="505">
        <v>680437.99017241376</v>
      </c>
      <c r="H104" s="498">
        <v>85656.254524456934</v>
      </c>
      <c r="I104" s="499">
        <v>85656.254524456934</v>
      </c>
      <c r="J104" s="504">
        <v>0</v>
      </c>
      <c r="K104" s="504"/>
      <c r="L104" s="506">
        <f t="shared" si="25"/>
        <v>85656.254524456934</v>
      </c>
      <c r="M104" s="504">
        <f t="shared" si="31"/>
        <v>0</v>
      </c>
      <c r="N104" s="506">
        <f t="shared" si="26"/>
        <v>85656.254524456934</v>
      </c>
      <c r="O104" s="504">
        <f>IF(N104&lt;&gt;0,+I104-N104,0)</f>
        <v>0</v>
      </c>
      <c r="P104" s="504">
        <f>+O104-M104</f>
        <v>0</v>
      </c>
      <c r="Q104" s="243"/>
      <c r="R104" s="243"/>
      <c r="S104" s="243"/>
      <c r="T104" s="243"/>
      <c r="U104" s="243"/>
    </row>
    <row r="105" spans="1:21">
      <c r="B105" s="145" t="str">
        <f t="shared" si="29"/>
        <v/>
      </c>
      <c r="C105" s="495">
        <f>IF(D94="","-",+C104+1)</f>
        <v>2015</v>
      </c>
      <c r="D105" s="496">
        <v>674198.17982758617</v>
      </c>
      <c r="E105" s="498">
        <v>15079.541666666666</v>
      </c>
      <c r="F105" s="505">
        <v>659118.63816091954</v>
      </c>
      <c r="G105" s="505">
        <v>666658.40899425279</v>
      </c>
      <c r="H105" s="498">
        <v>89298.24140660846</v>
      </c>
      <c r="I105" s="499">
        <v>89298.24140660846</v>
      </c>
      <c r="J105" s="504">
        <f t="shared" si="24"/>
        <v>0</v>
      </c>
      <c r="K105" s="504"/>
      <c r="L105" s="506">
        <f t="shared" si="25"/>
        <v>89298.24140660846</v>
      </c>
      <c r="M105" s="504">
        <f t="shared" si="31"/>
        <v>0</v>
      </c>
      <c r="N105" s="506">
        <f t="shared" si="26"/>
        <v>89298.24140660846</v>
      </c>
      <c r="O105" s="504">
        <f t="shared" si="27"/>
        <v>0</v>
      </c>
      <c r="P105" s="504">
        <f t="shared" si="28"/>
        <v>0</v>
      </c>
      <c r="Q105" s="243"/>
      <c r="R105" s="243"/>
      <c r="S105" s="243"/>
      <c r="T105" s="243"/>
      <c r="U105" s="243"/>
    </row>
    <row r="106" spans="1:21">
      <c r="B106" s="145" t="str">
        <f t="shared" si="29"/>
        <v/>
      </c>
      <c r="C106" s="495">
        <f>IF(D94="","-",+C105+1)</f>
        <v>2016</v>
      </c>
      <c r="D106" s="496">
        <v>659118.63816091954</v>
      </c>
      <c r="E106" s="498">
        <v>14192.509803921568</v>
      </c>
      <c r="F106" s="505">
        <v>644926.12835699797</v>
      </c>
      <c r="G106" s="505">
        <v>652022.38325895881</v>
      </c>
      <c r="H106" s="498">
        <v>84851.823004071382</v>
      </c>
      <c r="I106" s="499">
        <v>84851.823004071382</v>
      </c>
      <c r="J106" s="504">
        <f t="shared" si="24"/>
        <v>0</v>
      </c>
      <c r="K106" s="504"/>
      <c r="L106" s="506">
        <f>H106</f>
        <v>84851.823004071382</v>
      </c>
      <c r="M106" s="504">
        <f t="shared" si="31"/>
        <v>0</v>
      </c>
      <c r="N106" s="506">
        <f>I106</f>
        <v>84851.823004071382</v>
      </c>
      <c r="O106" s="504">
        <f>IF(N106&lt;&gt;0,+I106-N106,0)</f>
        <v>0</v>
      </c>
      <c r="P106" s="504">
        <f>+O106-M106</f>
        <v>0</v>
      </c>
      <c r="Q106" s="243"/>
      <c r="R106" s="243"/>
      <c r="S106" s="243"/>
      <c r="T106" s="243"/>
      <c r="U106" s="243"/>
    </row>
    <row r="107" spans="1:21">
      <c r="B107" s="145" t="str">
        <f t="shared" si="29"/>
        <v/>
      </c>
      <c r="C107" s="495">
        <f>IF(D94="","-",+C106+1)</f>
        <v>2017</v>
      </c>
      <c r="D107" s="496">
        <v>644926.12835699797</v>
      </c>
      <c r="E107" s="498">
        <v>18095.45</v>
      </c>
      <c r="F107" s="505">
        <v>626830.67835699802</v>
      </c>
      <c r="G107" s="505">
        <v>635878.40335699799</v>
      </c>
      <c r="H107" s="498">
        <v>92706.791991345061</v>
      </c>
      <c r="I107" s="499">
        <v>92706.791991345061</v>
      </c>
      <c r="J107" s="504">
        <f t="shared" si="24"/>
        <v>0</v>
      </c>
      <c r="K107" s="504"/>
      <c r="L107" s="506">
        <f>H107</f>
        <v>92706.791991345061</v>
      </c>
      <c r="M107" s="504">
        <f t="shared" si="31"/>
        <v>0</v>
      </c>
      <c r="N107" s="506">
        <f>I107</f>
        <v>92706.791991345061</v>
      </c>
      <c r="O107" s="504">
        <f>IF(N107&lt;&gt;0,+I107-N107,0)</f>
        <v>0</v>
      </c>
      <c r="P107" s="504">
        <f>+O107-M107</f>
        <v>0</v>
      </c>
      <c r="Q107" s="243"/>
      <c r="R107" s="243"/>
      <c r="S107" s="243"/>
      <c r="T107" s="243"/>
      <c r="U107" s="243"/>
    </row>
    <row r="108" spans="1:21">
      <c r="B108" s="145" t="str">
        <f t="shared" si="29"/>
        <v/>
      </c>
      <c r="C108" s="495">
        <f>IF(D94="","-",+C107+1)</f>
        <v>2018</v>
      </c>
      <c r="D108" s="496">
        <v>626830.67835699802</v>
      </c>
      <c r="E108" s="498">
        <v>20106.055555555555</v>
      </c>
      <c r="F108" s="505">
        <v>606724.62280144251</v>
      </c>
      <c r="G108" s="505">
        <v>616777.65057922027</v>
      </c>
      <c r="H108" s="498">
        <v>85214.614900276356</v>
      </c>
      <c r="I108" s="499">
        <v>85214.614900276356</v>
      </c>
      <c r="J108" s="504">
        <f t="shared" si="24"/>
        <v>0</v>
      </c>
      <c r="K108" s="504"/>
      <c r="L108" s="506">
        <f>H108</f>
        <v>85214.614900276356</v>
      </c>
      <c r="M108" s="504">
        <f t="shared" ref="M108" si="32">IF(L108&lt;&gt;0,+H108-L108,0)</f>
        <v>0</v>
      </c>
      <c r="N108" s="506">
        <f>I108</f>
        <v>85214.614900276356</v>
      </c>
      <c r="O108" s="504">
        <f>IF(N108&lt;&gt;0,+I108-N108,0)</f>
        <v>0</v>
      </c>
      <c r="P108" s="504">
        <f>+O108-M108</f>
        <v>0</v>
      </c>
      <c r="Q108" s="243"/>
      <c r="R108" s="243"/>
      <c r="S108" s="243"/>
      <c r="T108" s="243"/>
      <c r="U108" s="243"/>
    </row>
    <row r="109" spans="1:21">
      <c r="B109" s="145" t="str">
        <f t="shared" si="29"/>
        <v/>
      </c>
      <c r="C109" s="495">
        <f>IF(D94="","-",+C108+1)</f>
        <v>2019</v>
      </c>
      <c r="D109" s="496">
        <v>606724.62280144251</v>
      </c>
      <c r="E109" s="498">
        <v>20106.055555555555</v>
      </c>
      <c r="F109" s="505">
        <v>586618.56724588701</v>
      </c>
      <c r="G109" s="505">
        <v>596671.59502366476</v>
      </c>
      <c r="H109" s="498">
        <v>83092.170434109707</v>
      </c>
      <c r="I109" s="499">
        <v>83092.170434109707</v>
      </c>
      <c r="J109" s="504">
        <f t="shared" si="24"/>
        <v>0</v>
      </c>
      <c r="K109" s="504"/>
      <c r="L109" s="506">
        <f>H109</f>
        <v>83092.170434109707</v>
      </c>
      <c r="M109" s="504">
        <f t="shared" ref="M109:M110" si="33">IF(L109&lt;&gt;0,+H109-L109,0)</f>
        <v>0</v>
      </c>
      <c r="N109" s="506">
        <f>I109</f>
        <v>83092.170434109707</v>
      </c>
      <c r="O109" s="504">
        <f>IF(N109&lt;&gt;0,+I109-N109,0)</f>
        <v>0</v>
      </c>
      <c r="P109" s="504">
        <f t="shared" si="28"/>
        <v>0</v>
      </c>
      <c r="Q109" s="243"/>
      <c r="R109" s="243"/>
      <c r="S109" s="243"/>
      <c r="T109" s="243"/>
      <c r="U109" s="243"/>
    </row>
    <row r="110" spans="1:21">
      <c r="B110" s="145" t="str">
        <f t="shared" si="29"/>
        <v/>
      </c>
      <c r="C110" s="495">
        <f>IF(D94="","-",+C109+1)</f>
        <v>2020</v>
      </c>
      <c r="D110" s="496">
        <v>586618.56724588701</v>
      </c>
      <c r="E110" s="498">
        <v>25850.642857142859</v>
      </c>
      <c r="F110" s="505">
        <v>560767.92438874417</v>
      </c>
      <c r="G110" s="505">
        <v>573693.24581731553</v>
      </c>
      <c r="H110" s="498">
        <v>86899.348480192144</v>
      </c>
      <c r="I110" s="499">
        <v>86899.348480192144</v>
      </c>
      <c r="J110" s="504">
        <f t="shared" si="24"/>
        <v>0</v>
      </c>
      <c r="K110" s="504"/>
      <c r="L110" s="506">
        <f>H110</f>
        <v>86899.348480192144</v>
      </c>
      <c r="M110" s="504">
        <f t="shared" si="33"/>
        <v>0</v>
      </c>
      <c r="N110" s="506">
        <f>I110</f>
        <v>86899.348480192144</v>
      </c>
      <c r="O110" s="504">
        <f>IF(N110&lt;&gt;0,+I110-N110,0)</f>
        <v>0</v>
      </c>
      <c r="P110" s="504">
        <f t="shared" si="28"/>
        <v>0</v>
      </c>
      <c r="Q110" s="243"/>
      <c r="R110" s="243"/>
      <c r="S110" s="243"/>
      <c r="T110" s="243"/>
      <c r="U110" s="243"/>
    </row>
    <row r="111" spans="1:21">
      <c r="B111" s="145" t="str">
        <f t="shared" si="29"/>
        <v/>
      </c>
      <c r="C111" s="495">
        <f>IF(D94="","-",+C110+1)</f>
        <v>2021</v>
      </c>
      <c r="D111" s="349">
        <f>IF(F110+SUM(E$100:E110)=D$93,F110,D$93-SUM(E$100:E110))</f>
        <v>560767.92438874417</v>
      </c>
      <c r="E111" s="509">
        <f>IF(+J97&lt;F110,J97,D111)</f>
        <v>28952.720000000001</v>
      </c>
      <c r="F111" s="510">
        <f t="shared" ref="F111:F131" si="34">+D111-E111</f>
        <v>531815.2043887442</v>
      </c>
      <c r="G111" s="510">
        <f t="shared" ref="G111:G131" si="35">+(F111+D111)/2</f>
        <v>546291.56438874418</v>
      </c>
      <c r="H111" s="523">
        <f t="shared" ref="H111:H132" si="36">+J$95*G111+E111</f>
        <v>93394.372694725258</v>
      </c>
      <c r="I111" s="572">
        <f t="shared" ref="I111:I132" si="37">+J$96*G111+E111</f>
        <v>93394.372694725258</v>
      </c>
      <c r="J111" s="504">
        <f t="shared" si="24"/>
        <v>0</v>
      </c>
      <c r="K111" s="504"/>
      <c r="L111" s="512"/>
      <c r="M111" s="504">
        <f t="shared" si="30"/>
        <v>0</v>
      </c>
      <c r="N111" s="512"/>
      <c r="O111" s="504">
        <f t="shared" si="27"/>
        <v>0</v>
      </c>
      <c r="P111" s="504">
        <f t="shared" si="28"/>
        <v>0</v>
      </c>
      <c r="Q111" s="243"/>
      <c r="R111" s="243"/>
      <c r="S111" s="243"/>
      <c r="T111" s="243"/>
      <c r="U111" s="243"/>
    </row>
    <row r="112" spans="1:21">
      <c r="B112" s="145" t="str">
        <f t="shared" si="29"/>
        <v/>
      </c>
      <c r="C112" s="495">
        <f>IF(D94="","-",+C111+1)</f>
        <v>2022</v>
      </c>
      <c r="D112" s="349">
        <f>IF(F111+SUM(E$100:E111)=D$93,F111,D$93-SUM(E$100:E111))</f>
        <v>531815.2043887442</v>
      </c>
      <c r="E112" s="509">
        <f>IF(+J97&lt;F111,J97,D112)</f>
        <v>28952.720000000001</v>
      </c>
      <c r="F112" s="510">
        <f t="shared" si="34"/>
        <v>502862.48438874423</v>
      </c>
      <c r="G112" s="510">
        <f t="shared" si="35"/>
        <v>517338.84438874421</v>
      </c>
      <c r="H112" s="523">
        <f t="shared" si="36"/>
        <v>89979.051557750965</v>
      </c>
      <c r="I112" s="572">
        <f t="shared" si="37"/>
        <v>89979.051557750965</v>
      </c>
      <c r="J112" s="504">
        <f t="shared" si="24"/>
        <v>0</v>
      </c>
      <c r="K112" s="504"/>
      <c r="L112" s="512"/>
      <c r="M112" s="504">
        <f t="shared" si="30"/>
        <v>0</v>
      </c>
      <c r="N112" s="512"/>
      <c r="O112" s="504">
        <f t="shared" si="27"/>
        <v>0</v>
      </c>
      <c r="P112" s="504">
        <f t="shared" si="28"/>
        <v>0</v>
      </c>
      <c r="Q112" s="243"/>
      <c r="R112" s="243"/>
      <c r="S112" s="243"/>
      <c r="T112" s="243"/>
      <c r="U112" s="243"/>
    </row>
    <row r="113" spans="2:21">
      <c r="B113" s="145" t="str">
        <f t="shared" si="29"/>
        <v/>
      </c>
      <c r="C113" s="495">
        <f>IF(D94="","-",+C112+1)</f>
        <v>2023</v>
      </c>
      <c r="D113" s="349">
        <f>IF(F112+SUM(E$100:E112)=D$93,F112,D$93-SUM(E$100:E112))</f>
        <v>502862.48438874423</v>
      </c>
      <c r="E113" s="509">
        <f>IF(+J97&lt;F112,J97,D113)</f>
        <v>28952.720000000001</v>
      </c>
      <c r="F113" s="510">
        <f t="shared" si="34"/>
        <v>473909.76438874425</v>
      </c>
      <c r="G113" s="510">
        <f t="shared" si="35"/>
        <v>488386.12438874424</v>
      </c>
      <c r="H113" s="523">
        <f t="shared" si="36"/>
        <v>86563.730420776701</v>
      </c>
      <c r="I113" s="572">
        <f t="shared" si="37"/>
        <v>86563.730420776701</v>
      </c>
      <c r="J113" s="504">
        <f t="shared" si="24"/>
        <v>0</v>
      </c>
      <c r="K113" s="504"/>
      <c r="L113" s="512"/>
      <c r="M113" s="504">
        <f t="shared" si="30"/>
        <v>0</v>
      </c>
      <c r="N113" s="512"/>
      <c r="O113" s="504">
        <f t="shared" si="27"/>
        <v>0</v>
      </c>
      <c r="P113" s="504">
        <f t="shared" si="28"/>
        <v>0</v>
      </c>
      <c r="Q113" s="243"/>
      <c r="R113" s="243"/>
      <c r="S113" s="243"/>
      <c r="T113" s="243"/>
      <c r="U113" s="243"/>
    </row>
    <row r="114" spans="2:21">
      <c r="B114" s="145" t="str">
        <f t="shared" si="29"/>
        <v/>
      </c>
      <c r="C114" s="495">
        <f>IF(D94="","-",+C113+1)</f>
        <v>2024</v>
      </c>
      <c r="D114" s="349">
        <f>IF(F113+SUM(E$100:E113)=D$93,F113,D$93-SUM(E$100:E113))</f>
        <v>473909.76438874425</v>
      </c>
      <c r="E114" s="509">
        <f>IF(+J97&lt;F113,J97,D114)</f>
        <v>28952.720000000001</v>
      </c>
      <c r="F114" s="510">
        <f t="shared" si="34"/>
        <v>444957.04438874428</v>
      </c>
      <c r="G114" s="510">
        <f t="shared" si="35"/>
        <v>459433.40438874427</v>
      </c>
      <c r="H114" s="523">
        <f t="shared" si="36"/>
        <v>83148.409283802408</v>
      </c>
      <c r="I114" s="572">
        <f t="shared" si="37"/>
        <v>83148.409283802408</v>
      </c>
      <c r="J114" s="504">
        <f t="shared" si="24"/>
        <v>0</v>
      </c>
      <c r="K114" s="504"/>
      <c r="L114" s="512"/>
      <c r="M114" s="504">
        <f t="shared" si="30"/>
        <v>0</v>
      </c>
      <c r="N114" s="512"/>
      <c r="O114" s="504">
        <f t="shared" si="27"/>
        <v>0</v>
      </c>
      <c r="P114" s="504">
        <f t="shared" si="28"/>
        <v>0</v>
      </c>
      <c r="Q114" s="243"/>
      <c r="R114" s="243"/>
      <c r="S114" s="243"/>
      <c r="T114" s="243"/>
      <c r="U114" s="243"/>
    </row>
    <row r="115" spans="2:21">
      <c r="B115" s="145" t="str">
        <f t="shared" si="29"/>
        <v/>
      </c>
      <c r="C115" s="495">
        <f>IF(D94="","-",+C114+1)</f>
        <v>2025</v>
      </c>
      <c r="D115" s="349">
        <f>IF(F114+SUM(E$100:E114)=D$93,F114,D$93-SUM(E$100:E114))</f>
        <v>444957.04438874428</v>
      </c>
      <c r="E115" s="509">
        <f>IF(+J97&lt;F114,J97,D115)</f>
        <v>28952.720000000001</v>
      </c>
      <c r="F115" s="510">
        <f t="shared" si="34"/>
        <v>416004.32438874431</v>
      </c>
      <c r="G115" s="510">
        <f t="shared" si="35"/>
        <v>430480.6843887443</v>
      </c>
      <c r="H115" s="523">
        <f t="shared" si="36"/>
        <v>79733.088146828144</v>
      </c>
      <c r="I115" s="572">
        <f t="shared" si="37"/>
        <v>79733.088146828144</v>
      </c>
      <c r="J115" s="504">
        <f t="shared" si="24"/>
        <v>0</v>
      </c>
      <c r="K115" s="504"/>
      <c r="L115" s="512"/>
      <c r="M115" s="504">
        <f t="shared" si="30"/>
        <v>0</v>
      </c>
      <c r="N115" s="512"/>
      <c r="O115" s="504">
        <f t="shared" si="27"/>
        <v>0</v>
      </c>
      <c r="P115" s="504">
        <f t="shared" si="28"/>
        <v>0</v>
      </c>
      <c r="Q115" s="243"/>
      <c r="R115" s="243"/>
      <c r="S115" s="243"/>
      <c r="T115" s="243"/>
      <c r="U115" s="243"/>
    </row>
    <row r="116" spans="2:21">
      <c r="B116" s="145" t="str">
        <f t="shared" si="29"/>
        <v/>
      </c>
      <c r="C116" s="495">
        <f>IF(D94="","-",+C115+1)</f>
        <v>2026</v>
      </c>
      <c r="D116" s="349">
        <f>IF(F115+SUM(E$100:E115)=D$93,F115,D$93-SUM(E$100:E115))</f>
        <v>416004.32438874431</v>
      </c>
      <c r="E116" s="509">
        <f>IF(+J97&lt;F115,J97,D116)</f>
        <v>28952.720000000001</v>
      </c>
      <c r="F116" s="510">
        <f t="shared" si="34"/>
        <v>387051.60438874434</v>
      </c>
      <c r="G116" s="510">
        <f t="shared" si="35"/>
        <v>401527.96438874432</v>
      </c>
      <c r="H116" s="523">
        <f t="shared" si="36"/>
        <v>76317.767009853851</v>
      </c>
      <c r="I116" s="572">
        <f t="shared" si="37"/>
        <v>76317.767009853851</v>
      </c>
      <c r="J116" s="504">
        <f t="shared" si="24"/>
        <v>0</v>
      </c>
      <c r="K116" s="504"/>
      <c r="L116" s="512"/>
      <c r="M116" s="504">
        <f t="shared" si="30"/>
        <v>0</v>
      </c>
      <c r="N116" s="512"/>
      <c r="O116" s="504">
        <f t="shared" si="27"/>
        <v>0</v>
      </c>
      <c r="P116" s="504">
        <f t="shared" si="28"/>
        <v>0</v>
      </c>
      <c r="Q116" s="243"/>
      <c r="R116" s="243"/>
      <c r="S116" s="243"/>
      <c r="T116" s="243"/>
      <c r="U116" s="243"/>
    </row>
    <row r="117" spans="2:21">
      <c r="B117" s="145" t="str">
        <f t="shared" si="29"/>
        <v/>
      </c>
      <c r="C117" s="495">
        <f>IF(D94="","-",+C116+1)</f>
        <v>2027</v>
      </c>
      <c r="D117" s="349">
        <f>IF(F116+SUM(E$100:E116)=D$93,F116,D$93-SUM(E$100:E116))</f>
        <v>387051.60438874434</v>
      </c>
      <c r="E117" s="509">
        <f>IF(+J97&lt;F116,J97,D117)</f>
        <v>28952.720000000001</v>
      </c>
      <c r="F117" s="510">
        <f t="shared" si="34"/>
        <v>358098.88438874437</v>
      </c>
      <c r="G117" s="510">
        <f t="shared" si="35"/>
        <v>372575.24438874435</v>
      </c>
      <c r="H117" s="523">
        <f t="shared" si="36"/>
        <v>72902.445872879573</v>
      </c>
      <c r="I117" s="572">
        <f t="shared" si="37"/>
        <v>72902.445872879573</v>
      </c>
      <c r="J117" s="504">
        <f t="shared" si="24"/>
        <v>0</v>
      </c>
      <c r="K117" s="504"/>
      <c r="L117" s="512"/>
      <c r="M117" s="504">
        <f t="shared" si="30"/>
        <v>0</v>
      </c>
      <c r="N117" s="512"/>
      <c r="O117" s="504">
        <f t="shared" si="27"/>
        <v>0</v>
      </c>
      <c r="P117" s="504">
        <f t="shared" si="28"/>
        <v>0</v>
      </c>
      <c r="Q117" s="243"/>
      <c r="R117" s="243"/>
      <c r="S117" s="243"/>
      <c r="T117" s="243"/>
      <c r="U117" s="243"/>
    </row>
    <row r="118" spans="2:21">
      <c r="B118" s="145" t="str">
        <f t="shared" si="29"/>
        <v/>
      </c>
      <c r="C118" s="495">
        <f>IF(D94="","-",+C117+1)</f>
        <v>2028</v>
      </c>
      <c r="D118" s="349">
        <f>IF(F117+SUM(E$100:E117)=D$93,F117,D$93-SUM(E$100:E117))</f>
        <v>358098.88438874437</v>
      </c>
      <c r="E118" s="509">
        <f>IF(+J97&lt;F117,J97,D118)</f>
        <v>28952.720000000001</v>
      </c>
      <c r="F118" s="510">
        <f t="shared" si="34"/>
        <v>329146.16438874439</v>
      </c>
      <c r="G118" s="510">
        <f t="shared" si="35"/>
        <v>343622.52438874438</v>
      </c>
      <c r="H118" s="523">
        <f t="shared" si="36"/>
        <v>69487.124735905294</v>
      </c>
      <c r="I118" s="572">
        <f t="shared" si="37"/>
        <v>69487.124735905294</v>
      </c>
      <c r="J118" s="504">
        <f t="shared" si="24"/>
        <v>0</v>
      </c>
      <c r="K118" s="504"/>
      <c r="L118" s="512"/>
      <c r="M118" s="504">
        <f t="shared" si="30"/>
        <v>0</v>
      </c>
      <c r="N118" s="512"/>
      <c r="O118" s="504">
        <f t="shared" si="27"/>
        <v>0</v>
      </c>
      <c r="P118" s="504">
        <f t="shared" si="28"/>
        <v>0</v>
      </c>
      <c r="Q118" s="243"/>
      <c r="R118" s="243"/>
      <c r="S118" s="243"/>
      <c r="T118" s="243"/>
      <c r="U118" s="243"/>
    </row>
    <row r="119" spans="2:21">
      <c r="B119" s="145" t="str">
        <f t="shared" si="29"/>
        <v/>
      </c>
      <c r="C119" s="495">
        <f>IF(D94="","-",+C118+1)</f>
        <v>2029</v>
      </c>
      <c r="D119" s="349">
        <f>IF(F118+SUM(E$100:E118)=D$93,F118,D$93-SUM(E$100:E118))</f>
        <v>329146.16438874439</v>
      </c>
      <c r="E119" s="509">
        <f>IF(+J97&lt;F118,J97,D119)</f>
        <v>28952.720000000001</v>
      </c>
      <c r="F119" s="510">
        <f t="shared" si="34"/>
        <v>300193.44438874442</v>
      </c>
      <c r="G119" s="510">
        <f t="shared" si="35"/>
        <v>314669.80438874441</v>
      </c>
      <c r="H119" s="523">
        <f t="shared" si="36"/>
        <v>66071.803598931016</v>
      </c>
      <c r="I119" s="572">
        <f t="shared" si="37"/>
        <v>66071.803598931016</v>
      </c>
      <c r="J119" s="504">
        <f t="shared" si="24"/>
        <v>0</v>
      </c>
      <c r="K119" s="504"/>
      <c r="L119" s="512"/>
      <c r="M119" s="504">
        <f t="shared" si="30"/>
        <v>0</v>
      </c>
      <c r="N119" s="512"/>
      <c r="O119" s="504">
        <f t="shared" si="27"/>
        <v>0</v>
      </c>
      <c r="P119" s="504">
        <f t="shared" si="28"/>
        <v>0</v>
      </c>
      <c r="Q119" s="243"/>
      <c r="R119" s="243"/>
      <c r="S119" s="243"/>
      <c r="T119" s="243"/>
      <c r="U119" s="243"/>
    </row>
    <row r="120" spans="2:21">
      <c r="B120" s="145" t="str">
        <f t="shared" si="29"/>
        <v/>
      </c>
      <c r="C120" s="495">
        <f>IF(D94="","-",+C119+1)</f>
        <v>2030</v>
      </c>
      <c r="D120" s="349">
        <f>IF(F119+SUM(E$100:E119)=D$93,F119,D$93-SUM(E$100:E119))</f>
        <v>300193.44438874442</v>
      </c>
      <c r="E120" s="509">
        <f>IF(+J97&lt;F119,J97,D120)</f>
        <v>28952.720000000001</v>
      </c>
      <c r="F120" s="510">
        <f t="shared" si="34"/>
        <v>271240.72438874445</v>
      </c>
      <c r="G120" s="510">
        <f t="shared" si="35"/>
        <v>285717.08438874444</v>
      </c>
      <c r="H120" s="523">
        <f t="shared" si="36"/>
        <v>62656.48246195673</v>
      </c>
      <c r="I120" s="572">
        <f t="shared" si="37"/>
        <v>62656.48246195673</v>
      </c>
      <c r="J120" s="504">
        <f t="shared" si="24"/>
        <v>0</v>
      </c>
      <c r="K120" s="504"/>
      <c r="L120" s="512"/>
      <c r="M120" s="504">
        <f t="shared" si="30"/>
        <v>0</v>
      </c>
      <c r="N120" s="512"/>
      <c r="O120" s="504">
        <f t="shared" si="27"/>
        <v>0</v>
      </c>
      <c r="P120" s="504">
        <f t="shared" si="28"/>
        <v>0</v>
      </c>
      <c r="Q120" s="243"/>
      <c r="R120" s="243"/>
      <c r="S120" s="243"/>
      <c r="T120" s="243"/>
      <c r="U120" s="243"/>
    </row>
    <row r="121" spans="2:21">
      <c r="B121" s="145" t="str">
        <f t="shared" si="29"/>
        <v/>
      </c>
      <c r="C121" s="495">
        <f>IF(D94="","-",+C120+1)</f>
        <v>2031</v>
      </c>
      <c r="D121" s="349">
        <f>IF(F120+SUM(E$100:E120)=D$93,F120,D$93-SUM(E$100:E120))</f>
        <v>271240.72438874445</v>
      </c>
      <c r="E121" s="509">
        <f>IF(+J97&lt;F120,J97,D121)</f>
        <v>28952.720000000001</v>
      </c>
      <c r="F121" s="510">
        <f t="shared" si="34"/>
        <v>242288.00438874445</v>
      </c>
      <c r="G121" s="510">
        <f t="shared" si="35"/>
        <v>256764.36438874446</v>
      </c>
      <c r="H121" s="523">
        <f t="shared" si="36"/>
        <v>59241.161324982459</v>
      </c>
      <c r="I121" s="572">
        <f t="shared" si="37"/>
        <v>59241.161324982459</v>
      </c>
      <c r="J121" s="504">
        <f t="shared" si="24"/>
        <v>0</v>
      </c>
      <c r="K121" s="504"/>
      <c r="L121" s="512"/>
      <c r="M121" s="504">
        <f t="shared" si="30"/>
        <v>0</v>
      </c>
      <c r="N121" s="512"/>
      <c r="O121" s="504">
        <f t="shared" si="27"/>
        <v>0</v>
      </c>
      <c r="P121" s="504">
        <f t="shared" si="28"/>
        <v>0</v>
      </c>
      <c r="Q121" s="243"/>
      <c r="R121" s="243"/>
      <c r="S121" s="243"/>
      <c r="T121" s="243"/>
      <c r="U121" s="243"/>
    </row>
    <row r="122" spans="2:21">
      <c r="B122" s="145" t="str">
        <f t="shared" si="29"/>
        <v/>
      </c>
      <c r="C122" s="495">
        <f>IF(D94="","-",+C121+1)</f>
        <v>2032</v>
      </c>
      <c r="D122" s="349">
        <f>IF(F121+SUM(E$100:E121)=D$93,F121,D$93-SUM(E$100:E121))</f>
        <v>242288.00438874445</v>
      </c>
      <c r="E122" s="509">
        <f>IF(+J97&lt;F121,J97,D122)</f>
        <v>28952.720000000001</v>
      </c>
      <c r="F122" s="510">
        <f t="shared" si="34"/>
        <v>213335.28438874445</v>
      </c>
      <c r="G122" s="510">
        <f t="shared" si="35"/>
        <v>227811.64438874443</v>
      </c>
      <c r="H122" s="523">
        <f t="shared" si="36"/>
        <v>55825.840188008166</v>
      </c>
      <c r="I122" s="572">
        <f t="shared" si="37"/>
        <v>55825.840188008166</v>
      </c>
      <c r="J122" s="504">
        <f t="shared" si="24"/>
        <v>0</v>
      </c>
      <c r="K122" s="504"/>
      <c r="L122" s="512"/>
      <c r="M122" s="504">
        <f t="shared" si="30"/>
        <v>0</v>
      </c>
      <c r="N122" s="512"/>
      <c r="O122" s="504">
        <f t="shared" si="27"/>
        <v>0</v>
      </c>
      <c r="P122" s="504">
        <f t="shared" si="28"/>
        <v>0</v>
      </c>
      <c r="Q122" s="243"/>
      <c r="R122" s="243"/>
      <c r="S122" s="243"/>
      <c r="T122" s="243"/>
      <c r="U122" s="243"/>
    </row>
    <row r="123" spans="2:21">
      <c r="B123" s="145" t="str">
        <f t="shared" si="29"/>
        <v/>
      </c>
      <c r="C123" s="495">
        <f>IF(D94="","-",+C122+1)</f>
        <v>2033</v>
      </c>
      <c r="D123" s="349">
        <f>IF(F122+SUM(E$100:E122)=D$93,F122,D$93-SUM(E$100:E122))</f>
        <v>213335.28438874445</v>
      </c>
      <c r="E123" s="509">
        <f>IF(+J97&lt;F122,J97,D123)</f>
        <v>28952.720000000001</v>
      </c>
      <c r="F123" s="510">
        <f t="shared" si="34"/>
        <v>184382.56438874445</v>
      </c>
      <c r="G123" s="510">
        <f t="shared" si="35"/>
        <v>198858.92438874446</v>
      </c>
      <c r="H123" s="523">
        <f t="shared" si="36"/>
        <v>52410.519051033887</v>
      </c>
      <c r="I123" s="572">
        <f t="shared" si="37"/>
        <v>52410.519051033887</v>
      </c>
      <c r="J123" s="504">
        <f t="shared" si="24"/>
        <v>0</v>
      </c>
      <c r="K123" s="504"/>
      <c r="L123" s="512"/>
      <c r="M123" s="504">
        <f t="shared" si="30"/>
        <v>0</v>
      </c>
      <c r="N123" s="512"/>
      <c r="O123" s="504">
        <f t="shared" si="27"/>
        <v>0</v>
      </c>
      <c r="P123" s="504">
        <f t="shared" si="28"/>
        <v>0</v>
      </c>
      <c r="Q123" s="243"/>
      <c r="R123" s="243"/>
      <c r="S123" s="243"/>
      <c r="T123" s="243"/>
      <c r="U123" s="243"/>
    </row>
    <row r="124" spans="2:21">
      <c r="B124" s="145" t="str">
        <f t="shared" si="29"/>
        <v/>
      </c>
      <c r="C124" s="495">
        <f>IF(D94="","-",+C123+1)</f>
        <v>2034</v>
      </c>
      <c r="D124" s="349">
        <f>IF(F123+SUM(E$100:E123)=D$93,F123,D$93-SUM(E$100:E123))</f>
        <v>184382.56438874445</v>
      </c>
      <c r="E124" s="509">
        <f>IF(+J97&lt;F123,J97,D124)</f>
        <v>28952.720000000001</v>
      </c>
      <c r="F124" s="510">
        <f t="shared" si="34"/>
        <v>155429.84438874444</v>
      </c>
      <c r="G124" s="510">
        <f t="shared" si="35"/>
        <v>169906.20438874443</v>
      </c>
      <c r="H124" s="523">
        <f t="shared" si="36"/>
        <v>48995.197914059594</v>
      </c>
      <c r="I124" s="572">
        <f t="shared" si="37"/>
        <v>48995.197914059594</v>
      </c>
      <c r="J124" s="504">
        <f t="shared" si="24"/>
        <v>0</v>
      </c>
      <c r="K124" s="504"/>
      <c r="L124" s="512"/>
      <c r="M124" s="504">
        <f t="shared" si="30"/>
        <v>0</v>
      </c>
      <c r="N124" s="512"/>
      <c r="O124" s="504">
        <f t="shared" si="27"/>
        <v>0</v>
      </c>
      <c r="P124" s="504">
        <f t="shared" si="28"/>
        <v>0</v>
      </c>
      <c r="Q124" s="243"/>
      <c r="R124" s="243"/>
      <c r="S124" s="243"/>
      <c r="T124" s="243"/>
      <c r="U124" s="243"/>
    </row>
    <row r="125" spans="2:21">
      <c r="B125" s="145" t="str">
        <f t="shared" si="29"/>
        <v/>
      </c>
      <c r="C125" s="495">
        <f>IF(D94="","-",+C124+1)</f>
        <v>2035</v>
      </c>
      <c r="D125" s="349">
        <f>IF(F124+SUM(E$100:E124)=D$93,F124,D$93-SUM(E$100:E124))</f>
        <v>155429.84438874444</v>
      </c>
      <c r="E125" s="509">
        <f>IF(+J97&lt;F124,J97,D125)</f>
        <v>28952.720000000001</v>
      </c>
      <c r="F125" s="510">
        <f t="shared" si="34"/>
        <v>126477.12438874444</v>
      </c>
      <c r="G125" s="510">
        <f t="shared" si="35"/>
        <v>140953.48438874446</v>
      </c>
      <c r="H125" s="523">
        <f t="shared" si="36"/>
        <v>45579.876777085316</v>
      </c>
      <c r="I125" s="572">
        <f t="shared" si="37"/>
        <v>45579.876777085316</v>
      </c>
      <c r="J125" s="504">
        <f t="shared" si="24"/>
        <v>0</v>
      </c>
      <c r="K125" s="504"/>
      <c r="L125" s="512"/>
      <c r="M125" s="504">
        <f t="shared" si="30"/>
        <v>0</v>
      </c>
      <c r="N125" s="512"/>
      <c r="O125" s="504">
        <f t="shared" si="27"/>
        <v>0</v>
      </c>
      <c r="P125" s="504">
        <f t="shared" si="28"/>
        <v>0</v>
      </c>
      <c r="Q125" s="243"/>
      <c r="R125" s="243"/>
      <c r="S125" s="243"/>
      <c r="T125" s="243"/>
      <c r="U125" s="243"/>
    </row>
    <row r="126" spans="2:21">
      <c r="B126" s="145" t="str">
        <f t="shared" si="29"/>
        <v/>
      </c>
      <c r="C126" s="495">
        <f>IF(D94="","-",+C125+1)</f>
        <v>2036</v>
      </c>
      <c r="D126" s="349">
        <f>IF(F125+SUM(E$100:E125)=D$93,F125,D$93-SUM(E$100:E125))</f>
        <v>126477.12438874444</v>
      </c>
      <c r="E126" s="509">
        <f>IF(+J97&lt;F125,J97,D126)</f>
        <v>28952.720000000001</v>
      </c>
      <c r="F126" s="510">
        <f t="shared" si="34"/>
        <v>97524.404388744442</v>
      </c>
      <c r="G126" s="510">
        <f t="shared" si="35"/>
        <v>112000.76438874444</v>
      </c>
      <c r="H126" s="523">
        <f t="shared" si="36"/>
        <v>42164.555640111037</v>
      </c>
      <c r="I126" s="572">
        <f t="shared" si="37"/>
        <v>42164.555640111037</v>
      </c>
      <c r="J126" s="504">
        <f t="shared" si="24"/>
        <v>0</v>
      </c>
      <c r="K126" s="504"/>
      <c r="L126" s="512"/>
      <c r="M126" s="504">
        <f t="shared" si="30"/>
        <v>0</v>
      </c>
      <c r="N126" s="512"/>
      <c r="O126" s="504">
        <f t="shared" si="27"/>
        <v>0</v>
      </c>
      <c r="P126" s="504">
        <f t="shared" si="28"/>
        <v>0</v>
      </c>
      <c r="Q126" s="243"/>
      <c r="R126" s="243"/>
      <c r="S126" s="243"/>
      <c r="T126" s="243"/>
      <c r="U126" s="243"/>
    </row>
    <row r="127" spans="2:21">
      <c r="B127" s="145" t="str">
        <f t="shared" si="29"/>
        <v/>
      </c>
      <c r="C127" s="495">
        <f>IF(D94="","-",+C126+1)</f>
        <v>2037</v>
      </c>
      <c r="D127" s="349">
        <f>IF(F126+SUM(E$100:E126)=D$93,F126,D$93-SUM(E$100:E126))</f>
        <v>97524.404388744442</v>
      </c>
      <c r="E127" s="509">
        <f>IF(+J97&lt;F126,J97,D127)</f>
        <v>28952.720000000001</v>
      </c>
      <c r="F127" s="510">
        <f t="shared" si="34"/>
        <v>68571.684388744441</v>
      </c>
      <c r="G127" s="510">
        <f t="shared" si="35"/>
        <v>83048.044388744442</v>
      </c>
      <c r="H127" s="523">
        <f t="shared" si="36"/>
        <v>38749.234503136751</v>
      </c>
      <c r="I127" s="572">
        <f t="shared" si="37"/>
        <v>38749.234503136751</v>
      </c>
      <c r="J127" s="504">
        <f t="shared" si="24"/>
        <v>0</v>
      </c>
      <c r="K127" s="504"/>
      <c r="L127" s="512"/>
      <c r="M127" s="504">
        <f t="shared" si="30"/>
        <v>0</v>
      </c>
      <c r="N127" s="512"/>
      <c r="O127" s="504">
        <f t="shared" si="27"/>
        <v>0</v>
      </c>
      <c r="P127" s="504">
        <f t="shared" si="28"/>
        <v>0</v>
      </c>
      <c r="Q127" s="243"/>
      <c r="R127" s="243"/>
      <c r="S127" s="243"/>
      <c r="T127" s="243"/>
      <c r="U127" s="243"/>
    </row>
    <row r="128" spans="2:21">
      <c r="B128" s="145" t="str">
        <f t="shared" si="29"/>
        <v/>
      </c>
      <c r="C128" s="495">
        <f>IF(D94="","-",+C127+1)</f>
        <v>2038</v>
      </c>
      <c r="D128" s="349">
        <f>IF(F127+SUM(E$100:E127)=D$93,F127,D$93-SUM(E$100:E127))</f>
        <v>68571.684388744441</v>
      </c>
      <c r="E128" s="509">
        <f>IF(+J97&lt;F127,J97,D128)</f>
        <v>28952.720000000001</v>
      </c>
      <c r="F128" s="510">
        <f t="shared" si="34"/>
        <v>39618.96438874444</v>
      </c>
      <c r="G128" s="510">
        <f t="shared" si="35"/>
        <v>54095.324388744441</v>
      </c>
      <c r="H128" s="523">
        <f t="shared" si="36"/>
        <v>35333.913366162466</v>
      </c>
      <c r="I128" s="572">
        <f t="shared" si="37"/>
        <v>35333.913366162466</v>
      </c>
      <c r="J128" s="504">
        <f t="shared" si="24"/>
        <v>0</v>
      </c>
      <c r="K128" s="504"/>
      <c r="L128" s="512"/>
      <c r="M128" s="504">
        <f t="shared" si="30"/>
        <v>0</v>
      </c>
      <c r="N128" s="512"/>
      <c r="O128" s="504">
        <f t="shared" si="27"/>
        <v>0</v>
      </c>
      <c r="P128" s="504">
        <f t="shared" si="28"/>
        <v>0</v>
      </c>
      <c r="Q128" s="243"/>
      <c r="R128" s="243"/>
      <c r="S128" s="243"/>
      <c r="T128" s="243"/>
      <c r="U128" s="243"/>
    </row>
    <row r="129" spans="2:21">
      <c r="B129" s="145" t="str">
        <f t="shared" si="29"/>
        <v/>
      </c>
      <c r="C129" s="495">
        <f>IF(D94="","-",+C128+1)</f>
        <v>2039</v>
      </c>
      <c r="D129" s="349">
        <f>IF(F128+SUM(E$100:E128)=D$93,F128,D$93-SUM(E$100:E128))</f>
        <v>39618.96438874444</v>
      </c>
      <c r="E129" s="509">
        <f>IF(+J97&lt;F128,J97,D129)</f>
        <v>28952.720000000001</v>
      </c>
      <c r="F129" s="510">
        <f t="shared" si="34"/>
        <v>10666.244388744439</v>
      </c>
      <c r="G129" s="510">
        <f t="shared" si="35"/>
        <v>25142.604388744439</v>
      </c>
      <c r="H129" s="523">
        <f t="shared" si="36"/>
        <v>31918.592229188183</v>
      </c>
      <c r="I129" s="572">
        <f t="shared" si="37"/>
        <v>31918.592229188183</v>
      </c>
      <c r="J129" s="504">
        <f t="shared" si="24"/>
        <v>0</v>
      </c>
      <c r="K129" s="504"/>
      <c r="L129" s="512"/>
      <c r="M129" s="504">
        <f t="shared" si="30"/>
        <v>0</v>
      </c>
      <c r="N129" s="512"/>
      <c r="O129" s="504">
        <f t="shared" si="27"/>
        <v>0</v>
      </c>
      <c r="P129" s="504">
        <f t="shared" si="28"/>
        <v>0</v>
      </c>
      <c r="Q129" s="243"/>
      <c r="R129" s="243"/>
      <c r="S129" s="243"/>
      <c r="T129" s="243"/>
      <c r="U129" s="243"/>
    </row>
    <row r="130" spans="2:21">
      <c r="B130" s="145" t="str">
        <f t="shared" si="29"/>
        <v/>
      </c>
      <c r="C130" s="495">
        <f>IF(D94="","-",+C129+1)</f>
        <v>2040</v>
      </c>
      <c r="D130" s="349">
        <f>IF(F129+SUM(E$100:E129)=D$93,F129,D$93-SUM(E$100:E129))</f>
        <v>10666.244388744439</v>
      </c>
      <c r="E130" s="509">
        <f>IF(+J97&lt;F129,J97,D130)</f>
        <v>10666.244388744439</v>
      </c>
      <c r="F130" s="510">
        <f t="shared" si="34"/>
        <v>0</v>
      </c>
      <c r="G130" s="510">
        <f t="shared" si="35"/>
        <v>5333.1221943722194</v>
      </c>
      <c r="H130" s="523">
        <f t="shared" si="36"/>
        <v>11295.350219094958</v>
      </c>
      <c r="I130" s="572">
        <f t="shared" si="37"/>
        <v>11295.350219094958</v>
      </c>
      <c r="J130" s="504">
        <f t="shared" si="24"/>
        <v>0</v>
      </c>
      <c r="K130" s="504"/>
      <c r="L130" s="512"/>
      <c r="M130" s="504">
        <f t="shared" si="30"/>
        <v>0</v>
      </c>
      <c r="N130" s="512"/>
      <c r="O130" s="504">
        <f t="shared" si="27"/>
        <v>0</v>
      </c>
      <c r="P130" s="504">
        <f t="shared" si="28"/>
        <v>0</v>
      </c>
      <c r="Q130" s="243"/>
      <c r="R130" s="243"/>
      <c r="S130" s="243"/>
      <c r="T130" s="243"/>
      <c r="U130" s="243"/>
    </row>
    <row r="131" spans="2:21">
      <c r="B131" s="145" t="str">
        <f t="shared" si="29"/>
        <v/>
      </c>
      <c r="C131" s="495">
        <f>IF(D94="","-",+C130+1)</f>
        <v>2041</v>
      </c>
      <c r="D131" s="349">
        <f>IF(F130+SUM(E$100:E130)=D$93,F130,D$93-SUM(E$100:E130))</f>
        <v>0</v>
      </c>
      <c r="E131" s="509">
        <f>IF(+J97&lt;F130,J97,D131)</f>
        <v>0</v>
      </c>
      <c r="F131" s="510">
        <f t="shared" si="34"/>
        <v>0</v>
      </c>
      <c r="G131" s="510">
        <f t="shared" si="35"/>
        <v>0</v>
      </c>
      <c r="H131" s="523">
        <f t="shared" si="36"/>
        <v>0</v>
      </c>
      <c r="I131" s="572">
        <f t="shared" si="37"/>
        <v>0</v>
      </c>
      <c r="J131" s="504">
        <f t="shared" si="24"/>
        <v>0</v>
      </c>
      <c r="K131" s="504"/>
      <c r="L131" s="512"/>
      <c r="M131" s="504">
        <f t="shared" si="30"/>
        <v>0</v>
      </c>
      <c r="N131" s="512"/>
      <c r="O131" s="504">
        <f t="shared" si="27"/>
        <v>0</v>
      </c>
      <c r="P131" s="504">
        <f t="shared" si="28"/>
        <v>0</v>
      </c>
      <c r="Q131" s="243"/>
      <c r="R131" s="243"/>
      <c r="S131" s="243"/>
      <c r="T131" s="243"/>
      <c r="U131" s="243"/>
    </row>
    <row r="132" spans="2:21">
      <c r="B132" s="145" t="str">
        <f t="shared" si="29"/>
        <v/>
      </c>
      <c r="C132" s="495">
        <f>IF(D94="","-",+C131+1)</f>
        <v>2042</v>
      </c>
      <c r="D132" s="349">
        <f>IF(F131+SUM(E$100:E131)=D$93,F131,D$93-SUM(E$100:E131))</f>
        <v>0</v>
      </c>
      <c r="E132" s="509">
        <f>IF(+J97&lt;F131,J97,D132)</f>
        <v>0</v>
      </c>
      <c r="F132" s="510">
        <f t="shared" ref="F132:F155" si="38">+D132-E132</f>
        <v>0</v>
      </c>
      <c r="G132" s="510">
        <f t="shared" ref="G132:G155" si="39">+(F132+D132)/2</f>
        <v>0</v>
      </c>
      <c r="H132" s="523">
        <f t="shared" si="36"/>
        <v>0</v>
      </c>
      <c r="I132" s="572">
        <f t="shared" si="37"/>
        <v>0</v>
      </c>
      <c r="J132" s="504">
        <f t="shared" ref="J132:J155" si="40">+I132-H132</f>
        <v>0</v>
      </c>
      <c r="K132" s="504"/>
      <c r="L132" s="512"/>
      <c r="M132" s="504">
        <f t="shared" ref="M132:M155" si="41">IF(L132&lt;&gt;0,+H132-L132,0)</f>
        <v>0</v>
      </c>
      <c r="N132" s="512"/>
      <c r="O132" s="504">
        <f t="shared" ref="O132:O155" si="42">IF(N132&lt;&gt;0,+I132-N132,0)</f>
        <v>0</v>
      </c>
      <c r="P132" s="504">
        <f t="shared" ref="P132:P155" si="43">+O132-M132</f>
        <v>0</v>
      </c>
      <c r="Q132" s="243"/>
      <c r="R132" s="243"/>
      <c r="S132" s="243"/>
      <c r="T132" s="243"/>
      <c r="U132" s="243"/>
    </row>
    <row r="133" spans="2:21">
      <c r="B133" s="145" t="str">
        <f t="shared" si="29"/>
        <v/>
      </c>
      <c r="C133" s="495">
        <f>IF(D94="","-",+C132+1)</f>
        <v>2043</v>
      </c>
      <c r="D133" s="349">
        <f>IF(F132+SUM(E$100:E132)=D$93,F132,D$93-SUM(E$100:E132))</f>
        <v>0</v>
      </c>
      <c r="E133" s="509">
        <f>IF(+J97&lt;F132,J97,D133)</f>
        <v>0</v>
      </c>
      <c r="F133" s="510">
        <f t="shared" si="38"/>
        <v>0</v>
      </c>
      <c r="G133" s="510">
        <f t="shared" si="39"/>
        <v>0</v>
      </c>
      <c r="H133" s="523">
        <f t="shared" ref="H133:H155" si="44">+J$95*G133+E133</f>
        <v>0</v>
      </c>
      <c r="I133" s="572">
        <f t="shared" ref="I133:I155" si="45">+J$96*G133+E133</f>
        <v>0</v>
      </c>
      <c r="J133" s="504">
        <f t="shared" si="40"/>
        <v>0</v>
      </c>
      <c r="K133" s="504"/>
      <c r="L133" s="512"/>
      <c r="M133" s="504">
        <f t="shared" si="41"/>
        <v>0</v>
      </c>
      <c r="N133" s="512"/>
      <c r="O133" s="504">
        <f t="shared" si="42"/>
        <v>0</v>
      </c>
      <c r="P133" s="504">
        <f t="shared" si="43"/>
        <v>0</v>
      </c>
      <c r="Q133" s="243"/>
      <c r="R133" s="243"/>
      <c r="S133" s="243"/>
      <c r="T133" s="243"/>
      <c r="U133" s="243"/>
    </row>
    <row r="134" spans="2:21">
      <c r="B134" s="145" t="str">
        <f t="shared" si="29"/>
        <v/>
      </c>
      <c r="C134" s="495">
        <f>IF(D94="","-",+C133+1)</f>
        <v>2044</v>
      </c>
      <c r="D134" s="349">
        <f>IF(F133+SUM(E$100:E133)=D$93,F133,D$93-SUM(E$100:E133))</f>
        <v>0</v>
      </c>
      <c r="E134" s="509">
        <f>IF(+J97&lt;F133,J97,D134)</f>
        <v>0</v>
      </c>
      <c r="F134" s="510">
        <f t="shared" si="38"/>
        <v>0</v>
      </c>
      <c r="G134" s="510">
        <f t="shared" si="39"/>
        <v>0</v>
      </c>
      <c r="H134" s="523">
        <f t="shared" si="44"/>
        <v>0</v>
      </c>
      <c r="I134" s="572">
        <f t="shared" si="45"/>
        <v>0</v>
      </c>
      <c r="J134" s="504">
        <f t="shared" si="40"/>
        <v>0</v>
      </c>
      <c r="K134" s="504"/>
      <c r="L134" s="512"/>
      <c r="M134" s="504">
        <f t="shared" si="41"/>
        <v>0</v>
      </c>
      <c r="N134" s="512"/>
      <c r="O134" s="504">
        <f t="shared" si="42"/>
        <v>0</v>
      </c>
      <c r="P134" s="504">
        <f t="shared" si="43"/>
        <v>0</v>
      </c>
      <c r="Q134" s="243"/>
      <c r="R134" s="243"/>
      <c r="S134" s="243"/>
      <c r="T134" s="243"/>
      <c r="U134" s="243"/>
    </row>
    <row r="135" spans="2:21">
      <c r="B135" s="145" t="str">
        <f t="shared" si="29"/>
        <v/>
      </c>
      <c r="C135" s="495">
        <f>IF(D94="","-",+C134+1)</f>
        <v>2045</v>
      </c>
      <c r="D135" s="349">
        <f>IF(F134+SUM(E$100:E134)=D$93,F134,D$93-SUM(E$100:E134))</f>
        <v>0</v>
      </c>
      <c r="E135" s="509">
        <f>IF(+J97&lt;F134,J97,D135)</f>
        <v>0</v>
      </c>
      <c r="F135" s="510">
        <f t="shared" si="38"/>
        <v>0</v>
      </c>
      <c r="G135" s="510">
        <f t="shared" si="39"/>
        <v>0</v>
      </c>
      <c r="H135" s="523">
        <f t="shared" si="44"/>
        <v>0</v>
      </c>
      <c r="I135" s="572">
        <f t="shared" si="45"/>
        <v>0</v>
      </c>
      <c r="J135" s="504">
        <f t="shared" si="40"/>
        <v>0</v>
      </c>
      <c r="K135" s="504"/>
      <c r="L135" s="512"/>
      <c r="M135" s="504">
        <f t="shared" si="41"/>
        <v>0</v>
      </c>
      <c r="N135" s="512"/>
      <c r="O135" s="504">
        <f t="shared" si="42"/>
        <v>0</v>
      </c>
      <c r="P135" s="504">
        <f t="shared" si="43"/>
        <v>0</v>
      </c>
      <c r="Q135" s="243"/>
      <c r="R135" s="243"/>
      <c r="S135" s="243"/>
      <c r="T135" s="243"/>
      <c r="U135" s="243"/>
    </row>
    <row r="136" spans="2:21">
      <c r="B136" s="145" t="str">
        <f t="shared" si="29"/>
        <v/>
      </c>
      <c r="C136" s="495">
        <f>IF(D94="","-",+C135+1)</f>
        <v>2046</v>
      </c>
      <c r="D136" s="349">
        <f>IF(F135+SUM(E$100:E135)=D$93,F135,D$93-SUM(E$100:E135))</f>
        <v>0</v>
      </c>
      <c r="E136" s="509">
        <f>IF(+J97&lt;F135,J97,D136)</f>
        <v>0</v>
      </c>
      <c r="F136" s="510">
        <f t="shared" si="38"/>
        <v>0</v>
      </c>
      <c r="G136" s="510">
        <f t="shared" si="39"/>
        <v>0</v>
      </c>
      <c r="H136" s="523">
        <f t="shared" si="44"/>
        <v>0</v>
      </c>
      <c r="I136" s="572">
        <f t="shared" si="45"/>
        <v>0</v>
      </c>
      <c r="J136" s="504">
        <f t="shared" si="40"/>
        <v>0</v>
      </c>
      <c r="K136" s="504"/>
      <c r="L136" s="512"/>
      <c r="M136" s="504">
        <f t="shared" si="41"/>
        <v>0</v>
      </c>
      <c r="N136" s="512"/>
      <c r="O136" s="504">
        <f t="shared" si="42"/>
        <v>0</v>
      </c>
      <c r="P136" s="504">
        <f t="shared" si="43"/>
        <v>0</v>
      </c>
      <c r="Q136" s="243"/>
      <c r="R136" s="243"/>
      <c r="S136" s="243"/>
      <c r="T136" s="243"/>
      <c r="U136" s="243"/>
    </row>
    <row r="137" spans="2:21">
      <c r="B137" s="145" t="str">
        <f t="shared" si="29"/>
        <v/>
      </c>
      <c r="C137" s="495">
        <f>IF(D94="","-",+C136+1)</f>
        <v>2047</v>
      </c>
      <c r="D137" s="349">
        <f>IF(F136+SUM(E$100:E136)=D$93,F136,D$93-SUM(E$100:E136))</f>
        <v>0</v>
      </c>
      <c r="E137" s="509">
        <f>IF(+J97&lt;F136,J97,D137)</f>
        <v>0</v>
      </c>
      <c r="F137" s="510">
        <f t="shared" si="38"/>
        <v>0</v>
      </c>
      <c r="G137" s="510">
        <f t="shared" si="39"/>
        <v>0</v>
      </c>
      <c r="H137" s="523">
        <f t="shared" si="44"/>
        <v>0</v>
      </c>
      <c r="I137" s="572">
        <f t="shared" si="45"/>
        <v>0</v>
      </c>
      <c r="J137" s="504">
        <f t="shared" si="40"/>
        <v>0</v>
      </c>
      <c r="K137" s="504"/>
      <c r="L137" s="512"/>
      <c r="M137" s="504">
        <f t="shared" si="41"/>
        <v>0</v>
      </c>
      <c r="N137" s="512"/>
      <c r="O137" s="504">
        <f t="shared" si="42"/>
        <v>0</v>
      </c>
      <c r="P137" s="504">
        <f t="shared" si="43"/>
        <v>0</v>
      </c>
      <c r="Q137" s="243"/>
      <c r="R137" s="243"/>
      <c r="S137" s="243"/>
      <c r="T137" s="243"/>
      <c r="U137" s="243"/>
    </row>
    <row r="138" spans="2:21">
      <c r="B138" s="145" t="str">
        <f t="shared" si="29"/>
        <v/>
      </c>
      <c r="C138" s="495">
        <f>IF(D94="","-",+C137+1)</f>
        <v>2048</v>
      </c>
      <c r="D138" s="349">
        <f>IF(F137+SUM(E$100:E137)=D$93,F137,D$93-SUM(E$100:E137))</f>
        <v>0</v>
      </c>
      <c r="E138" s="509">
        <f>IF(+J97&lt;F137,J97,D138)</f>
        <v>0</v>
      </c>
      <c r="F138" s="510">
        <f t="shared" si="38"/>
        <v>0</v>
      </c>
      <c r="G138" s="510">
        <f t="shared" si="39"/>
        <v>0</v>
      </c>
      <c r="H138" s="523">
        <f t="shared" si="44"/>
        <v>0</v>
      </c>
      <c r="I138" s="572">
        <f t="shared" si="45"/>
        <v>0</v>
      </c>
      <c r="J138" s="504">
        <f t="shared" si="40"/>
        <v>0</v>
      </c>
      <c r="K138" s="504"/>
      <c r="L138" s="512"/>
      <c r="M138" s="504">
        <f t="shared" si="41"/>
        <v>0</v>
      </c>
      <c r="N138" s="512"/>
      <c r="O138" s="504">
        <f t="shared" si="42"/>
        <v>0</v>
      </c>
      <c r="P138" s="504">
        <f t="shared" si="43"/>
        <v>0</v>
      </c>
      <c r="Q138" s="243"/>
      <c r="R138" s="243"/>
      <c r="S138" s="243"/>
      <c r="T138" s="243"/>
      <c r="U138" s="243"/>
    </row>
    <row r="139" spans="2:21">
      <c r="B139" s="145" t="str">
        <f t="shared" si="29"/>
        <v/>
      </c>
      <c r="C139" s="495">
        <f>IF(D94="","-",+C138+1)</f>
        <v>2049</v>
      </c>
      <c r="D139" s="349">
        <f>IF(F138+SUM(E$100:E138)=D$93,F138,D$93-SUM(E$100:E138))</f>
        <v>0</v>
      </c>
      <c r="E139" s="509">
        <f>IF(+J97&lt;F138,J97,D139)</f>
        <v>0</v>
      </c>
      <c r="F139" s="510">
        <f t="shared" si="38"/>
        <v>0</v>
      </c>
      <c r="G139" s="510">
        <f t="shared" si="39"/>
        <v>0</v>
      </c>
      <c r="H139" s="523">
        <f t="shared" si="44"/>
        <v>0</v>
      </c>
      <c r="I139" s="572">
        <f t="shared" si="45"/>
        <v>0</v>
      </c>
      <c r="J139" s="504">
        <f t="shared" si="40"/>
        <v>0</v>
      </c>
      <c r="K139" s="504"/>
      <c r="L139" s="512"/>
      <c r="M139" s="504">
        <f t="shared" si="41"/>
        <v>0</v>
      </c>
      <c r="N139" s="512"/>
      <c r="O139" s="504">
        <f t="shared" si="42"/>
        <v>0</v>
      </c>
      <c r="P139" s="504">
        <f t="shared" si="43"/>
        <v>0</v>
      </c>
      <c r="Q139" s="243"/>
      <c r="R139" s="243"/>
      <c r="S139" s="243"/>
      <c r="T139" s="243"/>
      <c r="U139" s="243"/>
    </row>
    <row r="140" spans="2:21">
      <c r="B140" s="145" t="str">
        <f t="shared" si="29"/>
        <v/>
      </c>
      <c r="C140" s="495">
        <f>IF(D94="","-",+C139+1)</f>
        <v>2050</v>
      </c>
      <c r="D140" s="349">
        <f>IF(F139+SUM(E$100:E139)=D$93,F139,D$93-SUM(E$100:E139))</f>
        <v>0</v>
      </c>
      <c r="E140" s="509">
        <f>IF(+J97&lt;F139,J97,D140)</f>
        <v>0</v>
      </c>
      <c r="F140" s="510">
        <f t="shared" si="38"/>
        <v>0</v>
      </c>
      <c r="G140" s="510">
        <f t="shared" si="39"/>
        <v>0</v>
      </c>
      <c r="H140" s="523">
        <f t="shared" si="44"/>
        <v>0</v>
      </c>
      <c r="I140" s="572">
        <f t="shared" si="45"/>
        <v>0</v>
      </c>
      <c r="J140" s="504">
        <f t="shared" si="40"/>
        <v>0</v>
      </c>
      <c r="K140" s="504"/>
      <c r="L140" s="512"/>
      <c r="M140" s="504">
        <f t="shared" si="41"/>
        <v>0</v>
      </c>
      <c r="N140" s="512"/>
      <c r="O140" s="504">
        <f t="shared" si="42"/>
        <v>0</v>
      </c>
      <c r="P140" s="504">
        <f t="shared" si="43"/>
        <v>0</v>
      </c>
      <c r="Q140" s="243"/>
      <c r="R140" s="243"/>
      <c r="S140" s="243"/>
      <c r="T140" s="243"/>
      <c r="U140" s="243"/>
    </row>
    <row r="141" spans="2:21">
      <c r="B141" s="145" t="str">
        <f t="shared" si="29"/>
        <v/>
      </c>
      <c r="C141" s="495">
        <f>IF(D94="","-",+C140+1)</f>
        <v>2051</v>
      </c>
      <c r="D141" s="349">
        <f>IF(F140+SUM(E$100:E140)=D$93,F140,D$93-SUM(E$100:E140))</f>
        <v>0</v>
      </c>
      <c r="E141" s="509">
        <f>IF(+J97&lt;F140,J97,D141)</f>
        <v>0</v>
      </c>
      <c r="F141" s="510">
        <f t="shared" si="38"/>
        <v>0</v>
      </c>
      <c r="G141" s="510">
        <f t="shared" si="39"/>
        <v>0</v>
      </c>
      <c r="H141" s="523">
        <f t="shared" si="44"/>
        <v>0</v>
      </c>
      <c r="I141" s="572">
        <f t="shared" si="45"/>
        <v>0</v>
      </c>
      <c r="J141" s="504">
        <f t="shared" si="40"/>
        <v>0</v>
      </c>
      <c r="K141" s="504"/>
      <c r="L141" s="512"/>
      <c r="M141" s="504">
        <f t="shared" si="41"/>
        <v>0</v>
      </c>
      <c r="N141" s="512"/>
      <c r="O141" s="504">
        <f t="shared" si="42"/>
        <v>0</v>
      </c>
      <c r="P141" s="504">
        <f t="shared" si="43"/>
        <v>0</v>
      </c>
      <c r="Q141" s="243"/>
      <c r="R141" s="243"/>
      <c r="S141" s="243"/>
      <c r="T141" s="243"/>
      <c r="U141" s="243"/>
    </row>
    <row r="142" spans="2:21">
      <c r="B142" s="145" t="str">
        <f t="shared" si="29"/>
        <v/>
      </c>
      <c r="C142" s="495">
        <f>IF(D94="","-",+C141+1)</f>
        <v>2052</v>
      </c>
      <c r="D142" s="349">
        <f>IF(F141+SUM(E$100:E141)=D$93,F141,D$93-SUM(E$100:E141))</f>
        <v>0</v>
      </c>
      <c r="E142" s="509">
        <f>IF(+J97&lt;F141,J97,D142)</f>
        <v>0</v>
      </c>
      <c r="F142" s="510">
        <f t="shared" si="38"/>
        <v>0</v>
      </c>
      <c r="G142" s="510">
        <f t="shared" si="39"/>
        <v>0</v>
      </c>
      <c r="H142" s="523">
        <f t="shared" si="44"/>
        <v>0</v>
      </c>
      <c r="I142" s="572">
        <f t="shared" si="45"/>
        <v>0</v>
      </c>
      <c r="J142" s="504">
        <f t="shared" si="40"/>
        <v>0</v>
      </c>
      <c r="K142" s="504"/>
      <c r="L142" s="512"/>
      <c r="M142" s="504">
        <f t="shared" si="41"/>
        <v>0</v>
      </c>
      <c r="N142" s="512"/>
      <c r="O142" s="504">
        <f t="shared" si="42"/>
        <v>0</v>
      </c>
      <c r="P142" s="504">
        <f t="shared" si="43"/>
        <v>0</v>
      </c>
      <c r="Q142" s="243"/>
      <c r="R142" s="243"/>
      <c r="S142" s="243"/>
      <c r="T142" s="243"/>
      <c r="U142" s="243"/>
    </row>
    <row r="143" spans="2:21">
      <c r="B143" s="145" t="str">
        <f t="shared" si="29"/>
        <v/>
      </c>
      <c r="C143" s="495">
        <f>IF(D94="","-",+C142+1)</f>
        <v>2053</v>
      </c>
      <c r="D143" s="349">
        <f>IF(F142+SUM(E$100:E142)=D$93,F142,D$93-SUM(E$100:E142))</f>
        <v>0</v>
      </c>
      <c r="E143" s="509">
        <f>IF(+J97&lt;F142,J97,D143)</f>
        <v>0</v>
      </c>
      <c r="F143" s="510">
        <f t="shared" si="38"/>
        <v>0</v>
      </c>
      <c r="G143" s="510">
        <f t="shared" si="39"/>
        <v>0</v>
      </c>
      <c r="H143" s="523">
        <f t="shared" si="44"/>
        <v>0</v>
      </c>
      <c r="I143" s="572">
        <f t="shared" si="45"/>
        <v>0</v>
      </c>
      <c r="J143" s="504">
        <f t="shared" si="40"/>
        <v>0</v>
      </c>
      <c r="K143" s="504"/>
      <c r="L143" s="512"/>
      <c r="M143" s="504">
        <f t="shared" si="41"/>
        <v>0</v>
      </c>
      <c r="N143" s="512"/>
      <c r="O143" s="504">
        <f t="shared" si="42"/>
        <v>0</v>
      </c>
      <c r="P143" s="504">
        <f t="shared" si="43"/>
        <v>0</v>
      </c>
      <c r="Q143" s="243"/>
      <c r="R143" s="243"/>
      <c r="S143" s="243"/>
      <c r="T143" s="243"/>
      <c r="U143" s="243"/>
    </row>
    <row r="144" spans="2:21">
      <c r="B144" s="145" t="str">
        <f t="shared" si="29"/>
        <v/>
      </c>
      <c r="C144" s="495">
        <f>IF(D94="","-",+C143+1)</f>
        <v>2054</v>
      </c>
      <c r="D144" s="349">
        <f>IF(F143+SUM(E$100:E143)=D$93,F143,D$93-SUM(E$100:E143))</f>
        <v>0</v>
      </c>
      <c r="E144" s="509">
        <f>IF(+J97&lt;F143,J97,D144)</f>
        <v>0</v>
      </c>
      <c r="F144" s="510">
        <f t="shared" si="38"/>
        <v>0</v>
      </c>
      <c r="G144" s="510">
        <f t="shared" si="39"/>
        <v>0</v>
      </c>
      <c r="H144" s="523">
        <f t="shared" si="44"/>
        <v>0</v>
      </c>
      <c r="I144" s="572">
        <f t="shared" si="45"/>
        <v>0</v>
      </c>
      <c r="J144" s="504">
        <f t="shared" si="40"/>
        <v>0</v>
      </c>
      <c r="K144" s="504"/>
      <c r="L144" s="512"/>
      <c r="M144" s="504">
        <f t="shared" si="41"/>
        <v>0</v>
      </c>
      <c r="N144" s="512"/>
      <c r="O144" s="504">
        <f t="shared" si="42"/>
        <v>0</v>
      </c>
      <c r="P144" s="504">
        <f t="shared" si="43"/>
        <v>0</v>
      </c>
      <c r="Q144" s="243"/>
      <c r="R144" s="243"/>
      <c r="S144" s="243"/>
      <c r="T144" s="243"/>
      <c r="U144" s="243"/>
    </row>
    <row r="145" spans="2:21">
      <c r="B145" s="145" t="str">
        <f t="shared" si="29"/>
        <v/>
      </c>
      <c r="C145" s="495">
        <f>IF(D94="","-",+C144+1)</f>
        <v>2055</v>
      </c>
      <c r="D145" s="349">
        <f>IF(F144+SUM(E$100:E144)=D$93,F144,D$93-SUM(E$100:E144))</f>
        <v>0</v>
      </c>
      <c r="E145" s="509">
        <f>IF(+J97&lt;F144,J97,D145)</f>
        <v>0</v>
      </c>
      <c r="F145" s="510">
        <f t="shared" si="38"/>
        <v>0</v>
      </c>
      <c r="G145" s="510">
        <f t="shared" si="39"/>
        <v>0</v>
      </c>
      <c r="H145" s="523">
        <f t="shared" si="44"/>
        <v>0</v>
      </c>
      <c r="I145" s="572">
        <f t="shared" si="45"/>
        <v>0</v>
      </c>
      <c r="J145" s="504">
        <f t="shared" si="40"/>
        <v>0</v>
      </c>
      <c r="K145" s="504"/>
      <c r="L145" s="512"/>
      <c r="M145" s="504">
        <f t="shared" si="41"/>
        <v>0</v>
      </c>
      <c r="N145" s="512"/>
      <c r="O145" s="504">
        <f t="shared" si="42"/>
        <v>0</v>
      </c>
      <c r="P145" s="504">
        <f t="shared" si="43"/>
        <v>0</v>
      </c>
      <c r="Q145" s="243"/>
      <c r="R145" s="243"/>
      <c r="S145" s="243"/>
      <c r="T145" s="243"/>
      <c r="U145" s="243"/>
    </row>
    <row r="146" spans="2:21">
      <c r="B146" s="145" t="str">
        <f t="shared" si="29"/>
        <v/>
      </c>
      <c r="C146" s="495">
        <f>IF(D94="","-",+C145+1)</f>
        <v>2056</v>
      </c>
      <c r="D146" s="349">
        <f>IF(F145+SUM(E$100:E145)=D$93,F145,D$93-SUM(E$100:E145))</f>
        <v>0</v>
      </c>
      <c r="E146" s="509">
        <f>IF(+J97&lt;F145,J97,D146)</f>
        <v>0</v>
      </c>
      <c r="F146" s="510">
        <f t="shared" si="38"/>
        <v>0</v>
      </c>
      <c r="G146" s="510">
        <f t="shared" si="39"/>
        <v>0</v>
      </c>
      <c r="H146" s="523">
        <f t="shared" si="44"/>
        <v>0</v>
      </c>
      <c r="I146" s="572">
        <f t="shared" si="45"/>
        <v>0</v>
      </c>
      <c r="J146" s="504">
        <f t="shared" si="40"/>
        <v>0</v>
      </c>
      <c r="K146" s="504"/>
      <c r="L146" s="512"/>
      <c r="M146" s="504">
        <f t="shared" si="41"/>
        <v>0</v>
      </c>
      <c r="N146" s="512"/>
      <c r="O146" s="504">
        <f t="shared" si="42"/>
        <v>0</v>
      </c>
      <c r="P146" s="504">
        <f t="shared" si="43"/>
        <v>0</v>
      </c>
      <c r="Q146" s="243"/>
      <c r="R146" s="243"/>
      <c r="S146" s="243"/>
      <c r="T146" s="243"/>
      <c r="U146" s="243"/>
    </row>
    <row r="147" spans="2:21">
      <c r="B147" s="145" t="str">
        <f t="shared" si="29"/>
        <v/>
      </c>
      <c r="C147" s="495">
        <f>IF(D94="","-",+C146+1)</f>
        <v>2057</v>
      </c>
      <c r="D147" s="349">
        <f>IF(F146+SUM(E$100:E146)=D$93,F146,D$93-SUM(E$100:E146))</f>
        <v>0</v>
      </c>
      <c r="E147" s="509">
        <f>IF(+J97&lt;F146,J97,D147)</f>
        <v>0</v>
      </c>
      <c r="F147" s="510">
        <f t="shared" si="38"/>
        <v>0</v>
      </c>
      <c r="G147" s="510">
        <f t="shared" si="39"/>
        <v>0</v>
      </c>
      <c r="H147" s="523">
        <f t="shared" si="44"/>
        <v>0</v>
      </c>
      <c r="I147" s="572">
        <f t="shared" si="45"/>
        <v>0</v>
      </c>
      <c r="J147" s="504">
        <f t="shared" si="40"/>
        <v>0</v>
      </c>
      <c r="K147" s="504"/>
      <c r="L147" s="512"/>
      <c r="M147" s="504">
        <f t="shared" si="41"/>
        <v>0</v>
      </c>
      <c r="N147" s="512"/>
      <c r="O147" s="504">
        <f t="shared" si="42"/>
        <v>0</v>
      </c>
      <c r="P147" s="504">
        <f t="shared" si="43"/>
        <v>0</v>
      </c>
      <c r="Q147" s="243"/>
      <c r="R147" s="243"/>
      <c r="S147" s="243"/>
      <c r="T147" s="243"/>
      <c r="U147" s="243"/>
    </row>
    <row r="148" spans="2:21">
      <c r="B148" s="145" t="str">
        <f t="shared" si="29"/>
        <v/>
      </c>
      <c r="C148" s="495">
        <f>IF(D94="","-",+C147+1)</f>
        <v>2058</v>
      </c>
      <c r="D148" s="349">
        <f>IF(F147+SUM(E$100:E147)=D$93,F147,D$93-SUM(E$100:E147))</f>
        <v>0</v>
      </c>
      <c r="E148" s="509">
        <f>IF(+J97&lt;F147,J97,D148)</f>
        <v>0</v>
      </c>
      <c r="F148" s="510">
        <f t="shared" si="38"/>
        <v>0</v>
      </c>
      <c r="G148" s="510">
        <f t="shared" si="39"/>
        <v>0</v>
      </c>
      <c r="H148" s="523">
        <f t="shared" si="44"/>
        <v>0</v>
      </c>
      <c r="I148" s="572">
        <f t="shared" si="45"/>
        <v>0</v>
      </c>
      <c r="J148" s="504">
        <f t="shared" si="40"/>
        <v>0</v>
      </c>
      <c r="K148" s="504"/>
      <c r="L148" s="512"/>
      <c r="M148" s="504">
        <f t="shared" si="41"/>
        <v>0</v>
      </c>
      <c r="N148" s="512"/>
      <c r="O148" s="504">
        <f t="shared" si="42"/>
        <v>0</v>
      </c>
      <c r="P148" s="504">
        <f t="shared" si="43"/>
        <v>0</v>
      </c>
      <c r="Q148" s="243"/>
      <c r="R148" s="243"/>
      <c r="S148" s="243"/>
      <c r="T148" s="243"/>
      <c r="U148" s="243"/>
    </row>
    <row r="149" spans="2:21">
      <c r="B149" s="145" t="str">
        <f t="shared" si="29"/>
        <v/>
      </c>
      <c r="C149" s="495">
        <f>IF(D94="","-",+C148+1)</f>
        <v>2059</v>
      </c>
      <c r="D149" s="349">
        <f>IF(F148+SUM(E$100:E148)=D$93,F148,D$93-SUM(E$100:E148))</f>
        <v>0</v>
      </c>
      <c r="E149" s="509">
        <f>IF(+J97&lt;F148,J97,D149)</f>
        <v>0</v>
      </c>
      <c r="F149" s="510">
        <f t="shared" si="38"/>
        <v>0</v>
      </c>
      <c r="G149" s="510">
        <f t="shared" si="39"/>
        <v>0</v>
      </c>
      <c r="H149" s="523">
        <f t="shared" si="44"/>
        <v>0</v>
      </c>
      <c r="I149" s="572">
        <f t="shared" si="45"/>
        <v>0</v>
      </c>
      <c r="J149" s="504">
        <f t="shared" si="40"/>
        <v>0</v>
      </c>
      <c r="K149" s="504"/>
      <c r="L149" s="512"/>
      <c r="M149" s="504">
        <f t="shared" si="41"/>
        <v>0</v>
      </c>
      <c r="N149" s="512"/>
      <c r="O149" s="504">
        <f t="shared" si="42"/>
        <v>0</v>
      </c>
      <c r="P149" s="504">
        <f t="shared" si="43"/>
        <v>0</v>
      </c>
      <c r="Q149" s="243"/>
      <c r="R149" s="243"/>
      <c r="S149" s="243"/>
      <c r="T149" s="243"/>
      <c r="U149" s="243"/>
    </row>
    <row r="150" spans="2:21">
      <c r="B150" s="145" t="str">
        <f t="shared" si="29"/>
        <v/>
      </c>
      <c r="C150" s="495">
        <f>IF(D94="","-",+C149+1)</f>
        <v>2060</v>
      </c>
      <c r="D150" s="349">
        <f>IF(F149+SUM(E$100:E149)=D$93,F149,D$93-SUM(E$100:E149))</f>
        <v>0</v>
      </c>
      <c r="E150" s="509">
        <f>IF(+J97&lt;F149,J97,D150)</f>
        <v>0</v>
      </c>
      <c r="F150" s="510">
        <f t="shared" si="38"/>
        <v>0</v>
      </c>
      <c r="G150" s="510">
        <f t="shared" si="39"/>
        <v>0</v>
      </c>
      <c r="H150" s="523">
        <f t="shared" si="44"/>
        <v>0</v>
      </c>
      <c r="I150" s="572">
        <f t="shared" si="45"/>
        <v>0</v>
      </c>
      <c r="J150" s="504">
        <f t="shared" si="40"/>
        <v>0</v>
      </c>
      <c r="K150" s="504"/>
      <c r="L150" s="512"/>
      <c r="M150" s="504">
        <f t="shared" si="41"/>
        <v>0</v>
      </c>
      <c r="N150" s="512"/>
      <c r="O150" s="504">
        <f t="shared" si="42"/>
        <v>0</v>
      </c>
      <c r="P150" s="504">
        <f t="shared" si="43"/>
        <v>0</v>
      </c>
      <c r="Q150" s="243"/>
      <c r="R150" s="243"/>
      <c r="S150" s="243"/>
      <c r="T150" s="243"/>
      <c r="U150" s="243"/>
    </row>
    <row r="151" spans="2:21">
      <c r="B151" s="145" t="str">
        <f t="shared" si="29"/>
        <v/>
      </c>
      <c r="C151" s="495">
        <f>IF(D94="","-",+C150+1)</f>
        <v>2061</v>
      </c>
      <c r="D151" s="349">
        <f>IF(F150+SUM(E$100:E150)=D$93,F150,D$93-SUM(E$100:E150))</f>
        <v>0</v>
      </c>
      <c r="E151" s="509">
        <f>IF(+J97&lt;F150,J97,D151)</f>
        <v>0</v>
      </c>
      <c r="F151" s="510">
        <f t="shared" si="38"/>
        <v>0</v>
      </c>
      <c r="G151" s="510">
        <f t="shared" si="39"/>
        <v>0</v>
      </c>
      <c r="H151" s="523">
        <f t="shared" si="44"/>
        <v>0</v>
      </c>
      <c r="I151" s="572">
        <f t="shared" si="45"/>
        <v>0</v>
      </c>
      <c r="J151" s="504">
        <f t="shared" si="40"/>
        <v>0</v>
      </c>
      <c r="K151" s="504"/>
      <c r="L151" s="512"/>
      <c r="M151" s="504">
        <f t="shared" si="41"/>
        <v>0</v>
      </c>
      <c r="N151" s="512"/>
      <c r="O151" s="504">
        <f t="shared" si="42"/>
        <v>0</v>
      </c>
      <c r="P151" s="504">
        <f t="shared" si="43"/>
        <v>0</v>
      </c>
      <c r="Q151" s="243"/>
      <c r="R151" s="243"/>
      <c r="S151" s="243"/>
      <c r="T151" s="243"/>
      <c r="U151" s="243"/>
    </row>
    <row r="152" spans="2:21">
      <c r="B152" s="145" t="str">
        <f t="shared" si="29"/>
        <v/>
      </c>
      <c r="C152" s="495">
        <f>IF(D94="","-",+C151+1)</f>
        <v>2062</v>
      </c>
      <c r="D152" s="349">
        <f>IF(F151+SUM(E$100:E151)=D$93,F151,D$93-SUM(E$100:E151))</f>
        <v>0</v>
      </c>
      <c r="E152" s="509">
        <f>IF(+J97&lt;F151,J97,D152)</f>
        <v>0</v>
      </c>
      <c r="F152" s="510">
        <f t="shared" si="38"/>
        <v>0</v>
      </c>
      <c r="G152" s="510">
        <f t="shared" si="39"/>
        <v>0</v>
      </c>
      <c r="H152" s="523">
        <f t="shared" si="44"/>
        <v>0</v>
      </c>
      <c r="I152" s="572">
        <f t="shared" si="45"/>
        <v>0</v>
      </c>
      <c r="J152" s="504">
        <f t="shared" si="40"/>
        <v>0</v>
      </c>
      <c r="K152" s="504"/>
      <c r="L152" s="512"/>
      <c r="M152" s="504">
        <f t="shared" si="41"/>
        <v>0</v>
      </c>
      <c r="N152" s="512"/>
      <c r="O152" s="504">
        <f t="shared" si="42"/>
        <v>0</v>
      </c>
      <c r="P152" s="504">
        <f t="shared" si="43"/>
        <v>0</v>
      </c>
      <c r="Q152" s="243"/>
      <c r="R152" s="243"/>
      <c r="S152" s="243"/>
      <c r="T152" s="243"/>
      <c r="U152" s="243"/>
    </row>
    <row r="153" spans="2:21">
      <c r="B153" s="145" t="str">
        <f t="shared" si="29"/>
        <v/>
      </c>
      <c r="C153" s="495">
        <f>IF(D94="","-",+C152+1)</f>
        <v>2063</v>
      </c>
      <c r="D153" s="349">
        <f>IF(F152+SUM(E$100:E152)=D$93,F152,D$93-SUM(E$100:E152))</f>
        <v>0</v>
      </c>
      <c r="E153" s="509">
        <f>IF(+J97&lt;F152,J97,D153)</f>
        <v>0</v>
      </c>
      <c r="F153" s="510">
        <f t="shared" si="38"/>
        <v>0</v>
      </c>
      <c r="G153" s="510">
        <f t="shared" si="39"/>
        <v>0</v>
      </c>
      <c r="H153" s="523">
        <f t="shared" si="44"/>
        <v>0</v>
      </c>
      <c r="I153" s="572">
        <f t="shared" si="45"/>
        <v>0</v>
      </c>
      <c r="J153" s="504">
        <f t="shared" si="40"/>
        <v>0</v>
      </c>
      <c r="K153" s="504"/>
      <c r="L153" s="512"/>
      <c r="M153" s="504">
        <f t="shared" si="41"/>
        <v>0</v>
      </c>
      <c r="N153" s="512"/>
      <c r="O153" s="504">
        <f t="shared" si="42"/>
        <v>0</v>
      </c>
      <c r="P153" s="504">
        <f t="shared" si="43"/>
        <v>0</v>
      </c>
      <c r="Q153" s="243"/>
      <c r="R153" s="243"/>
      <c r="S153" s="243"/>
      <c r="T153" s="243"/>
      <c r="U153" s="243"/>
    </row>
    <row r="154" spans="2:21">
      <c r="B154" s="145" t="str">
        <f t="shared" si="29"/>
        <v/>
      </c>
      <c r="C154" s="495">
        <f>IF(D94="","-",+C153+1)</f>
        <v>2064</v>
      </c>
      <c r="D154" s="349">
        <f>IF(F153+SUM(E$100:E153)=D$93,F153,D$93-SUM(E$100:E153))</f>
        <v>0</v>
      </c>
      <c r="E154" s="509">
        <f>IF(+J97&lt;F153,J97,D154)</f>
        <v>0</v>
      </c>
      <c r="F154" s="510">
        <f t="shared" si="38"/>
        <v>0</v>
      </c>
      <c r="G154" s="510">
        <f t="shared" si="39"/>
        <v>0</v>
      </c>
      <c r="H154" s="523">
        <f t="shared" si="44"/>
        <v>0</v>
      </c>
      <c r="I154" s="572">
        <f t="shared" si="45"/>
        <v>0</v>
      </c>
      <c r="J154" s="504">
        <f t="shared" si="40"/>
        <v>0</v>
      </c>
      <c r="K154" s="504"/>
      <c r="L154" s="512"/>
      <c r="M154" s="504">
        <f t="shared" si="41"/>
        <v>0</v>
      </c>
      <c r="N154" s="512"/>
      <c r="O154" s="504">
        <f t="shared" si="42"/>
        <v>0</v>
      </c>
      <c r="P154" s="504">
        <f t="shared" si="43"/>
        <v>0</v>
      </c>
      <c r="Q154" s="243"/>
      <c r="R154" s="243"/>
      <c r="S154" s="243"/>
      <c r="T154" s="243"/>
      <c r="U154" s="243"/>
    </row>
    <row r="155" spans="2:21" ht="13.5" thickBot="1">
      <c r="B155" s="145" t="str">
        <f t="shared" si="29"/>
        <v/>
      </c>
      <c r="C155" s="524">
        <f>IF(D94="","-",+C154+1)</f>
        <v>2065</v>
      </c>
      <c r="D155" s="527">
        <f>IF(F154+SUM(E$100:E154)=D$93,F154,D$93-SUM(E$100:E154))</f>
        <v>0</v>
      </c>
      <c r="E155" s="526">
        <f>IF(+J97&lt;F154,J97,D155)</f>
        <v>0</v>
      </c>
      <c r="F155" s="527">
        <f t="shared" si="38"/>
        <v>0</v>
      </c>
      <c r="G155" s="527">
        <f t="shared" si="39"/>
        <v>0</v>
      </c>
      <c r="H155" s="528">
        <f t="shared" si="44"/>
        <v>0</v>
      </c>
      <c r="I155" s="573">
        <f t="shared" si="45"/>
        <v>0</v>
      </c>
      <c r="J155" s="531">
        <f t="shared" si="40"/>
        <v>0</v>
      </c>
      <c r="K155" s="504"/>
      <c r="L155" s="530"/>
      <c r="M155" s="531">
        <f t="shared" si="41"/>
        <v>0</v>
      </c>
      <c r="N155" s="530"/>
      <c r="O155" s="531">
        <f t="shared" si="42"/>
        <v>0</v>
      </c>
      <c r="P155" s="531">
        <f t="shared" si="43"/>
        <v>0</v>
      </c>
      <c r="Q155" s="243"/>
      <c r="R155" s="243"/>
      <c r="S155" s="243"/>
      <c r="T155" s="243"/>
      <c r="U155" s="243"/>
    </row>
    <row r="156" spans="2:21">
      <c r="C156" s="349" t="s">
        <v>75</v>
      </c>
      <c r="D156" s="294"/>
      <c r="E156" s="294">
        <f>SUM(E100:E155)</f>
        <v>723818.00000000012</v>
      </c>
      <c r="F156" s="294"/>
      <c r="G156" s="294"/>
      <c r="H156" s="294">
        <f>SUM(H100:H155)</f>
        <v>2151518.2927896143</v>
      </c>
      <c r="I156" s="294">
        <f>SUM(I100:I155)</f>
        <v>2151518.2927896143</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76" t="s">
        <v>129</v>
      </c>
      <c r="Q163" s="243"/>
      <c r="R163" s="243"/>
      <c r="S163" s="243"/>
      <c r="T163" s="243"/>
      <c r="U163" s="243"/>
    </row>
  </sheetData>
  <phoneticPr fontId="0" type="noConversion"/>
  <conditionalFormatting sqref="C17:C29 C34:C73">
    <cfRule type="cellIs" dxfId="63" priority="2" stopIfTrue="1" operator="equal">
      <formula>$I$10</formula>
    </cfRule>
  </conditionalFormatting>
  <conditionalFormatting sqref="C100:C155">
    <cfRule type="cellIs" dxfId="62" priority="3" stopIfTrue="1" operator="equal">
      <formula>$J$93</formula>
    </cfRule>
  </conditionalFormatting>
  <conditionalFormatting sqref="C30:C33">
    <cfRule type="cellIs" dxfId="61"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0"/>
  <dimension ref="A1:U163"/>
  <sheetViews>
    <sheetView view="pageBreakPreview" topLeftCell="A7" zoomScale="85" zoomScaleNormal="100"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2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107041.38991809898</v>
      </c>
      <c r="P5" s="243"/>
      <c r="R5" s="243"/>
      <c r="S5" s="243"/>
      <c r="T5" s="243"/>
      <c r="U5" s="243"/>
    </row>
    <row r="6" spans="1:21" ht="15.75">
      <c r="C6" s="235"/>
      <c r="D6" s="292"/>
      <c r="E6" s="243"/>
      <c r="F6" s="243"/>
      <c r="G6" s="243"/>
      <c r="H6" s="449"/>
      <c r="I6" s="449"/>
      <c r="J6" s="450"/>
      <c r="K6" s="451" t="s">
        <v>243</v>
      </c>
      <c r="L6" s="452"/>
      <c r="M6" s="278"/>
      <c r="N6" s="453">
        <f>VLOOKUP(I10,C17:I73,6)</f>
        <v>107041.38991809898</v>
      </c>
      <c r="O6" s="243"/>
      <c r="P6" s="243"/>
      <c r="R6" s="243"/>
      <c r="S6" s="243"/>
      <c r="T6" s="243"/>
      <c r="U6" s="243"/>
    </row>
    <row r="7" spans="1:21" ht="13.5" thickBot="1">
      <c r="C7" s="454" t="s">
        <v>46</v>
      </c>
      <c r="D7" s="455" t="s">
        <v>192</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197</v>
      </c>
      <c r="E9" s="646" t="s">
        <v>311</v>
      </c>
      <c r="F9" s="465"/>
      <c r="G9" s="465"/>
      <c r="H9" s="465"/>
      <c r="I9" s="466"/>
      <c r="J9" s="467"/>
      <c r="O9" s="468"/>
      <c r="P9" s="278"/>
      <c r="R9" s="243"/>
      <c r="S9" s="243"/>
      <c r="T9" s="243"/>
      <c r="U9" s="243"/>
    </row>
    <row r="10" spans="1:21">
      <c r="C10" s="469" t="s">
        <v>49</v>
      </c>
      <c r="D10" s="470">
        <v>985777</v>
      </c>
      <c r="E10" s="299" t="s">
        <v>50</v>
      </c>
      <c r="F10" s="468"/>
      <c r="G10" s="408"/>
      <c r="H10" s="408"/>
      <c r="I10" s="471">
        <f>+'OKT.WS.F.BPU.ATRR.Projected'!R101</f>
        <v>2024</v>
      </c>
      <c r="J10" s="467"/>
      <c r="K10" s="294" t="s">
        <v>51</v>
      </c>
      <c r="O10" s="278"/>
      <c r="P10" s="278"/>
      <c r="R10" s="243"/>
      <c r="S10" s="243"/>
      <c r="T10" s="243"/>
      <c r="U10" s="243"/>
    </row>
    <row r="11" spans="1:21">
      <c r="C11" s="472" t="s">
        <v>52</v>
      </c>
      <c r="D11" s="473">
        <v>2010</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0.11393163315254198</v>
      </c>
      <c r="J12" s="578"/>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31799.258064516129</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IF(D17=F16,"","IU")</f>
        <v>IU</v>
      </c>
      <c r="C17" s="580">
        <f>IF(D11= "","-",D11)</f>
        <v>2010</v>
      </c>
      <c r="D17" s="496">
        <v>1000000</v>
      </c>
      <c r="E17" s="497">
        <v>8649.6050543178571</v>
      </c>
      <c r="F17" s="496">
        <v>991350.39494568214</v>
      </c>
      <c r="G17" s="498">
        <v>128416.51741983544</v>
      </c>
      <c r="H17" s="499">
        <v>128416.51741983544</v>
      </c>
      <c r="I17" s="500">
        <f t="shared" ref="I17:I49" si="0">H17-G17</f>
        <v>0</v>
      </c>
      <c r="J17" s="500"/>
      <c r="K17" s="501">
        <f t="shared" ref="K17:K22" si="1">G17</f>
        <v>128416.51741983544</v>
      </c>
      <c r="L17" s="502">
        <f t="shared" ref="L17:L49" si="2">IF(K17&lt;&gt;0,+G17-K17,0)</f>
        <v>0</v>
      </c>
      <c r="M17" s="501">
        <f t="shared" ref="M17:M22" si="3">H17</f>
        <v>128416.51741983544</v>
      </c>
      <c r="N17" s="503">
        <f t="shared" ref="N17:N49" si="4">IF(M17&lt;&gt;0,+H17-M17,0)</f>
        <v>0</v>
      </c>
      <c r="O17" s="504">
        <f t="shared" ref="O17:O49" si="5">+N17-L17</f>
        <v>0</v>
      </c>
      <c r="P17" s="278"/>
      <c r="R17" s="243"/>
      <c r="S17" s="243"/>
      <c r="T17" s="243"/>
      <c r="U17" s="243"/>
    </row>
    <row r="18" spans="2:21">
      <c r="B18" s="145" t="str">
        <f>IF(D18=F17,"","IU")</f>
        <v/>
      </c>
      <c r="C18" s="495">
        <f>IF(D11="","-",+C17+1)</f>
        <v>2011</v>
      </c>
      <c r="D18" s="505">
        <v>991350.39494568214</v>
      </c>
      <c r="E18" s="498">
        <v>16985.402437265064</v>
      </c>
      <c r="F18" s="505">
        <v>974364.99250841711</v>
      </c>
      <c r="G18" s="498">
        <v>143658.66281023776</v>
      </c>
      <c r="H18" s="499">
        <v>143658.66281023776</v>
      </c>
      <c r="I18" s="500">
        <f t="shared" si="0"/>
        <v>0</v>
      </c>
      <c r="J18" s="500"/>
      <c r="K18" s="506">
        <f t="shared" si="1"/>
        <v>143658.66281023776</v>
      </c>
      <c r="L18" s="507">
        <f t="shared" si="2"/>
        <v>0</v>
      </c>
      <c r="M18" s="506">
        <f t="shared" si="3"/>
        <v>143658.66281023776</v>
      </c>
      <c r="N18" s="504">
        <f t="shared" si="4"/>
        <v>0</v>
      </c>
      <c r="O18" s="504">
        <f t="shared" si="5"/>
        <v>0</v>
      </c>
      <c r="P18" s="278"/>
      <c r="R18" s="243"/>
      <c r="S18" s="243"/>
      <c r="T18" s="243"/>
      <c r="U18" s="243"/>
    </row>
    <row r="19" spans="2:21">
      <c r="B19" s="145" t="str">
        <f t="shared" ref="B19:B73" si="6">IF(D19=F18,"","IU")</f>
        <v/>
      </c>
      <c r="C19" s="495">
        <f>IF(D11="","-",+C18+1)</f>
        <v>2012</v>
      </c>
      <c r="D19" s="505">
        <v>974364.99250841711</v>
      </c>
      <c r="E19" s="498">
        <v>17053.169324992024</v>
      </c>
      <c r="F19" s="505">
        <v>957311.82318342512</v>
      </c>
      <c r="G19" s="498">
        <v>109574.51640694846</v>
      </c>
      <c r="H19" s="499">
        <v>109574.51640694846</v>
      </c>
      <c r="I19" s="500">
        <v>0</v>
      </c>
      <c r="J19" s="500"/>
      <c r="K19" s="506">
        <f t="shared" si="1"/>
        <v>109574.51640694846</v>
      </c>
      <c r="L19" s="504">
        <f t="shared" si="2"/>
        <v>0</v>
      </c>
      <c r="M19" s="506">
        <f t="shared" si="3"/>
        <v>109574.51640694846</v>
      </c>
      <c r="N19" s="504">
        <f t="shared" si="4"/>
        <v>0</v>
      </c>
      <c r="O19" s="504">
        <f t="shared" si="5"/>
        <v>0</v>
      </c>
      <c r="P19" s="278"/>
      <c r="R19" s="243"/>
      <c r="S19" s="243"/>
      <c r="T19" s="243"/>
      <c r="U19" s="243"/>
    </row>
    <row r="20" spans="2:21">
      <c r="B20" s="145" t="str">
        <f t="shared" si="6"/>
        <v>IU</v>
      </c>
      <c r="C20" s="495">
        <f>IF(D11="","-",+C19+1)</f>
        <v>2013</v>
      </c>
      <c r="D20" s="505">
        <v>943089.16318342497</v>
      </c>
      <c r="E20" s="498">
        <v>17053.169324992024</v>
      </c>
      <c r="F20" s="505">
        <v>926035.99385843298</v>
      </c>
      <c r="G20" s="498">
        <v>118214.46332464613</v>
      </c>
      <c r="H20" s="499">
        <v>118214.46332464613</v>
      </c>
      <c r="I20" s="500">
        <v>0</v>
      </c>
      <c r="J20" s="500"/>
      <c r="K20" s="506">
        <f t="shared" si="1"/>
        <v>118214.46332464613</v>
      </c>
      <c r="L20" s="504">
        <f t="shared" ref="L20:L25" si="7">IF(K20&lt;&gt;0,+G20-K20,0)</f>
        <v>0</v>
      </c>
      <c r="M20" s="506">
        <f t="shared" si="3"/>
        <v>118214.46332464613</v>
      </c>
      <c r="N20" s="504">
        <f>IF(M20&lt;&gt;0,+H20-M20,0)</f>
        <v>0</v>
      </c>
      <c r="O20" s="504">
        <f>+N20-L20</f>
        <v>0</v>
      </c>
      <c r="P20" s="278"/>
      <c r="R20" s="243"/>
      <c r="S20" s="243"/>
      <c r="T20" s="243"/>
      <c r="U20" s="243"/>
    </row>
    <row r="21" spans="2:21">
      <c r="B21" s="145" t="str">
        <f t="shared" si="6"/>
        <v/>
      </c>
      <c r="C21" s="495">
        <f>IF(D12="","-",+C20+1)</f>
        <v>2014</v>
      </c>
      <c r="D21" s="505">
        <v>926035.99385843298</v>
      </c>
      <c r="E21" s="498">
        <v>17053.169324992024</v>
      </c>
      <c r="F21" s="505">
        <v>908982.82453344099</v>
      </c>
      <c r="G21" s="498">
        <v>117066.12014630614</v>
      </c>
      <c r="H21" s="499">
        <v>117066.12014630614</v>
      </c>
      <c r="I21" s="500">
        <v>0</v>
      </c>
      <c r="J21" s="500"/>
      <c r="K21" s="506">
        <f t="shared" si="1"/>
        <v>117066.12014630614</v>
      </c>
      <c r="L21" s="504">
        <f t="shared" si="7"/>
        <v>0</v>
      </c>
      <c r="M21" s="506">
        <f t="shared" si="3"/>
        <v>117066.12014630614</v>
      </c>
      <c r="N21" s="504">
        <f>IF(M21&lt;&gt;0,+H21-M21,0)</f>
        <v>0</v>
      </c>
      <c r="O21" s="504">
        <f>+N21-L21</f>
        <v>0</v>
      </c>
      <c r="P21" s="278"/>
      <c r="R21" s="243"/>
      <c r="S21" s="243"/>
      <c r="T21" s="243"/>
      <c r="U21" s="243"/>
    </row>
    <row r="22" spans="2:21">
      <c r="B22" s="145" t="str">
        <f t="shared" si="6"/>
        <v/>
      </c>
      <c r="C22" s="495">
        <f>IF(D11="","-",+C21+1)</f>
        <v>2015</v>
      </c>
      <c r="D22" s="505">
        <v>908982.82453344099</v>
      </c>
      <c r="E22" s="498">
        <v>17053.169324992024</v>
      </c>
      <c r="F22" s="505">
        <v>891929.655208449</v>
      </c>
      <c r="G22" s="498">
        <v>108980.29004264352</v>
      </c>
      <c r="H22" s="499">
        <v>108980.29004264352</v>
      </c>
      <c r="I22" s="500">
        <v>0</v>
      </c>
      <c r="J22" s="500"/>
      <c r="K22" s="506">
        <f t="shared" si="1"/>
        <v>108980.29004264352</v>
      </c>
      <c r="L22" s="504">
        <f t="shared" si="7"/>
        <v>0</v>
      </c>
      <c r="M22" s="506">
        <f t="shared" si="3"/>
        <v>108980.29004264352</v>
      </c>
      <c r="N22" s="504">
        <f>IF(M22&lt;&gt;0,+H22-M22,0)</f>
        <v>0</v>
      </c>
      <c r="O22" s="504">
        <f>+N22-L22</f>
        <v>0</v>
      </c>
      <c r="P22" s="278"/>
      <c r="R22" s="243"/>
      <c r="S22" s="243"/>
      <c r="T22" s="243"/>
      <c r="U22" s="243"/>
    </row>
    <row r="23" spans="2:21">
      <c r="B23" s="145" t="str">
        <f t="shared" si="6"/>
        <v/>
      </c>
      <c r="C23" s="495">
        <f>IF(D11="","-",+C22+1)</f>
        <v>2016</v>
      </c>
      <c r="D23" s="505">
        <v>891929.655208449</v>
      </c>
      <c r="E23" s="498">
        <v>20483.915040786436</v>
      </c>
      <c r="F23" s="505">
        <v>871445.7401676625</v>
      </c>
      <c r="G23" s="498">
        <v>114495.80398935861</v>
      </c>
      <c r="H23" s="499">
        <v>114495.80398935861</v>
      </c>
      <c r="I23" s="500">
        <f t="shared" si="0"/>
        <v>0</v>
      </c>
      <c r="J23" s="500"/>
      <c r="K23" s="506">
        <f t="shared" ref="K23:K28" si="8">G23</f>
        <v>114495.80398935861</v>
      </c>
      <c r="L23" s="504">
        <f t="shared" si="7"/>
        <v>0</v>
      </c>
      <c r="M23" s="506">
        <f t="shared" ref="M23:M28" si="9">H23</f>
        <v>114495.80398935861</v>
      </c>
      <c r="N23" s="504">
        <f t="shared" si="4"/>
        <v>0</v>
      </c>
      <c r="O23" s="504">
        <f t="shared" si="5"/>
        <v>0</v>
      </c>
      <c r="P23" s="278"/>
      <c r="R23" s="243"/>
      <c r="S23" s="243"/>
      <c r="T23" s="243"/>
      <c r="U23" s="243"/>
    </row>
    <row r="24" spans="2:21">
      <c r="B24" s="145" t="str">
        <f t="shared" si="6"/>
        <v/>
      </c>
      <c r="C24" s="495">
        <f>IF(D11="","-",+C23+1)</f>
        <v>2017</v>
      </c>
      <c r="D24" s="505">
        <v>871445.7401676625</v>
      </c>
      <c r="E24" s="498">
        <v>19382.334130313378</v>
      </c>
      <c r="F24" s="505">
        <v>852063.40603734914</v>
      </c>
      <c r="G24" s="498">
        <v>114123.60807449113</v>
      </c>
      <c r="H24" s="499">
        <v>114123.60807449113</v>
      </c>
      <c r="I24" s="500">
        <f t="shared" si="0"/>
        <v>0</v>
      </c>
      <c r="J24" s="500"/>
      <c r="K24" s="506">
        <f t="shared" si="8"/>
        <v>114123.60807449113</v>
      </c>
      <c r="L24" s="504">
        <f t="shared" si="7"/>
        <v>0</v>
      </c>
      <c r="M24" s="506">
        <f t="shared" si="9"/>
        <v>114123.60807449113</v>
      </c>
      <c r="N24" s="504">
        <f>IF(M24&lt;&gt;0,+H24-M24,0)</f>
        <v>0</v>
      </c>
      <c r="O24" s="504">
        <f>+N24-L24</f>
        <v>0</v>
      </c>
      <c r="P24" s="278"/>
      <c r="R24" s="243"/>
      <c r="S24" s="243"/>
      <c r="T24" s="243"/>
      <c r="U24" s="243"/>
    </row>
    <row r="25" spans="2:21">
      <c r="B25" s="145" t="str">
        <f t="shared" si="6"/>
        <v/>
      </c>
      <c r="C25" s="495">
        <f>IF(D11="","-",+C24+1)</f>
        <v>2018</v>
      </c>
      <c r="D25" s="505">
        <v>852063.40603734914</v>
      </c>
      <c r="E25" s="498">
        <v>24175.777145778226</v>
      </c>
      <c r="F25" s="505">
        <v>827887.62889157096</v>
      </c>
      <c r="G25" s="498">
        <v>109537.1548251974</v>
      </c>
      <c r="H25" s="499">
        <v>109537.1548251974</v>
      </c>
      <c r="I25" s="500">
        <f t="shared" si="0"/>
        <v>0</v>
      </c>
      <c r="J25" s="500"/>
      <c r="K25" s="506">
        <f t="shared" si="8"/>
        <v>109537.1548251974</v>
      </c>
      <c r="L25" s="504">
        <f t="shared" si="7"/>
        <v>0</v>
      </c>
      <c r="M25" s="506">
        <f t="shared" si="9"/>
        <v>109537.1548251974</v>
      </c>
      <c r="N25" s="504">
        <f>IF(M25&lt;&gt;0,+H25-M25,0)</f>
        <v>0</v>
      </c>
      <c r="O25" s="504">
        <f>+N25-L25</f>
        <v>0</v>
      </c>
      <c r="P25" s="278"/>
      <c r="R25" s="243"/>
      <c r="S25" s="243"/>
      <c r="T25" s="243"/>
      <c r="U25" s="243"/>
    </row>
    <row r="26" spans="2:21">
      <c r="B26" s="145" t="str">
        <f t="shared" si="6"/>
        <v/>
      </c>
      <c r="C26" s="495">
        <f>IF(D11="","-",+C25+1)</f>
        <v>2019</v>
      </c>
      <c r="D26" s="505">
        <v>827887.62889157096</v>
      </c>
      <c r="E26" s="498">
        <v>29237.019226400858</v>
      </c>
      <c r="F26" s="505">
        <v>798650.60966517008</v>
      </c>
      <c r="G26" s="498">
        <v>113764.92954880837</v>
      </c>
      <c r="H26" s="499">
        <v>113764.92954880837</v>
      </c>
      <c r="I26" s="500">
        <f t="shared" si="0"/>
        <v>0</v>
      </c>
      <c r="J26" s="500"/>
      <c r="K26" s="506">
        <f t="shared" si="8"/>
        <v>113764.92954880837</v>
      </c>
      <c r="L26" s="504">
        <f t="shared" ref="L26" si="10">IF(K26&lt;&gt;0,+G26-K26,0)</f>
        <v>0</v>
      </c>
      <c r="M26" s="506">
        <f t="shared" si="9"/>
        <v>113764.92954880837</v>
      </c>
      <c r="N26" s="504">
        <f>IF(M26&lt;&gt;0,+H26-M26,0)</f>
        <v>0</v>
      </c>
      <c r="O26" s="504">
        <f>+N26-L26</f>
        <v>0</v>
      </c>
      <c r="P26" s="278"/>
      <c r="R26" s="243"/>
      <c r="S26" s="243"/>
      <c r="T26" s="243"/>
      <c r="U26" s="243"/>
    </row>
    <row r="27" spans="2:21">
      <c r="B27" s="145" t="str">
        <f t="shared" si="6"/>
        <v>IU</v>
      </c>
      <c r="C27" s="495">
        <f>IF(D11="","-",+C26+1)</f>
        <v>2020</v>
      </c>
      <c r="D27" s="505">
        <v>803711.85174579278</v>
      </c>
      <c r="E27" s="498">
        <v>28865.315662076879</v>
      </c>
      <c r="F27" s="505">
        <v>774846.53608371585</v>
      </c>
      <c r="G27" s="498">
        <v>111686.32809259798</v>
      </c>
      <c r="H27" s="499">
        <v>111686.32809259798</v>
      </c>
      <c r="I27" s="500">
        <f t="shared" si="0"/>
        <v>0</v>
      </c>
      <c r="J27" s="500"/>
      <c r="K27" s="506">
        <f t="shared" si="8"/>
        <v>111686.32809259798</v>
      </c>
      <c r="L27" s="504">
        <f t="shared" ref="L27" si="11">IF(K27&lt;&gt;0,+G27-K27,0)</f>
        <v>0</v>
      </c>
      <c r="M27" s="506">
        <f t="shared" si="9"/>
        <v>111686.32809259798</v>
      </c>
      <c r="N27" s="504">
        <f>IF(M27&lt;&gt;0,+H27-M27,0)</f>
        <v>0</v>
      </c>
      <c r="O27" s="504">
        <f>+N27-L27</f>
        <v>0</v>
      </c>
      <c r="P27" s="278"/>
      <c r="R27" s="243"/>
      <c r="S27" s="243"/>
      <c r="T27" s="243"/>
      <c r="U27" s="243"/>
    </row>
    <row r="28" spans="2:21">
      <c r="B28" s="145" t="str">
        <f t="shared" si="6"/>
        <v>IU</v>
      </c>
      <c r="C28" s="495">
        <f>IF(D11="","-",+C27+1)</f>
        <v>2021</v>
      </c>
      <c r="D28" s="505">
        <v>769785.29400309315</v>
      </c>
      <c r="E28" s="498">
        <v>31799.269032258064</v>
      </c>
      <c r="F28" s="505">
        <v>737986.02497083507</v>
      </c>
      <c r="G28" s="498">
        <v>113358.4397541738</v>
      </c>
      <c r="H28" s="499">
        <v>113358.4397541738</v>
      </c>
      <c r="I28" s="500">
        <f t="shared" si="0"/>
        <v>0</v>
      </c>
      <c r="J28" s="500"/>
      <c r="K28" s="506">
        <f t="shared" si="8"/>
        <v>113358.4397541738</v>
      </c>
      <c r="L28" s="504">
        <f t="shared" ref="L28" si="12">IF(K28&lt;&gt;0,+G28-K28,0)</f>
        <v>0</v>
      </c>
      <c r="M28" s="506">
        <f t="shared" si="9"/>
        <v>113358.4397541738</v>
      </c>
      <c r="N28" s="504">
        <f>IF(M28&lt;&gt;0,+H28-M28,0)</f>
        <v>0</v>
      </c>
      <c r="O28" s="504">
        <f>+N28-L28</f>
        <v>0</v>
      </c>
      <c r="P28" s="278"/>
      <c r="R28" s="243"/>
      <c r="S28" s="243"/>
      <c r="T28" s="243"/>
      <c r="U28" s="243"/>
    </row>
    <row r="29" spans="2:21">
      <c r="B29" s="145" t="str">
        <f t="shared" si="6"/>
        <v/>
      </c>
      <c r="C29" s="580">
        <f>IF(D11="","-",+C28+1)</f>
        <v>2022</v>
      </c>
      <c r="D29" s="505">
        <v>737986.02497083507</v>
      </c>
      <c r="E29" s="498">
        <v>29872.040606060604</v>
      </c>
      <c r="F29" s="505">
        <v>708113.98436477443</v>
      </c>
      <c r="G29" s="498">
        <v>112848.37260844371</v>
      </c>
      <c r="H29" s="499">
        <v>112848.37260844371</v>
      </c>
      <c r="I29" s="500">
        <f t="shared" si="0"/>
        <v>0</v>
      </c>
      <c r="J29" s="500"/>
      <c r="K29" s="506">
        <f t="shared" ref="K29" si="13">G29</f>
        <v>112848.37260844371</v>
      </c>
      <c r="L29" s="504">
        <f t="shared" ref="L29" si="14">IF(K29&lt;&gt;0,+G29-K29,0)</f>
        <v>0</v>
      </c>
      <c r="M29" s="506">
        <f t="shared" ref="M29" si="15">H29</f>
        <v>112848.37260844371</v>
      </c>
      <c r="N29" s="504">
        <f t="shared" si="4"/>
        <v>0</v>
      </c>
      <c r="O29" s="504">
        <f t="shared" si="5"/>
        <v>0</v>
      </c>
      <c r="P29" s="278"/>
      <c r="R29" s="243"/>
      <c r="S29" s="243"/>
      <c r="T29" s="243"/>
      <c r="U29" s="243"/>
    </row>
    <row r="30" spans="2:21">
      <c r="B30" s="145" t="str">
        <f t="shared" si="6"/>
        <v>IU</v>
      </c>
      <c r="C30" s="495">
        <f>IF(D11="","-",+C29+1)</f>
        <v>2023</v>
      </c>
      <c r="D30" s="505">
        <v>708113.64436477446</v>
      </c>
      <c r="E30" s="498">
        <v>31799.258064516129</v>
      </c>
      <c r="F30" s="505">
        <v>676314.38630025834</v>
      </c>
      <c r="G30" s="498">
        <v>110042.1845135639</v>
      </c>
      <c r="H30" s="499">
        <v>110042.1845135639</v>
      </c>
      <c r="I30" s="500">
        <f t="shared" si="0"/>
        <v>0</v>
      </c>
      <c r="J30" s="500"/>
      <c r="K30" s="512"/>
      <c r="L30" s="504">
        <f t="shared" si="2"/>
        <v>0</v>
      </c>
      <c r="M30" s="512"/>
      <c r="N30" s="504">
        <f t="shared" si="4"/>
        <v>0</v>
      </c>
      <c r="O30" s="504">
        <f t="shared" si="5"/>
        <v>0</v>
      </c>
      <c r="P30" s="278"/>
      <c r="R30" s="243"/>
      <c r="S30" s="243"/>
      <c r="T30" s="243"/>
      <c r="U30" s="243"/>
    </row>
    <row r="31" spans="2:21">
      <c r="B31" s="145" t="str">
        <f t="shared" si="6"/>
        <v/>
      </c>
      <c r="C31" s="495">
        <f>IF(D11="","-",+C30+1)</f>
        <v>2024</v>
      </c>
      <c r="D31" s="508">
        <f>IF(F30+SUM(E$17:E30)=D$10,F30,D$10-SUM(E$17:E30))</f>
        <v>676314.38630025834</v>
      </c>
      <c r="E31" s="509">
        <f>IF(+I14&lt;F30,I14,D31)</f>
        <v>31799.258064516129</v>
      </c>
      <c r="F31" s="510">
        <f t="shared" ref="F31:F49" si="16">+D31-E31</f>
        <v>644515.12823574222</v>
      </c>
      <c r="G31" s="511">
        <f t="shared" ref="G31:G73" si="17">(D31+F31)/2*I$12+E31</f>
        <v>107041.38991809898</v>
      </c>
      <c r="H31" s="477">
        <f t="shared" ref="H31:H73" si="18">+(D31+F31)/2*I$13+E31</f>
        <v>107041.38991809898</v>
      </c>
      <c r="I31" s="500">
        <f t="shared" si="0"/>
        <v>0</v>
      </c>
      <c r="J31" s="500"/>
      <c r="K31" s="512"/>
      <c r="L31" s="504">
        <f t="shared" si="2"/>
        <v>0</v>
      </c>
      <c r="M31" s="512"/>
      <c r="N31" s="504">
        <f t="shared" si="4"/>
        <v>0</v>
      </c>
      <c r="O31" s="504">
        <f t="shared" si="5"/>
        <v>0</v>
      </c>
      <c r="P31" s="278"/>
      <c r="Q31" s="220"/>
      <c r="R31" s="278"/>
      <c r="S31" s="278"/>
      <c r="T31" s="278"/>
      <c r="U31" s="243"/>
    </row>
    <row r="32" spans="2:21">
      <c r="B32" s="145" t="str">
        <f t="shared" si="6"/>
        <v/>
      </c>
      <c r="C32" s="495">
        <f>IF(D12="","-",+C31+1)</f>
        <v>2025</v>
      </c>
      <c r="D32" s="508">
        <f>IF(F31+SUM(E$17:E31)=D$10,F31,D$10-SUM(E$17:E31))</f>
        <v>644515.12823574222</v>
      </c>
      <c r="E32" s="509">
        <f>IF(+I14&lt;F31,I14,D32)</f>
        <v>31799.258064516129</v>
      </c>
      <c r="F32" s="510">
        <f>+D32-E32</f>
        <v>612715.8701712261</v>
      </c>
      <c r="G32" s="511">
        <f t="shared" si="17"/>
        <v>103418.44851376954</v>
      </c>
      <c r="H32" s="477">
        <f t="shared" si="18"/>
        <v>103418.44851376954</v>
      </c>
      <c r="I32" s="500">
        <f>H32-G32</f>
        <v>0</v>
      </c>
      <c r="J32" s="500"/>
      <c r="K32" s="512"/>
      <c r="L32" s="504"/>
      <c r="M32" s="512"/>
      <c r="N32" s="504"/>
      <c r="O32" s="504"/>
      <c r="P32" s="278"/>
      <c r="Q32" s="220"/>
      <c r="R32" s="278"/>
      <c r="S32" s="278"/>
      <c r="T32" s="278"/>
      <c r="U32" s="243"/>
    </row>
    <row r="33" spans="2:21">
      <c r="B33" s="145" t="str">
        <f t="shared" si="6"/>
        <v/>
      </c>
      <c r="C33" s="495">
        <f>IF(D13="","-",+C32+1)</f>
        <v>2026</v>
      </c>
      <c r="D33" s="508">
        <f>IF(F32+SUM(E$17:E32)=D$10,F32,D$10-SUM(E$17:E32))</f>
        <v>612715.8701712261</v>
      </c>
      <c r="E33" s="509">
        <f>IF(+I14&lt;F31,I14,D33)</f>
        <v>31799.258064516129</v>
      </c>
      <c r="F33" s="510">
        <f t="shared" si="16"/>
        <v>580916.61210670997</v>
      </c>
      <c r="G33" s="511">
        <f t="shared" si="17"/>
        <v>99795.507109440077</v>
      </c>
      <c r="H33" s="477">
        <f t="shared" si="18"/>
        <v>99795.507109440077</v>
      </c>
      <c r="I33" s="500">
        <f t="shared" si="0"/>
        <v>0</v>
      </c>
      <c r="J33" s="500"/>
      <c r="K33" s="512"/>
      <c r="L33" s="504">
        <f t="shared" si="2"/>
        <v>0</v>
      </c>
      <c r="M33" s="512"/>
      <c r="N33" s="504">
        <f t="shared" si="4"/>
        <v>0</v>
      </c>
      <c r="O33" s="504">
        <f t="shared" si="5"/>
        <v>0</v>
      </c>
      <c r="P33" s="278"/>
      <c r="R33" s="243"/>
      <c r="S33" s="243"/>
      <c r="T33" s="243"/>
      <c r="U33" s="243"/>
    </row>
    <row r="34" spans="2:21">
      <c r="B34" s="145" t="str">
        <f t="shared" si="6"/>
        <v/>
      </c>
      <c r="C34" s="513">
        <f>IF(D11="","-",+C33+1)</f>
        <v>2027</v>
      </c>
      <c r="D34" s="581">
        <f>IF(F33+SUM(E$17:E33)=D$10,F33,D$10-SUM(E$17:E33))</f>
        <v>580916.61210670997</v>
      </c>
      <c r="E34" s="515">
        <f>IF(+I14&lt;F33,I14,D34)</f>
        <v>31799.258064516129</v>
      </c>
      <c r="F34" s="516">
        <f t="shared" si="16"/>
        <v>549117.35404219385</v>
      </c>
      <c r="G34" s="517">
        <f t="shared" si="17"/>
        <v>96172.56570511061</v>
      </c>
      <c r="H34" s="518">
        <f t="shared" si="18"/>
        <v>96172.56570511061</v>
      </c>
      <c r="I34" s="519">
        <f t="shared" si="0"/>
        <v>0</v>
      </c>
      <c r="J34" s="519"/>
      <c r="K34" s="520"/>
      <c r="L34" s="521">
        <f t="shared" si="2"/>
        <v>0</v>
      </c>
      <c r="M34" s="520"/>
      <c r="N34" s="521">
        <f t="shared" si="4"/>
        <v>0</v>
      </c>
      <c r="O34" s="521">
        <f t="shared" si="5"/>
        <v>0</v>
      </c>
      <c r="P34" s="522"/>
      <c r="Q34" s="216"/>
      <c r="R34" s="522"/>
      <c r="S34" s="522"/>
      <c r="T34" s="522"/>
      <c r="U34" s="243"/>
    </row>
    <row r="35" spans="2:21">
      <c r="B35" s="145" t="str">
        <f t="shared" si="6"/>
        <v/>
      </c>
      <c r="C35" s="495">
        <f>IF(D11="","-",+C34+1)</f>
        <v>2028</v>
      </c>
      <c r="D35" s="508">
        <f>IF(F34+SUM(E$17:E34)=D$10,F34,D$10-SUM(E$17:E34))</f>
        <v>549117.35404219385</v>
      </c>
      <c r="E35" s="509">
        <f>IF(+I14&lt;F34,I14,D35)</f>
        <v>31799.258064516129</v>
      </c>
      <c r="F35" s="510">
        <f t="shared" si="16"/>
        <v>517318.09597767773</v>
      </c>
      <c r="G35" s="511">
        <f t="shared" si="17"/>
        <v>92549.624300781143</v>
      </c>
      <c r="H35" s="477">
        <f t="shared" si="18"/>
        <v>92549.624300781143</v>
      </c>
      <c r="I35" s="500">
        <f t="shared" si="0"/>
        <v>0</v>
      </c>
      <c r="J35" s="500"/>
      <c r="K35" s="512"/>
      <c r="L35" s="504">
        <f t="shared" si="2"/>
        <v>0</v>
      </c>
      <c r="M35" s="512"/>
      <c r="N35" s="504">
        <f t="shared" si="4"/>
        <v>0</v>
      </c>
      <c r="O35" s="504">
        <f t="shared" si="5"/>
        <v>0</v>
      </c>
      <c r="P35" s="278"/>
      <c r="R35" s="243"/>
      <c r="S35" s="243"/>
      <c r="T35" s="243"/>
      <c r="U35" s="243"/>
    </row>
    <row r="36" spans="2:21">
      <c r="B36" s="145" t="str">
        <f t="shared" si="6"/>
        <v/>
      </c>
      <c r="C36" s="495">
        <f>IF(D11="","-",+C35+1)</f>
        <v>2029</v>
      </c>
      <c r="D36" s="508">
        <f>IF(F35+SUM(E$17:E35)=D$10,F35,D$10-SUM(E$17:E35))</f>
        <v>517318.09597767773</v>
      </c>
      <c r="E36" s="509">
        <f>IF(+I14&lt;F35,I14,D36)</f>
        <v>31799.258064516129</v>
      </c>
      <c r="F36" s="510">
        <f t="shared" si="16"/>
        <v>485518.83791316161</v>
      </c>
      <c r="G36" s="511">
        <f t="shared" si="17"/>
        <v>88926.682896451675</v>
      </c>
      <c r="H36" s="477">
        <f t="shared" si="18"/>
        <v>88926.682896451675</v>
      </c>
      <c r="I36" s="500">
        <f t="shared" si="0"/>
        <v>0</v>
      </c>
      <c r="J36" s="500"/>
      <c r="K36" s="512"/>
      <c r="L36" s="504">
        <f t="shared" si="2"/>
        <v>0</v>
      </c>
      <c r="M36" s="512"/>
      <c r="N36" s="504">
        <f t="shared" si="4"/>
        <v>0</v>
      </c>
      <c r="O36" s="504">
        <f t="shared" si="5"/>
        <v>0</v>
      </c>
      <c r="P36" s="278"/>
      <c r="R36" s="243"/>
      <c r="S36" s="243"/>
      <c r="T36" s="243"/>
      <c r="U36" s="243"/>
    </row>
    <row r="37" spans="2:21">
      <c r="B37" s="145" t="str">
        <f t="shared" si="6"/>
        <v/>
      </c>
      <c r="C37" s="495">
        <f>IF(D11="","-",+C36+1)</f>
        <v>2030</v>
      </c>
      <c r="D37" s="508">
        <f>IF(F36+SUM(E$17:E36)=D$10,F36,D$10-SUM(E$17:E36))</f>
        <v>485518.83791316161</v>
      </c>
      <c r="E37" s="509">
        <f>IF(+I14&lt;F36,I14,D37)</f>
        <v>31799.258064516129</v>
      </c>
      <c r="F37" s="510">
        <f t="shared" si="16"/>
        <v>453719.57984864549</v>
      </c>
      <c r="G37" s="511">
        <f t="shared" si="17"/>
        <v>85303.741492122208</v>
      </c>
      <c r="H37" s="477">
        <f t="shared" si="18"/>
        <v>85303.741492122208</v>
      </c>
      <c r="I37" s="500">
        <f t="shared" si="0"/>
        <v>0</v>
      </c>
      <c r="J37" s="500"/>
      <c r="K37" s="512"/>
      <c r="L37" s="504">
        <f t="shared" si="2"/>
        <v>0</v>
      </c>
      <c r="M37" s="512"/>
      <c r="N37" s="504">
        <f t="shared" si="4"/>
        <v>0</v>
      </c>
      <c r="O37" s="504">
        <f t="shared" si="5"/>
        <v>0</v>
      </c>
      <c r="P37" s="278"/>
      <c r="R37" s="243"/>
      <c r="S37" s="243"/>
      <c r="T37" s="243"/>
      <c r="U37" s="243"/>
    </row>
    <row r="38" spans="2:21">
      <c r="B38" s="145" t="str">
        <f t="shared" si="6"/>
        <v/>
      </c>
      <c r="C38" s="495">
        <f>IF(D11="","-",+C37+1)</f>
        <v>2031</v>
      </c>
      <c r="D38" s="508">
        <f>IF(F37+SUM(E$17:E37)=D$10,F37,D$10-SUM(E$17:E37))</f>
        <v>453719.57984864549</v>
      </c>
      <c r="E38" s="509">
        <f>IF(+I14&lt;F37,I14,D38)</f>
        <v>31799.258064516129</v>
      </c>
      <c r="F38" s="510">
        <f t="shared" si="16"/>
        <v>421920.32178412937</v>
      </c>
      <c r="G38" s="511">
        <f t="shared" si="17"/>
        <v>81680.800087792755</v>
      </c>
      <c r="H38" s="477">
        <f t="shared" si="18"/>
        <v>81680.800087792755</v>
      </c>
      <c r="I38" s="500">
        <f t="shared" si="0"/>
        <v>0</v>
      </c>
      <c r="J38" s="500"/>
      <c r="K38" s="512"/>
      <c r="L38" s="504">
        <f t="shared" si="2"/>
        <v>0</v>
      </c>
      <c r="M38" s="512"/>
      <c r="N38" s="504">
        <f t="shared" si="4"/>
        <v>0</v>
      </c>
      <c r="O38" s="504">
        <f t="shared" si="5"/>
        <v>0</v>
      </c>
      <c r="P38" s="278"/>
      <c r="R38" s="243"/>
      <c r="S38" s="243"/>
      <c r="T38" s="243"/>
      <c r="U38" s="243"/>
    </row>
    <row r="39" spans="2:21">
      <c r="B39" s="145" t="str">
        <f t="shared" si="6"/>
        <v/>
      </c>
      <c r="C39" s="495">
        <f>IF(D11="","-",+C38+1)</f>
        <v>2032</v>
      </c>
      <c r="D39" s="508">
        <f>IF(F38+SUM(E$17:E38)=D$10,F38,D$10-SUM(E$17:E38))</f>
        <v>421920.32178412937</v>
      </c>
      <c r="E39" s="509">
        <f>IF(+I14&lt;F38,I14,D39)</f>
        <v>31799.258064516129</v>
      </c>
      <c r="F39" s="510">
        <f t="shared" si="16"/>
        <v>390121.06371961324</v>
      </c>
      <c r="G39" s="511">
        <f t="shared" si="17"/>
        <v>78057.858683463302</v>
      </c>
      <c r="H39" s="477">
        <f t="shared" si="18"/>
        <v>78057.858683463302</v>
      </c>
      <c r="I39" s="500">
        <f t="shared" si="0"/>
        <v>0</v>
      </c>
      <c r="J39" s="500"/>
      <c r="K39" s="512"/>
      <c r="L39" s="504">
        <f t="shared" si="2"/>
        <v>0</v>
      </c>
      <c r="M39" s="512"/>
      <c r="N39" s="504">
        <f t="shared" si="4"/>
        <v>0</v>
      </c>
      <c r="O39" s="504">
        <f t="shared" si="5"/>
        <v>0</v>
      </c>
      <c r="P39" s="278"/>
      <c r="R39" s="243"/>
      <c r="S39" s="243"/>
      <c r="T39" s="243"/>
      <c r="U39" s="243"/>
    </row>
    <row r="40" spans="2:21">
      <c r="B40" s="145" t="str">
        <f t="shared" si="6"/>
        <v/>
      </c>
      <c r="C40" s="495">
        <f>IF(D11="","-",+C39+1)</f>
        <v>2033</v>
      </c>
      <c r="D40" s="508">
        <f>IF(F39+SUM(E$17:E39)=D$10,F39,D$10-SUM(E$17:E39))</f>
        <v>390121.06371961324</v>
      </c>
      <c r="E40" s="509">
        <f>IF(+I14&lt;F39,I14,D40)</f>
        <v>31799.258064516129</v>
      </c>
      <c r="F40" s="510">
        <f t="shared" si="16"/>
        <v>358321.80565509712</v>
      </c>
      <c r="G40" s="511">
        <f t="shared" si="17"/>
        <v>74434.917279133835</v>
      </c>
      <c r="H40" s="477">
        <f t="shared" si="18"/>
        <v>74434.917279133835</v>
      </c>
      <c r="I40" s="500">
        <f t="shared" si="0"/>
        <v>0</v>
      </c>
      <c r="J40" s="500"/>
      <c r="K40" s="512"/>
      <c r="L40" s="504">
        <f t="shared" si="2"/>
        <v>0</v>
      </c>
      <c r="M40" s="512"/>
      <c r="N40" s="504">
        <f t="shared" si="4"/>
        <v>0</v>
      </c>
      <c r="O40" s="504">
        <f t="shared" si="5"/>
        <v>0</v>
      </c>
      <c r="P40" s="278"/>
      <c r="R40" s="243"/>
      <c r="S40" s="243"/>
      <c r="T40" s="243"/>
      <c r="U40" s="243"/>
    </row>
    <row r="41" spans="2:21">
      <c r="B41" s="145" t="str">
        <f t="shared" si="6"/>
        <v/>
      </c>
      <c r="C41" s="495">
        <f>IF(D12="","-",+C40+1)</f>
        <v>2034</v>
      </c>
      <c r="D41" s="508">
        <f>IF(F40+SUM(E$17:E40)=D$10,F40,D$10-SUM(E$17:E40))</f>
        <v>358321.80565509712</v>
      </c>
      <c r="E41" s="509">
        <f>IF(+I14&lt;F40,I14,D41)</f>
        <v>31799.258064516129</v>
      </c>
      <c r="F41" s="510">
        <f t="shared" si="16"/>
        <v>326522.547590581</v>
      </c>
      <c r="G41" s="511">
        <f t="shared" si="17"/>
        <v>70811.975874804368</v>
      </c>
      <c r="H41" s="477">
        <f t="shared" si="18"/>
        <v>70811.975874804368</v>
      </c>
      <c r="I41" s="500">
        <f t="shared" si="0"/>
        <v>0</v>
      </c>
      <c r="J41" s="500"/>
      <c r="K41" s="512"/>
      <c r="L41" s="504">
        <f t="shared" si="2"/>
        <v>0</v>
      </c>
      <c r="M41" s="512"/>
      <c r="N41" s="504">
        <f t="shared" si="4"/>
        <v>0</v>
      </c>
      <c r="O41" s="504">
        <f t="shared" si="5"/>
        <v>0</v>
      </c>
      <c r="P41" s="278"/>
      <c r="R41" s="243"/>
      <c r="S41" s="243"/>
      <c r="T41" s="243"/>
      <c r="U41" s="243"/>
    </row>
    <row r="42" spans="2:21">
      <c r="B42" s="145" t="str">
        <f t="shared" si="6"/>
        <v/>
      </c>
      <c r="C42" s="495">
        <f>IF(D13="","-",+C41+1)</f>
        <v>2035</v>
      </c>
      <c r="D42" s="508">
        <f>IF(F41+SUM(E$17:E41)=D$10,F41,D$10-SUM(E$17:E41))</f>
        <v>326522.547590581</v>
      </c>
      <c r="E42" s="509">
        <f>IF(+I14&lt;F41,I14,D42)</f>
        <v>31799.258064516129</v>
      </c>
      <c r="F42" s="510">
        <f t="shared" si="16"/>
        <v>294723.28952606488</v>
      </c>
      <c r="G42" s="511">
        <f t="shared" si="17"/>
        <v>67189.0344704749</v>
      </c>
      <c r="H42" s="477">
        <f t="shared" si="18"/>
        <v>67189.0344704749</v>
      </c>
      <c r="I42" s="500">
        <f t="shared" si="0"/>
        <v>0</v>
      </c>
      <c r="J42" s="500"/>
      <c r="K42" s="512"/>
      <c r="L42" s="504">
        <f t="shared" si="2"/>
        <v>0</v>
      </c>
      <c r="M42" s="512"/>
      <c r="N42" s="504">
        <f t="shared" si="4"/>
        <v>0</v>
      </c>
      <c r="O42" s="504">
        <f t="shared" si="5"/>
        <v>0</v>
      </c>
      <c r="P42" s="278"/>
      <c r="R42" s="243"/>
      <c r="S42" s="243"/>
      <c r="T42" s="243"/>
      <c r="U42" s="243"/>
    </row>
    <row r="43" spans="2:21">
      <c r="B43" s="145" t="str">
        <f t="shared" si="6"/>
        <v/>
      </c>
      <c r="C43" s="495">
        <f>IF(D11="","-",+C42+1)</f>
        <v>2036</v>
      </c>
      <c r="D43" s="508">
        <f>IF(F42+SUM(E$17:E42)=D$10,F42,D$10-SUM(E$17:E42))</f>
        <v>294723.28952606488</v>
      </c>
      <c r="E43" s="509">
        <f>IF(+I14&lt;F42,I14,D43)</f>
        <v>31799.258064516129</v>
      </c>
      <c r="F43" s="510">
        <f t="shared" si="16"/>
        <v>262924.03146154876</v>
      </c>
      <c r="G43" s="511">
        <f t="shared" si="17"/>
        <v>63566.09306614544</v>
      </c>
      <c r="H43" s="477">
        <f t="shared" si="18"/>
        <v>63566.09306614544</v>
      </c>
      <c r="I43" s="500">
        <f t="shared" si="0"/>
        <v>0</v>
      </c>
      <c r="J43" s="500"/>
      <c r="K43" s="512"/>
      <c r="L43" s="504">
        <f t="shared" si="2"/>
        <v>0</v>
      </c>
      <c r="M43" s="512"/>
      <c r="N43" s="504">
        <f t="shared" si="4"/>
        <v>0</v>
      </c>
      <c r="O43" s="504">
        <f t="shared" si="5"/>
        <v>0</v>
      </c>
      <c r="P43" s="278"/>
      <c r="R43" s="243"/>
      <c r="S43" s="243"/>
      <c r="T43" s="243"/>
      <c r="U43" s="243"/>
    </row>
    <row r="44" spans="2:21">
      <c r="B44" s="145" t="str">
        <f t="shared" si="6"/>
        <v/>
      </c>
      <c r="C44" s="495">
        <f>IF(D11="","-",+C43+1)</f>
        <v>2037</v>
      </c>
      <c r="D44" s="508">
        <f>IF(F43+SUM(E$17:E43)=D$10,F43,D$10-SUM(E$17:E43))</f>
        <v>262924.03146154876</v>
      </c>
      <c r="E44" s="509">
        <f>IF(+I14&lt;F43,I14,D44)</f>
        <v>31799.258064516129</v>
      </c>
      <c r="F44" s="510">
        <f t="shared" si="16"/>
        <v>231124.77339703264</v>
      </c>
      <c r="G44" s="511">
        <f t="shared" si="17"/>
        <v>59943.15166181598</v>
      </c>
      <c r="H44" s="477">
        <f t="shared" si="18"/>
        <v>59943.15166181598</v>
      </c>
      <c r="I44" s="500">
        <f t="shared" si="0"/>
        <v>0</v>
      </c>
      <c r="J44" s="500"/>
      <c r="K44" s="512"/>
      <c r="L44" s="504">
        <f t="shared" si="2"/>
        <v>0</v>
      </c>
      <c r="M44" s="512"/>
      <c r="N44" s="504">
        <f t="shared" si="4"/>
        <v>0</v>
      </c>
      <c r="O44" s="504">
        <f t="shared" si="5"/>
        <v>0</v>
      </c>
      <c r="P44" s="278"/>
      <c r="R44" s="243"/>
      <c r="S44" s="243"/>
      <c r="T44" s="243"/>
      <c r="U44" s="243"/>
    </row>
    <row r="45" spans="2:21">
      <c r="B45" s="145" t="str">
        <f t="shared" si="6"/>
        <v/>
      </c>
      <c r="C45" s="495">
        <f>IF(D11="","-",+C44+1)</f>
        <v>2038</v>
      </c>
      <c r="D45" s="508">
        <f>IF(F44+SUM(E$17:E44)=D$10,F44,D$10-SUM(E$17:E44))</f>
        <v>231124.77339703264</v>
      </c>
      <c r="E45" s="509">
        <f>IF(+I14&lt;F44,I14,D45)</f>
        <v>31799.258064516129</v>
      </c>
      <c r="F45" s="510">
        <f t="shared" si="16"/>
        <v>199325.51533251652</v>
      </c>
      <c r="G45" s="511">
        <f t="shared" si="17"/>
        <v>56320.210257486513</v>
      </c>
      <c r="H45" s="477">
        <f t="shared" si="18"/>
        <v>56320.210257486513</v>
      </c>
      <c r="I45" s="500">
        <f t="shared" si="0"/>
        <v>0</v>
      </c>
      <c r="J45" s="500"/>
      <c r="K45" s="512"/>
      <c r="L45" s="504">
        <f t="shared" si="2"/>
        <v>0</v>
      </c>
      <c r="M45" s="512"/>
      <c r="N45" s="504">
        <f t="shared" si="4"/>
        <v>0</v>
      </c>
      <c r="O45" s="504">
        <f t="shared" si="5"/>
        <v>0</v>
      </c>
      <c r="P45" s="278"/>
      <c r="R45" s="243"/>
      <c r="S45" s="243"/>
      <c r="T45" s="243"/>
      <c r="U45" s="243"/>
    </row>
    <row r="46" spans="2:21">
      <c r="B46" s="145" t="str">
        <f t="shared" si="6"/>
        <v/>
      </c>
      <c r="C46" s="495">
        <f>IF(D11="","-",+C45+1)</f>
        <v>2039</v>
      </c>
      <c r="D46" s="508">
        <f>IF(F45+SUM(E$17:E45)=D$10,F45,D$10-SUM(E$17:E45))</f>
        <v>199325.51533251652</v>
      </c>
      <c r="E46" s="509">
        <f>IF(+I14&lt;F45,I14,D46)</f>
        <v>31799.258064516129</v>
      </c>
      <c r="F46" s="510">
        <f t="shared" si="16"/>
        <v>167526.25726800039</v>
      </c>
      <c r="G46" s="511">
        <f t="shared" si="17"/>
        <v>52697.268853157053</v>
      </c>
      <c r="H46" s="477">
        <f t="shared" si="18"/>
        <v>52697.268853157053</v>
      </c>
      <c r="I46" s="500">
        <f t="shared" si="0"/>
        <v>0</v>
      </c>
      <c r="J46" s="500"/>
      <c r="K46" s="512"/>
      <c r="L46" s="504">
        <f t="shared" si="2"/>
        <v>0</v>
      </c>
      <c r="M46" s="512"/>
      <c r="N46" s="504">
        <f t="shared" si="4"/>
        <v>0</v>
      </c>
      <c r="O46" s="504">
        <f t="shared" si="5"/>
        <v>0</v>
      </c>
      <c r="P46" s="278"/>
      <c r="R46" s="243"/>
      <c r="S46" s="243"/>
      <c r="T46" s="243"/>
      <c r="U46" s="243"/>
    </row>
    <row r="47" spans="2:21">
      <c r="B47" s="145" t="str">
        <f t="shared" si="6"/>
        <v/>
      </c>
      <c r="C47" s="495">
        <f>IF(D11="","-",+C46+1)</f>
        <v>2040</v>
      </c>
      <c r="D47" s="508">
        <f>IF(F46+SUM(E$17:E46)=D$10,F46,D$10-SUM(E$17:E46))</f>
        <v>167526.25726800039</v>
      </c>
      <c r="E47" s="509">
        <f>IF(+I14&lt;F46,I14,D47)</f>
        <v>31799.258064516129</v>
      </c>
      <c r="F47" s="510">
        <f t="shared" si="16"/>
        <v>135726.99920348427</v>
      </c>
      <c r="G47" s="511">
        <f t="shared" si="17"/>
        <v>49074.327448827593</v>
      </c>
      <c r="H47" s="477">
        <f t="shared" si="18"/>
        <v>49074.327448827593</v>
      </c>
      <c r="I47" s="500">
        <f t="shared" si="0"/>
        <v>0</v>
      </c>
      <c r="J47" s="500"/>
      <c r="K47" s="512"/>
      <c r="L47" s="504">
        <f t="shared" si="2"/>
        <v>0</v>
      </c>
      <c r="M47" s="512"/>
      <c r="N47" s="504">
        <f t="shared" si="4"/>
        <v>0</v>
      </c>
      <c r="O47" s="504">
        <f t="shared" si="5"/>
        <v>0</v>
      </c>
      <c r="P47" s="278"/>
      <c r="R47" s="243"/>
      <c r="S47" s="243"/>
      <c r="T47" s="243"/>
      <c r="U47" s="243"/>
    </row>
    <row r="48" spans="2:21">
      <c r="B48" s="145" t="str">
        <f t="shared" si="6"/>
        <v/>
      </c>
      <c r="C48" s="495">
        <f>IF(D11="","-",+C47+1)</f>
        <v>2041</v>
      </c>
      <c r="D48" s="508">
        <f>IF(F47+SUM(E$17:E47)=D$10,F47,D$10-SUM(E$17:E47))</f>
        <v>135726.99920348427</v>
      </c>
      <c r="E48" s="509">
        <f>IF(+I14&lt;F47,I14,D48)</f>
        <v>31799.258064516129</v>
      </c>
      <c r="F48" s="510">
        <f t="shared" si="16"/>
        <v>103927.74113896815</v>
      </c>
      <c r="G48" s="511">
        <f t="shared" si="17"/>
        <v>45451.386044498126</v>
      </c>
      <c r="H48" s="477">
        <f t="shared" si="18"/>
        <v>45451.386044498126</v>
      </c>
      <c r="I48" s="500">
        <f t="shared" si="0"/>
        <v>0</v>
      </c>
      <c r="J48" s="500"/>
      <c r="K48" s="512"/>
      <c r="L48" s="504">
        <f t="shared" si="2"/>
        <v>0</v>
      </c>
      <c r="M48" s="512"/>
      <c r="N48" s="504">
        <f t="shared" si="4"/>
        <v>0</v>
      </c>
      <c r="O48" s="504">
        <f t="shared" si="5"/>
        <v>0</v>
      </c>
      <c r="P48" s="278"/>
      <c r="R48" s="243"/>
      <c r="S48" s="243"/>
      <c r="T48" s="243"/>
      <c r="U48" s="243"/>
    </row>
    <row r="49" spans="2:21">
      <c r="B49" s="145" t="str">
        <f t="shared" si="6"/>
        <v/>
      </c>
      <c r="C49" s="495">
        <f>IF(D11="","-",+C48+1)</f>
        <v>2042</v>
      </c>
      <c r="D49" s="508">
        <f>IF(F48+SUM(E$17:E48)=D$10,F48,D$10-SUM(E$17:E48))</f>
        <v>103927.74113896815</v>
      </c>
      <c r="E49" s="509">
        <f>IF(+I14&lt;F48,I14,D49)</f>
        <v>31799.258064516129</v>
      </c>
      <c r="F49" s="510">
        <f t="shared" si="16"/>
        <v>72128.48307445203</v>
      </c>
      <c r="G49" s="511">
        <f t="shared" si="17"/>
        <v>41828.444640168658</v>
      </c>
      <c r="H49" s="477">
        <f t="shared" si="18"/>
        <v>41828.444640168658</v>
      </c>
      <c r="I49" s="500">
        <f t="shared" si="0"/>
        <v>0</v>
      </c>
      <c r="J49" s="500"/>
      <c r="K49" s="512"/>
      <c r="L49" s="504">
        <f t="shared" si="2"/>
        <v>0</v>
      </c>
      <c r="M49" s="512"/>
      <c r="N49" s="504">
        <f t="shared" si="4"/>
        <v>0</v>
      </c>
      <c r="O49" s="504">
        <f t="shared" si="5"/>
        <v>0</v>
      </c>
      <c r="P49" s="278"/>
      <c r="R49" s="243"/>
      <c r="S49" s="243"/>
      <c r="T49" s="243"/>
      <c r="U49" s="243"/>
    </row>
    <row r="50" spans="2:21">
      <c r="B50" s="145" t="str">
        <f t="shared" si="6"/>
        <v/>
      </c>
      <c r="C50" s="495">
        <f>IF(D11="","-",+C49+1)</f>
        <v>2043</v>
      </c>
      <c r="D50" s="508">
        <f>IF(F49+SUM(E$17:E49)=D$10,F49,D$10-SUM(E$17:E49))</f>
        <v>72128.48307445203</v>
      </c>
      <c r="E50" s="509">
        <f>IF(+I14&lt;F49,I14,D50)</f>
        <v>31799.258064516129</v>
      </c>
      <c r="F50" s="510">
        <f t="shared" ref="F50:F73" si="19">+D50-E50</f>
        <v>40329.225009935901</v>
      </c>
      <c r="G50" s="511">
        <f t="shared" si="17"/>
        <v>38205.503235839198</v>
      </c>
      <c r="H50" s="477">
        <f t="shared" si="18"/>
        <v>38205.503235839198</v>
      </c>
      <c r="I50" s="500">
        <f t="shared" ref="I50:I73" si="20">H50-G50</f>
        <v>0</v>
      </c>
      <c r="J50" s="500"/>
      <c r="K50" s="512"/>
      <c r="L50" s="504">
        <f t="shared" ref="L50:L73" si="21">IF(K50&lt;&gt;0,+G50-K50,0)</f>
        <v>0</v>
      </c>
      <c r="M50" s="512"/>
      <c r="N50" s="504">
        <f t="shared" ref="N50:N73" si="22">IF(M50&lt;&gt;0,+H50-M50,0)</f>
        <v>0</v>
      </c>
      <c r="O50" s="504">
        <f t="shared" ref="O50:O73" si="23">+N50-L50</f>
        <v>0</v>
      </c>
      <c r="P50" s="278"/>
      <c r="R50" s="243"/>
      <c r="S50" s="243"/>
      <c r="T50" s="243"/>
      <c r="U50" s="243"/>
    </row>
    <row r="51" spans="2:21">
      <c r="B51" s="145" t="str">
        <f t="shared" si="6"/>
        <v/>
      </c>
      <c r="C51" s="495">
        <f>IF(D11="","-",+C50+1)</f>
        <v>2044</v>
      </c>
      <c r="D51" s="508">
        <f>IF(F50+SUM(E$17:E50)=D$10,F50,D$10-SUM(E$17:E50))</f>
        <v>40329.225009935901</v>
      </c>
      <c r="E51" s="509">
        <f>IF(+I14&lt;F50,I14,D51)</f>
        <v>31799.258064516129</v>
      </c>
      <c r="F51" s="510">
        <f t="shared" si="19"/>
        <v>8529.9669454197719</v>
      </c>
      <c r="G51" s="511">
        <f t="shared" si="17"/>
        <v>34582.561831509738</v>
      </c>
      <c r="H51" s="477">
        <f t="shared" si="18"/>
        <v>34582.561831509738</v>
      </c>
      <c r="I51" s="500">
        <f t="shared" si="20"/>
        <v>0</v>
      </c>
      <c r="J51" s="500"/>
      <c r="K51" s="512"/>
      <c r="L51" s="504">
        <f t="shared" si="21"/>
        <v>0</v>
      </c>
      <c r="M51" s="512"/>
      <c r="N51" s="504">
        <f t="shared" si="22"/>
        <v>0</v>
      </c>
      <c r="O51" s="504">
        <f t="shared" si="23"/>
        <v>0</v>
      </c>
      <c r="P51" s="278"/>
      <c r="R51" s="243"/>
      <c r="S51" s="243"/>
      <c r="T51" s="243"/>
      <c r="U51" s="243"/>
    </row>
    <row r="52" spans="2:21">
      <c r="B52" s="145" t="str">
        <f t="shared" si="6"/>
        <v/>
      </c>
      <c r="C52" s="495">
        <f>IF(D11="","-",+C51+1)</f>
        <v>2045</v>
      </c>
      <c r="D52" s="508">
        <f>IF(F51+SUM(E$17:E51)=D$10,F51,D$10-SUM(E$17:E51))</f>
        <v>8529.9669454197719</v>
      </c>
      <c r="E52" s="509">
        <f>IF(+I14&lt;F51,I14,D52)</f>
        <v>8529.9669454197719</v>
      </c>
      <c r="F52" s="510">
        <f t="shared" si="19"/>
        <v>0</v>
      </c>
      <c r="G52" s="511">
        <f t="shared" si="17"/>
        <v>9015.8834778342098</v>
      </c>
      <c r="H52" s="477">
        <f t="shared" si="18"/>
        <v>9015.8834778342098</v>
      </c>
      <c r="I52" s="500">
        <f t="shared" si="20"/>
        <v>0</v>
      </c>
      <c r="J52" s="500"/>
      <c r="K52" s="512"/>
      <c r="L52" s="504">
        <f t="shared" si="21"/>
        <v>0</v>
      </c>
      <c r="M52" s="512"/>
      <c r="N52" s="504">
        <f t="shared" si="22"/>
        <v>0</v>
      </c>
      <c r="O52" s="504">
        <f t="shared" si="23"/>
        <v>0</v>
      </c>
      <c r="P52" s="278"/>
      <c r="R52" s="243"/>
      <c r="S52" s="243"/>
      <c r="T52" s="243"/>
      <c r="U52" s="243"/>
    </row>
    <row r="53" spans="2:21">
      <c r="B53" s="145" t="str">
        <f t="shared" si="6"/>
        <v/>
      </c>
      <c r="C53" s="495">
        <f>IF(D11="","-",+C52+1)</f>
        <v>2046</v>
      </c>
      <c r="D53" s="508">
        <f>IF(F52+SUM(E$17:E52)=D$10,F52,D$10-SUM(E$17:E52))</f>
        <v>0</v>
      </c>
      <c r="E53" s="509">
        <f>IF(+I14&lt;F52,I14,D53)</f>
        <v>0</v>
      </c>
      <c r="F53" s="510">
        <f t="shared" si="19"/>
        <v>0</v>
      </c>
      <c r="G53" s="511">
        <f t="shared" si="17"/>
        <v>0</v>
      </c>
      <c r="H53" s="477">
        <f t="shared" si="18"/>
        <v>0</v>
      </c>
      <c r="I53" s="500">
        <f t="shared" si="20"/>
        <v>0</v>
      </c>
      <c r="J53" s="500"/>
      <c r="K53" s="512"/>
      <c r="L53" s="504">
        <f t="shared" si="21"/>
        <v>0</v>
      </c>
      <c r="M53" s="512"/>
      <c r="N53" s="504">
        <f t="shared" si="22"/>
        <v>0</v>
      </c>
      <c r="O53" s="504">
        <f t="shared" si="23"/>
        <v>0</v>
      </c>
      <c r="P53" s="278"/>
      <c r="R53" s="243"/>
      <c r="S53" s="243"/>
      <c r="T53" s="243"/>
      <c r="U53" s="243"/>
    </row>
    <row r="54" spans="2:21">
      <c r="B54" s="145" t="str">
        <f t="shared" si="6"/>
        <v/>
      </c>
      <c r="C54" s="495">
        <f>IF(D11="","-",+C53+1)</f>
        <v>2047</v>
      </c>
      <c r="D54" s="508">
        <f>IF(F53+SUM(E$17:E53)=D$10,F53,D$10-SUM(E$17:E53))</f>
        <v>0</v>
      </c>
      <c r="E54" s="509">
        <f>IF(+I14&lt;F53,I14,D54)</f>
        <v>0</v>
      </c>
      <c r="F54" s="510">
        <f t="shared" si="19"/>
        <v>0</v>
      </c>
      <c r="G54" s="511">
        <f t="shared" si="17"/>
        <v>0</v>
      </c>
      <c r="H54" s="477">
        <f t="shared" si="18"/>
        <v>0</v>
      </c>
      <c r="I54" s="500">
        <f t="shared" si="20"/>
        <v>0</v>
      </c>
      <c r="J54" s="500"/>
      <c r="K54" s="512"/>
      <c r="L54" s="504">
        <f t="shared" si="21"/>
        <v>0</v>
      </c>
      <c r="M54" s="512"/>
      <c r="N54" s="504">
        <f t="shared" si="22"/>
        <v>0</v>
      </c>
      <c r="O54" s="504">
        <f t="shared" si="23"/>
        <v>0</v>
      </c>
      <c r="P54" s="278"/>
      <c r="R54" s="243"/>
      <c r="S54" s="243"/>
      <c r="T54" s="243"/>
      <c r="U54" s="243"/>
    </row>
    <row r="55" spans="2:21">
      <c r="B55" s="145" t="str">
        <f t="shared" si="6"/>
        <v/>
      </c>
      <c r="C55" s="495">
        <f>IF(D11="","-",+C54+1)</f>
        <v>2048</v>
      </c>
      <c r="D55" s="508">
        <f>IF(F54+SUM(E$17:E54)=D$10,F54,D$10-SUM(E$17:E54))</f>
        <v>0</v>
      </c>
      <c r="E55" s="509">
        <f>IF(+I14&lt;F54,I14,D55)</f>
        <v>0</v>
      </c>
      <c r="F55" s="510">
        <f t="shared" si="19"/>
        <v>0</v>
      </c>
      <c r="G55" s="511">
        <f t="shared" si="17"/>
        <v>0</v>
      </c>
      <c r="H55" s="477">
        <f t="shared" si="18"/>
        <v>0</v>
      </c>
      <c r="I55" s="500">
        <f t="shared" si="20"/>
        <v>0</v>
      </c>
      <c r="J55" s="500"/>
      <c r="K55" s="512"/>
      <c r="L55" s="504">
        <f t="shared" si="21"/>
        <v>0</v>
      </c>
      <c r="M55" s="512"/>
      <c r="N55" s="504">
        <f t="shared" si="22"/>
        <v>0</v>
      </c>
      <c r="O55" s="504">
        <f t="shared" si="23"/>
        <v>0</v>
      </c>
      <c r="P55" s="278"/>
      <c r="R55" s="243"/>
      <c r="S55" s="243"/>
      <c r="T55" s="243"/>
      <c r="U55" s="243"/>
    </row>
    <row r="56" spans="2:21">
      <c r="B56" s="145" t="str">
        <f t="shared" si="6"/>
        <v/>
      </c>
      <c r="C56" s="495">
        <f>IF(D11="","-",+C55+1)</f>
        <v>2049</v>
      </c>
      <c r="D56" s="508">
        <f>IF(F55+SUM(E$17:E55)=D$10,F55,D$10-SUM(E$17:E55))</f>
        <v>0</v>
      </c>
      <c r="E56" s="509">
        <f>IF(+I14&lt;F55,I14,D56)</f>
        <v>0</v>
      </c>
      <c r="F56" s="510">
        <f t="shared" si="19"/>
        <v>0</v>
      </c>
      <c r="G56" s="511">
        <f t="shared" si="17"/>
        <v>0</v>
      </c>
      <c r="H56" s="477">
        <f t="shared" si="18"/>
        <v>0</v>
      </c>
      <c r="I56" s="500">
        <f t="shared" si="20"/>
        <v>0</v>
      </c>
      <c r="J56" s="500"/>
      <c r="K56" s="512"/>
      <c r="L56" s="504">
        <f t="shared" si="21"/>
        <v>0</v>
      </c>
      <c r="M56" s="512"/>
      <c r="N56" s="504">
        <f t="shared" si="22"/>
        <v>0</v>
      </c>
      <c r="O56" s="504">
        <f t="shared" si="23"/>
        <v>0</v>
      </c>
      <c r="P56" s="278"/>
      <c r="R56" s="243"/>
      <c r="S56" s="243"/>
      <c r="T56" s="243"/>
      <c r="U56" s="243"/>
    </row>
    <row r="57" spans="2:21">
      <c r="B57" s="145" t="str">
        <f t="shared" si="6"/>
        <v/>
      </c>
      <c r="C57" s="495">
        <f>IF(D11="","-",+C56+1)</f>
        <v>2050</v>
      </c>
      <c r="D57" s="508">
        <f>IF(F56+SUM(E$17:E56)=D$10,F56,D$10-SUM(E$17:E56))</f>
        <v>0</v>
      </c>
      <c r="E57" s="509">
        <f>IF(+I14&lt;F56,I14,D57)</f>
        <v>0</v>
      </c>
      <c r="F57" s="510">
        <f t="shared" si="19"/>
        <v>0</v>
      </c>
      <c r="G57" s="511">
        <f t="shared" si="17"/>
        <v>0</v>
      </c>
      <c r="H57" s="477">
        <f t="shared" si="18"/>
        <v>0</v>
      </c>
      <c r="I57" s="500">
        <f t="shared" si="20"/>
        <v>0</v>
      </c>
      <c r="J57" s="500"/>
      <c r="K57" s="512"/>
      <c r="L57" s="504">
        <f t="shared" si="21"/>
        <v>0</v>
      </c>
      <c r="M57" s="512"/>
      <c r="N57" s="504">
        <f t="shared" si="22"/>
        <v>0</v>
      </c>
      <c r="O57" s="504">
        <f t="shared" si="23"/>
        <v>0</v>
      </c>
      <c r="P57" s="278"/>
      <c r="R57" s="243"/>
      <c r="S57" s="243"/>
      <c r="T57" s="243"/>
      <c r="U57" s="243"/>
    </row>
    <row r="58" spans="2:21">
      <c r="B58" s="145" t="str">
        <f t="shared" si="6"/>
        <v/>
      </c>
      <c r="C58" s="495">
        <f>IF(D11="","-",+C57+1)</f>
        <v>2051</v>
      </c>
      <c r="D58" s="508">
        <f>IF(F57+SUM(E$17:E57)=D$10,F57,D$10-SUM(E$17:E57))</f>
        <v>0</v>
      </c>
      <c r="E58" s="509">
        <f>IF(+I14&lt;F57,I14,D58)</f>
        <v>0</v>
      </c>
      <c r="F58" s="510">
        <f t="shared" si="19"/>
        <v>0</v>
      </c>
      <c r="G58" s="511">
        <f t="shared" si="17"/>
        <v>0</v>
      </c>
      <c r="H58" s="477">
        <f t="shared" si="18"/>
        <v>0</v>
      </c>
      <c r="I58" s="500">
        <f t="shared" si="20"/>
        <v>0</v>
      </c>
      <c r="J58" s="500"/>
      <c r="K58" s="512"/>
      <c r="L58" s="504">
        <f t="shared" si="21"/>
        <v>0</v>
      </c>
      <c r="M58" s="512"/>
      <c r="N58" s="504">
        <f t="shared" si="22"/>
        <v>0</v>
      </c>
      <c r="O58" s="504">
        <f t="shared" si="23"/>
        <v>0</v>
      </c>
      <c r="P58" s="278"/>
      <c r="R58" s="243"/>
      <c r="S58" s="243"/>
      <c r="T58" s="243"/>
      <c r="U58" s="243"/>
    </row>
    <row r="59" spans="2:21">
      <c r="B59" s="145" t="str">
        <f t="shared" si="6"/>
        <v/>
      </c>
      <c r="C59" s="495">
        <f>IF(D11="","-",+C58+1)</f>
        <v>2052</v>
      </c>
      <c r="D59" s="508">
        <f>IF(F58+SUM(E$17:E58)=D$10,F58,D$10-SUM(E$17:E58))</f>
        <v>0</v>
      </c>
      <c r="E59" s="509">
        <f>IF(+I14&lt;F58,I14,D59)</f>
        <v>0</v>
      </c>
      <c r="F59" s="510">
        <f t="shared" si="19"/>
        <v>0</v>
      </c>
      <c r="G59" s="511">
        <f t="shared" si="17"/>
        <v>0</v>
      </c>
      <c r="H59" s="477">
        <f t="shared" si="18"/>
        <v>0</v>
      </c>
      <c r="I59" s="500">
        <f t="shared" si="20"/>
        <v>0</v>
      </c>
      <c r="J59" s="500"/>
      <c r="K59" s="512"/>
      <c r="L59" s="504">
        <f t="shared" si="21"/>
        <v>0</v>
      </c>
      <c r="M59" s="512"/>
      <c r="N59" s="504">
        <f t="shared" si="22"/>
        <v>0</v>
      </c>
      <c r="O59" s="504">
        <f t="shared" si="23"/>
        <v>0</v>
      </c>
      <c r="P59" s="278"/>
      <c r="R59" s="243"/>
      <c r="S59" s="243"/>
      <c r="T59" s="243"/>
      <c r="U59" s="243"/>
    </row>
    <row r="60" spans="2:21">
      <c r="B60" s="145" t="str">
        <f t="shared" si="6"/>
        <v/>
      </c>
      <c r="C60" s="495">
        <f>IF(D11="","-",+C59+1)</f>
        <v>2053</v>
      </c>
      <c r="D60" s="508">
        <f>IF(F59+SUM(E$17:E59)=D$10,F59,D$10-SUM(E$17:E59))</f>
        <v>0</v>
      </c>
      <c r="E60" s="509">
        <f>IF(+I14&lt;F59,I14,D60)</f>
        <v>0</v>
      </c>
      <c r="F60" s="510">
        <f t="shared" si="19"/>
        <v>0</v>
      </c>
      <c r="G60" s="511">
        <f t="shared" si="17"/>
        <v>0</v>
      </c>
      <c r="H60" s="477">
        <f t="shared" si="18"/>
        <v>0</v>
      </c>
      <c r="I60" s="500">
        <f t="shared" si="20"/>
        <v>0</v>
      </c>
      <c r="J60" s="500"/>
      <c r="K60" s="512"/>
      <c r="L60" s="504">
        <f t="shared" si="21"/>
        <v>0</v>
      </c>
      <c r="M60" s="512"/>
      <c r="N60" s="504">
        <f t="shared" si="22"/>
        <v>0</v>
      </c>
      <c r="O60" s="504">
        <f t="shared" si="23"/>
        <v>0</v>
      </c>
      <c r="P60" s="278"/>
      <c r="R60" s="243"/>
      <c r="S60" s="243"/>
      <c r="T60" s="243"/>
      <c r="U60" s="243"/>
    </row>
    <row r="61" spans="2:21">
      <c r="B61" s="145" t="str">
        <f t="shared" si="6"/>
        <v/>
      </c>
      <c r="C61" s="495">
        <f>IF(D11="","-",+C60+1)</f>
        <v>2054</v>
      </c>
      <c r="D61" s="508">
        <f>IF(F60+SUM(E$17:E60)=D$10,F60,D$10-SUM(E$17:E60))</f>
        <v>0</v>
      </c>
      <c r="E61" s="509">
        <f>IF(+I14&lt;F60,I14,D61)</f>
        <v>0</v>
      </c>
      <c r="F61" s="510">
        <f t="shared" si="19"/>
        <v>0</v>
      </c>
      <c r="G61" s="511">
        <f t="shared" si="17"/>
        <v>0</v>
      </c>
      <c r="H61" s="477">
        <f t="shared" si="18"/>
        <v>0</v>
      </c>
      <c r="I61" s="500">
        <f t="shared" si="20"/>
        <v>0</v>
      </c>
      <c r="J61" s="500"/>
      <c r="K61" s="512"/>
      <c r="L61" s="504">
        <f t="shared" si="21"/>
        <v>0</v>
      </c>
      <c r="M61" s="512"/>
      <c r="N61" s="504">
        <f t="shared" si="22"/>
        <v>0</v>
      </c>
      <c r="O61" s="504">
        <f t="shared" si="23"/>
        <v>0</v>
      </c>
      <c r="P61" s="278"/>
      <c r="R61" s="243"/>
      <c r="S61" s="243"/>
      <c r="T61" s="243"/>
      <c r="U61" s="243"/>
    </row>
    <row r="62" spans="2:21">
      <c r="B62" s="145" t="str">
        <f t="shared" si="6"/>
        <v/>
      </c>
      <c r="C62" s="495">
        <f>IF(D11="","-",+C61+1)</f>
        <v>2055</v>
      </c>
      <c r="D62" s="508">
        <f>IF(F61+SUM(E$17:E61)=D$10,F61,D$10-SUM(E$17:E61))</f>
        <v>0</v>
      </c>
      <c r="E62" s="509">
        <f>IF(+I14&lt;F61,I14,D62)</f>
        <v>0</v>
      </c>
      <c r="F62" s="510">
        <f t="shared" si="19"/>
        <v>0</v>
      </c>
      <c r="G62" s="523">
        <f t="shared" si="17"/>
        <v>0</v>
      </c>
      <c r="H62" s="477">
        <f t="shared" si="18"/>
        <v>0</v>
      </c>
      <c r="I62" s="500">
        <f t="shared" si="20"/>
        <v>0</v>
      </c>
      <c r="J62" s="500"/>
      <c r="K62" s="512"/>
      <c r="L62" s="504">
        <f t="shared" si="21"/>
        <v>0</v>
      </c>
      <c r="M62" s="512"/>
      <c r="N62" s="504">
        <f t="shared" si="22"/>
        <v>0</v>
      </c>
      <c r="O62" s="504">
        <f t="shared" si="23"/>
        <v>0</v>
      </c>
      <c r="P62" s="278"/>
      <c r="R62" s="243"/>
      <c r="S62" s="243"/>
      <c r="T62" s="243"/>
      <c r="U62" s="243"/>
    </row>
    <row r="63" spans="2:21">
      <c r="B63" s="145" t="str">
        <f t="shared" si="6"/>
        <v/>
      </c>
      <c r="C63" s="495">
        <f>IF(D11="","-",+C62+1)</f>
        <v>2056</v>
      </c>
      <c r="D63" s="508">
        <f>IF(F62+SUM(E$17:E62)=D$10,F62,D$10-SUM(E$17:E62))</f>
        <v>0</v>
      </c>
      <c r="E63" s="509">
        <f>IF(+I14&lt;F62,I14,D63)</f>
        <v>0</v>
      </c>
      <c r="F63" s="510">
        <f t="shared" si="19"/>
        <v>0</v>
      </c>
      <c r="G63" s="523">
        <f t="shared" si="17"/>
        <v>0</v>
      </c>
      <c r="H63" s="477">
        <f t="shared" si="18"/>
        <v>0</v>
      </c>
      <c r="I63" s="500">
        <f t="shared" si="20"/>
        <v>0</v>
      </c>
      <c r="J63" s="500"/>
      <c r="K63" s="512"/>
      <c r="L63" s="504">
        <f t="shared" si="21"/>
        <v>0</v>
      </c>
      <c r="M63" s="512"/>
      <c r="N63" s="504">
        <f t="shared" si="22"/>
        <v>0</v>
      </c>
      <c r="O63" s="504">
        <f t="shared" si="23"/>
        <v>0</v>
      </c>
      <c r="P63" s="278"/>
      <c r="R63" s="243"/>
      <c r="S63" s="243"/>
      <c r="T63" s="243"/>
      <c r="U63" s="243"/>
    </row>
    <row r="64" spans="2:21">
      <c r="B64" s="145" t="str">
        <f t="shared" si="6"/>
        <v/>
      </c>
      <c r="C64" s="495">
        <f>IF(D11="","-",+C63+1)</f>
        <v>2057</v>
      </c>
      <c r="D64" s="508">
        <f>IF(F63+SUM(E$17:E63)=D$10,F63,D$10-SUM(E$17:E63))</f>
        <v>0</v>
      </c>
      <c r="E64" s="509">
        <f>IF(+I14&lt;F63,I14,D64)</f>
        <v>0</v>
      </c>
      <c r="F64" s="510">
        <f t="shared" si="19"/>
        <v>0</v>
      </c>
      <c r="G64" s="523">
        <f t="shared" si="17"/>
        <v>0</v>
      </c>
      <c r="H64" s="477">
        <f t="shared" si="18"/>
        <v>0</v>
      </c>
      <c r="I64" s="500">
        <f t="shared" si="20"/>
        <v>0</v>
      </c>
      <c r="J64" s="500"/>
      <c r="K64" s="512"/>
      <c r="L64" s="504">
        <f t="shared" si="21"/>
        <v>0</v>
      </c>
      <c r="M64" s="512"/>
      <c r="N64" s="504">
        <f t="shared" si="22"/>
        <v>0</v>
      </c>
      <c r="O64" s="504">
        <f t="shared" si="23"/>
        <v>0</v>
      </c>
      <c r="P64" s="278"/>
      <c r="R64" s="243"/>
      <c r="S64" s="243"/>
      <c r="T64" s="243"/>
      <c r="U64" s="243"/>
    </row>
    <row r="65" spans="2:21">
      <c r="B65" s="145" t="str">
        <f t="shared" si="6"/>
        <v/>
      </c>
      <c r="C65" s="495">
        <f>IF(D11="","-",+C64+1)</f>
        <v>2058</v>
      </c>
      <c r="D65" s="508">
        <f>IF(F64+SUM(E$17:E64)=D$10,F64,D$10-SUM(E$17:E64))</f>
        <v>0</v>
      </c>
      <c r="E65" s="509">
        <f>IF(+I14&lt;F64,I14,D65)</f>
        <v>0</v>
      </c>
      <c r="F65" s="510">
        <f t="shared" si="19"/>
        <v>0</v>
      </c>
      <c r="G65" s="523">
        <f t="shared" si="17"/>
        <v>0</v>
      </c>
      <c r="H65" s="477">
        <f t="shared" si="18"/>
        <v>0</v>
      </c>
      <c r="I65" s="500">
        <f t="shared" si="20"/>
        <v>0</v>
      </c>
      <c r="J65" s="500"/>
      <c r="K65" s="512"/>
      <c r="L65" s="504">
        <f t="shared" si="21"/>
        <v>0</v>
      </c>
      <c r="M65" s="512"/>
      <c r="N65" s="504">
        <f t="shared" si="22"/>
        <v>0</v>
      </c>
      <c r="O65" s="504">
        <f t="shared" si="23"/>
        <v>0</v>
      </c>
      <c r="P65" s="278"/>
      <c r="R65" s="243"/>
      <c r="S65" s="243"/>
      <c r="T65" s="243"/>
      <c r="U65" s="243"/>
    </row>
    <row r="66" spans="2:21">
      <c r="B66" s="145" t="str">
        <f t="shared" si="6"/>
        <v/>
      </c>
      <c r="C66" s="495">
        <f>IF(D11="","-",+C65+1)</f>
        <v>2059</v>
      </c>
      <c r="D66" s="508">
        <f>IF(F65+SUM(E$17:E65)=D$10,F65,D$10-SUM(E$17:E65))</f>
        <v>0</v>
      </c>
      <c r="E66" s="509">
        <f>IF(+I14&lt;F65,I14,D66)</f>
        <v>0</v>
      </c>
      <c r="F66" s="510">
        <f t="shared" si="19"/>
        <v>0</v>
      </c>
      <c r="G66" s="523">
        <f t="shared" si="17"/>
        <v>0</v>
      </c>
      <c r="H66" s="477">
        <f t="shared" si="18"/>
        <v>0</v>
      </c>
      <c r="I66" s="500">
        <f t="shared" si="20"/>
        <v>0</v>
      </c>
      <c r="J66" s="500"/>
      <c r="K66" s="512"/>
      <c r="L66" s="504">
        <f t="shared" si="21"/>
        <v>0</v>
      </c>
      <c r="M66" s="512"/>
      <c r="N66" s="504">
        <f t="shared" si="22"/>
        <v>0</v>
      </c>
      <c r="O66" s="504">
        <f t="shared" si="23"/>
        <v>0</v>
      </c>
      <c r="P66" s="278"/>
      <c r="R66" s="243"/>
      <c r="S66" s="243"/>
      <c r="T66" s="243"/>
      <c r="U66" s="243"/>
    </row>
    <row r="67" spans="2:21">
      <c r="B67" s="145" t="str">
        <f t="shared" si="6"/>
        <v/>
      </c>
      <c r="C67" s="495">
        <f>IF(D11="","-",+C66+1)</f>
        <v>2060</v>
      </c>
      <c r="D67" s="508">
        <f>IF(F66+SUM(E$17:E66)=D$10,F66,D$10-SUM(E$17:E66))</f>
        <v>0</v>
      </c>
      <c r="E67" s="509">
        <f>IF(+I14&lt;F66,I14,D67)</f>
        <v>0</v>
      </c>
      <c r="F67" s="510">
        <f t="shared" si="19"/>
        <v>0</v>
      </c>
      <c r="G67" s="523">
        <f t="shared" si="17"/>
        <v>0</v>
      </c>
      <c r="H67" s="477">
        <f t="shared" si="18"/>
        <v>0</v>
      </c>
      <c r="I67" s="500">
        <f t="shared" si="20"/>
        <v>0</v>
      </c>
      <c r="J67" s="500"/>
      <c r="K67" s="512"/>
      <c r="L67" s="504">
        <f t="shared" si="21"/>
        <v>0</v>
      </c>
      <c r="M67" s="512"/>
      <c r="N67" s="504">
        <f t="shared" si="22"/>
        <v>0</v>
      </c>
      <c r="O67" s="504">
        <f t="shared" si="23"/>
        <v>0</v>
      </c>
      <c r="P67" s="278"/>
      <c r="R67" s="243"/>
      <c r="S67" s="243"/>
      <c r="T67" s="243"/>
      <c r="U67" s="243"/>
    </row>
    <row r="68" spans="2:21">
      <c r="B68" s="145" t="str">
        <f t="shared" si="6"/>
        <v/>
      </c>
      <c r="C68" s="495">
        <f>IF(D11="","-",+C67+1)</f>
        <v>2061</v>
      </c>
      <c r="D68" s="508">
        <f>IF(F67+SUM(E$17:E67)=D$10,F67,D$10-SUM(E$17:E67))</f>
        <v>0</v>
      </c>
      <c r="E68" s="509">
        <f>IF(+I14&lt;F67,I14,D68)</f>
        <v>0</v>
      </c>
      <c r="F68" s="510">
        <f t="shared" si="19"/>
        <v>0</v>
      </c>
      <c r="G68" s="523">
        <f t="shared" si="17"/>
        <v>0</v>
      </c>
      <c r="H68" s="477">
        <f t="shared" si="18"/>
        <v>0</v>
      </c>
      <c r="I68" s="500">
        <f t="shared" si="20"/>
        <v>0</v>
      </c>
      <c r="J68" s="500"/>
      <c r="K68" s="512"/>
      <c r="L68" s="504">
        <f t="shared" si="21"/>
        <v>0</v>
      </c>
      <c r="M68" s="512"/>
      <c r="N68" s="504">
        <f t="shared" si="22"/>
        <v>0</v>
      </c>
      <c r="O68" s="504">
        <f t="shared" si="23"/>
        <v>0</v>
      </c>
      <c r="P68" s="278"/>
      <c r="R68" s="243"/>
      <c r="S68" s="243"/>
      <c r="T68" s="243"/>
      <c r="U68" s="243"/>
    </row>
    <row r="69" spans="2:21">
      <c r="B69" s="145" t="str">
        <f t="shared" si="6"/>
        <v/>
      </c>
      <c r="C69" s="495">
        <f>IF(D11="","-",+C68+1)</f>
        <v>2062</v>
      </c>
      <c r="D69" s="508">
        <f>IF(F68+SUM(E$17:E68)=D$10,F68,D$10-SUM(E$17:E68))</f>
        <v>0</v>
      </c>
      <c r="E69" s="509">
        <f>IF(+I14&lt;F68,I14,D69)</f>
        <v>0</v>
      </c>
      <c r="F69" s="510">
        <f t="shared" si="19"/>
        <v>0</v>
      </c>
      <c r="G69" s="523">
        <f t="shared" si="17"/>
        <v>0</v>
      </c>
      <c r="H69" s="477">
        <f t="shared" si="18"/>
        <v>0</v>
      </c>
      <c r="I69" s="500">
        <f t="shared" si="20"/>
        <v>0</v>
      </c>
      <c r="J69" s="500"/>
      <c r="K69" s="512"/>
      <c r="L69" s="504">
        <f t="shared" si="21"/>
        <v>0</v>
      </c>
      <c r="M69" s="512"/>
      <c r="N69" s="504">
        <f t="shared" si="22"/>
        <v>0</v>
      </c>
      <c r="O69" s="504">
        <f t="shared" si="23"/>
        <v>0</v>
      </c>
      <c r="P69" s="278"/>
      <c r="R69" s="243"/>
      <c r="S69" s="243"/>
      <c r="T69" s="243"/>
      <c r="U69" s="243"/>
    </row>
    <row r="70" spans="2:21">
      <c r="B70" s="145" t="str">
        <f t="shared" si="6"/>
        <v/>
      </c>
      <c r="C70" s="495">
        <f>IF(D11="","-",+C69+1)</f>
        <v>2063</v>
      </c>
      <c r="D70" s="508">
        <f>IF(F69+SUM(E$17:E69)=D$10,F69,D$10-SUM(E$17:E69))</f>
        <v>0</v>
      </c>
      <c r="E70" s="509">
        <f>IF(+I14&lt;F69,I14,D70)</f>
        <v>0</v>
      </c>
      <c r="F70" s="510">
        <f t="shared" si="19"/>
        <v>0</v>
      </c>
      <c r="G70" s="523">
        <f t="shared" si="17"/>
        <v>0</v>
      </c>
      <c r="H70" s="477">
        <f t="shared" si="18"/>
        <v>0</v>
      </c>
      <c r="I70" s="500">
        <f t="shared" si="20"/>
        <v>0</v>
      </c>
      <c r="J70" s="500"/>
      <c r="K70" s="512"/>
      <c r="L70" s="504">
        <f t="shared" si="21"/>
        <v>0</v>
      </c>
      <c r="M70" s="512"/>
      <c r="N70" s="504">
        <f t="shared" si="22"/>
        <v>0</v>
      </c>
      <c r="O70" s="504">
        <f t="shared" si="23"/>
        <v>0</v>
      </c>
      <c r="P70" s="278"/>
      <c r="R70" s="243"/>
      <c r="S70" s="243"/>
      <c r="T70" s="243"/>
      <c r="U70" s="243"/>
    </row>
    <row r="71" spans="2:21">
      <c r="B71" s="145" t="str">
        <f t="shared" si="6"/>
        <v/>
      </c>
      <c r="C71" s="495">
        <f>IF(D11="","-",+C70+1)</f>
        <v>2064</v>
      </c>
      <c r="D71" s="508">
        <f>IF(F70+SUM(E$17:E70)=D$10,F70,D$10-SUM(E$17:E70))</f>
        <v>0</v>
      </c>
      <c r="E71" s="509">
        <f>IF(+I14&lt;F70,I14,D71)</f>
        <v>0</v>
      </c>
      <c r="F71" s="510">
        <f t="shared" si="19"/>
        <v>0</v>
      </c>
      <c r="G71" s="523">
        <f t="shared" si="17"/>
        <v>0</v>
      </c>
      <c r="H71" s="477">
        <f t="shared" si="18"/>
        <v>0</v>
      </c>
      <c r="I71" s="500">
        <f t="shared" si="20"/>
        <v>0</v>
      </c>
      <c r="J71" s="500"/>
      <c r="K71" s="512"/>
      <c r="L71" s="504">
        <f t="shared" si="21"/>
        <v>0</v>
      </c>
      <c r="M71" s="512"/>
      <c r="N71" s="504">
        <f t="shared" si="22"/>
        <v>0</v>
      </c>
      <c r="O71" s="504">
        <f t="shared" si="23"/>
        <v>0</v>
      </c>
      <c r="P71" s="278"/>
      <c r="R71" s="243"/>
      <c r="S71" s="243"/>
      <c r="T71" s="243"/>
      <c r="U71" s="243"/>
    </row>
    <row r="72" spans="2:21">
      <c r="B72" s="145" t="str">
        <f t="shared" si="6"/>
        <v/>
      </c>
      <c r="C72" s="495">
        <f>IF(D11="","-",+C71+1)</f>
        <v>2065</v>
      </c>
      <c r="D72" s="508">
        <f>IF(F71+SUM(E$17:E71)=D$10,F71,D$10-SUM(E$17:E71))</f>
        <v>0</v>
      </c>
      <c r="E72" s="509">
        <f>IF(+I14&lt;F71,I14,D72)</f>
        <v>0</v>
      </c>
      <c r="F72" s="510">
        <f t="shared" si="19"/>
        <v>0</v>
      </c>
      <c r="G72" s="523">
        <f t="shared" si="17"/>
        <v>0</v>
      </c>
      <c r="H72" s="477">
        <f t="shared" si="18"/>
        <v>0</v>
      </c>
      <c r="I72" s="500">
        <f t="shared" si="20"/>
        <v>0</v>
      </c>
      <c r="J72" s="500"/>
      <c r="K72" s="512"/>
      <c r="L72" s="504">
        <f t="shared" si="21"/>
        <v>0</v>
      </c>
      <c r="M72" s="512"/>
      <c r="N72" s="504">
        <f t="shared" si="22"/>
        <v>0</v>
      </c>
      <c r="O72" s="504">
        <f t="shared" si="23"/>
        <v>0</v>
      </c>
      <c r="P72" s="278"/>
      <c r="R72" s="243"/>
      <c r="S72" s="243"/>
      <c r="T72" s="243"/>
      <c r="U72" s="243"/>
    </row>
    <row r="73" spans="2:21" ht="13.5" thickBot="1">
      <c r="B73" s="145" t="str">
        <f t="shared" si="6"/>
        <v/>
      </c>
      <c r="C73" s="524">
        <f>IF(D11="","-",+C72+1)</f>
        <v>2066</v>
      </c>
      <c r="D73" s="525">
        <f>IF(F72+SUM(E$17:E72)=D$10,F72,D$10-SUM(E$17:E72))</f>
        <v>0</v>
      </c>
      <c r="E73" s="526">
        <f>IF(+I14&lt;F72,I14,D73)</f>
        <v>0</v>
      </c>
      <c r="F73" s="527">
        <f t="shared" si="19"/>
        <v>0</v>
      </c>
      <c r="G73" s="528">
        <f t="shared" si="17"/>
        <v>0</v>
      </c>
      <c r="H73" s="458">
        <f t="shared" si="18"/>
        <v>0</v>
      </c>
      <c r="I73" s="529">
        <f t="shared" si="20"/>
        <v>0</v>
      </c>
      <c r="J73" s="500"/>
      <c r="K73" s="530"/>
      <c r="L73" s="531">
        <f t="shared" si="21"/>
        <v>0</v>
      </c>
      <c r="M73" s="530"/>
      <c r="N73" s="531">
        <f t="shared" si="22"/>
        <v>0</v>
      </c>
      <c r="O73" s="531">
        <f t="shared" si="23"/>
        <v>0</v>
      </c>
      <c r="P73" s="278"/>
      <c r="R73" s="243"/>
      <c r="S73" s="243"/>
      <c r="T73" s="243"/>
      <c r="U73" s="243"/>
    </row>
    <row r="74" spans="2:21">
      <c r="C74" s="349" t="s">
        <v>75</v>
      </c>
      <c r="D74" s="294"/>
      <c r="E74" s="294">
        <f>SUM(E17:E73)</f>
        <v>985777</v>
      </c>
      <c r="F74" s="294"/>
      <c r="G74" s="294">
        <f>SUM(G17:G73)</f>
        <v>3121834.7684059781</v>
      </c>
      <c r="H74" s="294">
        <f>SUM(H17:H73)</f>
        <v>3121834.7684059781</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2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113358.4397541738</v>
      </c>
      <c r="N88" s="544">
        <f>IF(J93&lt;D11,0,VLOOKUP(J93,C17:O73,11))</f>
        <v>113358.4397541738</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126148.53426966473</v>
      </c>
      <c r="N89" s="548">
        <f>IF(J93&lt;D11,0,VLOOKUP(J93,C100:P155,7))</f>
        <v>126148.53426966473</v>
      </c>
      <c r="O89" s="549">
        <f>+N89-M89</f>
        <v>0</v>
      </c>
      <c r="P89" s="243"/>
      <c r="Q89" s="243"/>
      <c r="R89" s="243"/>
      <c r="S89" s="243"/>
      <c r="T89" s="243"/>
      <c r="U89" s="243"/>
    </row>
    <row r="90" spans="1:21" ht="13.5" thickBot="1">
      <c r="C90" s="454" t="s">
        <v>82</v>
      </c>
      <c r="D90" s="550" t="str">
        <f>+D7</f>
        <v>Coffeyville T to Dearing 138 kV Rebuild - 1.1 miles</v>
      </c>
      <c r="E90" s="243"/>
      <c r="F90" s="243"/>
      <c r="G90" s="243"/>
      <c r="H90" s="243"/>
      <c r="I90" s="325"/>
      <c r="J90" s="325"/>
      <c r="K90" s="551"/>
      <c r="L90" s="552" t="s">
        <v>135</v>
      </c>
      <c r="M90" s="553">
        <f>+M89-M88</f>
        <v>12790.094515490928</v>
      </c>
      <c r="N90" s="553">
        <f>+N89-N88</f>
        <v>12790.094515490928</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TP2008013</v>
      </c>
      <c r="E92" s="558"/>
      <c r="F92" s="558"/>
      <c r="G92" s="558"/>
      <c r="H92" s="558"/>
      <c r="I92" s="558"/>
      <c r="J92" s="558"/>
      <c r="K92" s="560"/>
      <c r="P92" s="468"/>
      <c r="Q92" s="243"/>
      <c r="R92" s="243"/>
      <c r="S92" s="243"/>
      <c r="T92" s="243"/>
      <c r="U92" s="243"/>
    </row>
    <row r="93" spans="1:21">
      <c r="C93" s="472" t="s">
        <v>49</v>
      </c>
      <c r="D93" s="470">
        <f>IF(D11=I10,0,D10)</f>
        <v>985777</v>
      </c>
      <c r="E93" s="248" t="s">
        <v>84</v>
      </c>
      <c r="H93" s="408"/>
      <c r="I93" s="408"/>
      <c r="J93" s="471">
        <f>+'OKT.WS.G.BPU.ATRR.True-up'!M16</f>
        <v>2021</v>
      </c>
      <c r="K93" s="467"/>
      <c r="L93" s="294" t="s">
        <v>85</v>
      </c>
      <c r="P93" s="278"/>
      <c r="Q93" s="243"/>
      <c r="R93" s="243"/>
      <c r="S93" s="243"/>
      <c r="T93" s="243"/>
      <c r="U93" s="243"/>
    </row>
    <row r="94" spans="1:21">
      <c r="C94" s="472" t="s">
        <v>52</v>
      </c>
      <c r="D94" s="561">
        <f>IF(D11=I10,"",D11)</f>
        <v>2010</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6</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39431.08</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55" si="24">IF(D100=F99,"","IU")</f>
        <v>IU</v>
      </c>
      <c r="C100" s="495">
        <f>IF(D94= "","-",D94)</f>
        <v>2010</v>
      </c>
      <c r="D100" s="496">
        <v>0</v>
      </c>
      <c r="E100" s="498">
        <v>8464.310344827587</v>
      </c>
      <c r="F100" s="505">
        <v>973395.68965517241</v>
      </c>
      <c r="G100" s="571">
        <v>486697.8448275862</v>
      </c>
      <c r="H100" s="571">
        <v>173914.12278230567</v>
      </c>
      <c r="I100" s="571">
        <v>173914.12278230567</v>
      </c>
      <c r="J100" s="504">
        <f t="shared" ref="J100:J131" si="25">+I100-H100</f>
        <v>0</v>
      </c>
      <c r="K100" s="504"/>
      <c r="L100" s="506">
        <f t="shared" ref="L100:L105" si="26">H100</f>
        <v>173914.12278230567</v>
      </c>
      <c r="M100" s="507">
        <f>IF(L100&lt;&gt;0,+H100-L100,0)</f>
        <v>0</v>
      </c>
      <c r="N100" s="506">
        <f t="shared" ref="N100:N105" si="27">I100</f>
        <v>173914.12278230567</v>
      </c>
      <c r="O100" s="503">
        <f t="shared" ref="O100:O131" si="28">IF(N100&lt;&gt;0,+I100-N100,0)</f>
        <v>0</v>
      </c>
      <c r="P100" s="503">
        <f t="shared" ref="P100:P131" si="29">+O100-M100</f>
        <v>0</v>
      </c>
      <c r="Q100" s="243"/>
      <c r="R100" s="243"/>
      <c r="S100" s="243"/>
      <c r="T100" s="243"/>
      <c r="U100" s="243"/>
    </row>
    <row r="101" spans="1:21">
      <c r="B101" s="145" t="str">
        <f t="shared" si="24"/>
        <v/>
      </c>
      <c r="C101" s="495">
        <f>IF(D94="","-",+C100+1)</f>
        <v>2011</v>
      </c>
      <c r="D101" s="496">
        <v>973395.68965517241</v>
      </c>
      <c r="E101" s="498">
        <v>16996.161034482757</v>
      </c>
      <c r="F101" s="505">
        <v>956399.52862068964</v>
      </c>
      <c r="G101" s="505">
        <v>964897.60913793102</v>
      </c>
      <c r="H101" s="498">
        <v>88738.637904978968</v>
      </c>
      <c r="I101" s="499">
        <v>88738.637904978968</v>
      </c>
      <c r="J101" s="504">
        <v>0</v>
      </c>
      <c r="K101" s="504"/>
      <c r="L101" s="506">
        <f t="shared" si="26"/>
        <v>88738.637904978968</v>
      </c>
      <c r="M101" s="504">
        <f t="shared" ref="M101:M131" si="30">IF(L101&lt;&gt;0,+H101-L101,0)</f>
        <v>0</v>
      </c>
      <c r="N101" s="506">
        <f t="shared" si="27"/>
        <v>88738.637904978968</v>
      </c>
      <c r="O101" s="504">
        <f t="shared" si="28"/>
        <v>0</v>
      </c>
      <c r="P101" s="504">
        <f t="shared" si="29"/>
        <v>0</v>
      </c>
      <c r="Q101" s="243"/>
      <c r="R101" s="243"/>
      <c r="S101" s="243"/>
      <c r="T101" s="243"/>
      <c r="U101" s="243"/>
    </row>
    <row r="102" spans="1:21">
      <c r="B102" s="145" t="str">
        <f t="shared" si="24"/>
        <v>IU</v>
      </c>
      <c r="C102" s="495">
        <f>IF(D94="","-",+C101+1)</f>
        <v>2012</v>
      </c>
      <c r="D102" s="496">
        <v>960316.86862068961</v>
      </c>
      <c r="E102" s="498">
        <v>16996.161034482757</v>
      </c>
      <c r="F102" s="505">
        <v>943320.70758620685</v>
      </c>
      <c r="G102" s="505">
        <v>951818.78810344823</v>
      </c>
      <c r="H102" s="498">
        <v>113462.4664066085</v>
      </c>
      <c r="I102" s="499">
        <v>113462.4664066085</v>
      </c>
      <c r="J102" s="504">
        <v>0</v>
      </c>
      <c r="K102" s="504"/>
      <c r="L102" s="506">
        <f t="shared" si="26"/>
        <v>113462.4664066085</v>
      </c>
      <c r="M102" s="504">
        <f t="shared" ref="M102:M107" si="31">IF(L102&lt;&gt;0,+H102-L102,0)</f>
        <v>0</v>
      </c>
      <c r="N102" s="506">
        <f t="shared" si="27"/>
        <v>113462.4664066085</v>
      </c>
      <c r="O102" s="504">
        <f>IF(N102&lt;&gt;0,+I102-N102,0)</f>
        <v>0</v>
      </c>
      <c r="P102" s="504">
        <f>+O102-M102</f>
        <v>0</v>
      </c>
      <c r="Q102" s="243"/>
      <c r="R102" s="243"/>
      <c r="S102" s="243"/>
      <c r="T102" s="243"/>
      <c r="U102" s="243"/>
    </row>
    <row r="103" spans="1:21">
      <c r="B103" s="145" t="str">
        <f t="shared" si="24"/>
        <v/>
      </c>
      <c r="C103" s="495">
        <f>IF(D94="","-",+C102+1)</f>
        <v>2013</v>
      </c>
      <c r="D103" s="496">
        <v>943320.70758620685</v>
      </c>
      <c r="E103" s="498">
        <v>16996.161034482757</v>
      </c>
      <c r="F103" s="505">
        <v>926324.54655172408</v>
      </c>
      <c r="G103" s="505">
        <v>934822.62706896546</v>
      </c>
      <c r="H103" s="498">
        <v>123248.05893507614</v>
      </c>
      <c r="I103" s="499">
        <v>123248.05893507614</v>
      </c>
      <c r="J103" s="504">
        <v>0</v>
      </c>
      <c r="K103" s="504"/>
      <c r="L103" s="506">
        <f t="shared" si="26"/>
        <v>123248.05893507614</v>
      </c>
      <c r="M103" s="504">
        <f t="shared" si="31"/>
        <v>0</v>
      </c>
      <c r="N103" s="506">
        <f t="shared" si="27"/>
        <v>123248.05893507614</v>
      </c>
      <c r="O103" s="504">
        <f>IF(N103&lt;&gt;0,+I103-N103,0)</f>
        <v>0</v>
      </c>
      <c r="P103" s="504">
        <f>+O103-M103</f>
        <v>0</v>
      </c>
      <c r="Q103" s="243"/>
      <c r="R103" s="243"/>
      <c r="S103" s="243"/>
      <c r="T103" s="243"/>
      <c r="U103" s="243"/>
    </row>
    <row r="104" spans="1:21">
      <c r="B104" s="145" t="str">
        <f t="shared" si="24"/>
        <v/>
      </c>
      <c r="C104" s="495">
        <f>IF(D94="","-",+C103+1)</f>
        <v>2014</v>
      </c>
      <c r="D104" s="496">
        <v>926324.54655172408</v>
      </c>
      <c r="E104" s="498">
        <v>16996.161034482757</v>
      </c>
      <c r="F104" s="505">
        <v>909328.38551724132</v>
      </c>
      <c r="G104" s="505">
        <v>917826.4660344827</v>
      </c>
      <c r="H104" s="498">
        <v>115702.36527195803</v>
      </c>
      <c r="I104" s="499">
        <v>115702.36527195803</v>
      </c>
      <c r="J104" s="504">
        <v>0</v>
      </c>
      <c r="K104" s="504"/>
      <c r="L104" s="506">
        <f t="shared" si="26"/>
        <v>115702.36527195803</v>
      </c>
      <c r="M104" s="504">
        <f t="shared" si="31"/>
        <v>0</v>
      </c>
      <c r="N104" s="506">
        <f t="shared" si="27"/>
        <v>115702.36527195803</v>
      </c>
      <c r="O104" s="504">
        <f>IF(N104&lt;&gt;0,+I104-N104,0)</f>
        <v>0</v>
      </c>
      <c r="P104" s="504">
        <f>+O104-M104</f>
        <v>0</v>
      </c>
      <c r="Q104" s="243"/>
      <c r="R104" s="243"/>
      <c r="S104" s="243"/>
      <c r="T104" s="243"/>
      <c r="U104" s="243"/>
    </row>
    <row r="105" spans="1:21">
      <c r="B105" s="145" t="str">
        <f t="shared" si="24"/>
        <v/>
      </c>
      <c r="C105" s="495">
        <f>IF(D94="","-",+C104+1)</f>
        <v>2015</v>
      </c>
      <c r="D105" s="496">
        <v>909328.38551724132</v>
      </c>
      <c r="E105" s="498">
        <v>20537.027916666666</v>
      </c>
      <c r="F105" s="505">
        <v>888791.35760057461</v>
      </c>
      <c r="G105" s="505">
        <v>899059.87155890791</v>
      </c>
      <c r="H105" s="498">
        <v>120628.84968807173</v>
      </c>
      <c r="I105" s="499">
        <v>120628.84968807173</v>
      </c>
      <c r="J105" s="504">
        <f t="shared" si="25"/>
        <v>0</v>
      </c>
      <c r="K105" s="504"/>
      <c r="L105" s="506">
        <f t="shared" si="26"/>
        <v>120628.84968807173</v>
      </c>
      <c r="M105" s="504">
        <f t="shared" si="31"/>
        <v>0</v>
      </c>
      <c r="N105" s="506">
        <f t="shared" si="27"/>
        <v>120628.84968807173</v>
      </c>
      <c r="O105" s="504">
        <f t="shared" si="28"/>
        <v>0</v>
      </c>
      <c r="P105" s="504">
        <f t="shared" si="29"/>
        <v>0</v>
      </c>
      <c r="Q105" s="243"/>
      <c r="R105" s="243"/>
      <c r="S105" s="243"/>
      <c r="T105" s="243"/>
      <c r="U105" s="243"/>
    </row>
    <row r="106" spans="1:21">
      <c r="B106" s="145" t="str">
        <f t="shared" si="24"/>
        <v/>
      </c>
      <c r="C106" s="495">
        <f>IF(D94="","-",+C105+1)</f>
        <v>2016</v>
      </c>
      <c r="D106" s="496">
        <v>888791.35760057461</v>
      </c>
      <c r="E106" s="498">
        <v>19328.967450980392</v>
      </c>
      <c r="F106" s="505">
        <v>869462.39014959417</v>
      </c>
      <c r="G106" s="505">
        <v>879126.87387508433</v>
      </c>
      <c r="H106" s="498">
        <v>114599.47152988262</v>
      </c>
      <c r="I106" s="499">
        <v>114599.47152988262</v>
      </c>
      <c r="J106" s="504">
        <f t="shared" si="25"/>
        <v>0</v>
      </c>
      <c r="K106" s="504"/>
      <c r="L106" s="506">
        <f>H106</f>
        <v>114599.47152988262</v>
      </c>
      <c r="M106" s="504">
        <f t="shared" si="31"/>
        <v>0</v>
      </c>
      <c r="N106" s="506">
        <f>I106</f>
        <v>114599.47152988262</v>
      </c>
      <c r="O106" s="504">
        <f>IF(N106&lt;&gt;0,+I106-N106,0)</f>
        <v>0</v>
      </c>
      <c r="P106" s="504">
        <f>+O106-M106</f>
        <v>0</v>
      </c>
      <c r="Q106" s="243"/>
      <c r="R106" s="243"/>
      <c r="S106" s="243"/>
      <c r="T106" s="243"/>
      <c r="U106" s="243"/>
    </row>
    <row r="107" spans="1:21">
      <c r="B107" s="145" t="str">
        <f t="shared" si="24"/>
        <v/>
      </c>
      <c r="C107" s="495">
        <f>IF(D94="","-",+C106+1)</f>
        <v>2017</v>
      </c>
      <c r="D107" s="496">
        <v>869462.39014959417</v>
      </c>
      <c r="E107" s="498">
        <v>24644.433499999999</v>
      </c>
      <c r="F107" s="505">
        <v>844817.95664959413</v>
      </c>
      <c r="G107" s="505">
        <v>857140.17339959415</v>
      </c>
      <c r="H107" s="498">
        <v>125217.71649626724</v>
      </c>
      <c r="I107" s="499">
        <v>125217.71649626724</v>
      </c>
      <c r="J107" s="504">
        <f t="shared" si="25"/>
        <v>0</v>
      </c>
      <c r="K107" s="504"/>
      <c r="L107" s="506">
        <f>H107</f>
        <v>125217.71649626724</v>
      </c>
      <c r="M107" s="504">
        <f t="shared" si="31"/>
        <v>0</v>
      </c>
      <c r="N107" s="506">
        <f>I107</f>
        <v>125217.71649626724</v>
      </c>
      <c r="O107" s="504">
        <f>IF(N107&lt;&gt;0,+I107-N107,0)</f>
        <v>0</v>
      </c>
      <c r="P107" s="504">
        <f>+O107-M107</f>
        <v>0</v>
      </c>
      <c r="Q107" s="243"/>
      <c r="R107" s="243"/>
      <c r="S107" s="243"/>
      <c r="T107" s="243"/>
      <c r="U107" s="243"/>
    </row>
    <row r="108" spans="1:21">
      <c r="B108" s="145" t="str">
        <f t="shared" si="24"/>
        <v/>
      </c>
      <c r="C108" s="495">
        <f>IF(D94="","-",+C107+1)</f>
        <v>2018</v>
      </c>
      <c r="D108" s="496">
        <v>844817.95664959413</v>
      </c>
      <c r="E108" s="498">
        <v>27382.703888888889</v>
      </c>
      <c r="F108" s="505">
        <v>817435.25276070519</v>
      </c>
      <c r="G108" s="505">
        <v>831126.60470514966</v>
      </c>
      <c r="H108" s="498">
        <v>115118.46379296975</v>
      </c>
      <c r="I108" s="499">
        <v>115118.46379296975</v>
      </c>
      <c r="J108" s="504">
        <f t="shared" si="25"/>
        <v>0</v>
      </c>
      <c r="K108" s="504"/>
      <c r="L108" s="506">
        <f>H108</f>
        <v>115118.46379296975</v>
      </c>
      <c r="M108" s="504">
        <f t="shared" ref="M108" si="32">IF(L108&lt;&gt;0,+H108-L108,0)</f>
        <v>0</v>
      </c>
      <c r="N108" s="506">
        <f>I108</f>
        <v>115118.46379296975</v>
      </c>
      <c r="O108" s="504">
        <f>IF(N108&lt;&gt;0,+I108-N108,0)</f>
        <v>0</v>
      </c>
      <c r="P108" s="504">
        <f>+O108-M108</f>
        <v>0</v>
      </c>
      <c r="Q108" s="243"/>
      <c r="R108" s="243"/>
      <c r="S108" s="243"/>
      <c r="T108" s="243"/>
      <c r="U108" s="243"/>
    </row>
    <row r="109" spans="1:21">
      <c r="B109" s="145" t="str">
        <f t="shared" si="24"/>
        <v/>
      </c>
      <c r="C109" s="495">
        <f>IF(D94="","-",+C108+1)</f>
        <v>2019</v>
      </c>
      <c r="D109" s="496">
        <v>817435.25276070519</v>
      </c>
      <c r="E109" s="498">
        <v>27382.703888888889</v>
      </c>
      <c r="F109" s="505">
        <v>790052.54887181625</v>
      </c>
      <c r="G109" s="505">
        <v>803743.90081626072</v>
      </c>
      <c r="H109" s="498">
        <v>112227.87850750366</v>
      </c>
      <c r="I109" s="499">
        <v>112227.87850750366</v>
      </c>
      <c r="J109" s="504">
        <f t="shared" si="25"/>
        <v>0</v>
      </c>
      <c r="K109" s="504"/>
      <c r="L109" s="506">
        <f>H109</f>
        <v>112227.87850750366</v>
      </c>
      <c r="M109" s="504">
        <f t="shared" ref="M109:M110" si="33">IF(L109&lt;&gt;0,+H109-L109,0)</f>
        <v>0</v>
      </c>
      <c r="N109" s="506">
        <f>I109</f>
        <v>112227.87850750366</v>
      </c>
      <c r="O109" s="504">
        <f>IF(N109&lt;&gt;0,+I109-N109,0)</f>
        <v>0</v>
      </c>
      <c r="P109" s="504">
        <f t="shared" si="29"/>
        <v>0</v>
      </c>
      <c r="Q109" s="243"/>
      <c r="R109" s="243"/>
      <c r="S109" s="243"/>
      <c r="T109" s="243"/>
      <c r="U109" s="243"/>
    </row>
    <row r="110" spans="1:21">
      <c r="B110" s="145" t="str">
        <f t="shared" si="24"/>
        <v/>
      </c>
      <c r="C110" s="495">
        <f>IF(D94="","-",+C109+1)</f>
        <v>2020</v>
      </c>
      <c r="D110" s="496">
        <v>790052.54887181625</v>
      </c>
      <c r="E110" s="498">
        <v>35206.333571428571</v>
      </c>
      <c r="F110" s="505">
        <v>754846.2153003877</v>
      </c>
      <c r="G110" s="505">
        <v>772449.38208610192</v>
      </c>
      <c r="H110" s="498">
        <v>117405.37509665726</v>
      </c>
      <c r="I110" s="499">
        <v>117405.37509665726</v>
      </c>
      <c r="J110" s="504">
        <f t="shared" si="25"/>
        <v>0</v>
      </c>
      <c r="K110" s="504"/>
      <c r="L110" s="506">
        <f>H110</f>
        <v>117405.37509665726</v>
      </c>
      <c r="M110" s="504">
        <f t="shared" si="33"/>
        <v>0</v>
      </c>
      <c r="N110" s="506">
        <f>I110</f>
        <v>117405.37509665726</v>
      </c>
      <c r="O110" s="504">
        <f>IF(N110&lt;&gt;0,+I110-N110,0)</f>
        <v>0</v>
      </c>
      <c r="P110" s="504">
        <f t="shared" si="29"/>
        <v>0</v>
      </c>
      <c r="Q110" s="243"/>
      <c r="R110" s="243"/>
      <c r="S110" s="243"/>
      <c r="T110" s="243"/>
      <c r="U110" s="243"/>
    </row>
    <row r="111" spans="1:21">
      <c r="B111" s="145" t="str">
        <f t="shared" si="24"/>
        <v>IU</v>
      </c>
      <c r="C111" s="495">
        <f>IF(D94="","-",+C110+1)</f>
        <v>2021</v>
      </c>
      <c r="D111" s="349">
        <f>IF(F110+SUM(E$100:E110)=D$93,F110,D$93-SUM(E$100:E110))</f>
        <v>754845.87530038797</v>
      </c>
      <c r="E111" s="509">
        <f>IF(+J97&lt;F110,J97,D111)</f>
        <v>39431.08</v>
      </c>
      <c r="F111" s="510">
        <f t="shared" ref="F111:F131" si="34">+D111-E111</f>
        <v>715414.79530038801</v>
      </c>
      <c r="G111" s="510">
        <f t="shared" ref="G111:G131" si="35">+(F111+D111)/2</f>
        <v>735130.33530038805</v>
      </c>
      <c r="H111" s="523">
        <f t="shared" ref="H111:H155" si="36">+J$95*G111+E111</f>
        <v>126148.53426966473</v>
      </c>
      <c r="I111" s="572">
        <f t="shared" ref="I111:I155" si="37">+J$96*G111+E111</f>
        <v>126148.53426966473</v>
      </c>
      <c r="J111" s="504">
        <f t="shared" si="25"/>
        <v>0</v>
      </c>
      <c r="K111" s="504"/>
      <c r="L111" s="512"/>
      <c r="M111" s="504">
        <f t="shared" si="30"/>
        <v>0</v>
      </c>
      <c r="N111" s="512"/>
      <c r="O111" s="504">
        <f t="shared" si="28"/>
        <v>0</v>
      </c>
      <c r="P111" s="504">
        <f t="shared" si="29"/>
        <v>0</v>
      </c>
      <c r="Q111" s="243"/>
      <c r="R111" s="243"/>
      <c r="S111" s="243"/>
      <c r="T111" s="243"/>
      <c r="U111" s="243"/>
    </row>
    <row r="112" spans="1:21">
      <c r="B112" s="145" t="str">
        <f t="shared" si="24"/>
        <v/>
      </c>
      <c r="C112" s="495">
        <f>IF(D94="","-",+C111+1)</f>
        <v>2022</v>
      </c>
      <c r="D112" s="349">
        <f>IF(F111+SUM(E$100:E111)=D$93,F111,D$93-SUM(E$100:E111))</f>
        <v>715414.79530038801</v>
      </c>
      <c r="E112" s="509">
        <f>IF(+J97&lt;F111,J97,D112)</f>
        <v>39431.08</v>
      </c>
      <c r="F112" s="510">
        <f t="shared" si="34"/>
        <v>675983.71530038805</v>
      </c>
      <c r="G112" s="510">
        <f t="shared" si="35"/>
        <v>695699.25530038797</v>
      </c>
      <c r="H112" s="523">
        <f t="shared" si="36"/>
        <v>121497.1646927226</v>
      </c>
      <c r="I112" s="572">
        <f t="shared" si="37"/>
        <v>121497.1646927226</v>
      </c>
      <c r="J112" s="504">
        <f t="shared" si="25"/>
        <v>0</v>
      </c>
      <c r="K112" s="504"/>
      <c r="L112" s="512"/>
      <c r="M112" s="504">
        <f t="shared" si="30"/>
        <v>0</v>
      </c>
      <c r="N112" s="512"/>
      <c r="O112" s="504">
        <f t="shared" si="28"/>
        <v>0</v>
      </c>
      <c r="P112" s="504">
        <f t="shared" si="29"/>
        <v>0</v>
      </c>
      <c r="Q112" s="243"/>
      <c r="R112" s="243"/>
      <c r="S112" s="243"/>
      <c r="T112" s="243"/>
      <c r="U112" s="243"/>
    </row>
    <row r="113" spans="2:21">
      <c r="B113" s="145" t="str">
        <f t="shared" si="24"/>
        <v/>
      </c>
      <c r="C113" s="495">
        <f>IF(D94="","-",+C112+1)</f>
        <v>2023</v>
      </c>
      <c r="D113" s="349">
        <f>IF(F112+SUM(E$100:E112)=D$93,F112,D$93-SUM(E$100:E112))</f>
        <v>675983.71530038805</v>
      </c>
      <c r="E113" s="509">
        <f>IF(+J97&lt;F112,J97,D113)</f>
        <v>39431.08</v>
      </c>
      <c r="F113" s="510">
        <f t="shared" si="34"/>
        <v>636552.63530038809</v>
      </c>
      <c r="G113" s="510">
        <f t="shared" si="35"/>
        <v>656268.17530038813</v>
      </c>
      <c r="H113" s="523">
        <f t="shared" si="36"/>
        <v>116845.79511578048</v>
      </c>
      <c r="I113" s="572">
        <f t="shared" si="37"/>
        <v>116845.79511578048</v>
      </c>
      <c r="J113" s="504">
        <f t="shared" si="25"/>
        <v>0</v>
      </c>
      <c r="K113" s="504"/>
      <c r="L113" s="512"/>
      <c r="M113" s="504">
        <f t="shared" si="30"/>
        <v>0</v>
      </c>
      <c r="N113" s="512"/>
      <c r="O113" s="504">
        <f t="shared" si="28"/>
        <v>0</v>
      </c>
      <c r="P113" s="504">
        <f t="shared" si="29"/>
        <v>0</v>
      </c>
      <c r="Q113" s="243"/>
      <c r="R113" s="243"/>
      <c r="S113" s="243"/>
      <c r="T113" s="243"/>
      <c r="U113" s="243"/>
    </row>
    <row r="114" spans="2:21">
      <c r="B114" s="145" t="str">
        <f t="shared" si="24"/>
        <v/>
      </c>
      <c r="C114" s="495">
        <f>IF(D94="","-",+C113+1)</f>
        <v>2024</v>
      </c>
      <c r="D114" s="349">
        <f>IF(F113+SUM(E$100:E113)=D$93,F113,D$93-SUM(E$100:E113))</f>
        <v>636552.63530038809</v>
      </c>
      <c r="E114" s="509">
        <f>IF(+J97&lt;F113,J97,D114)</f>
        <v>39431.08</v>
      </c>
      <c r="F114" s="510">
        <f t="shared" si="34"/>
        <v>597121.55530038814</v>
      </c>
      <c r="G114" s="510">
        <f t="shared" si="35"/>
        <v>616837.09530038806</v>
      </c>
      <c r="H114" s="523">
        <f t="shared" si="36"/>
        <v>112194.42553883835</v>
      </c>
      <c r="I114" s="572">
        <f t="shared" si="37"/>
        <v>112194.42553883835</v>
      </c>
      <c r="J114" s="504">
        <f t="shared" si="25"/>
        <v>0</v>
      </c>
      <c r="K114" s="504"/>
      <c r="L114" s="512"/>
      <c r="M114" s="504">
        <f t="shared" si="30"/>
        <v>0</v>
      </c>
      <c r="N114" s="512"/>
      <c r="O114" s="504">
        <f t="shared" si="28"/>
        <v>0</v>
      </c>
      <c r="P114" s="504">
        <f t="shared" si="29"/>
        <v>0</v>
      </c>
      <c r="Q114" s="243"/>
      <c r="R114" s="243"/>
      <c r="S114" s="243"/>
      <c r="T114" s="243"/>
      <c r="U114" s="243"/>
    </row>
    <row r="115" spans="2:21">
      <c r="B115" s="145" t="str">
        <f t="shared" si="24"/>
        <v/>
      </c>
      <c r="C115" s="495">
        <f>IF(D94="","-",+C114+1)</f>
        <v>2025</v>
      </c>
      <c r="D115" s="349">
        <f>IF(F114+SUM(E$100:E114)=D$93,F114,D$93-SUM(E$100:E114))</f>
        <v>597121.55530038814</v>
      </c>
      <c r="E115" s="509">
        <f>IF(+J97&lt;F114,J97,D115)</f>
        <v>39431.08</v>
      </c>
      <c r="F115" s="510">
        <f t="shared" si="34"/>
        <v>557690.47530038818</v>
      </c>
      <c r="G115" s="510">
        <f t="shared" si="35"/>
        <v>577406.01530038822</v>
      </c>
      <c r="H115" s="523">
        <f t="shared" si="36"/>
        <v>107543.05596189624</v>
      </c>
      <c r="I115" s="572">
        <f t="shared" si="37"/>
        <v>107543.05596189624</v>
      </c>
      <c r="J115" s="504">
        <f t="shared" si="25"/>
        <v>0</v>
      </c>
      <c r="K115" s="504"/>
      <c r="L115" s="512"/>
      <c r="M115" s="504">
        <f t="shared" si="30"/>
        <v>0</v>
      </c>
      <c r="N115" s="512"/>
      <c r="O115" s="504">
        <f t="shared" si="28"/>
        <v>0</v>
      </c>
      <c r="P115" s="504">
        <f t="shared" si="29"/>
        <v>0</v>
      </c>
      <c r="Q115" s="243"/>
      <c r="R115" s="243"/>
      <c r="S115" s="243"/>
      <c r="T115" s="243"/>
      <c r="U115" s="243"/>
    </row>
    <row r="116" spans="2:21">
      <c r="B116" s="145" t="str">
        <f t="shared" si="24"/>
        <v/>
      </c>
      <c r="C116" s="495">
        <f>IF(D94="","-",+C115+1)</f>
        <v>2026</v>
      </c>
      <c r="D116" s="349">
        <f>IF(F115+SUM(E$100:E115)=D$93,F115,D$93-SUM(E$100:E115))</f>
        <v>557690.47530038818</v>
      </c>
      <c r="E116" s="509">
        <f>IF(+J97&lt;F115,J97,D116)</f>
        <v>39431.08</v>
      </c>
      <c r="F116" s="510">
        <f t="shared" si="34"/>
        <v>518259.39530038816</v>
      </c>
      <c r="G116" s="510">
        <f t="shared" si="35"/>
        <v>537974.93530038814</v>
      </c>
      <c r="H116" s="523">
        <f t="shared" si="36"/>
        <v>102891.6863849541</v>
      </c>
      <c r="I116" s="572">
        <f t="shared" si="37"/>
        <v>102891.6863849541</v>
      </c>
      <c r="J116" s="504">
        <f t="shared" si="25"/>
        <v>0</v>
      </c>
      <c r="K116" s="504"/>
      <c r="L116" s="512"/>
      <c r="M116" s="504">
        <f t="shared" si="30"/>
        <v>0</v>
      </c>
      <c r="N116" s="512"/>
      <c r="O116" s="504">
        <f t="shared" si="28"/>
        <v>0</v>
      </c>
      <c r="P116" s="504">
        <f t="shared" si="29"/>
        <v>0</v>
      </c>
      <c r="Q116" s="243"/>
      <c r="R116" s="243"/>
      <c r="S116" s="243"/>
      <c r="T116" s="243"/>
      <c r="U116" s="243"/>
    </row>
    <row r="117" spans="2:21">
      <c r="B117" s="145" t="str">
        <f t="shared" si="24"/>
        <v/>
      </c>
      <c r="C117" s="495">
        <f>IF(D94="","-",+C116+1)</f>
        <v>2027</v>
      </c>
      <c r="D117" s="349">
        <f>IF(F116+SUM(E$100:E116)=D$93,F116,D$93-SUM(E$100:E116))</f>
        <v>518259.39530038816</v>
      </c>
      <c r="E117" s="509">
        <f>IF(+J97&lt;F116,J97,D117)</f>
        <v>39431.08</v>
      </c>
      <c r="F117" s="510">
        <f t="shared" si="34"/>
        <v>478828.31530038815</v>
      </c>
      <c r="G117" s="510">
        <f t="shared" si="35"/>
        <v>498543.85530038818</v>
      </c>
      <c r="H117" s="523">
        <f t="shared" si="36"/>
        <v>98240.316808011965</v>
      </c>
      <c r="I117" s="572">
        <f t="shared" si="37"/>
        <v>98240.316808011965</v>
      </c>
      <c r="J117" s="504">
        <f t="shared" si="25"/>
        <v>0</v>
      </c>
      <c r="K117" s="504"/>
      <c r="L117" s="512"/>
      <c r="M117" s="504">
        <f t="shared" si="30"/>
        <v>0</v>
      </c>
      <c r="N117" s="512"/>
      <c r="O117" s="504">
        <f t="shared" si="28"/>
        <v>0</v>
      </c>
      <c r="P117" s="504">
        <f t="shared" si="29"/>
        <v>0</v>
      </c>
      <c r="Q117" s="243"/>
      <c r="R117" s="243"/>
      <c r="S117" s="243"/>
      <c r="T117" s="243"/>
      <c r="U117" s="243"/>
    </row>
    <row r="118" spans="2:21">
      <c r="B118" s="145" t="str">
        <f t="shared" si="24"/>
        <v/>
      </c>
      <c r="C118" s="495">
        <f>IF(D94="","-",+C117+1)</f>
        <v>2028</v>
      </c>
      <c r="D118" s="349">
        <f>IF(F117+SUM(E$100:E117)=D$93,F117,D$93-SUM(E$100:E117))</f>
        <v>478828.31530038815</v>
      </c>
      <c r="E118" s="509">
        <f>IF(+J97&lt;F117,J97,D118)</f>
        <v>39431.08</v>
      </c>
      <c r="F118" s="510">
        <f t="shared" si="34"/>
        <v>439397.23530038813</v>
      </c>
      <c r="G118" s="510">
        <f t="shared" si="35"/>
        <v>459112.77530038811</v>
      </c>
      <c r="H118" s="523">
        <f t="shared" si="36"/>
        <v>93588.947231069833</v>
      </c>
      <c r="I118" s="572">
        <f t="shared" si="37"/>
        <v>93588.947231069833</v>
      </c>
      <c r="J118" s="504">
        <f t="shared" si="25"/>
        <v>0</v>
      </c>
      <c r="K118" s="504"/>
      <c r="L118" s="512"/>
      <c r="M118" s="504">
        <f t="shared" si="30"/>
        <v>0</v>
      </c>
      <c r="N118" s="512"/>
      <c r="O118" s="504">
        <f t="shared" si="28"/>
        <v>0</v>
      </c>
      <c r="P118" s="504">
        <f t="shared" si="29"/>
        <v>0</v>
      </c>
      <c r="Q118" s="243"/>
      <c r="R118" s="243"/>
      <c r="S118" s="243"/>
      <c r="T118" s="243"/>
      <c r="U118" s="243"/>
    </row>
    <row r="119" spans="2:21">
      <c r="B119" s="145" t="str">
        <f t="shared" si="24"/>
        <v/>
      </c>
      <c r="C119" s="495">
        <f>IF(D94="","-",+C118+1)</f>
        <v>2029</v>
      </c>
      <c r="D119" s="349">
        <f>IF(F118+SUM(E$100:E118)=D$93,F118,D$93-SUM(E$100:E118))</f>
        <v>439397.23530038813</v>
      </c>
      <c r="E119" s="509">
        <f>IF(+J97&lt;F118,J97,D119)</f>
        <v>39431.08</v>
      </c>
      <c r="F119" s="510">
        <f t="shared" si="34"/>
        <v>399966.15530038811</v>
      </c>
      <c r="G119" s="510">
        <f t="shared" si="35"/>
        <v>419681.69530038815</v>
      </c>
      <c r="H119" s="523">
        <f t="shared" si="36"/>
        <v>88937.577654127701</v>
      </c>
      <c r="I119" s="572">
        <f t="shared" si="37"/>
        <v>88937.577654127701</v>
      </c>
      <c r="J119" s="504">
        <f t="shared" si="25"/>
        <v>0</v>
      </c>
      <c r="K119" s="504"/>
      <c r="L119" s="512"/>
      <c r="M119" s="504">
        <f t="shared" si="30"/>
        <v>0</v>
      </c>
      <c r="N119" s="512"/>
      <c r="O119" s="504">
        <f t="shared" si="28"/>
        <v>0</v>
      </c>
      <c r="P119" s="504">
        <f t="shared" si="29"/>
        <v>0</v>
      </c>
      <c r="Q119" s="243"/>
      <c r="R119" s="243"/>
      <c r="S119" s="243"/>
      <c r="T119" s="243"/>
      <c r="U119" s="243"/>
    </row>
    <row r="120" spans="2:21">
      <c r="B120" s="145" t="str">
        <f t="shared" si="24"/>
        <v/>
      </c>
      <c r="C120" s="495">
        <f>IF(D94="","-",+C119+1)</f>
        <v>2030</v>
      </c>
      <c r="D120" s="349">
        <f>IF(F119+SUM(E$100:E119)=D$93,F119,D$93-SUM(E$100:E119))</f>
        <v>399966.15530038811</v>
      </c>
      <c r="E120" s="509">
        <f>IF(+J97&lt;F119,J97,D120)</f>
        <v>39431.08</v>
      </c>
      <c r="F120" s="510">
        <f t="shared" si="34"/>
        <v>360535.0753003881</v>
      </c>
      <c r="G120" s="510">
        <f t="shared" si="35"/>
        <v>380250.61530038808</v>
      </c>
      <c r="H120" s="523">
        <f t="shared" si="36"/>
        <v>84286.208077185584</v>
      </c>
      <c r="I120" s="572">
        <f t="shared" si="37"/>
        <v>84286.208077185584</v>
      </c>
      <c r="J120" s="504">
        <f t="shared" si="25"/>
        <v>0</v>
      </c>
      <c r="K120" s="504"/>
      <c r="L120" s="512"/>
      <c r="M120" s="504">
        <f t="shared" si="30"/>
        <v>0</v>
      </c>
      <c r="N120" s="512"/>
      <c r="O120" s="504">
        <f t="shared" si="28"/>
        <v>0</v>
      </c>
      <c r="P120" s="504">
        <f t="shared" si="29"/>
        <v>0</v>
      </c>
      <c r="Q120" s="243"/>
      <c r="R120" s="243"/>
      <c r="S120" s="243"/>
      <c r="T120" s="243"/>
      <c r="U120" s="243"/>
    </row>
    <row r="121" spans="2:21">
      <c r="B121" s="145" t="str">
        <f t="shared" si="24"/>
        <v/>
      </c>
      <c r="C121" s="495">
        <f>IF(D94="","-",+C120+1)</f>
        <v>2031</v>
      </c>
      <c r="D121" s="349">
        <f>IF(F120+SUM(E$100:E120)=D$93,F120,D$93-SUM(E$100:E120))</f>
        <v>360535.0753003881</v>
      </c>
      <c r="E121" s="509">
        <f>IF(+J97&lt;F120,J97,D121)</f>
        <v>39431.08</v>
      </c>
      <c r="F121" s="510">
        <f t="shared" si="34"/>
        <v>321103.99530038808</v>
      </c>
      <c r="G121" s="510">
        <f t="shared" si="35"/>
        <v>340819.53530038812</v>
      </c>
      <c r="H121" s="523">
        <f t="shared" si="36"/>
        <v>79634.838500243452</v>
      </c>
      <c r="I121" s="572">
        <f t="shared" si="37"/>
        <v>79634.838500243452</v>
      </c>
      <c r="J121" s="504">
        <f t="shared" si="25"/>
        <v>0</v>
      </c>
      <c r="K121" s="504"/>
      <c r="L121" s="512"/>
      <c r="M121" s="504">
        <f t="shared" si="30"/>
        <v>0</v>
      </c>
      <c r="N121" s="512"/>
      <c r="O121" s="504">
        <f t="shared" si="28"/>
        <v>0</v>
      </c>
      <c r="P121" s="504">
        <f t="shared" si="29"/>
        <v>0</v>
      </c>
      <c r="Q121" s="243"/>
      <c r="R121" s="243"/>
      <c r="S121" s="243"/>
      <c r="T121" s="243"/>
      <c r="U121" s="243"/>
    </row>
    <row r="122" spans="2:21">
      <c r="B122" s="145" t="str">
        <f t="shared" si="24"/>
        <v/>
      </c>
      <c r="C122" s="495">
        <f>IF(D94="","-",+C121+1)</f>
        <v>2032</v>
      </c>
      <c r="D122" s="349">
        <f>IF(F121+SUM(E$100:E121)=D$93,F121,D$93-SUM(E$100:E121))</f>
        <v>321103.99530038808</v>
      </c>
      <c r="E122" s="509">
        <f>IF(+J97&lt;F121,J97,D122)</f>
        <v>39431.08</v>
      </c>
      <c r="F122" s="510">
        <f t="shared" si="34"/>
        <v>281672.91530038806</v>
      </c>
      <c r="G122" s="510">
        <f t="shared" si="35"/>
        <v>301388.45530038804</v>
      </c>
      <c r="H122" s="523">
        <f t="shared" si="36"/>
        <v>74983.46892330132</v>
      </c>
      <c r="I122" s="572">
        <f t="shared" si="37"/>
        <v>74983.46892330132</v>
      </c>
      <c r="J122" s="504">
        <f t="shared" si="25"/>
        <v>0</v>
      </c>
      <c r="K122" s="504"/>
      <c r="L122" s="512"/>
      <c r="M122" s="504">
        <f t="shared" si="30"/>
        <v>0</v>
      </c>
      <c r="N122" s="512"/>
      <c r="O122" s="504">
        <f t="shared" si="28"/>
        <v>0</v>
      </c>
      <c r="P122" s="504">
        <f t="shared" si="29"/>
        <v>0</v>
      </c>
      <c r="Q122" s="243"/>
      <c r="R122" s="243"/>
      <c r="S122" s="243"/>
      <c r="T122" s="243"/>
      <c r="U122" s="243"/>
    </row>
    <row r="123" spans="2:21">
      <c r="B123" s="145" t="str">
        <f t="shared" si="24"/>
        <v/>
      </c>
      <c r="C123" s="495">
        <f>IF(D94="","-",+C122+1)</f>
        <v>2033</v>
      </c>
      <c r="D123" s="349">
        <f>IF(F122+SUM(E$100:E122)=D$93,F122,D$93-SUM(E$100:E122))</f>
        <v>281672.91530038806</v>
      </c>
      <c r="E123" s="509">
        <f>IF(+J97&lt;F122,J97,D123)</f>
        <v>39431.08</v>
      </c>
      <c r="F123" s="510">
        <f t="shared" si="34"/>
        <v>242241.83530038805</v>
      </c>
      <c r="G123" s="510">
        <f t="shared" si="35"/>
        <v>261957.37530038806</v>
      </c>
      <c r="H123" s="523">
        <f t="shared" si="36"/>
        <v>70332.099346359188</v>
      </c>
      <c r="I123" s="572">
        <f t="shared" si="37"/>
        <v>70332.099346359188</v>
      </c>
      <c r="J123" s="504">
        <f t="shared" si="25"/>
        <v>0</v>
      </c>
      <c r="K123" s="504"/>
      <c r="L123" s="512"/>
      <c r="M123" s="504">
        <f t="shared" si="30"/>
        <v>0</v>
      </c>
      <c r="N123" s="512"/>
      <c r="O123" s="504">
        <f t="shared" si="28"/>
        <v>0</v>
      </c>
      <c r="P123" s="504">
        <f t="shared" si="29"/>
        <v>0</v>
      </c>
      <c r="Q123" s="243"/>
      <c r="R123" s="243"/>
      <c r="S123" s="243"/>
      <c r="T123" s="243"/>
      <c r="U123" s="243"/>
    </row>
    <row r="124" spans="2:21">
      <c r="B124" s="145" t="str">
        <f t="shared" si="24"/>
        <v/>
      </c>
      <c r="C124" s="495">
        <f>IF(D94="","-",+C123+1)</f>
        <v>2034</v>
      </c>
      <c r="D124" s="349">
        <f>IF(F123+SUM(E$100:E123)=D$93,F123,D$93-SUM(E$100:E123))</f>
        <v>242241.83530038805</v>
      </c>
      <c r="E124" s="509">
        <f>IF(+J97&lt;F123,J97,D124)</f>
        <v>39431.08</v>
      </c>
      <c r="F124" s="510">
        <f t="shared" si="34"/>
        <v>202810.75530038803</v>
      </c>
      <c r="G124" s="510">
        <f t="shared" si="35"/>
        <v>222526.29530038804</v>
      </c>
      <c r="H124" s="523">
        <f t="shared" si="36"/>
        <v>65680.729769417056</v>
      </c>
      <c r="I124" s="572">
        <f t="shared" si="37"/>
        <v>65680.729769417056</v>
      </c>
      <c r="J124" s="504">
        <f t="shared" si="25"/>
        <v>0</v>
      </c>
      <c r="K124" s="504"/>
      <c r="L124" s="512"/>
      <c r="M124" s="504">
        <f t="shared" si="30"/>
        <v>0</v>
      </c>
      <c r="N124" s="512"/>
      <c r="O124" s="504">
        <f t="shared" si="28"/>
        <v>0</v>
      </c>
      <c r="P124" s="504">
        <f t="shared" si="29"/>
        <v>0</v>
      </c>
      <c r="Q124" s="243"/>
      <c r="R124" s="243"/>
      <c r="S124" s="243"/>
      <c r="T124" s="243"/>
      <c r="U124" s="243"/>
    </row>
    <row r="125" spans="2:21">
      <c r="B125" s="145" t="str">
        <f t="shared" si="24"/>
        <v/>
      </c>
      <c r="C125" s="495">
        <f>IF(D94="","-",+C124+1)</f>
        <v>2035</v>
      </c>
      <c r="D125" s="349">
        <f>IF(F124+SUM(E$100:E124)=D$93,F124,D$93-SUM(E$100:E124))</f>
        <v>202810.75530038803</v>
      </c>
      <c r="E125" s="509">
        <f>IF(+J97&lt;F124,J97,D125)</f>
        <v>39431.08</v>
      </c>
      <c r="F125" s="510">
        <f t="shared" si="34"/>
        <v>163379.67530038801</v>
      </c>
      <c r="G125" s="510">
        <f t="shared" si="35"/>
        <v>183095.21530038802</v>
      </c>
      <c r="H125" s="523">
        <f t="shared" si="36"/>
        <v>61029.360192474924</v>
      </c>
      <c r="I125" s="572">
        <f t="shared" si="37"/>
        <v>61029.360192474924</v>
      </c>
      <c r="J125" s="504">
        <f t="shared" si="25"/>
        <v>0</v>
      </c>
      <c r="K125" s="504"/>
      <c r="L125" s="512"/>
      <c r="M125" s="504">
        <f t="shared" si="30"/>
        <v>0</v>
      </c>
      <c r="N125" s="512"/>
      <c r="O125" s="504">
        <f t="shared" si="28"/>
        <v>0</v>
      </c>
      <c r="P125" s="504">
        <f t="shared" si="29"/>
        <v>0</v>
      </c>
      <c r="Q125" s="243"/>
      <c r="R125" s="243"/>
      <c r="S125" s="243"/>
      <c r="T125" s="243"/>
      <c r="U125" s="243"/>
    </row>
    <row r="126" spans="2:21">
      <c r="B126" s="145" t="str">
        <f t="shared" si="24"/>
        <v/>
      </c>
      <c r="C126" s="495">
        <f>IF(D94="","-",+C125+1)</f>
        <v>2036</v>
      </c>
      <c r="D126" s="349">
        <f>IF(F125+SUM(E$100:E125)=D$93,F125,D$93-SUM(E$100:E125))</f>
        <v>163379.67530038801</v>
      </c>
      <c r="E126" s="509">
        <f>IF(+J97&lt;F125,J97,D126)</f>
        <v>39431.08</v>
      </c>
      <c r="F126" s="510">
        <f t="shared" si="34"/>
        <v>123948.59530038801</v>
      </c>
      <c r="G126" s="510">
        <f t="shared" si="35"/>
        <v>143664.13530038801</v>
      </c>
      <c r="H126" s="523">
        <f t="shared" si="36"/>
        <v>56377.990615532792</v>
      </c>
      <c r="I126" s="572">
        <f t="shared" si="37"/>
        <v>56377.990615532792</v>
      </c>
      <c r="J126" s="504">
        <f t="shared" si="25"/>
        <v>0</v>
      </c>
      <c r="K126" s="504"/>
      <c r="L126" s="512"/>
      <c r="M126" s="504">
        <f t="shared" si="30"/>
        <v>0</v>
      </c>
      <c r="N126" s="512"/>
      <c r="O126" s="504">
        <f t="shared" si="28"/>
        <v>0</v>
      </c>
      <c r="P126" s="504">
        <f t="shared" si="29"/>
        <v>0</v>
      </c>
      <c r="Q126" s="243"/>
      <c r="R126" s="243"/>
      <c r="S126" s="243"/>
      <c r="T126" s="243"/>
      <c r="U126" s="243"/>
    </row>
    <row r="127" spans="2:21">
      <c r="B127" s="145" t="str">
        <f t="shared" si="24"/>
        <v/>
      </c>
      <c r="C127" s="495">
        <f>IF(D94="","-",+C126+1)</f>
        <v>2037</v>
      </c>
      <c r="D127" s="349">
        <f>IF(F126+SUM(E$100:E126)=D$93,F126,D$93-SUM(E$100:E126))</f>
        <v>123948.59530038801</v>
      </c>
      <c r="E127" s="509">
        <f>IF(+J97&lt;F126,J97,D127)</f>
        <v>39431.08</v>
      </c>
      <c r="F127" s="510">
        <f t="shared" si="34"/>
        <v>84517.515300388011</v>
      </c>
      <c r="G127" s="510">
        <f t="shared" si="35"/>
        <v>104233.05530038802</v>
      </c>
      <c r="H127" s="523">
        <f t="shared" si="36"/>
        <v>51726.62103859066</v>
      </c>
      <c r="I127" s="572">
        <f t="shared" si="37"/>
        <v>51726.62103859066</v>
      </c>
      <c r="J127" s="504">
        <f t="shared" si="25"/>
        <v>0</v>
      </c>
      <c r="K127" s="504"/>
      <c r="L127" s="512"/>
      <c r="M127" s="504">
        <f t="shared" si="30"/>
        <v>0</v>
      </c>
      <c r="N127" s="512"/>
      <c r="O127" s="504">
        <f t="shared" si="28"/>
        <v>0</v>
      </c>
      <c r="P127" s="504">
        <f t="shared" si="29"/>
        <v>0</v>
      </c>
      <c r="Q127" s="243"/>
      <c r="R127" s="243"/>
      <c r="S127" s="243"/>
      <c r="T127" s="243"/>
      <c r="U127" s="243"/>
    </row>
    <row r="128" spans="2:21">
      <c r="B128" s="145" t="str">
        <f t="shared" si="24"/>
        <v/>
      </c>
      <c r="C128" s="495">
        <f>IF(D94="","-",+C127+1)</f>
        <v>2038</v>
      </c>
      <c r="D128" s="349">
        <f>IF(F127+SUM(E$100:E127)=D$93,F127,D$93-SUM(E$100:E127))</f>
        <v>84517.515300388011</v>
      </c>
      <c r="E128" s="509">
        <f>IF(+J97&lt;F127,J97,D128)</f>
        <v>39431.08</v>
      </c>
      <c r="F128" s="510">
        <f t="shared" si="34"/>
        <v>45086.43530038801</v>
      </c>
      <c r="G128" s="510">
        <f t="shared" si="35"/>
        <v>64801.975300388011</v>
      </c>
      <c r="H128" s="523">
        <f t="shared" si="36"/>
        <v>47075.251461648528</v>
      </c>
      <c r="I128" s="572">
        <f t="shared" si="37"/>
        <v>47075.251461648528</v>
      </c>
      <c r="J128" s="504">
        <f t="shared" si="25"/>
        <v>0</v>
      </c>
      <c r="K128" s="504"/>
      <c r="L128" s="512"/>
      <c r="M128" s="504">
        <f t="shared" si="30"/>
        <v>0</v>
      </c>
      <c r="N128" s="512"/>
      <c r="O128" s="504">
        <f t="shared" si="28"/>
        <v>0</v>
      </c>
      <c r="P128" s="504">
        <f t="shared" si="29"/>
        <v>0</v>
      </c>
      <c r="Q128" s="243"/>
      <c r="R128" s="243"/>
      <c r="S128" s="243"/>
      <c r="T128" s="243"/>
      <c r="U128" s="243"/>
    </row>
    <row r="129" spans="2:21">
      <c r="B129" s="145" t="str">
        <f t="shared" si="24"/>
        <v/>
      </c>
      <c r="C129" s="495">
        <f>IF(D94="","-",+C128+1)</f>
        <v>2039</v>
      </c>
      <c r="D129" s="349">
        <f>IF(F128+SUM(E$100:E128)=D$93,F128,D$93-SUM(E$100:E128))</f>
        <v>45086.43530038801</v>
      </c>
      <c r="E129" s="509">
        <f>IF(+J97&lt;F128,J97,D129)</f>
        <v>39431.08</v>
      </c>
      <c r="F129" s="510">
        <f t="shared" si="34"/>
        <v>5655.3553003880079</v>
      </c>
      <c r="G129" s="510">
        <f t="shared" si="35"/>
        <v>25370.895300388009</v>
      </c>
      <c r="H129" s="523">
        <f t="shared" si="36"/>
        <v>42423.881884706403</v>
      </c>
      <c r="I129" s="572">
        <f t="shared" si="37"/>
        <v>42423.881884706403</v>
      </c>
      <c r="J129" s="504">
        <f t="shared" si="25"/>
        <v>0</v>
      </c>
      <c r="K129" s="504"/>
      <c r="L129" s="512"/>
      <c r="M129" s="504">
        <f t="shared" si="30"/>
        <v>0</v>
      </c>
      <c r="N129" s="512"/>
      <c r="O129" s="504">
        <f t="shared" si="28"/>
        <v>0</v>
      </c>
      <c r="P129" s="504">
        <f t="shared" si="29"/>
        <v>0</v>
      </c>
      <c r="Q129" s="243"/>
      <c r="R129" s="243"/>
      <c r="S129" s="243"/>
      <c r="T129" s="243"/>
      <c r="U129" s="243"/>
    </row>
    <row r="130" spans="2:21">
      <c r="B130" s="145" t="str">
        <f t="shared" si="24"/>
        <v/>
      </c>
      <c r="C130" s="495">
        <f>IF(D94="","-",+C129+1)</f>
        <v>2040</v>
      </c>
      <c r="D130" s="349">
        <f>IF(F129+SUM(E$100:E129)=D$93,F129,D$93-SUM(E$100:E129))</f>
        <v>5655.3553003880079</v>
      </c>
      <c r="E130" s="509">
        <f>IF(+J97&lt;F129,J97,D130)</f>
        <v>5655.3553003880079</v>
      </c>
      <c r="F130" s="510">
        <f t="shared" si="34"/>
        <v>0</v>
      </c>
      <c r="G130" s="510">
        <f t="shared" si="35"/>
        <v>2827.6776501940039</v>
      </c>
      <c r="H130" s="523">
        <f t="shared" si="36"/>
        <v>5988.9138485056756</v>
      </c>
      <c r="I130" s="572">
        <f t="shared" si="37"/>
        <v>5988.9138485056756</v>
      </c>
      <c r="J130" s="504">
        <f t="shared" si="25"/>
        <v>0</v>
      </c>
      <c r="K130" s="504"/>
      <c r="L130" s="512"/>
      <c r="M130" s="504">
        <f t="shared" si="30"/>
        <v>0</v>
      </c>
      <c r="N130" s="512"/>
      <c r="O130" s="504">
        <f t="shared" si="28"/>
        <v>0</v>
      </c>
      <c r="P130" s="504">
        <f t="shared" si="29"/>
        <v>0</v>
      </c>
      <c r="Q130" s="243"/>
      <c r="R130" s="243"/>
      <c r="S130" s="243"/>
      <c r="T130" s="243"/>
      <c r="U130" s="243"/>
    </row>
    <row r="131" spans="2:21">
      <c r="B131" s="145" t="str">
        <f t="shared" si="24"/>
        <v/>
      </c>
      <c r="C131" s="495">
        <f>IF(D94="","-",+C130+1)</f>
        <v>2041</v>
      </c>
      <c r="D131" s="349">
        <f>IF(F130+SUM(E$100:E130)=D$93,F130,D$93-SUM(E$100:E130))</f>
        <v>0</v>
      </c>
      <c r="E131" s="509">
        <f>IF(+J97&lt;F130,J97,D131)</f>
        <v>0</v>
      </c>
      <c r="F131" s="510">
        <f t="shared" si="34"/>
        <v>0</v>
      </c>
      <c r="G131" s="510">
        <f t="shared" si="35"/>
        <v>0</v>
      </c>
      <c r="H131" s="523">
        <f t="shared" si="36"/>
        <v>0</v>
      </c>
      <c r="I131" s="572">
        <f t="shared" si="37"/>
        <v>0</v>
      </c>
      <c r="J131" s="504">
        <f t="shared" si="25"/>
        <v>0</v>
      </c>
      <c r="K131" s="504"/>
      <c r="L131" s="512"/>
      <c r="M131" s="504">
        <f t="shared" si="30"/>
        <v>0</v>
      </c>
      <c r="N131" s="512"/>
      <c r="O131" s="504">
        <f t="shared" si="28"/>
        <v>0</v>
      </c>
      <c r="P131" s="504">
        <f t="shared" si="29"/>
        <v>0</v>
      </c>
      <c r="Q131" s="243"/>
      <c r="R131" s="243"/>
      <c r="S131" s="243"/>
      <c r="T131" s="243"/>
      <c r="U131" s="243"/>
    </row>
    <row r="132" spans="2:21">
      <c r="B132" s="145" t="str">
        <f t="shared" si="24"/>
        <v/>
      </c>
      <c r="C132" s="495">
        <f>IF(D94="","-",+C131+1)</f>
        <v>2042</v>
      </c>
      <c r="D132" s="349">
        <f>IF(F131+SUM(E$100:E131)=D$93,F131,D$93-SUM(E$100:E131))</f>
        <v>0</v>
      </c>
      <c r="E132" s="509">
        <f>IF(+J97&lt;F131,J97,D132)</f>
        <v>0</v>
      </c>
      <c r="F132" s="510">
        <f t="shared" ref="F132:F155" si="38">+D132-E132</f>
        <v>0</v>
      </c>
      <c r="G132" s="510">
        <f t="shared" ref="G132:G155" si="39">+(F132+D132)/2</f>
        <v>0</v>
      </c>
      <c r="H132" s="523">
        <f t="shared" si="36"/>
        <v>0</v>
      </c>
      <c r="I132" s="572">
        <f t="shared" si="37"/>
        <v>0</v>
      </c>
      <c r="J132" s="504">
        <f t="shared" ref="J132:J155" si="40">+I132-H132</f>
        <v>0</v>
      </c>
      <c r="K132" s="504"/>
      <c r="L132" s="512"/>
      <c r="M132" s="504">
        <f t="shared" ref="M132:M155" si="41">IF(L132&lt;&gt;0,+H132-L132,0)</f>
        <v>0</v>
      </c>
      <c r="N132" s="512"/>
      <c r="O132" s="504">
        <f t="shared" ref="O132:O155" si="42">IF(N132&lt;&gt;0,+I132-N132,0)</f>
        <v>0</v>
      </c>
      <c r="P132" s="504">
        <f t="shared" ref="P132:P155" si="43">+O132-M132</f>
        <v>0</v>
      </c>
      <c r="Q132" s="243"/>
      <c r="R132" s="243"/>
      <c r="S132" s="243"/>
      <c r="T132" s="243"/>
      <c r="U132" s="243"/>
    </row>
    <row r="133" spans="2:21">
      <c r="B133" s="145" t="str">
        <f t="shared" si="24"/>
        <v/>
      </c>
      <c r="C133" s="495">
        <f>IF(D94="","-",+C132+1)</f>
        <v>2043</v>
      </c>
      <c r="D133" s="349">
        <f>IF(F132+SUM(E$100:E132)=D$93,F132,D$93-SUM(E$100:E132))</f>
        <v>0</v>
      </c>
      <c r="E133" s="509">
        <f>IF(+J97&lt;F132,J97,D133)</f>
        <v>0</v>
      </c>
      <c r="F133" s="510">
        <f t="shared" si="38"/>
        <v>0</v>
      </c>
      <c r="G133" s="510">
        <f t="shared" si="39"/>
        <v>0</v>
      </c>
      <c r="H133" s="523">
        <f t="shared" si="36"/>
        <v>0</v>
      </c>
      <c r="I133" s="572">
        <f t="shared" si="37"/>
        <v>0</v>
      </c>
      <c r="J133" s="504">
        <f t="shared" si="40"/>
        <v>0</v>
      </c>
      <c r="K133" s="504"/>
      <c r="L133" s="512"/>
      <c r="M133" s="504">
        <f t="shared" si="41"/>
        <v>0</v>
      </c>
      <c r="N133" s="512"/>
      <c r="O133" s="504">
        <f t="shared" si="42"/>
        <v>0</v>
      </c>
      <c r="P133" s="504">
        <f t="shared" si="43"/>
        <v>0</v>
      </c>
      <c r="Q133" s="243"/>
      <c r="R133" s="243"/>
      <c r="S133" s="243"/>
      <c r="T133" s="243"/>
      <c r="U133" s="243"/>
    </row>
    <row r="134" spans="2:21">
      <c r="B134" s="145" t="str">
        <f t="shared" si="24"/>
        <v/>
      </c>
      <c r="C134" s="495">
        <f>IF(D94="","-",+C133+1)</f>
        <v>2044</v>
      </c>
      <c r="D134" s="349">
        <f>IF(F133+SUM(E$100:E133)=D$93,F133,D$93-SUM(E$100:E133))</f>
        <v>0</v>
      </c>
      <c r="E134" s="509">
        <f>IF(+J97&lt;F133,J97,D134)</f>
        <v>0</v>
      </c>
      <c r="F134" s="510">
        <f t="shared" si="38"/>
        <v>0</v>
      </c>
      <c r="G134" s="510">
        <f t="shared" si="39"/>
        <v>0</v>
      </c>
      <c r="H134" s="523">
        <f t="shared" si="36"/>
        <v>0</v>
      </c>
      <c r="I134" s="572">
        <f t="shared" si="37"/>
        <v>0</v>
      </c>
      <c r="J134" s="504">
        <f t="shared" si="40"/>
        <v>0</v>
      </c>
      <c r="K134" s="504"/>
      <c r="L134" s="512"/>
      <c r="M134" s="504">
        <f t="shared" si="41"/>
        <v>0</v>
      </c>
      <c r="N134" s="512"/>
      <c r="O134" s="504">
        <f t="shared" si="42"/>
        <v>0</v>
      </c>
      <c r="P134" s="504">
        <f t="shared" si="43"/>
        <v>0</v>
      </c>
      <c r="Q134" s="243"/>
      <c r="R134" s="243"/>
      <c r="S134" s="243"/>
      <c r="T134" s="243"/>
      <c r="U134" s="243"/>
    </row>
    <row r="135" spans="2:21">
      <c r="B135" s="145" t="str">
        <f t="shared" si="24"/>
        <v/>
      </c>
      <c r="C135" s="495">
        <f>IF(D94="","-",+C134+1)</f>
        <v>2045</v>
      </c>
      <c r="D135" s="349">
        <f>IF(F134+SUM(E$100:E134)=D$93,F134,D$93-SUM(E$100:E134))</f>
        <v>0</v>
      </c>
      <c r="E135" s="509">
        <f>IF(+J97&lt;F134,J97,D135)</f>
        <v>0</v>
      </c>
      <c r="F135" s="510">
        <f t="shared" si="38"/>
        <v>0</v>
      </c>
      <c r="G135" s="510">
        <f t="shared" si="39"/>
        <v>0</v>
      </c>
      <c r="H135" s="523">
        <f t="shared" si="36"/>
        <v>0</v>
      </c>
      <c r="I135" s="572">
        <f t="shared" si="37"/>
        <v>0</v>
      </c>
      <c r="J135" s="504">
        <f t="shared" si="40"/>
        <v>0</v>
      </c>
      <c r="K135" s="504"/>
      <c r="L135" s="512"/>
      <c r="M135" s="504">
        <f t="shared" si="41"/>
        <v>0</v>
      </c>
      <c r="N135" s="512"/>
      <c r="O135" s="504">
        <f t="shared" si="42"/>
        <v>0</v>
      </c>
      <c r="P135" s="504">
        <f t="shared" si="43"/>
        <v>0</v>
      </c>
      <c r="Q135" s="243"/>
      <c r="R135" s="243"/>
      <c r="S135" s="243"/>
      <c r="T135" s="243"/>
      <c r="U135" s="243"/>
    </row>
    <row r="136" spans="2:21">
      <c r="B136" s="145" t="str">
        <f t="shared" si="24"/>
        <v/>
      </c>
      <c r="C136" s="495">
        <f>IF(D94="","-",+C135+1)</f>
        <v>2046</v>
      </c>
      <c r="D136" s="349">
        <f>IF(F135+SUM(E$100:E135)=D$93,F135,D$93-SUM(E$100:E135))</f>
        <v>0</v>
      </c>
      <c r="E136" s="509">
        <f>IF(+J97&lt;F135,J97,D136)</f>
        <v>0</v>
      </c>
      <c r="F136" s="510">
        <f t="shared" si="38"/>
        <v>0</v>
      </c>
      <c r="G136" s="510">
        <f t="shared" si="39"/>
        <v>0</v>
      </c>
      <c r="H136" s="523">
        <f t="shared" si="36"/>
        <v>0</v>
      </c>
      <c r="I136" s="572">
        <f t="shared" si="37"/>
        <v>0</v>
      </c>
      <c r="J136" s="504">
        <f t="shared" si="40"/>
        <v>0</v>
      </c>
      <c r="K136" s="504"/>
      <c r="L136" s="512"/>
      <c r="M136" s="504">
        <f t="shared" si="41"/>
        <v>0</v>
      </c>
      <c r="N136" s="512"/>
      <c r="O136" s="504">
        <f t="shared" si="42"/>
        <v>0</v>
      </c>
      <c r="P136" s="504">
        <f t="shared" si="43"/>
        <v>0</v>
      </c>
      <c r="Q136" s="243"/>
      <c r="R136" s="243"/>
      <c r="S136" s="243"/>
      <c r="T136" s="243"/>
      <c r="U136" s="243"/>
    </row>
    <row r="137" spans="2:21">
      <c r="B137" s="145" t="str">
        <f t="shared" si="24"/>
        <v/>
      </c>
      <c r="C137" s="495">
        <f>IF(D94="","-",+C136+1)</f>
        <v>2047</v>
      </c>
      <c r="D137" s="349">
        <f>IF(F136+SUM(E$100:E136)=D$93,F136,D$93-SUM(E$100:E136))</f>
        <v>0</v>
      </c>
      <c r="E137" s="509">
        <f>IF(+J97&lt;F136,J97,D137)</f>
        <v>0</v>
      </c>
      <c r="F137" s="510">
        <f t="shared" si="38"/>
        <v>0</v>
      </c>
      <c r="G137" s="510">
        <f t="shared" si="39"/>
        <v>0</v>
      </c>
      <c r="H137" s="523">
        <f t="shared" si="36"/>
        <v>0</v>
      </c>
      <c r="I137" s="572">
        <f t="shared" si="37"/>
        <v>0</v>
      </c>
      <c r="J137" s="504">
        <f t="shared" si="40"/>
        <v>0</v>
      </c>
      <c r="K137" s="504"/>
      <c r="L137" s="512"/>
      <c r="M137" s="504">
        <f t="shared" si="41"/>
        <v>0</v>
      </c>
      <c r="N137" s="512"/>
      <c r="O137" s="504">
        <f t="shared" si="42"/>
        <v>0</v>
      </c>
      <c r="P137" s="504">
        <f t="shared" si="43"/>
        <v>0</v>
      </c>
      <c r="Q137" s="243"/>
      <c r="R137" s="243"/>
      <c r="S137" s="243"/>
      <c r="T137" s="243"/>
      <c r="U137" s="243"/>
    </row>
    <row r="138" spans="2:21">
      <c r="B138" s="145" t="str">
        <f t="shared" si="24"/>
        <v/>
      </c>
      <c r="C138" s="495">
        <f>IF(D94="","-",+C137+1)</f>
        <v>2048</v>
      </c>
      <c r="D138" s="349">
        <f>IF(F137+SUM(E$100:E137)=D$93,F137,D$93-SUM(E$100:E137))</f>
        <v>0</v>
      </c>
      <c r="E138" s="509">
        <f>IF(+J97&lt;F137,J97,D138)</f>
        <v>0</v>
      </c>
      <c r="F138" s="510">
        <f t="shared" si="38"/>
        <v>0</v>
      </c>
      <c r="G138" s="510">
        <f t="shared" si="39"/>
        <v>0</v>
      </c>
      <c r="H138" s="523">
        <f t="shared" si="36"/>
        <v>0</v>
      </c>
      <c r="I138" s="572">
        <f t="shared" si="37"/>
        <v>0</v>
      </c>
      <c r="J138" s="504">
        <f t="shared" si="40"/>
        <v>0</v>
      </c>
      <c r="K138" s="504"/>
      <c r="L138" s="512"/>
      <c r="M138" s="504">
        <f t="shared" si="41"/>
        <v>0</v>
      </c>
      <c r="N138" s="512"/>
      <c r="O138" s="504">
        <f t="shared" si="42"/>
        <v>0</v>
      </c>
      <c r="P138" s="504">
        <f t="shared" si="43"/>
        <v>0</v>
      </c>
      <c r="Q138" s="243"/>
      <c r="R138" s="243"/>
      <c r="S138" s="243"/>
      <c r="T138" s="243"/>
      <c r="U138" s="243"/>
    </row>
    <row r="139" spans="2:21">
      <c r="B139" s="145" t="str">
        <f t="shared" si="24"/>
        <v/>
      </c>
      <c r="C139" s="495">
        <f>IF(D94="","-",+C138+1)</f>
        <v>2049</v>
      </c>
      <c r="D139" s="349">
        <f>IF(F138+SUM(E$100:E138)=D$93,F138,D$93-SUM(E$100:E138))</f>
        <v>0</v>
      </c>
      <c r="E139" s="509">
        <f>IF(+J97&lt;F138,J97,D139)</f>
        <v>0</v>
      </c>
      <c r="F139" s="510">
        <f t="shared" si="38"/>
        <v>0</v>
      </c>
      <c r="G139" s="510">
        <f t="shared" si="39"/>
        <v>0</v>
      </c>
      <c r="H139" s="523">
        <f t="shared" si="36"/>
        <v>0</v>
      </c>
      <c r="I139" s="572">
        <f t="shared" si="37"/>
        <v>0</v>
      </c>
      <c r="J139" s="504">
        <f t="shared" si="40"/>
        <v>0</v>
      </c>
      <c r="K139" s="504"/>
      <c r="L139" s="512"/>
      <c r="M139" s="504">
        <f t="shared" si="41"/>
        <v>0</v>
      </c>
      <c r="N139" s="512"/>
      <c r="O139" s="504">
        <f t="shared" si="42"/>
        <v>0</v>
      </c>
      <c r="P139" s="504">
        <f t="shared" si="43"/>
        <v>0</v>
      </c>
      <c r="Q139" s="243"/>
      <c r="R139" s="243"/>
      <c r="S139" s="243"/>
      <c r="T139" s="243"/>
      <c r="U139" s="243"/>
    </row>
    <row r="140" spans="2:21">
      <c r="B140" s="145" t="str">
        <f t="shared" si="24"/>
        <v/>
      </c>
      <c r="C140" s="495">
        <f>IF(D94="","-",+C139+1)</f>
        <v>2050</v>
      </c>
      <c r="D140" s="349">
        <f>IF(F139+SUM(E$100:E139)=D$93,F139,D$93-SUM(E$100:E139))</f>
        <v>0</v>
      </c>
      <c r="E140" s="509">
        <f>IF(+J97&lt;F139,J97,D140)</f>
        <v>0</v>
      </c>
      <c r="F140" s="510">
        <f t="shared" si="38"/>
        <v>0</v>
      </c>
      <c r="G140" s="510">
        <f t="shared" si="39"/>
        <v>0</v>
      </c>
      <c r="H140" s="523">
        <f t="shared" si="36"/>
        <v>0</v>
      </c>
      <c r="I140" s="572">
        <f t="shared" si="37"/>
        <v>0</v>
      </c>
      <c r="J140" s="504">
        <f t="shared" si="40"/>
        <v>0</v>
      </c>
      <c r="K140" s="504"/>
      <c r="L140" s="512"/>
      <c r="M140" s="504">
        <f t="shared" si="41"/>
        <v>0</v>
      </c>
      <c r="N140" s="512"/>
      <c r="O140" s="504">
        <f t="shared" si="42"/>
        <v>0</v>
      </c>
      <c r="P140" s="504">
        <f t="shared" si="43"/>
        <v>0</v>
      </c>
      <c r="Q140" s="243"/>
      <c r="R140" s="243"/>
      <c r="S140" s="243"/>
      <c r="T140" s="243"/>
      <c r="U140" s="243"/>
    </row>
    <row r="141" spans="2:21">
      <c r="B141" s="145" t="str">
        <f t="shared" si="24"/>
        <v/>
      </c>
      <c r="C141" s="495">
        <f>IF(D94="","-",+C140+1)</f>
        <v>2051</v>
      </c>
      <c r="D141" s="349">
        <f>IF(F140+SUM(E$100:E140)=D$93,F140,D$93-SUM(E$100:E140))</f>
        <v>0</v>
      </c>
      <c r="E141" s="509">
        <f>IF(+J97&lt;F140,J97,D141)</f>
        <v>0</v>
      </c>
      <c r="F141" s="510">
        <f t="shared" si="38"/>
        <v>0</v>
      </c>
      <c r="G141" s="510">
        <f t="shared" si="39"/>
        <v>0</v>
      </c>
      <c r="H141" s="523">
        <f t="shared" si="36"/>
        <v>0</v>
      </c>
      <c r="I141" s="572">
        <f t="shared" si="37"/>
        <v>0</v>
      </c>
      <c r="J141" s="504">
        <f t="shared" si="40"/>
        <v>0</v>
      </c>
      <c r="K141" s="504"/>
      <c r="L141" s="512"/>
      <c r="M141" s="504">
        <f t="shared" si="41"/>
        <v>0</v>
      </c>
      <c r="N141" s="512"/>
      <c r="O141" s="504">
        <f t="shared" si="42"/>
        <v>0</v>
      </c>
      <c r="P141" s="504">
        <f t="shared" si="43"/>
        <v>0</v>
      </c>
      <c r="Q141" s="243"/>
      <c r="R141" s="243"/>
      <c r="S141" s="243"/>
      <c r="T141" s="243"/>
      <c r="U141" s="243"/>
    </row>
    <row r="142" spans="2:21">
      <c r="B142" s="145" t="str">
        <f t="shared" si="24"/>
        <v/>
      </c>
      <c r="C142" s="495">
        <f>IF(D94="","-",+C141+1)</f>
        <v>2052</v>
      </c>
      <c r="D142" s="349">
        <f>IF(F141+SUM(E$100:E141)=D$93,F141,D$93-SUM(E$100:E141))</f>
        <v>0</v>
      </c>
      <c r="E142" s="509">
        <f>IF(+J97&lt;F141,J97,D142)</f>
        <v>0</v>
      </c>
      <c r="F142" s="510">
        <f t="shared" si="38"/>
        <v>0</v>
      </c>
      <c r="G142" s="510">
        <f t="shared" si="39"/>
        <v>0</v>
      </c>
      <c r="H142" s="523">
        <f t="shared" si="36"/>
        <v>0</v>
      </c>
      <c r="I142" s="572">
        <f t="shared" si="37"/>
        <v>0</v>
      </c>
      <c r="J142" s="504">
        <f t="shared" si="40"/>
        <v>0</v>
      </c>
      <c r="K142" s="504"/>
      <c r="L142" s="512"/>
      <c r="M142" s="504">
        <f t="shared" si="41"/>
        <v>0</v>
      </c>
      <c r="N142" s="512"/>
      <c r="O142" s="504">
        <f t="shared" si="42"/>
        <v>0</v>
      </c>
      <c r="P142" s="504">
        <f t="shared" si="43"/>
        <v>0</v>
      </c>
      <c r="Q142" s="243"/>
      <c r="R142" s="243"/>
      <c r="S142" s="243"/>
      <c r="T142" s="243"/>
      <c r="U142" s="243"/>
    </row>
    <row r="143" spans="2:21">
      <c r="B143" s="145" t="str">
        <f t="shared" si="24"/>
        <v/>
      </c>
      <c r="C143" s="495">
        <f>IF(D94="","-",+C142+1)</f>
        <v>2053</v>
      </c>
      <c r="D143" s="349">
        <f>IF(F142+SUM(E$100:E142)=D$93,F142,D$93-SUM(E$100:E142))</f>
        <v>0</v>
      </c>
      <c r="E143" s="509">
        <f>IF(+J97&lt;F142,J97,D143)</f>
        <v>0</v>
      </c>
      <c r="F143" s="510">
        <f t="shared" si="38"/>
        <v>0</v>
      </c>
      <c r="G143" s="510">
        <f t="shared" si="39"/>
        <v>0</v>
      </c>
      <c r="H143" s="523">
        <f t="shared" si="36"/>
        <v>0</v>
      </c>
      <c r="I143" s="572">
        <f t="shared" si="37"/>
        <v>0</v>
      </c>
      <c r="J143" s="504">
        <f t="shared" si="40"/>
        <v>0</v>
      </c>
      <c r="K143" s="504"/>
      <c r="L143" s="512"/>
      <c r="M143" s="504">
        <f t="shared" si="41"/>
        <v>0</v>
      </c>
      <c r="N143" s="512"/>
      <c r="O143" s="504">
        <f t="shared" si="42"/>
        <v>0</v>
      </c>
      <c r="P143" s="504">
        <f t="shared" si="43"/>
        <v>0</v>
      </c>
      <c r="Q143" s="243"/>
      <c r="R143" s="243"/>
      <c r="S143" s="243"/>
      <c r="T143" s="243"/>
      <c r="U143" s="243"/>
    </row>
    <row r="144" spans="2:21">
      <c r="B144" s="145" t="str">
        <f t="shared" si="24"/>
        <v/>
      </c>
      <c r="C144" s="495">
        <f>IF(D94="","-",+C143+1)</f>
        <v>2054</v>
      </c>
      <c r="D144" s="349">
        <f>IF(F143+SUM(E$100:E143)=D$93,F143,D$93-SUM(E$100:E143))</f>
        <v>0</v>
      </c>
      <c r="E144" s="509">
        <f>IF(+J97&lt;F143,J97,D144)</f>
        <v>0</v>
      </c>
      <c r="F144" s="510">
        <f t="shared" si="38"/>
        <v>0</v>
      </c>
      <c r="G144" s="510">
        <f t="shared" si="39"/>
        <v>0</v>
      </c>
      <c r="H144" s="523">
        <f t="shared" si="36"/>
        <v>0</v>
      </c>
      <c r="I144" s="572">
        <f t="shared" si="37"/>
        <v>0</v>
      </c>
      <c r="J144" s="504">
        <f t="shared" si="40"/>
        <v>0</v>
      </c>
      <c r="K144" s="504"/>
      <c r="L144" s="512"/>
      <c r="M144" s="504">
        <f t="shared" si="41"/>
        <v>0</v>
      </c>
      <c r="N144" s="512"/>
      <c r="O144" s="504">
        <f t="shared" si="42"/>
        <v>0</v>
      </c>
      <c r="P144" s="504">
        <f t="shared" si="43"/>
        <v>0</v>
      </c>
      <c r="Q144" s="243"/>
      <c r="R144" s="243"/>
      <c r="S144" s="243"/>
      <c r="T144" s="243"/>
      <c r="U144" s="243"/>
    </row>
    <row r="145" spans="2:21">
      <c r="B145" s="145" t="str">
        <f t="shared" si="24"/>
        <v/>
      </c>
      <c r="C145" s="495">
        <f>IF(D94="","-",+C144+1)</f>
        <v>2055</v>
      </c>
      <c r="D145" s="349">
        <f>IF(F144+SUM(E$100:E144)=D$93,F144,D$93-SUM(E$100:E144))</f>
        <v>0</v>
      </c>
      <c r="E145" s="509">
        <f>IF(+J97&lt;F144,J97,D145)</f>
        <v>0</v>
      </c>
      <c r="F145" s="510">
        <f t="shared" si="38"/>
        <v>0</v>
      </c>
      <c r="G145" s="510">
        <f t="shared" si="39"/>
        <v>0</v>
      </c>
      <c r="H145" s="523">
        <f t="shared" si="36"/>
        <v>0</v>
      </c>
      <c r="I145" s="572">
        <f t="shared" si="37"/>
        <v>0</v>
      </c>
      <c r="J145" s="504">
        <f t="shared" si="40"/>
        <v>0</v>
      </c>
      <c r="K145" s="504"/>
      <c r="L145" s="512"/>
      <c r="M145" s="504">
        <f t="shared" si="41"/>
        <v>0</v>
      </c>
      <c r="N145" s="512"/>
      <c r="O145" s="504">
        <f t="shared" si="42"/>
        <v>0</v>
      </c>
      <c r="P145" s="504">
        <f t="shared" si="43"/>
        <v>0</v>
      </c>
      <c r="Q145" s="243"/>
      <c r="R145" s="243"/>
      <c r="S145" s="243"/>
      <c r="T145" s="243"/>
      <c r="U145" s="243"/>
    </row>
    <row r="146" spans="2:21">
      <c r="B146" s="145" t="str">
        <f t="shared" si="24"/>
        <v/>
      </c>
      <c r="C146" s="495">
        <f>IF(D94="","-",+C145+1)</f>
        <v>2056</v>
      </c>
      <c r="D146" s="349">
        <f>IF(F145+SUM(E$100:E145)=D$93,F145,D$93-SUM(E$100:E145))</f>
        <v>0</v>
      </c>
      <c r="E146" s="509">
        <f>IF(+J97&lt;F145,J97,D146)</f>
        <v>0</v>
      </c>
      <c r="F146" s="510">
        <f t="shared" si="38"/>
        <v>0</v>
      </c>
      <c r="G146" s="510">
        <f t="shared" si="39"/>
        <v>0</v>
      </c>
      <c r="H146" s="523">
        <f t="shared" si="36"/>
        <v>0</v>
      </c>
      <c r="I146" s="572">
        <f t="shared" si="37"/>
        <v>0</v>
      </c>
      <c r="J146" s="504">
        <f t="shared" si="40"/>
        <v>0</v>
      </c>
      <c r="K146" s="504"/>
      <c r="L146" s="512"/>
      <c r="M146" s="504">
        <f t="shared" si="41"/>
        <v>0</v>
      </c>
      <c r="N146" s="512"/>
      <c r="O146" s="504">
        <f t="shared" si="42"/>
        <v>0</v>
      </c>
      <c r="P146" s="504">
        <f t="shared" si="43"/>
        <v>0</v>
      </c>
      <c r="Q146" s="243"/>
      <c r="R146" s="243"/>
      <c r="S146" s="243"/>
      <c r="T146" s="243"/>
      <c r="U146" s="243"/>
    </row>
    <row r="147" spans="2:21">
      <c r="B147" s="145" t="str">
        <f t="shared" si="24"/>
        <v/>
      </c>
      <c r="C147" s="495">
        <f>IF(D94="","-",+C146+1)</f>
        <v>2057</v>
      </c>
      <c r="D147" s="349">
        <f>IF(F146+SUM(E$100:E146)=D$93,F146,D$93-SUM(E$100:E146))</f>
        <v>0</v>
      </c>
      <c r="E147" s="509">
        <f>IF(+J97&lt;F146,J97,D147)</f>
        <v>0</v>
      </c>
      <c r="F147" s="510">
        <f t="shared" si="38"/>
        <v>0</v>
      </c>
      <c r="G147" s="510">
        <f t="shared" si="39"/>
        <v>0</v>
      </c>
      <c r="H147" s="523">
        <f t="shared" si="36"/>
        <v>0</v>
      </c>
      <c r="I147" s="572">
        <f t="shared" si="37"/>
        <v>0</v>
      </c>
      <c r="J147" s="504">
        <f t="shared" si="40"/>
        <v>0</v>
      </c>
      <c r="K147" s="504"/>
      <c r="L147" s="512"/>
      <c r="M147" s="504">
        <f t="shared" si="41"/>
        <v>0</v>
      </c>
      <c r="N147" s="512"/>
      <c r="O147" s="504">
        <f t="shared" si="42"/>
        <v>0</v>
      </c>
      <c r="P147" s="504">
        <f t="shared" si="43"/>
        <v>0</v>
      </c>
      <c r="Q147" s="243"/>
      <c r="R147" s="243"/>
      <c r="S147" s="243"/>
      <c r="T147" s="243"/>
      <c r="U147" s="243"/>
    </row>
    <row r="148" spans="2:21">
      <c r="B148" s="145" t="str">
        <f t="shared" si="24"/>
        <v/>
      </c>
      <c r="C148" s="495">
        <f>IF(D94="","-",+C147+1)</f>
        <v>2058</v>
      </c>
      <c r="D148" s="349">
        <f>IF(F147+SUM(E$100:E147)=D$93,F147,D$93-SUM(E$100:E147))</f>
        <v>0</v>
      </c>
      <c r="E148" s="509">
        <f>IF(+J97&lt;F147,J97,D148)</f>
        <v>0</v>
      </c>
      <c r="F148" s="510">
        <f t="shared" si="38"/>
        <v>0</v>
      </c>
      <c r="G148" s="510">
        <f t="shared" si="39"/>
        <v>0</v>
      </c>
      <c r="H148" s="523">
        <f t="shared" si="36"/>
        <v>0</v>
      </c>
      <c r="I148" s="572">
        <f t="shared" si="37"/>
        <v>0</v>
      </c>
      <c r="J148" s="504">
        <f t="shared" si="40"/>
        <v>0</v>
      </c>
      <c r="K148" s="504"/>
      <c r="L148" s="512"/>
      <c r="M148" s="504">
        <f t="shared" si="41"/>
        <v>0</v>
      </c>
      <c r="N148" s="512"/>
      <c r="O148" s="504">
        <f t="shared" si="42"/>
        <v>0</v>
      </c>
      <c r="P148" s="504">
        <f t="shared" si="43"/>
        <v>0</v>
      </c>
      <c r="Q148" s="243"/>
      <c r="R148" s="243"/>
      <c r="S148" s="243"/>
      <c r="T148" s="243"/>
      <c r="U148" s="243"/>
    </row>
    <row r="149" spans="2:21">
      <c r="B149" s="145" t="str">
        <f t="shared" si="24"/>
        <v/>
      </c>
      <c r="C149" s="495">
        <f>IF(D94="","-",+C148+1)</f>
        <v>2059</v>
      </c>
      <c r="D149" s="349">
        <f>IF(F148+SUM(E$100:E148)=D$93,F148,D$93-SUM(E$100:E148))</f>
        <v>0</v>
      </c>
      <c r="E149" s="509">
        <f>IF(+J97&lt;F148,J97,D149)</f>
        <v>0</v>
      </c>
      <c r="F149" s="510">
        <f t="shared" si="38"/>
        <v>0</v>
      </c>
      <c r="G149" s="510">
        <f t="shared" si="39"/>
        <v>0</v>
      </c>
      <c r="H149" s="523">
        <f t="shared" si="36"/>
        <v>0</v>
      </c>
      <c r="I149" s="572">
        <f t="shared" si="37"/>
        <v>0</v>
      </c>
      <c r="J149" s="504">
        <f t="shared" si="40"/>
        <v>0</v>
      </c>
      <c r="K149" s="504"/>
      <c r="L149" s="512"/>
      <c r="M149" s="504">
        <f t="shared" si="41"/>
        <v>0</v>
      </c>
      <c r="N149" s="512"/>
      <c r="O149" s="504">
        <f t="shared" si="42"/>
        <v>0</v>
      </c>
      <c r="P149" s="504">
        <f t="shared" si="43"/>
        <v>0</v>
      </c>
      <c r="Q149" s="243"/>
      <c r="R149" s="243"/>
      <c r="S149" s="243"/>
      <c r="T149" s="243"/>
      <c r="U149" s="243"/>
    </row>
    <row r="150" spans="2:21">
      <c r="B150" s="145" t="str">
        <f t="shared" si="24"/>
        <v/>
      </c>
      <c r="C150" s="495">
        <f>IF(D94="","-",+C149+1)</f>
        <v>2060</v>
      </c>
      <c r="D150" s="349">
        <f>IF(F149+SUM(E$100:E149)=D$93,F149,D$93-SUM(E$100:E149))</f>
        <v>0</v>
      </c>
      <c r="E150" s="509">
        <f>IF(+J97&lt;F149,J97,D150)</f>
        <v>0</v>
      </c>
      <c r="F150" s="510">
        <f t="shared" si="38"/>
        <v>0</v>
      </c>
      <c r="G150" s="510">
        <f t="shared" si="39"/>
        <v>0</v>
      </c>
      <c r="H150" s="523">
        <f t="shared" si="36"/>
        <v>0</v>
      </c>
      <c r="I150" s="572">
        <f t="shared" si="37"/>
        <v>0</v>
      </c>
      <c r="J150" s="504">
        <f t="shared" si="40"/>
        <v>0</v>
      </c>
      <c r="K150" s="504"/>
      <c r="L150" s="512"/>
      <c r="M150" s="504">
        <f t="shared" si="41"/>
        <v>0</v>
      </c>
      <c r="N150" s="512"/>
      <c r="O150" s="504">
        <f t="shared" si="42"/>
        <v>0</v>
      </c>
      <c r="P150" s="504">
        <f t="shared" si="43"/>
        <v>0</v>
      </c>
      <c r="Q150" s="243"/>
      <c r="R150" s="243"/>
      <c r="S150" s="243"/>
      <c r="T150" s="243"/>
      <c r="U150" s="243"/>
    </row>
    <row r="151" spans="2:21">
      <c r="B151" s="145" t="str">
        <f t="shared" si="24"/>
        <v/>
      </c>
      <c r="C151" s="495">
        <f>IF(D94="","-",+C150+1)</f>
        <v>2061</v>
      </c>
      <c r="D151" s="349">
        <f>IF(F150+SUM(E$100:E150)=D$93,F150,D$93-SUM(E$100:E150))</f>
        <v>0</v>
      </c>
      <c r="E151" s="509">
        <f>IF(+J97&lt;F150,J97,D151)</f>
        <v>0</v>
      </c>
      <c r="F151" s="510">
        <f t="shared" si="38"/>
        <v>0</v>
      </c>
      <c r="G151" s="510">
        <f t="shared" si="39"/>
        <v>0</v>
      </c>
      <c r="H151" s="523">
        <f t="shared" si="36"/>
        <v>0</v>
      </c>
      <c r="I151" s="572">
        <f t="shared" si="37"/>
        <v>0</v>
      </c>
      <c r="J151" s="504">
        <f t="shared" si="40"/>
        <v>0</v>
      </c>
      <c r="K151" s="504"/>
      <c r="L151" s="512"/>
      <c r="M151" s="504">
        <f t="shared" si="41"/>
        <v>0</v>
      </c>
      <c r="N151" s="512"/>
      <c r="O151" s="504">
        <f t="shared" si="42"/>
        <v>0</v>
      </c>
      <c r="P151" s="504">
        <f t="shared" si="43"/>
        <v>0</v>
      </c>
      <c r="Q151" s="243"/>
      <c r="R151" s="243"/>
      <c r="S151" s="243"/>
      <c r="T151" s="243"/>
      <c r="U151" s="243"/>
    </row>
    <row r="152" spans="2:21">
      <c r="B152" s="145" t="str">
        <f t="shared" si="24"/>
        <v/>
      </c>
      <c r="C152" s="495">
        <f>IF(D94="","-",+C151+1)</f>
        <v>2062</v>
      </c>
      <c r="D152" s="349">
        <f>IF(F151+SUM(E$100:E151)=D$93,F151,D$93-SUM(E$100:E151))</f>
        <v>0</v>
      </c>
      <c r="E152" s="509">
        <f>IF(+J97&lt;F151,J97,D152)</f>
        <v>0</v>
      </c>
      <c r="F152" s="510">
        <f t="shared" si="38"/>
        <v>0</v>
      </c>
      <c r="G152" s="510">
        <f t="shared" si="39"/>
        <v>0</v>
      </c>
      <c r="H152" s="523">
        <f t="shared" si="36"/>
        <v>0</v>
      </c>
      <c r="I152" s="572">
        <f t="shared" si="37"/>
        <v>0</v>
      </c>
      <c r="J152" s="504">
        <f t="shared" si="40"/>
        <v>0</v>
      </c>
      <c r="K152" s="504"/>
      <c r="L152" s="512"/>
      <c r="M152" s="504">
        <f t="shared" si="41"/>
        <v>0</v>
      </c>
      <c r="N152" s="512"/>
      <c r="O152" s="504">
        <f t="shared" si="42"/>
        <v>0</v>
      </c>
      <c r="P152" s="504">
        <f t="shared" si="43"/>
        <v>0</v>
      </c>
      <c r="Q152" s="243"/>
      <c r="R152" s="243"/>
      <c r="S152" s="243"/>
      <c r="T152" s="243"/>
      <c r="U152" s="243"/>
    </row>
    <row r="153" spans="2:21">
      <c r="B153" s="145" t="str">
        <f t="shared" si="24"/>
        <v/>
      </c>
      <c r="C153" s="495">
        <f>IF(D94="","-",+C152+1)</f>
        <v>2063</v>
      </c>
      <c r="D153" s="349">
        <f>IF(F152+SUM(E$100:E152)=D$93,F152,D$93-SUM(E$100:E152))</f>
        <v>0</v>
      </c>
      <c r="E153" s="509">
        <f>IF(+J97&lt;F152,J97,D153)</f>
        <v>0</v>
      </c>
      <c r="F153" s="510">
        <f t="shared" si="38"/>
        <v>0</v>
      </c>
      <c r="G153" s="510">
        <f t="shared" si="39"/>
        <v>0</v>
      </c>
      <c r="H153" s="523">
        <f t="shared" si="36"/>
        <v>0</v>
      </c>
      <c r="I153" s="572">
        <f t="shared" si="37"/>
        <v>0</v>
      </c>
      <c r="J153" s="504">
        <f t="shared" si="40"/>
        <v>0</v>
      </c>
      <c r="K153" s="504"/>
      <c r="L153" s="512"/>
      <c r="M153" s="504">
        <f t="shared" si="41"/>
        <v>0</v>
      </c>
      <c r="N153" s="512"/>
      <c r="O153" s="504">
        <f t="shared" si="42"/>
        <v>0</v>
      </c>
      <c r="P153" s="504">
        <f t="shared" si="43"/>
        <v>0</v>
      </c>
      <c r="Q153" s="243"/>
      <c r="R153" s="243"/>
      <c r="S153" s="243"/>
      <c r="T153" s="243"/>
      <c r="U153" s="243"/>
    </row>
    <row r="154" spans="2:21">
      <c r="B154" s="145" t="str">
        <f t="shared" si="24"/>
        <v/>
      </c>
      <c r="C154" s="495">
        <f>IF(D94="","-",+C153+1)</f>
        <v>2064</v>
      </c>
      <c r="D154" s="349">
        <f>IF(F153+SUM(E$100:E153)=D$93,F153,D$93-SUM(E$100:E153))</f>
        <v>0</v>
      </c>
      <c r="E154" s="509">
        <f>IF(+J97&lt;F153,J97,D154)</f>
        <v>0</v>
      </c>
      <c r="F154" s="510">
        <f t="shared" si="38"/>
        <v>0</v>
      </c>
      <c r="G154" s="510">
        <f t="shared" si="39"/>
        <v>0</v>
      </c>
      <c r="H154" s="523">
        <f t="shared" si="36"/>
        <v>0</v>
      </c>
      <c r="I154" s="572">
        <f t="shared" si="37"/>
        <v>0</v>
      </c>
      <c r="J154" s="504">
        <f t="shared" si="40"/>
        <v>0</v>
      </c>
      <c r="K154" s="504"/>
      <c r="L154" s="512"/>
      <c r="M154" s="504">
        <f t="shared" si="41"/>
        <v>0</v>
      </c>
      <c r="N154" s="512"/>
      <c r="O154" s="504">
        <f t="shared" si="42"/>
        <v>0</v>
      </c>
      <c r="P154" s="504">
        <f t="shared" si="43"/>
        <v>0</v>
      </c>
      <c r="Q154" s="243"/>
      <c r="R154" s="243"/>
      <c r="S154" s="243"/>
      <c r="T154" s="243"/>
      <c r="U154" s="243"/>
    </row>
    <row r="155" spans="2:21" ht="13.5" thickBot="1">
      <c r="B155" s="145" t="str">
        <f t="shared" si="24"/>
        <v/>
      </c>
      <c r="C155" s="524">
        <f>IF(D94="","-",+C154+1)</f>
        <v>2065</v>
      </c>
      <c r="D155" s="527">
        <f>IF(F154+SUM(E$100:E154)=D$93,F154,D$93-SUM(E$100:E154))</f>
        <v>0</v>
      </c>
      <c r="E155" s="526">
        <f>IF(+J97&lt;F154,J97,D155)</f>
        <v>0</v>
      </c>
      <c r="F155" s="527">
        <f t="shared" si="38"/>
        <v>0</v>
      </c>
      <c r="G155" s="527">
        <f t="shared" si="39"/>
        <v>0</v>
      </c>
      <c r="H155" s="528">
        <f t="shared" si="36"/>
        <v>0</v>
      </c>
      <c r="I155" s="573">
        <f t="shared" si="37"/>
        <v>0</v>
      </c>
      <c r="J155" s="531">
        <f t="shared" si="40"/>
        <v>0</v>
      </c>
      <c r="K155" s="504"/>
      <c r="L155" s="530"/>
      <c r="M155" s="531">
        <f t="shared" si="41"/>
        <v>0</v>
      </c>
      <c r="N155" s="530"/>
      <c r="O155" s="531">
        <f t="shared" si="42"/>
        <v>0</v>
      </c>
      <c r="P155" s="531">
        <f t="shared" si="43"/>
        <v>0</v>
      </c>
      <c r="Q155" s="243"/>
      <c r="R155" s="243"/>
      <c r="S155" s="243"/>
      <c r="T155" s="243"/>
      <c r="U155" s="243"/>
    </row>
    <row r="156" spans="2:21">
      <c r="C156" s="349" t="s">
        <v>75</v>
      </c>
      <c r="D156" s="294"/>
      <c r="E156" s="294">
        <f>SUM(E100:E155)</f>
        <v>985776.99999999953</v>
      </c>
      <c r="F156" s="294"/>
      <c r="G156" s="294"/>
      <c r="H156" s="294">
        <f>SUM(H100:H155)</f>
        <v>2927690.2737273108</v>
      </c>
      <c r="I156" s="294">
        <f>SUM(I100:I155)</f>
        <v>2927690.2737273108</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60" priority="1" stopIfTrue="1" operator="equal">
      <formula>$I$10</formula>
    </cfRule>
  </conditionalFormatting>
  <conditionalFormatting sqref="C100:C155">
    <cfRule type="cellIs" dxfId="59"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dimension ref="A1:U163"/>
  <sheetViews>
    <sheetView view="pageBreakPreview" topLeftCell="A5" zoomScale="85" zoomScaleNormal="100"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8.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3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68417.937639816315</v>
      </c>
      <c r="P5" s="243"/>
      <c r="R5" s="243"/>
      <c r="S5" s="243"/>
      <c r="T5" s="243"/>
      <c r="U5" s="243"/>
    </row>
    <row r="6" spans="1:21" ht="15.75">
      <c r="C6" s="235"/>
      <c r="D6" s="292"/>
      <c r="E6" s="243"/>
      <c r="F6" s="243"/>
      <c r="G6" s="243"/>
      <c r="H6" s="449"/>
      <c r="I6" s="449"/>
      <c r="J6" s="450"/>
      <c r="K6" s="451" t="s">
        <v>243</v>
      </c>
      <c r="L6" s="452"/>
      <c r="M6" s="278"/>
      <c r="N6" s="453">
        <f>VLOOKUP(I10,C17:I73,6)</f>
        <v>68417.937639816315</v>
      </c>
      <c r="O6" s="243"/>
      <c r="P6" s="243"/>
      <c r="R6" s="243"/>
      <c r="S6" s="243"/>
      <c r="T6" s="243"/>
      <c r="U6" s="243"/>
    </row>
    <row r="7" spans="1:21" ht="13.5" thickBot="1">
      <c r="C7" s="454" t="s">
        <v>46</v>
      </c>
      <c r="D7" s="455" t="s">
        <v>199</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198</v>
      </c>
      <c r="E9" s="646" t="s">
        <v>310</v>
      </c>
      <c r="F9" s="465"/>
      <c r="G9" s="465"/>
      <c r="H9" s="465"/>
      <c r="I9" s="466"/>
      <c r="J9" s="467"/>
      <c r="O9" s="468"/>
      <c r="P9" s="278"/>
      <c r="R9" s="243"/>
      <c r="S9" s="243"/>
      <c r="T9" s="243"/>
      <c r="U9" s="243"/>
    </row>
    <row r="10" spans="1:21">
      <c r="C10" s="469" t="s">
        <v>49</v>
      </c>
      <c r="D10" s="470">
        <v>614753</v>
      </c>
      <c r="E10" s="299" t="s">
        <v>50</v>
      </c>
      <c r="F10" s="468"/>
      <c r="G10" s="408"/>
      <c r="H10" s="408"/>
      <c r="I10" s="471">
        <f>+'OKT.WS.F.BPU.ATRR.Projected'!R101</f>
        <v>2024</v>
      </c>
      <c r="J10" s="467"/>
      <c r="K10" s="294" t="s">
        <v>51</v>
      </c>
      <c r="O10" s="278"/>
      <c r="P10" s="278"/>
      <c r="R10" s="243"/>
      <c r="S10" s="243"/>
      <c r="T10" s="243"/>
      <c r="U10" s="243"/>
    </row>
    <row r="11" spans="1:21">
      <c r="C11" s="472" t="s">
        <v>52</v>
      </c>
      <c r="D11" s="473">
        <v>2011</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10</v>
      </c>
      <c r="E12" s="472" t="s">
        <v>55</v>
      </c>
      <c r="F12" s="408"/>
      <c r="G12" s="220"/>
      <c r="H12" s="220"/>
      <c r="I12" s="476">
        <f>'OKT.WS.F.BPU.ATRR.Projected'!$F$79</f>
        <v>0.11393163315254198</v>
      </c>
      <c r="J12" s="578"/>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19830.741935483871</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49" si="0">IF(D17=F16,"","IU")</f>
        <v>IU</v>
      </c>
      <c r="C17" s="580">
        <f>IF(D11= "","-",D11)</f>
        <v>2011</v>
      </c>
      <c r="D17" s="496">
        <v>956000</v>
      </c>
      <c r="E17" s="497">
        <v>1378.1704053213118</v>
      </c>
      <c r="F17" s="496">
        <v>954621.82959467871</v>
      </c>
      <c r="G17" s="498">
        <v>125484.70184654166</v>
      </c>
      <c r="H17" s="499">
        <v>125484.70184654166</v>
      </c>
      <c r="I17" s="584">
        <f>H17-G17</f>
        <v>0</v>
      </c>
      <c r="J17" s="350"/>
      <c r="K17" s="506">
        <f t="shared" ref="K17:K22" si="1">G17</f>
        <v>125484.70184654166</v>
      </c>
      <c r="L17" s="585">
        <f t="shared" ref="L17:L49" si="2">IF(K17&lt;&gt;0,+G17-K17,0)</f>
        <v>0</v>
      </c>
      <c r="M17" s="506">
        <f t="shared" ref="M17:M22" si="3">H17</f>
        <v>125484.70184654166</v>
      </c>
      <c r="N17" s="586">
        <f t="shared" ref="N17:N49" si="4">IF(M17&lt;&gt;0,+H17-M17,0)</f>
        <v>0</v>
      </c>
      <c r="O17" s="504">
        <f t="shared" ref="O17:O49" si="5">+N17-L17</f>
        <v>0</v>
      </c>
      <c r="P17" s="278"/>
      <c r="R17" s="243"/>
      <c r="S17" s="243"/>
      <c r="T17" s="243"/>
      <c r="U17" s="243"/>
    </row>
    <row r="18" spans="2:21">
      <c r="B18" s="145" t="str">
        <f t="shared" si="0"/>
        <v/>
      </c>
      <c r="C18" s="495">
        <f>IF(D11="","-",+C17+1)</f>
        <v>2012</v>
      </c>
      <c r="D18" s="505">
        <v>954621.82959467871</v>
      </c>
      <c r="E18" s="498">
        <v>10633.668760887396</v>
      </c>
      <c r="F18" s="505">
        <v>943988.16083379136</v>
      </c>
      <c r="G18" s="498">
        <v>101867.32341201812</v>
      </c>
      <c r="H18" s="499">
        <v>101867.32341201812</v>
      </c>
      <c r="I18" s="500">
        <v>0</v>
      </c>
      <c r="J18" s="350"/>
      <c r="K18" s="506">
        <f t="shared" si="1"/>
        <v>101867.32341201812</v>
      </c>
      <c r="L18" s="350">
        <f t="shared" si="2"/>
        <v>0</v>
      </c>
      <c r="M18" s="506">
        <f t="shared" si="3"/>
        <v>101867.32341201812</v>
      </c>
      <c r="N18" s="500">
        <f t="shared" si="4"/>
        <v>0</v>
      </c>
      <c r="O18" s="504">
        <f t="shared" si="5"/>
        <v>0</v>
      </c>
      <c r="P18" s="278"/>
      <c r="R18" s="243"/>
      <c r="S18" s="243"/>
      <c r="T18" s="243"/>
      <c r="U18" s="243"/>
    </row>
    <row r="19" spans="2:21">
      <c r="B19" s="145" t="str">
        <f t="shared" si="0"/>
        <v>IU</v>
      </c>
      <c r="C19" s="495">
        <f>IF(D11="","-",+C18+1)</f>
        <v>2013</v>
      </c>
      <c r="D19" s="505">
        <v>602741.16083379125</v>
      </c>
      <c r="E19" s="498">
        <v>10634.741311914131</v>
      </c>
      <c r="F19" s="505">
        <v>592106.41952187708</v>
      </c>
      <c r="G19" s="498">
        <v>75317.164005617815</v>
      </c>
      <c r="H19" s="499">
        <v>75317.164005617815</v>
      </c>
      <c r="I19" s="500">
        <v>0</v>
      </c>
      <c r="J19" s="350"/>
      <c r="K19" s="506">
        <f t="shared" si="1"/>
        <v>75317.164005617815</v>
      </c>
      <c r="L19" s="350">
        <f t="shared" ref="L19:L24" si="6">IF(K19&lt;&gt;0,+G19-K19,0)</f>
        <v>0</v>
      </c>
      <c r="M19" s="506">
        <f t="shared" si="3"/>
        <v>75317.164005617815</v>
      </c>
      <c r="N19" s="500">
        <f>IF(M19&lt;&gt;0,+H19-M19,0)</f>
        <v>0</v>
      </c>
      <c r="O19" s="504">
        <f>+N19-L19</f>
        <v>0</v>
      </c>
      <c r="P19" s="278"/>
      <c r="R19" s="243"/>
      <c r="S19" s="243"/>
      <c r="T19" s="243"/>
      <c r="U19" s="243"/>
    </row>
    <row r="20" spans="2:21">
      <c r="B20" s="145" t="str">
        <f t="shared" si="0"/>
        <v/>
      </c>
      <c r="C20" s="495">
        <f>IF(D11="","-",+C19+1)</f>
        <v>2014</v>
      </c>
      <c r="D20" s="505">
        <v>592106.41952187708</v>
      </c>
      <c r="E20" s="498">
        <v>10634.741311914131</v>
      </c>
      <c r="F20" s="505">
        <v>581471.67820996291</v>
      </c>
      <c r="G20" s="498">
        <v>74612.516014807363</v>
      </c>
      <c r="H20" s="499">
        <v>74612.516014807363</v>
      </c>
      <c r="I20" s="500">
        <v>0</v>
      </c>
      <c r="J20" s="350"/>
      <c r="K20" s="506">
        <f t="shared" si="1"/>
        <v>74612.516014807363</v>
      </c>
      <c r="L20" s="350">
        <f t="shared" si="6"/>
        <v>0</v>
      </c>
      <c r="M20" s="506">
        <f t="shared" si="3"/>
        <v>74612.516014807363</v>
      </c>
      <c r="N20" s="500">
        <f>IF(M20&lt;&gt;0,+H20-M20,0)</f>
        <v>0</v>
      </c>
      <c r="O20" s="504">
        <f>+N20-L20</f>
        <v>0</v>
      </c>
      <c r="P20" s="278"/>
      <c r="R20" s="243"/>
      <c r="S20" s="243"/>
      <c r="T20" s="243"/>
      <c r="U20" s="243"/>
    </row>
    <row r="21" spans="2:21">
      <c r="B21" s="145" t="str">
        <f t="shared" si="0"/>
        <v/>
      </c>
      <c r="C21" s="495">
        <f>IF(D12="","-",+C20+1)</f>
        <v>2015</v>
      </c>
      <c r="D21" s="505">
        <v>581471.67820996291</v>
      </c>
      <c r="E21" s="498">
        <v>10634.741311914131</v>
      </c>
      <c r="F21" s="505">
        <v>570836.93689804873</v>
      </c>
      <c r="G21" s="498">
        <v>69468.300328468598</v>
      </c>
      <c r="H21" s="499">
        <v>69468.300328468569</v>
      </c>
      <c r="I21" s="500">
        <v>0</v>
      </c>
      <c r="J21" s="350"/>
      <c r="K21" s="506">
        <f t="shared" si="1"/>
        <v>69468.300328468598</v>
      </c>
      <c r="L21" s="350">
        <f t="shared" si="6"/>
        <v>0</v>
      </c>
      <c r="M21" s="506">
        <f t="shared" si="3"/>
        <v>69468.300328468569</v>
      </c>
      <c r="N21" s="500">
        <f>IF(M21&lt;&gt;0,+H21-M21,0)</f>
        <v>0</v>
      </c>
      <c r="O21" s="504">
        <f>+N21-L21</f>
        <v>0</v>
      </c>
      <c r="P21" s="278"/>
      <c r="R21" s="243"/>
      <c r="S21" s="243"/>
      <c r="T21" s="243"/>
      <c r="U21" s="243"/>
    </row>
    <row r="22" spans="2:21">
      <c r="B22" s="145" t="str">
        <f t="shared" si="0"/>
        <v/>
      </c>
      <c r="C22" s="495">
        <f>IF(D11="","-",+C21+1)</f>
        <v>2016</v>
      </c>
      <c r="D22" s="505">
        <v>570836.93689804873</v>
      </c>
      <c r="E22" s="498">
        <v>12774.231778414165</v>
      </c>
      <c r="F22" s="505">
        <v>558062.70511963451</v>
      </c>
      <c r="G22" s="498">
        <v>72978.242931137109</v>
      </c>
      <c r="H22" s="499">
        <v>72978.242931137109</v>
      </c>
      <c r="I22" s="500">
        <f t="shared" ref="I22:I49" si="7">H22-G22</f>
        <v>0</v>
      </c>
      <c r="J22" s="500"/>
      <c r="K22" s="506">
        <f t="shared" si="1"/>
        <v>72978.242931137109</v>
      </c>
      <c r="L22" s="350">
        <f t="shared" si="6"/>
        <v>0</v>
      </c>
      <c r="M22" s="506">
        <f t="shared" si="3"/>
        <v>72978.242931137109</v>
      </c>
      <c r="N22" s="500">
        <f t="shared" si="4"/>
        <v>0</v>
      </c>
      <c r="O22" s="504">
        <f t="shared" si="5"/>
        <v>0</v>
      </c>
      <c r="P22" s="278"/>
      <c r="R22" s="243"/>
      <c r="S22" s="243"/>
      <c r="T22" s="243"/>
      <c r="U22" s="243"/>
    </row>
    <row r="23" spans="2:21">
      <c r="B23" s="145" t="str">
        <f t="shared" si="0"/>
        <v/>
      </c>
      <c r="C23" s="495">
        <f>IF(D11="","-",+C22+1)</f>
        <v>2017</v>
      </c>
      <c r="D23" s="505">
        <v>558062.70511963451</v>
      </c>
      <c r="E23" s="498">
        <v>12087.261057971307</v>
      </c>
      <c r="F23" s="505">
        <v>545975.44406166323</v>
      </c>
      <c r="G23" s="498">
        <v>72776.222858216002</v>
      </c>
      <c r="H23" s="499">
        <v>72776.222858216002</v>
      </c>
      <c r="I23" s="500">
        <f t="shared" si="7"/>
        <v>0</v>
      </c>
      <c r="J23" s="500"/>
      <c r="K23" s="506">
        <f t="shared" ref="K23:K28" si="8">G23</f>
        <v>72776.222858216002</v>
      </c>
      <c r="L23" s="350">
        <f t="shared" si="6"/>
        <v>0</v>
      </c>
      <c r="M23" s="506">
        <f t="shared" ref="M23:M28" si="9">H23</f>
        <v>72776.222858216002</v>
      </c>
      <c r="N23" s="500">
        <f>IF(M23&lt;&gt;0,+H23-M23,0)</f>
        <v>0</v>
      </c>
      <c r="O23" s="504">
        <f>+N23-L23</f>
        <v>0</v>
      </c>
      <c r="P23" s="278"/>
      <c r="R23" s="243"/>
      <c r="S23" s="243"/>
      <c r="T23" s="243"/>
      <c r="U23" s="243"/>
    </row>
    <row r="24" spans="2:21">
      <c r="B24" s="145" t="str">
        <f t="shared" si="0"/>
        <v/>
      </c>
      <c r="C24" s="495">
        <f>IF(D11="","-",+C23+1)</f>
        <v>2018</v>
      </c>
      <c r="D24" s="505">
        <v>545975.44406166323</v>
      </c>
      <c r="E24" s="498">
        <v>15076.56031908646</v>
      </c>
      <c r="F24" s="505">
        <v>530898.88374257681</v>
      </c>
      <c r="G24" s="498">
        <v>69794.510007934223</v>
      </c>
      <c r="H24" s="499">
        <v>69794.510007934223</v>
      </c>
      <c r="I24" s="500">
        <v>0</v>
      </c>
      <c r="J24" s="500"/>
      <c r="K24" s="506">
        <f t="shared" si="8"/>
        <v>69794.510007934223</v>
      </c>
      <c r="L24" s="350">
        <f t="shared" si="6"/>
        <v>0</v>
      </c>
      <c r="M24" s="506">
        <f t="shared" si="9"/>
        <v>69794.510007934223</v>
      </c>
      <c r="N24" s="500">
        <f>IF(M24&lt;&gt;0,+H24-M24,0)</f>
        <v>0</v>
      </c>
      <c r="O24" s="504">
        <f>+N24-L24</f>
        <v>0</v>
      </c>
      <c r="P24" s="278"/>
      <c r="R24" s="243"/>
      <c r="S24" s="243"/>
      <c r="T24" s="243"/>
      <c r="U24" s="243"/>
    </row>
    <row r="25" spans="2:21">
      <c r="B25" s="145" t="str">
        <f t="shared" si="0"/>
        <v/>
      </c>
      <c r="C25" s="495">
        <f>IF(D11="","-",+C24+1)</f>
        <v>2019</v>
      </c>
      <c r="D25" s="505">
        <v>530898.88374257681</v>
      </c>
      <c r="E25" s="498">
        <v>18232.865121942861</v>
      </c>
      <c r="F25" s="505">
        <v>512666.01862063393</v>
      </c>
      <c r="G25" s="498">
        <v>72464.827452468948</v>
      </c>
      <c r="H25" s="499">
        <v>72464.827452468948</v>
      </c>
      <c r="I25" s="500">
        <f t="shared" si="7"/>
        <v>0</v>
      </c>
      <c r="J25" s="500"/>
      <c r="K25" s="506">
        <f t="shared" si="8"/>
        <v>72464.827452468948</v>
      </c>
      <c r="L25" s="350">
        <f t="shared" ref="L25" si="10">IF(K25&lt;&gt;0,+G25-K25,0)</f>
        <v>0</v>
      </c>
      <c r="M25" s="506">
        <f t="shared" si="9"/>
        <v>72464.827452468948</v>
      </c>
      <c r="N25" s="500">
        <f>IF(M25&lt;&gt;0,+H25-M25,0)</f>
        <v>0</v>
      </c>
      <c r="O25" s="504">
        <f>+N25-L25</f>
        <v>0</v>
      </c>
      <c r="P25" s="278"/>
      <c r="R25" s="243"/>
      <c r="S25" s="243"/>
      <c r="T25" s="243"/>
      <c r="U25" s="243"/>
    </row>
    <row r="26" spans="2:21">
      <c r="B26" s="145" t="str">
        <f t="shared" si="0"/>
        <v>IU</v>
      </c>
      <c r="C26" s="495">
        <f>IF(D11="","-",+C25+1)</f>
        <v>2020</v>
      </c>
      <c r="D26" s="505">
        <v>515822.32342349034</v>
      </c>
      <c r="E26" s="498">
        <v>18001.062389209259</v>
      </c>
      <c r="F26" s="505">
        <v>497821.26103428105</v>
      </c>
      <c r="G26" s="498">
        <v>71183.123031214564</v>
      </c>
      <c r="H26" s="499">
        <v>71183.123031214564</v>
      </c>
      <c r="I26" s="500">
        <f t="shared" si="7"/>
        <v>0</v>
      </c>
      <c r="J26" s="500"/>
      <c r="K26" s="506">
        <f t="shared" si="8"/>
        <v>71183.123031214564</v>
      </c>
      <c r="L26" s="350">
        <f t="shared" ref="L26" si="11">IF(K26&lt;&gt;0,+G26-K26,0)</f>
        <v>0</v>
      </c>
      <c r="M26" s="506">
        <f t="shared" si="9"/>
        <v>71183.123031214564</v>
      </c>
      <c r="N26" s="500">
        <f>IF(M26&lt;&gt;0,+H26-M26,0)</f>
        <v>0</v>
      </c>
      <c r="O26" s="504">
        <f t="shared" si="5"/>
        <v>0</v>
      </c>
      <c r="P26" s="278"/>
      <c r="R26" s="243"/>
      <c r="S26" s="243"/>
      <c r="T26" s="243"/>
      <c r="U26" s="243"/>
    </row>
    <row r="27" spans="2:21">
      <c r="B27" s="145" t="str">
        <f t="shared" si="0"/>
        <v>IU</v>
      </c>
      <c r="C27" s="495">
        <f>IF(D11="","-",+C26+1)</f>
        <v>2021</v>
      </c>
      <c r="D27" s="505">
        <v>494664.95623142482</v>
      </c>
      <c r="E27" s="498">
        <v>19830.741935483871</v>
      </c>
      <c r="F27" s="505">
        <v>474834.21429594094</v>
      </c>
      <c r="G27" s="498">
        <v>72273.408385464543</v>
      </c>
      <c r="H27" s="499">
        <v>72273.408385464543</v>
      </c>
      <c r="I27" s="500">
        <f t="shared" si="7"/>
        <v>0</v>
      </c>
      <c r="J27" s="500"/>
      <c r="K27" s="506">
        <f t="shared" si="8"/>
        <v>72273.408385464543</v>
      </c>
      <c r="L27" s="350">
        <f t="shared" ref="L27" si="12">IF(K27&lt;&gt;0,+G27-K27,0)</f>
        <v>0</v>
      </c>
      <c r="M27" s="506">
        <f t="shared" si="9"/>
        <v>72273.408385464543</v>
      </c>
      <c r="N27" s="500">
        <f>IF(M27&lt;&gt;0,+H27-M27,0)</f>
        <v>0</v>
      </c>
      <c r="O27" s="504">
        <f t="shared" si="5"/>
        <v>0</v>
      </c>
      <c r="P27" s="278"/>
      <c r="R27" s="243"/>
      <c r="S27" s="243"/>
      <c r="T27" s="243"/>
      <c r="U27" s="243"/>
    </row>
    <row r="28" spans="2:21">
      <c r="B28" s="145" t="str">
        <f t="shared" si="0"/>
        <v/>
      </c>
      <c r="C28" s="580">
        <f>IF(D11="","-",+C27+1)</f>
        <v>2022</v>
      </c>
      <c r="D28" s="505">
        <v>474834.21429594094</v>
      </c>
      <c r="E28" s="498">
        <v>18628.878787878788</v>
      </c>
      <c r="F28" s="505">
        <v>456205.33550806215</v>
      </c>
      <c r="G28" s="498">
        <v>72051.357380752626</v>
      </c>
      <c r="H28" s="499">
        <v>72051.357380752626</v>
      </c>
      <c r="I28" s="500">
        <f t="shared" si="7"/>
        <v>0</v>
      </c>
      <c r="J28" s="500"/>
      <c r="K28" s="506">
        <f t="shared" si="8"/>
        <v>72051.357380752626</v>
      </c>
      <c r="L28" s="350">
        <f t="shared" ref="L28" si="13">IF(K28&lt;&gt;0,+G28-K28,0)</f>
        <v>0</v>
      </c>
      <c r="M28" s="506">
        <f t="shared" si="9"/>
        <v>72051.357380752626</v>
      </c>
      <c r="N28" s="504">
        <f t="shared" si="4"/>
        <v>0</v>
      </c>
      <c r="O28" s="504">
        <f t="shared" si="5"/>
        <v>0</v>
      </c>
      <c r="P28" s="278"/>
      <c r="R28" s="243"/>
      <c r="S28" s="243"/>
      <c r="T28" s="243"/>
      <c r="U28" s="243"/>
    </row>
    <row r="29" spans="2:21">
      <c r="B29" s="145" t="str">
        <f t="shared" si="0"/>
        <v/>
      </c>
      <c r="C29" s="495">
        <f>IF(D11="","-",+C28+1)</f>
        <v>2023</v>
      </c>
      <c r="D29" s="505">
        <v>456205.33550806215</v>
      </c>
      <c r="E29" s="498">
        <v>19830.741935483871</v>
      </c>
      <c r="F29" s="505">
        <v>436374.59357257828</v>
      </c>
      <c r="G29" s="498">
        <v>70276.170801443019</v>
      </c>
      <c r="H29" s="499">
        <v>70276.170801443019</v>
      </c>
      <c r="I29" s="500">
        <f t="shared" si="7"/>
        <v>0</v>
      </c>
      <c r="J29" s="500"/>
      <c r="K29" s="512"/>
      <c r="L29" s="504">
        <f t="shared" si="2"/>
        <v>0</v>
      </c>
      <c r="M29" s="512"/>
      <c r="N29" s="504">
        <f t="shared" si="4"/>
        <v>0</v>
      </c>
      <c r="O29" s="504">
        <f t="shared" si="5"/>
        <v>0</v>
      </c>
      <c r="P29" s="278"/>
      <c r="R29" s="243"/>
      <c r="S29" s="243"/>
      <c r="T29" s="243"/>
      <c r="U29" s="243"/>
    </row>
    <row r="30" spans="2:21">
      <c r="B30" s="145" t="str">
        <f t="shared" si="0"/>
        <v/>
      </c>
      <c r="C30" s="495">
        <f>IF(D11="","-",+C29+1)</f>
        <v>2024</v>
      </c>
      <c r="D30" s="508">
        <f>IF(F29+SUM(E$17:E29)=D$10,F29,D$10-SUM(E$17:E29))</f>
        <v>436374.59357257828</v>
      </c>
      <c r="E30" s="509">
        <f>IF(+I14&lt;F29,I14,D30)</f>
        <v>19830.741935483871</v>
      </c>
      <c r="F30" s="510">
        <f t="shared" ref="F30:F50" si="14">+D30-E30</f>
        <v>416543.8516370944</v>
      </c>
      <c r="G30" s="511">
        <f t="shared" ref="G30:G73" si="15">(D30+F30)/2*I$12+E30</f>
        <v>68417.937639816315</v>
      </c>
      <c r="H30" s="477">
        <f t="shared" ref="H30:H73" si="16">+(D30+F30)/2*I$13+E30</f>
        <v>68417.937639816315</v>
      </c>
      <c r="I30" s="500">
        <f t="shared" si="7"/>
        <v>0</v>
      </c>
      <c r="J30" s="500"/>
      <c r="K30" s="512"/>
      <c r="L30" s="504">
        <f t="shared" si="2"/>
        <v>0</v>
      </c>
      <c r="M30" s="512"/>
      <c r="N30" s="504">
        <f t="shared" si="4"/>
        <v>0</v>
      </c>
      <c r="O30" s="504">
        <f t="shared" si="5"/>
        <v>0</v>
      </c>
      <c r="P30" s="278"/>
      <c r="R30" s="243"/>
      <c r="S30" s="243"/>
      <c r="T30" s="243"/>
      <c r="U30" s="243"/>
    </row>
    <row r="31" spans="2:21">
      <c r="B31" s="145" t="str">
        <f t="shared" si="0"/>
        <v/>
      </c>
      <c r="C31" s="495">
        <f>IF(D11="","-",+C30+1)</f>
        <v>2025</v>
      </c>
      <c r="D31" s="508">
        <f>IF(F30+SUM(E$17:E30)=D$10,F30,D$10-SUM(E$17:E30))</f>
        <v>416543.8516370944</v>
      </c>
      <c r="E31" s="509">
        <f>IF(+I14&lt;F30,I14,D31)</f>
        <v>19830.741935483871</v>
      </c>
      <c r="F31" s="510">
        <f t="shared" si="14"/>
        <v>396713.10970161052</v>
      </c>
      <c r="G31" s="511">
        <f t="shared" si="15"/>
        <v>66158.588824480044</v>
      </c>
      <c r="H31" s="477">
        <f t="shared" si="16"/>
        <v>66158.588824480044</v>
      </c>
      <c r="I31" s="500">
        <f t="shared" si="7"/>
        <v>0</v>
      </c>
      <c r="J31" s="350"/>
      <c r="K31" s="512"/>
      <c r="L31" s="504">
        <f>IF(K31&lt;&gt;0,+G31-K31,0)</f>
        <v>0</v>
      </c>
      <c r="M31" s="512"/>
      <c r="N31" s="504">
        <f>IF(M31&lt;&gt;0,+H31-M31,0)</f>
        <v>0</v>
      </c>
      <c r="O31" s="504">
        <f>+N31-L31</f>
        <v>0</v>
      </c>
      <c r="P31" s="278"/>
      <c r="Q31" s="220"/>
      <c r="R31" s="278"/>
      <c r="S31" s="278"/>
      <c r="T31" s="278"/>
      <c r="U31" s="243"/>
    </row>
    <row r="32" spans="2:21">
      <c r="B32" s="145" t="str">
        <f t="shared" si="0"/>
        <v/>
      </c>
      <c r="C32" s="495">
        <f>IF(D12="","-",+C31+1)</f>
        <v>2026</v>
      </c>
      <c r="D32" s="508">
        <f>IF(F31+SUM(E$17:E31)=D$10,F31,D$10-SUM(E$17:E31))</f>
        <v>396713.10970161052</v>
      </c>
      <c r="E32" s="509">
        <f>IF(+I14&lt;F31,I14,D32)</f>
        <v>19830.741935483871</v>
      </c>
      <c r="F32" s="510">
        <f>+D32-E32</f>
        <v>376882.36776612664</v>
      </c>
      <c r="G32" s="511">
        <f t="shared" si="15"/>
        <v>63899.240009143767</v>
      </c>
      <c r="H32" s="477">
        <f t="shared" si="16"/>
        <v>63899.240009143767</v>
      </c>
      <c r="I32" s="500">
        <f>H32-G32</f>
        <v>0</v>
      </c>
      <c r="J32" s="35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2027</v>
      </c>
      <c r="D33" s="508">
        <f>IF(F32+SUM(E$17:E32)=D$10,F32,D$10-SUM(E$17:E32))</f>
        <v>376882.36776612664</v>
      </c>
      <c r="E33" s="509">
        <f>IF(+I14&lt;F31,I14,D33)</f>
        <v>19830.741935483871</v>
      </c>
      <c r="F33" s="510">
        <f t="shared" si="14"/>
        <v>357051.62583064276</v>
      </c>
      <c r="G33" s="511">
        <f t="shared" si="15"/>
        <v>61639.891193807489</v>
      </c>
      <c r="H33" s="477">
        <f t="shared" si="16"/>
        <v>61639.891193807489</v>
      </c>
      <c r="I33" s="500">
        <f t="shared" si="7"/>
        <v>0</v>
      </c>
      <c r="J33" s="500"/>
      <c r="K33" s="512"/>
      <c r="L33" s="504">
        <f>IF(K33&lt;&gt;0,+G33-K33,0)</f>
        <v>0</v>
      </c>
      <c r="M33" s="512"/>
      <c r="N33" s="504">
        <f>IF(M33&lt;&gt;0,+H33-M33,0)</f>
        <v>0</v>
      </c>
      <c r="O33" s="504">
        <f>+N33-L33</f>
        <v>0</v>
      </c>
      <c r="P33" s="278"/>
      <c r="R33" s="243"/>
      <c r="S33" s="243"/>
      <c r="T33" s="243"/>
      <c r="U33" s="243"/>
    </row>
    <row r="34" spans="2:21">
      <c r="B34" s="145" t="str">
        <f t="shared" si="0"/>
        <v/>
      </c>
      <c r="C34" s="495">
        <f>IF(D14="","-",+C33+1)</f>
        <v>2028</v>
      </c>
      <c r="D34" s="514">
        <f>IF(F33+SUM(E$17:E33)=D$10,F33,D$10-SUM(E$17:E33))</f>
        <v>357051.62583064276</v>
      </c>
      <c r="E34" s="515">
        <f>IF(+I14&lt;F33,I14,D34)</f>
        <v>19830.741935483871</v>
      </c>
      <c r="F34" s="516">
        <f t="shared" si="14"/>
        <v>337220.88389515888</v>
      </c>
      <c r="G34" s="517">
        <f t="shared" si="15"/>
        <v>59380.542378471204</v>
      </c>
      <c r="H34" s="518">
        <f t="shared" si="16"/>
        <v>59380.542378471204</v>
      </c>
      <c r="I34" s="519">
        <f t="shared" si="7"/>
        <v>0</v>
      </c>
      <c r="J34" s="519"/>
      <c r="K34" s="520"/>
      <c r="L34" s="521">
        <f t="shared" si="2"/>
        <v>0</v>
      </c>
      <c r="M34" s="520"/>
      <c r="N34" s="521">
        <f t="shared" si="4"/>
        <v>0</v>
      </c>
      <c r="O34" s="521">
        <f t="shared" si="5"/>
        <v>0</v>
      </c>
      <c r="P34" s="522"/>
      <c r="Q34" s="216"/>
      <c r="R34" s="522"/>
      <c r="S34" s="522"/>
      <c r="T34" s="522"/>
      <c r="U34" s="243"/>
    </row>
    <row r="35" spans="2:21">
      <c r="B35" s="145" t="str">
        <f t="shared" si="0"/>
        <v/>
      </c>
      <c r="C35" s="495">
        <f>IF(D11="","-",+C34+1)</f>
        <v>2029</v>
      </c>
      <c r="D35" s="508">
        <f>IF(F34+SUM(E$17:E34)=D$10,F34,D$10-SUM(E$17:E34))</f>
        <v>337220.88389515888</v>
      </c>
      <c r="E35" s="509">
        <f>IF(+I14&lt;F34,I14,D35)</f>
        <v>19830.741935483871</v>
      </c>
      <c r="F35" s="510">
        <f t="shared" si="14"/>
        <v>317390.14195967501</v>
      </c>
      <c r="G35" s="511">
        <f t="shared" si="15"/>
        <v>57121.193563134926</v>
      </c>
      <c r="H35" s="477">
        <f t="shared" si="16"/>
        <v>57121.193563134926</v>
      </c>
      <c r="I35" s="500">
        <f t="shared" si="7"/>
        <v>0</v>
      </c>
      <c r="J35" s="500"/>
      <c r="K35" s="512"/>
      <c r="L35" s="504">
        <f t="shared" si="2"/>
        <v>0</v>
      </c>
      <c r="M35" s="512"/>
      <c r="N35" s="504">
        <f t="shared" si="4"/>
        <v>0</v>
      </c>
      <c r="O35" s="504">
        <f t="shared" si="5"/>
        <v>0</v>
      </c>
      <c r="P35" s="278"/>
      <c r="R35" s="243"/>
      <c r="S35" s="243"/>
      <c r="T35" s="243"/>
      <c r="U35" s="243"/>
    </row>
    <row r="36" spans="2:21">
      <c r="B36" s="145" t="str">
        <f t="shared" si="0"/>
        <v/>
      </c>
      <c r="C36" s="495">
        <f>IF(D11="","-",+C35+1)</f>
        <v>2030</v>
      </c>
      <c r="D36" s="508">
        <f>IF(F35+SUM(E$17:E35)=D$10,F35,D$10-SUM(E$17:E35))</f>
        <v>317390.14195967501</v>
      </c>
      <c r="E36" s="509">
        <f>IF(+I14&lt;F35,I14,D36)</f>
        <v>19830.741935483871</v>
      </c>
      <c r="F36" s="510">
        <f t="shared" si="14"/>
        <v>297559.40002419113</v>
      </c>
      <c r="G36" s="511">
        <f t="shared" si="15"/>
        <v>54861.844747798648</v>
      </c>
      <c r="H36" s="477">
        <f t="shared" si="16"/>
        <v>54861.844747798648</v>
      </c>
      <c r="I36" s="500">
        <f t="shared" si="7"/>
        <v>0</v>
      </c>
      <c r="J36" s="500"/>
      <c r="K36" s="512"/>
      <c r="L36" s="504">
        <f t="shared" si="2"/>
        <v>0</v>
      </c>
      <c r="M36" s="512"/>
      <c r="N36" s="504">
        <f t="shared" si="4"/>
        <v>0</v>
      </c>
      <c r="O36" s="504">
        <f t="shared" si="5"/>
        <v>0</v>
      </c>
      <c r="P36" s="278"/>
      <c r="R36" s="243"/>
      <c r="S36" s="243"/>
      <c r="T36" s="243"/>
      <c r="U36" s="243"/>
    </row>
    <row r="37" spans="2:21">
      <c r="B37" s="145" t="str">
        <f t="shared" si="0"/>
        <v/>
      </c>
      <c r="C37" s="495">
        <f>IF(D11="","-",+C36+1)</f>
        <v>2031</v>
      </c>
      <c r="D37" s="508">
        <f>IF(F36+SUM(E$17:E36)=D$10,F36,D$10-SUM(E$17:E36))</f>
        <v>297559.40002419113</v>
      </c>
      <c r="E37" s="509">
        <f>IF(+I14&lt;F36,I14,D37)</f>
        <v>19830.741935483871</v>
      </c>
      <c r="F37" s="510">
        <f t="shared" si="14"/>
        <v>277728.65808870725</v>
      </c>
      <c r="G37" s="511">
        <f t="shared" si="15"/>
        <v>52602.495932462371</v>
      </c>
      <c r="H37" s="477">
        <f t="shared" si="16"/>
        <v>52602.495932462371</v>
      </c>
      <c r="I37" s="500">
        <f t="shared" si="7"/>
        <v>0</v>
      </c>
      <c r="J37" s="500"/>
      <c r="K37" s="512"/>
      <c r="L37" s="504">
        <f t="shared" si="2"/>
        <v>0</v>
      </c>
      <c r="M37" s="512"/>
      <c r="N37" s="504">
        <f t="shared" si="4"/>
        <v>0</v>
      </c>
      <c r="O37" s="504">
        <f t="shared" si="5"/>
        <v>0</v>
      </c>
      <c r="P37" s="278"/>
      <c r="R37" s="243"/>
      <c r="S37" s="243"/>
      <c r="T37" s="243"/>
      <c r="U37" s="243"/>
    </row>
    <row r="38" spans="2:21">
      <c r="B38" s="145" t="str">
        <f t="shared" si="0"/>
        <v/>
      </c>
      <c r="C38" s="495">
        <f>IF(D11="","-",+C37+1)</f>
        <v>2032</v>
      </c>
      <c r="D38" s="508">
        <f>IF(F37+SUM(E$17:E37)=D$10,F37,D$10-SUM(E$17:E37))</f>
        <v>277728.65808870725</v>
      </c>
      <c r="E38" s="509">
        <f>IF(+I14&lt;F37,I14,D38)</f>
        <v>19830.741935483871</v>
      </c>
      <c r="F38" s="510">
        <f t="shared" si="14"/>
        <v>257897.91615322337</v>
      </c>
      <c r="G38" s="511">
        <f t="shared" si="15"/>
        <v>50343.147117126093</v>
      </c>
      <c r="H38" s="477">
        <f t="shared" si="16"/>
        <v>50343.147117126093</v>
      </c>
      <c r="I38" s="500">
        <f t="shared" si="7"/>
        <v>0</v>
      </c>
      <c r="J38" s="500"/>
      <c r="K38" s="512"/>
      <c r="L38" s="504">
        <f t="shared" si="2"/>
        <v>0</v>
      </c>
      <c r="M38" s="512"/>
      <c r="N38" s="504">
        <f t="shared" si="4"/>
        <v>0</v>
      </c>
      <c r="O38" s="504">
        <f t="shared" si="5"/>
        <v>0</v>
      </c>
      <c r="P38" s="278"/>
      <c r="R38" s="243"/>
      <c r="S38" s="243"/>
      <c r="T38" s="243"/>
      <c r="U38" s="243"/>
    </row>
    <row r="39" spans="2:21">
      <c r="B39" s="145" t="str">
        <f t="shared" si="0"/>
        <v/>
      </c>
      <c r="C39" s="495">
        <f>IF(D11="","-",+C38+1)</f>
        <v>2033</v>
      </c>
      <c r="D39" s="508">
        <f>IF(F38+SUM(E$17:E38)=D$10,F38,D$10-SUM(E$17:E38))</f>
        <v>257897.91615322337</v>
      </c>
      <c r="E39" s="509">
        <f>IF(+I14&lt;F38,I14,D39)</f>
        <v>19830.741935483871</v>
      </c>
      <c r="F39" s="510">
        <f t="shared" si="14"/>
        <v>238067.17421773949</v>
      </c>
      <c r="G39" s="511">
        <f t="shared" si="15"/>
        <v>48083.798301789808</v>
      </c>
      <c r="H39" s="477">
        <f t="shared" si="16"/>
        <v>48083.798301789808</v>
      </c>
      <c r="I39" s="500">
        <f t="shared" si="7"/>
        <v>0</v>
      </c>
      <c r="J39" s="500"/>
      <c r="K39" s="512"/>
      <c r="L39" s="504">
        <f t="shared" si="2"/>
        <v>0</v>
      </c>
      <c r="M39" s="512"/>
      <c r="N39" s="504">
        <f t="shared" si="4"/>
        <v>0</v>
      </c>
      <c r="O39" s="504">
        <f t="shared" si="5"/>
        <v>0</v>
      </c>
      <c r="P39" s="278"/>
      <c r="R39" s="243"/>
      <c r="S39" s="243"/>
      <c r="T39" s="243"/>
      <c r="U39" s="243"/>
    </row>
    <row r="40" spans="2:21">
      <c r="B40" s="145" t="str">
        <f t="shared" si="0"/>
        <v/>
      </c>
      <c r="C40" s="495">
        <f>IF(D11="","-",+C39+1)</f>
        <v>2034</v>
      </c>
      <c r="D40" s="508">
        <f>IF(F39+SUM(E$17:E39)=D$10,F39,D$10-SUM(E$17:E39))</f>
        <v>238067.17421773949</v>
      </c>
      <c r="E40" s="509">
        <f>IF(+I14&lt;F39,I14,D40)</f>
        <v>19830.741935483871</v>
      </c>
      <c r="F40" s="510">
        <f t="shared" si="14"/>
        <v>218236.43228225561</v>
      </c>
      <c r="G40" s="511">
        <f t="shared" si="15"/>
        <v>45824.44948645353</v>
      </c>
      <c r="H40" s="477">
        <f t="shared" si="16"/>
        <v>45824.44948645353</v>
      </c>
      <c r="I40" s="500">
        <f t="shared" si="7"/>
        <v>0</v>
      </c>
      <c r="J40" s="500"/>
      <c r="K40" s="512"/>
      <c r="L40" s="504">
        <f t="shared" si="2"/>
        <v>0</v>
      </c>
      <c r="M40" s="512"/>
      <c r="N40" s="504">
        <f t="shared" si="4"/>
        <v>0</v>
      </c>
      <c r="O40" s="504">
        <f t="shared" si="5"/>
        <v>0</v>
      </c>
      <c r="P40" s="278"/>
      <c r="R40" s="243"/>
      <c r="S40" s="243"/>
      <c r="T40" s="243"/>
      <c r="U40" s="243"/>
    </row>
    <row r="41" spans="2:21">
      <c r="B41" s="145" t="str">
        <f t="shared" si="0"/>
        <v/>
      </c>
      <c r="C41" s="495">
        <f>IF(D12="","-",+C40+1)</f>
        <v>2035</v>
      </c>
      <c r="D41" s="508">
        <f>IF(F40+SUM(E$17:E40)=D$10,F40,D$10-SUM(E$17:E40))</f>
        <v>218236.43228225561</v>
      </c>
      <c r="E41" s="509">
        <f>IF(+I14&lt;F40,I14,D41)</f>
        <v>19830.741935483871</v>
      </c>
      <c r="F41" s="510">
        <f t="shared" si="14"/>
        <v>198405.69034677173</v>
      </c>
      <c r="G41" s="511">
        <f t="shared" si="15"/>
        <v>43565.100671117252</v>
      </c>
      <c r="H41" s="477">
        <f t="shared" si="16"/>
        <v>43565.100671117252</v>
      </c>
      <c r="I41" s="500">
        <f t="shared" si="7"/>
        <v>0</v>
      </c>
      <c r="J41" s="500"/>
      <c r="K41" s="512"/>
      <c r="L41" s="504">
        <f t="shared" si="2"/>
        <v>0</v>
      </c>
      <c r="M41" s="512"/>
      <c r="N41" s="504">
        <f t="shared" si="4"/>
        <v>0</v>
      </c>
      <c r="O41" s="504">
        <f t="shared" si="5"/>
        <v>0</v>
      </c>
      <c r="P41" s="278"/>
      <c r="R41" s="243"/>
      <c r="S41" s="243"/>
      <c r="T41" s="243"/>
      <c r="U41" s="243"/>
    </row>
    <row r="42" spans="2:21">
      <c r="B42" s="145" t="str">
        <f t="shared" si="0"/>
        <v/>
      </c>
      <c r="C42" s="495">
        <f>IF(D13="","-",+C41+1)</f>
        <v>2036</v>
      </c>
      <c r="D42" s="508">
        <f>IF(F41+SUM(E$17:E41)=D$10,F41,D$10-SUM(E$17:E41))</f>
        <v>198405.69034677173</v>
      </c>
      <c r="E42" s="509">
        <f>IF(+I14&lt;F41,I14,D42)</f>
        <v>19830.741935483871</v>
      </c>
      <c r="F42" s="510">
        <f t="shared" si="14"/>
        <v>178574.94841128786</v>
      </c>
      <c r="G42" s="511">
        <f t="shared" si="15"/>
        <v>41305.751855780967</v>
      </c>
      <c r="H42" s="477">
        <f t="shared" si="16"/>
        <v>41305.751855780967</v>
      </c>
      <c r="I42" s="500">
        <f t="shared" si="7"/>
        <v>0</v>
      </c>
      <c r="J42" s="500"/>
      <c r="K42" s="512"/>
      <c r="L42" s="504">
        <f t="shared" si="2"/>
        <v>0</v>
      </c>
      <c r="M42" s="512"/>
      <c r="N42" s="504">
        <f t="shared" si="4"/>
        <v>0</v>
      </c>
      <c r="O42" s="504">
        <f t="shared" si="5"/>
        <v>0</v>
      </c>
      <c r="P42" s="278"/>
      <c r="R42" s="243"/>
      <c r="S42" s="243"/>
      <c r="T42" s="243"/>
      <c r="U42" s="243"/>
    </row>
    <row r="43" spans="2:21">
      <c r="B43" s="145" t="str">
        <f t="shared" si="0"/>
        <v/>
      </c>
      <c r="C43" s="495">
        <f>IF(D14="","-",+C42+1)</f>
        <v>2037</v>
      </c>
      <c r="D43" s="508">
        <f>IF(F42+SUM(E$17:E42)=D$10,F42,D$10-SUM(E$17:E42))</f>
        <v>178574.94841128786</v>
      </c>
      <c r="E43" s="509">
        <f>IF(+I14&lt;F42,I14,D43)</f>
        <v>19830.741935483871</v>
      </c>
      <c r="F43" s="510">
        <f t="shared" si="14"/>
        <v>158744.20647580398</v>
      </c>
      <c r="G43" s="511">
        <f t="shared" si="15"/>
        <v>39046.403040444689</v>
      </c>
      <c r="H43" s="477">
        <f t="shared" si="16"/>
        <v>39046.403040444689</v>
      </c>
      <c r="I43" s="500">
        <f t="shared" si="7"/>
        <v>0</v>
      </c>
      <c r="J43" s="500"/>
      <c r="K43" s="512"/>
      <c r="L43" s="504">
        <f t="shared" si="2"/>
        <v>0</v>
      </c>
      <c r="M43" s="512"/>
      <c r="N43" s="504">
        <f t="shared" si="4"/>
        <v>0</v>
      </c>
      <c r="O43" s="504">
        <f t="shared" si="5"/>
        <v>0</v>
      </c>
      <c r="P43" s="278"/>
      <c r="R43" s="243"/>
      <c r="S43" s="243"/>
      <c r="T43" s="243"/>
      <c r="U43" s="243"/>
    </row>
    <row r="44" spans="2:21">
      <c r="B44" s="145" t="str">
        <f t="shared" si="0"/>
        <v/>
      </c>
      <c r="C44" s="495">
        <f>IF(D11="","-",+C43+1)</f>
        <v>2038</v>
      </c>
      <c r="D44" s="508">
        <f>IF(F43+SUM(E$17:E43)=D$10,F43,D$10-SUM(E$17:E43))</f>
        <v>158744.20647580398</v>
      </c>
      <c r="E44" s="509">
        <f>IF(+I14&lt;F43,I14,D44)</f>
        <v>19830.741935483871</v>
      </c>
      <c r="F44" s="510">
        <f t="shared" si="14"/>
        <v>138913.4645403201</v>
      </c>
      <c r="G44" s="511">
        <f t="shared" si="15"/>
        <v>36787.054225108412</v>
      </c>
      <c r="H44" s="477">
        <f t="shared" si="16"/>
        <v>36787.054225108412</v>
      </c>
      <c r="I44" s="500">
        <f t="shared" si="7"/>
        <v>0</v>
      </c>
      <c r="J44" s="500"/>
      <c r="K44" s="512"/>
      <c r="L44" s="504">
        <f t="shared" si="2"/>
        <v>0</v>
      </c>
      <c r="M44" s="512"/>
      <c r="N44" s="504">
        <f t="shared" si="4"/>
        <v>0</v>
      </c>
      <c r="O44" s="504">
        <f t="shared" si="5"/>
        <v>0</v>
      </c>
      <c r="P44" s="278"/>
      <c r="R44" s="243"/>
      <c r="S44" s="243"/>
      <c r="T44" s="243"/>
      <c r="U44" s="243"/>
    </row>
    <row r="45" spans="2:21">
      <c r="B45" s="145" t="str">
        <f t="shared" si="0"/>
        <v/>
      </c>
      <c r="C45" s="495">
        <f>IF(D11="","-",+C44+1)</f>
        <v>2039</v>
      </c>
      <c r="D45" s="508">
        <f>IF(F44+SUM(E$17:E44)=D$10,F44,D$10-SUM(E$17:E44))</f>
        <v>138913.4645403201</v>
      </c>
      <c r="E45" s="509">
        <f>IF(+I14&lt;F44,I14,D45)</f>
        <v>19830.741935483871</v>
      </c>
      <c r="F45" s="510">
        <f t="shared" si="14"/>
        <v>119082.72260483622</v>
      </c>
      <c r="G45" s="511">
        <f t="shared" si="15"/>
        <v>34527.705409772127</v>
      </c>
      <c r="H45" s="477">
        <f t="shared" si="16"/>
        <v>34527.705409772127</v>
      </c>
      <c r="I45" s="500">
        <f t="shared" si="7"/>
        <v>0</v>
      </c>
      <c r="J45" s="500"/>
      <c r="K45" s="512"/>
      <c r="L45" s="504">
        <f t="shared" si="2"/>
        <v>0</v>
      </c>
      <c r="M45" s="512"/>
      <c r="N45" s="504">
        <f t="shared" si="4"/>
        <v>0</v>
      </c>
      <c r="O45" s="504">
        <f t="shared" si="5"/>
        <v>0</v>
      </c>
      <c r="P45" s="278"/>
      <c r="R45" s="243"/>
      <c r="S45" s="243"/>
      <c r="T45" s="243"/>
      <c r="U45" s="243"/>
    </row>
    <row r="46" spans="2:21">
      <c r="B46" s="145" t="str">
        <f t="shared" si="0"/>
        <v/>
      </c>
      <c r="C46" s="495">
        <f>IF(D11="","-",+C45+1)</f>
        <v>2040</v>
      </c>
      <c r="D46" s="508">
        <f>IF(F45+SUM(E$17:E45)=D$10,F45,D$10-SUM(E$17:E45))</f>
        <v>119082.72260483622</v>
      </c>
      <c r="E46" s="509">
        <f>IF(+I14&lt;F45,I14,D46)</f>
        <v>19830.741935483871</v>
      </c>
      <c r="F46" s="510">
        <f t="shared" si="14"/>
        <v>99251.980669352342</v>
      </c>
      <c r="G46" s="511">
        <f t="shared" si="15"/>
        <v>32268.356594435849</v>
      </c>
      <c r="H46" s="477">
        <f t="shared" si="16"/>
        <v>32268.356594435849</v>
      </c>
      <c r="I46" s="500">
        <f t="shared" si="7"/>
        <v>0</v>
      </c>
      <c r="J46" s="500"/>
      <c r="K46" s="512"/>
      <c r="L46" s="504">
        <f t="shared" si="2"/>
        <v>0</v>
      </c>
      <c r="M46" s="512"/>
      <c r="N46" s="504">
        <f t="shared" si="4"/>
        <v>0</v>
      </c>
      <c r="O46" s="504">
        <f t="shared" si="5"/>
        <v>0</v>
      </c>
      <c r="P46" s="278"/>
      <c r="R46" s="243"/>
      <c r="S46" s="243"/>
      <c r="T46" s="243"/>
      <c r="U46" s="243"/>
    </row>
    <row r="47" spans="2:21">
      <c r="B47" s="145" t="str">
        <f t="shared" si="0"/>
        <v/>
      </c>
      <c r="C47" s="495">
        <f>IF(D11="","-",+C46+1)</f>
        <v>2041</v>
      </c>
      <c r="D47" s="508">
        <f>IF(F46+SUM(E$17:E46)=D$10,F46,D$10-SUM(E$17:E46))</f>
        <v>99251.980669352342</v>
      </c>
      <c r="E47" s="509">
        <f>IF(+I14&lt;F46,I14,D47)</f>
        <v>19830.741935483871</v>
      </c>
      <c r="F47" s="510">
        <f t="shared" si="14"/>
        <v>79421.238733868464</v>
      </c>
      <c r="G47" s="511">
        <f t="shared" si="15"/>
        <v>30009.007779099571</v>
      </c>
      <c r="H47" s="477">
        <f t="shared" si="16"/>
        <v>30009.007779099571</v>
      </c>
      <c r="I47" s="500">
        <f t="shared" si="7"/>
        <v>0</v>
      </c>
      <c r="J47" s="500"/>
      <c r="K47" s="512"/>
      <c r="L47" s="504">
        <f t="shared" si="2"/>
        <v>0</v>
      </c>
      <c r="M47" s="512"/>
      <c r="N47" s="504">
        <f t="shared" si="4"/>
        <v>0</v>
      </c>
      <c r="O47" s="504">
        <f t="shared" si="5"/>
        <v>0</v>
      </c>
      <c r="P47" s="278"/>
      <c r="R47" s="243"/>
      <c r="S47" s="243"/>
      <c r="T47" s="243"/>
      <c r="U47" s="243"/>
    </row>
    <row r="48" spans="2:21">
      <c r="B48" s="145" t="str">
        <f t="shared" si="0"/>
        <v/>
      </c>
      <c r="C48" s="495">
        <f>IF(D11="","-",+C47+1)</f>
        <v>2042</v>
      </c>
      <c r="D48" s="508">
        <f>IF(F47+SUM(E$17:E47)=D$10,F47,D$10-SUM(E$17:E47))</f>
        <v>79421.238733868464</v>
      </c>
      <c r="E48" s="509">
        <f>IF(+I14&lt;F47,I14,D48)</f>
        <v>19830.741935483871</v>
      </c>
      <c r="F48" s="510">
        <f t="shared" si="14"/>
        <v>59590.496798384593</v>
      </c>
      <c r="G48" s="511">
        <f t="shared" si="15"/>
        <v>27749.658963763293</v>
      </c>
      <c r="H48" s="477">
        <f t="shared" si="16"/>
        <v>27749.658963763293</v>
      </c>
      <c r="I48" s="500">
        <f t="shared" si="7"/>
        <v>0</v>
      </c>
      <c r="J48" s="500"/>
      <c r="K48" s="512"/>
      <c r="L48" s="504">
        <f t="shared" si="2"/>
        <v>0</v>
      </c>
      <c r="M48" s="512"/>
      <c r="N48" s="504">
        <f t="shared" si="4"/>
        <v>0</v>
      </c>
      <c r="O48" s="504">
        <f t="shared" si="5"/>
        <v>0</v>
      </c>
      <c r="P48" s="278"/>
      <c r="R48" s="243"/>
      <c r="S48" s="243"/>
      <c r="T48" s="243"/>
      <c r="U48" s="243"/>
    </row>
    <row r="49" spans="2:21">
      <c r="B49" s="145" t="str">
        <f t="shared" si="0"/>
        <v/>
      </c>
      <c r="C49" s="495">
        <f>IF(D11="","-",+C48+1)</f>
        <v>2043</v>
      </c>
      <c r="D49" s="508">
        <f>IF(F48+SUM(E$17:E48)=D$10,F48,D$10-SUM(E$17:E48))</f>
        <v>59590.496798384593</v>
      </c>
      <c r="E49" s="509">
        <f>IF(+I14&lt;F48,I14,D49)</f>
        <v>19830.741935483871</v>
      </c>
      <c r="F49" s="510">
        <f t="shared" si="14"/>
        <v>39759.754862900721</v>
      </c>
      <c r="G49" s="511">
        <f t="shared" si="15"/>
        <v>25490.310148427012</v>
      </c>
      <c r="H49" s="477">
        <f t="shared" si="16"/>
        <v>25490.310148427012</v>
      </c>
      <c r="I49" s="500">
        <f t="shared" si="7"/>
        <v>0</v>
      </c>
      <c r="J49" s="500"/>
      <c r="K49" s="512"/>
      <c r="L49" s="504">
        <f t="shared" si="2"/>
        <v>0</v>
      </c>
      <c r="M49" s="512"/>
      <c r="N49" s="504">
        <f t="shared" si="4"/>
        <v>0</v>
      </c>
      <c r="O49" s="504">
        <f t="shared" si="5"/>
        <v>0</v>
      </c>
      <c r="P49" s="278"/>
      <c r="R49" s="243"/>
      <c r="S49" s="243"/>
      <c r="T49" s="243"/>
      <c r="U49" s="243"/>
    </row>
    <row r="50" spans="2:21">
      <c r="B50" s="145" t="str">
        <f t="shared" ref="B50:B73" si="17">IF(D50=F49,"","IU")</f>
        <v/>
      </c>
      <c r="C50" s="495">
        <f>IF(D11="","-",+C49+1)</f>
        <v>2044</v>
      </c>
      <c r="D50" s="508">
        <f>IF(F49+SUM(E$17:E49)=D$10,F49,D$10-SUM(E$17:E49))</f>
        <v>39759.754862900721</v>
      </c>
      <c r="E50" s="509">
        <f>IF(+I14&lt;F49,I14,D50)</f>
        <v>19830.741935483871</v>
      </c>
      <c r="F50" s="510">
        <f t="shared" si="14"/>
        <v>19929.01292741685</v>
      </c>
      <c r="G50" s="511">
        <f t="shared" si="15"/>
        <v>23230.961333090734</v>
      </c>
      <c r="H50" s="477">
        <f t="shared" si="16"/>
        <v>23230.961333090734</v>
      </c>
      <c r="I50" s="500">
        <f t="shared" ref="I50:I73" si="18">H50-G50</f>
        <v>0</v>
      </c>
      <c r="J50" s="500"/>
      <c r="K50" s="512"/>
      <c r="L50" s="504">
        <f t="shared" ref="L50:L73" si="19">IF(K50&lt;&gt;0,+G50-K50,0)</f>
        <v>0</v>
      </c>
      <c r="M50" s="512"/>
      <c r="N50" s="504">
        <f t="shared" ref="N50:N73" si="20">IF(M50&lt;&gt;0,+H50-M50,0)</f>
        <v>0</v>
      </c>
      <c r="O50" s="504">
        <f t="shared" ref="O50:O73" si="21">+N50-L50</f>
        <v>0</v>
      </c>
      <c r="P50" s="278"/>
      <c r="R50" s="243"/>
      <c r="S50" s="243"/>
      <c r="T50" s="243"/>
      <c r="U50" s="243"/>
    </row>
    <row r="51" spans="2:21">
      <c r="B51" s="145" t="str">
        <f t="shared" si="17"/>
        <v/>
      </c>
      <c r="C51" s="495">
        <f>IF(D11="","-",+C50+1)</f>
        <v>2045</v>
      </c>
      <c r="D51" s="508">
        <f>IF(F50+SUM(E$17:E50)=D$10,F50,D$10-SUM(E$17:E50))</f>
        <v>19929.01292741685</v>
      </c>
      <c r="E51" s="509">
        <f>IF(+I14&lt;F50,I14,D51)</f>
        <v>19830.741935483871</v>
      </c>
      <c r="F51" s="510">
        <f t="shared" ref="F51:F73" si="22">+D51-E51</f>
        <v>98.270991932979086</v>
      </c>
      <c r="G51" s="511">
        <f t="shared" si="15"/>
        <v>20971.612517754456</v>
      </c>
      <c r="H51" s="477">
        <f t="shared" si="16"/>
        <v>20971.612517754456</v>
      </c>
      <c r="I51" s="500">
        <f t="shared" si="18"/>
        <v>0</v>
      </c>
      <c r="J51" s="500"/>
      <c r="K51" s="512"/>
      <c r="L51" s="504">
        <f t="shared" si="19"/>
        <v>0</v>
      </c>
      <c r="M51" s="512"/>
      <c r="N51" s="504">
        <f t="shared" si="20"/>
        <v>0</v>
      </c>
      <c r="O51" s="504">
        <f t="shared" si="21"/>
        <v>0</v>
      </c>
      <c r="P51" s="278"/>
      <c r="R51" s="243"/>
      <c r="S51" s="243"/>
      <c r="T51" s="243"/>
      <c r="U51" s="243"/>
    </row>
    <row r="52" spans="2:21">
      <c r="B52" s="145" t="str">
        <f t="shared" si="17"/>
        <v/>
      </c>
      <c r="C52" s="495">
        <f>IF(D11="","-",+C51+1)</f>
        <v>2046</v>
      </c>
      <c r="D52" s="508">
        <f>IF(F51+SUM(E$17:E51)=D$10,F51,D$10-SUM(E$17:E51))</f>
        <v>98.270991932979086</v>
      </c>
      <c r="E52" s="509">
        <f>IF(+I14&lt;F51,I14,D52)</f>
        <v>98.270991932979086</v>
      </c>
      <c r="F52" s="510">
        <f t="shared" si="22"/>
        <v>0</v>
      </c>
      <c r="G52" s="511">
        <f t="shared" si="15"/>
        <v>103.86907923420138</v>
      </c>
      <c r="H52" s="477">
        <f t="shared" si="16"/>
        <v>103.86907923420138</v>
      </c>
      <c r="I52" s="500">
        <f t="shared" si="18"/>
        <v>0</v>
      </c>
      <c r="J52" s="500"/>
      <c r="K52" s="512"/>
      <c r="L52" s="504">
        <f t="shared" si="19"/>
        <v>0</v>
      </c>
      <c r="M52" s="512"/>
      <c r="N52" s="504">
        <f t="shared" si="20"/>
        <v>0</v>
      </c>
      <c r="O52" s="504">
        <f t="shared" si="21"/>
        <v>0</v>
      </c>
      <c r="P52" s="278"/>
      <c r="R52" s="243"/>
      <c r="S52" s="243"/>
      <c r="T52" s="243"/>
      <c r="U52" s="243"/>
    </row>
    <row r="53" spans="2:21">
      <c r="B53" s="145" t="str">
        <f t="shared" si="17"/>
        <v/>
      </c>
      <c r="C53" s="495">
        <f>IF(D11="","-",+C52+1)</f>
        <v>2047</v>
      </c>
      <c r="D53" s="508">
        <f>IF(F52+SUM(E$17:E52)=D$10,F52,D$10-SUM(E$17:E52))</f>
        <v>0</v>
      </c>
      <c r="E53" s="509">
        <f>IF(+I14&lt;F52,I14,D53)</f>
        <v>0</v>
      </c>
      <c r="F53" s="510">
        <f t="shared" si="22"/>
        <v>0</v>
      </c>
      <c r="G53" s="511">
        <f t="shared" si="15"/>
        <v>0</v>
      </c>
      <c r="H53" s="477">
        <f t="shared" si="16"/>
        <v>0</v>
      </c>
      <c r="I53" s="500">
        <f t="shared" si="18"/>
        <v>0</v>
      </c>
      <c r="J53" s="500"/>
      <c r="K53" s="512"/>
      <c r="L53" s="504">
        <f t="shared" si="19"/>
        <v>0</v>
      </c>
      <c r="M53" s="512"/>
      <c r="N53" s="504">
        <f t="shared" si="20"/>
        <v>0</v>
      </c>
      <c r="O53" s="504">
        <f t="shared" si="21"/>
        <v>0</v>
      </c>
      <c r="P53" s="278"/>
      <c r="R53" s="243"/>
      <c r="S53" s="243"/>
      <c r="T53" s="243"/>
      <c r="U53" s="243"/>
    </row>
    <row r="54" spans="2:21">
      <c r="B54" s="145" t="str">
        <f t="shared" si="17"/>
        <v/>
      </c>
      <c r="C54" s="495">
        <f>IF(D11="","-",+C53+1)</f>
        <v>2048</v>
      </c>
      <c r="D54" s="508">
        <f>IF(F53+SUM(E$17:E53)=D$10,F53,D$10-SUM(E$17:E53))</f>
        <v>0</v>
      </c>
      <c r="E54" s="509">
        <f>IF(+I14&lt;F53,I14,D54)</f>
        <v>0</v>
      </c>
      <c r="F54" s="510">
        <f t="shared" si="22"/>
        <v>0</v>
      </c>
      <c r="G54" s="511">
        <f t="shared" si="15"/>
        <v>0</v>
      </c>
      <c r="H54" s="477">
        <f t="shared" si="16"/>
        <v>0</v>
      </c>
      <c r="I54" s="500">
        <f t="shared" si="18"/>
        <v>0</v>
      </c>
      <c r="J54" s="500"/>
      <c r="K54" s="512"/>
      <c r="L54" s="504">
        <f t="shared" si="19"/>
        <v>0</v>
      </c>
      <c r="M54" s="512"/>
      <c r="N54" s="504">
        <f t="shared" si="20"/>
        <v>0</v>
      </c>
      <c r="O54" s="504">
        <f t="shared" si="21"/>
        <v>0</v>
      </c>
      <c r="P54" s="278"/>
      <c r="R54" s="243"/>
      <c r="S54" s="243"/>
      <c r="T54" s="243"/>
      <c r="U54" s="243"/>
    </row>
    <row r="55" spans="2:21">
      <c r="B55" s="145" t="str">
        <f t="shared" si="17"/>
        <v/>
      </c>
      <c r="C55" s="495">
        <f>IF(D11="","-",+C54+1)</f>
        <v>2049</v>
      </c>
      <c r="D55" s="508">
        <f>IF(F54+SUM(E$17:E54)=D$10,F54,D$10-SUM(E$17:E54))</f>
        <v>0</v>
      </c>
      <c r="E55" s="509">
        <f>IF(+I14&lt;F54,I14,D55)</f>
        <v>0</v>
      </c>
      <c r="F55" s="510">
        <f t="shared" si="22"/>
        <v>0</v>
      </c>
      <c r="G55" s="511">
        <f t="shared" si="15"/>
        <v>0</v>
      </c>
      <c r="H55" s="477">
        <f t="shared" si="16"/>
        <v>0</v>
      </c>
      <c r="I55" s="500">
        <f t="shared" si="18"/>
        <v>0</v>
      </c>
      <c r="J55" s="500"/>
      <c r="K55" s="512"/>
      <c r="L55" s="504">
        <f t="shared" si="19"/>
        <v>0</v>
      </c>
      <c r="M55" s="512"/>
      <c r="N55" s="504">
        <f t="shared" si="20"/>
        <v>0</v>
      </c>
      <c r="O55" s="504">
        <f t="shared" si="21"/>
        <v>0</v>
      </c>
      <c r="P55" s="278"/>
      <c r="R55" s="243"/>
      <c r="S55" s="243"/>
      <c r="T55" s="243"/>
      <c r="U55" s="243"/>
    </row>
    <row r="56" spans="2:21">
      <c r="B56" s="145" t="str">
        <f t="shared" si="17"/>
        <v/>
      </c>
      <c r="C56" s="495">
        <f>IF(D11="","-",+C55+1)</f>
        <v>2050</v>
      </c>
      <c r="D56" s="508">
        <f>IF(F55+SUM(E$17:E55)=D$10,F55,D$10-SUM(E$17:E55))</f>
        <v>0</v>
      </c>
      <c r="E56" s="509">
        <f>IF(+I14&lt;F55,I14,D56)</f>
        <v>0</v>
      </c>
      <c r="F56" s="510">
        <f t="shared" si="22"/>
        <v>0</v>
      </c>
      <c r="G56" s="511">
        <f t="shared" si="15"/>
        <v>0</v>
      </c>
      <c r="H56" s="477">
        <f t="shared" si="16"/>
        <v>0</v>
      </c>
      <c r="I56" s="500">
        <f t="shared" si="18"/>
        <v>0</v>
      </c>
      <c r="J56" s="500"/>
      <c r="K56" s="512"/>
      <c r="L56" s="504">
        <f t="shared" si="19"/>
        <v>0</v>
      </c>
      <c r="M56" s="512"/>
      <c r="N56" s="504">
        <f t="shared" si="20"/>
        <v>0</v>
      </c>
      <c r="O56" s="504">
        <f t="shared" si="21"/>
        <v>0</v>
      </c>
      <c r="P56" s="278"/>
      <c r="R56" s="243"/>
      <c r="S56" s="243"/>
      <c r="T56" s="243"/>
      <c r="U56" s="243"/>
    </row>
    <row r="57" spans="2:21">
      <c r="B57" s="145" t="str">
        <f t="shared" si="17"/>
        <v/>
      </c>
      <c r="C57" s="495">
        <f>IF(D11="","-",+C56+1)</f>
        <v>2051</v>
      </c>
      <c r="D57" s="508">
        <f>IF(F56+SUM(E$17:E56)=D$10,F56,D$10-SUM(E$17:E56))</f>
        <v>0</v>
      </c>
      <c r="E57" s="509">
        <f>IF(+I14&lt;F56,I14,D57)</f>
        <v>0</v>
      </c>
      <c r="F57" s="510">
        <f t="shared" si="22"/>
        <v>0</v>
      </c>
      <c r="G57" s="511">
        <f t="shared" si="15"/>
        <v>0</v>
      </c>
      <c r="H57" s="477">
        <f t="shared" si="16"/>
        <v>0</v>
      </c>
      <c r="I57" s="500">
        <f t="shared" si="18"/>
        <v>0</v>
      </c>
      <c r="J57" s="500"/>
      <c r="K57" s="512"/>
      <c r="L57" s="504">
        <f t="shared" si="19"/>
        <v>0</v>
      </c>
      <c r="M57" s="512"/>
      <c r="N57" s="504">
        <f t="shared" si="20"/>
        <v>0</v>
      </c>
      <c r="O57" s="504">
        <f t="shared" si="21"/>
        <v>0</v>
      </c>
      <c r="P57" s="278"/>
      <c r="R57" s="243"/>
      <c r="S57" s="243"/>
      <c r="T57" s="243"/>
      <c r="U57" s="243"/>
    </row>
    <row r="58" spans="2:21">
      <c r="B58" s="145" t="str">
        <f t="shared" si="17"/>
        <v/>
      </c>
      <c r="C58" s="495">
        <f>IF(D11="","-",+C57+1)</f>
        <v>2052</v>
      </c>
      <c r="D58" s="508">
        <f>IF(F57+SUM(E$17:E57)=D$10,F57,D$10-SUM(E$17:E57))</f>
        <v>0</v>
      </c>
      <c r="E58" s="509">
        <f>IF(+I14&lt;F57,I14,D58)</f>
        <v>0</v>
      </c>
      <c r="F58" s="510">
        <f t="shared" si="22"/>
        <v>0</v>
      </c>
      <c r="G58" s="511">
        <f t="shared" si="15"/>
        <v>0</v>
      </c>
      <c r="H58" s="477">
        <f t="shared" si="16"/>
        <v>0</v>
      </c>
      <c r="I58" s="500">
        <f t="shared" si="18"/>
        <v>0</v>
      </c>
      <c r="J58" s="500"/>
      <c r="K58" s="512"/>
      <c r="L58" s="504">
        <f t="shared" si="19"/>
        <v>0</v>
      </c>
      <c r="M58" s="512"/>
      <c r="N58" s="504">
        <f t="shared" si="20"/>
        <v>0</v>
      </c>
      <c r="O58" s="504">
        <f t="shared" si="21"/>
        <v>0</v>
      </c>
      <c r="P58" s="278"/>
      <c r="R58" s="243"/>
      <c r="S58" s="243"/>
      <c r="T58" s="243"/>
      <c r="U58" s="243"/>
    </row>
    <row r="59" spans="2:21">
      <c r="B59" s="145" t="str">
        <f t="shared" si="17"/>
        <v/>
      </c>
      <c r="C59" s="495">
        <f>IF(D11="","-",+C58+1)</f>
        <v>2053</v>
      </c>
      <c r="D59" s="508">
        <f>IF(F58+SUM(E$17:E58)=D$10,F58,D$10-SUM(E$17:E58))</f>
        <v>0</v>
      </c>
      <c r="E59" s="509">
        <f>IF(+I14&lt;F58,I14,D59)</f>
        <v>0</v>
      </c>
      <c r="F59" s="510">
        <f t="shared" si="22"/>
        <v>0</v>
      </c>
      <c r="G59" s="511">
        <f t="shared" si="15"/>
        <v>0</v>
      </c>
      <c r="H59" s="477">
        <f t="shared" si="16"/>
        <v>0</v>
      </c>
      <c r="I59" s="500">
        <f t="shared" si="18"/>
        <v>0</v>
      </c>
      <c r="J59" s="500"/>
      <c r="K59" s="512"/>
      <c r="L59" s="504">
        <f t="shared" si="19"/>
        <v>0</v>
      </c>
      <c r="M59" s="512"/>
      <c r="N59" s="504">
        <f t="shared" si="20"/>
        <v>0</v>
      </c>
      <c r="O59" s="504">
        <f t="shared" si="21"/>
        <v>0</v>
      </c>
      <c r="P59" s="278"/>
      <c r="R59" s="243"/>
      <c r="S59" s="243"/>
      <c r="T59" s="243"/>
      <c r="U59" s="243"/>
    </row>
    <row r="60" spans="2:21">
      <c r="B60" s="145" t="str">
        <f t="shared" si="17"/>
        <v/>
      </c>
      <c r="C60" s="495">
        <f>IF(D11="","-",+C59+1)</f>
        <v>2054</v>
      </c>
      <c r="D60" s="508">
        <f>IF(F59+SUM(E$17:E59)=D$10,F59,D$10-SUM(E$17:E59))</f>
        <v>0</v>
      </c>
      <c r="E60" s="509">
        <f>IF(+I14&lt;F59,I14,D60)</f>
        <v>0</v>
      </c>
      <c r="F60" s="510">
        <f t="shared" si="22"/>
        <v>0</v>
      </c>
      <c r="G60" s="511">
        <f t="shared" si="15"/>
        <v>0</v>
      </c>
      <c r="H60" s="477">
        <f t="shared" si="16"/>
        <v>0</v>
      </c>
      <c r="I60" s="500">
        <f t="shared" si="18"/>
        <v>0</v>
      </c>
      <c r="J60" s="500"/>
      <c r="K60" s="512"/>
      <c r="L60" s="504">
        <f t="shared" si="19"/>
        <v>0</v>
      </c>
      <c r="M60" s="512"/>
      <c r="N60" s="504">
        <f t="shared" si="20"/>
        <v>0</v>
      </c>
      <c r="O60" s="504">
        <f t="shared" si="21"/>
        <v>0</v>
      </c>
      <c r="P60" s="278"/>
      <c r="R60" s="243"/>
      <c r="S60" s="243"/>
      <c r="T60" s="243"/>
      <c r="U60" s="243"/>
    </row>
    <row r="61" spans="2:21">
      <c r="B61" s="145" t="str">
        <f t="shared" si="17"/>
        <v/>
      </c>
      <c r="C61" s="495">
        <f>IF(D11="","-",+C60+1)</f>
        <v>2055</v>
      </c>
      <c r="D61" s="508">
        <f>IF(F60+SUM(E$17:E60)=D$10,F60,D$10-SUM(E$17:E60))</f>
        <v>0</v>
      </c>
      <c r="E61" s="509">
        <f>IF(+I14&lt;F60,I14,D61)</f>
        <v>0</v>
      </c>
      <c r="F61" s="510">
        <f t="shared" si="22"/>
        <v>0</v>
      </c>
      <c r="G61" s="511">
        <f t="shared" si="15"/>
        <v>0</v>
      </c>
      <c r="H61" s="477">
        <f t="shared" si="16"/>
        <v>0</v>
      </c>
      <c r="I61" s="500">
        <f t="shared" si="18"/>
        <v>0</v>
      </c>
      <c r="J61" s="500"/>
      <c r="K61" s="512"/>
      <c r="L61" s="504">
        <f t="shared" si="19"/>
        <v>0</v>
      </c>
      <c r="M61" s="512"/>
      <c r="N61" s="504">
        <f t="shared" si="20"/>
        <v>0</v>
      </c>
      <c r="O61" s="504">
        <f t="shared" si="21"/>
        <v>0</v>
      </c>
      <c r="P61" s="278"/>
      <c r="R61" s="243"/>
      <c r="S61" s="243"/>
      <c r="T61" s="243"/>
      <c r="U61" s="243"/>
    </row>
    <row r="62" spans="2:21">
      <c r="B62" s="145" t="str">
        <f t="shared" si="17"/>
        <v/>
      </c>
      <c r="C62" s="495">
        <f>IF(D11="","-",+C61+1)</f>
        <v>2056</v>
      </c>
      <c r="D62" s="508">
        <f>IF(F61+SUM(E$17:E61)=D$10,F61,D$10-SUM(E$17:E61))</f>
        <v>0</v>
      </c>
      <c r="E62" s="509">
        <f>IF(+I14&lt;F61,I14,D62)</f>
        <v>0</v>
      </c>
      <c r="F62" s="510">
        <f t="shared" si="22"/>
        <v>0</v>
      </c>
      <c r="G62" s="523">
        <f t="shared" si="15"/>
        <v>0</v>
      </c>
      <c r="H62" s="477">
        <f t="shared" si="16"/>
        <v>0</v>
      </c>
      <c r="I62" s="500">
        <f t="shared" si="18"/>
        <v>0</v>
      </c>
      <c r="J62" s="500"/>
      <c r="K62" s="512"/>
      <c r="L62" s="504">
        <f t="shared" si="19"/>
        <v>0</v>
      </c>
      <c r="M62" s="512"/>
      <c r="N62" s="504">
        <f t="shared" si="20"/>
        <v>0</v>
      </c>
      <c r="O62" s="504">
        <f t="shared" si="21"/>
        <v>0</v>
      </c>
      <c r="P62" s="278"/>
      <c r="R62" s="243"/>
      <c r="S62" s="243"/>
      <c r="T62" s="243"/>
      <c r="U62" s="243"/>
    </row>
    <row r="63" spans="2:21">
      <c r="B63" s="145" t="str">
        <f t="shared" si="17"/>
        <v/>
      </c>
      <c r="C63" s="495">
        <f>IF(D11="","-",+C62+1)</f>
        <v>2057</v>
      </c>
      <c r="D63" s="508">
        <f>IF(F62+SUM(E$17:E62)=D$10,F62,D$10-SUM(E$17:E62))</f>
        <v>0</v>
      </c>
      <c r="E63" s="509">
        <f>IF(+I14&lt;F62,I14,D63)</f>
        <v>0</v>
      </c>
      <c r="F63" s="510">
        <f t="shared" si="22"/>
        <v>0</v>
      </c>
      <c r="G63" s="523">
        <f t="shared" si="15"/>
        <v>0</v>
      </c>
      <c r="H63" s="477">
        <f t="shared" si="16"/>
        <v>0</v>
      </c>
      <c r="I63" s="500">
        <f t="shared" si="18"/>
        <v>0</v>
      </c>
      <c r="J63" s="500"/>
      <c r="K63" s="512"/>
      <c r="L63" s="504">
        <f t="shared" si="19"/>
        <v>0</v>
      </c>
      <c r="M63" s="512"/>
      <c r="N63" s="504">
        <f t="shared" si="20"/>
        <v>0</v>
      </c>
      <c r="O63" s="504">
        <f t="shared" si="21"/>
        <v>0</v>
      </c>
      <c r="P63" s="278"/>
      <c r="R63" s="243"/>
      <c r="S63" s="243"/>
      <c r="T63" s="243"/>
      <c r="U63" s="243"/>
    </row>
    <row r="64" spans="2:21">
      <c r="B64" s="145" t="str">
        <f t="shared" si="17"/>
        <v/>
      </c>
      <c r="C64" s="495">
        <f>IF(D11="","-",+C63+1)</f>
        <v>2058</v>
      </c>
      <c r="D64" s="508">
        <f>IF(F63+SUM(E$17:E63)=D$10,F63,D$10-SUM(E$17:E63))</f>
        <v>0</v>
      </c>
      <c r="E64" s="509">
        <f>IF(+I14&lt;F63,I14,D64)</f>
        <v>0</v>
      </c>
      <c r="F64" s="510">
        <f t="shared" si="22"/>
        <v>0</v>
      </c>
      <c r="G64" s="523">
        <f t="shared" si="15"/>
        <v>0</v>
      </c>
      <c r="H64" s="477">
        <f t="shared" si="16"/>
        <v>0</v>
      </c>
      <c r="I64" s="500">
        <f t="shared" si="18"/>
        <v>0</v>
      </c>
      <c r="J64" s="500"/>
      <c r="K64" s="512"/>
      <c r="L64" s="504">
        <f t="shared" si="19"/>
        <v>0</v>
      </c>
      <c r="M64" s="512"/>
      <c r="N64" s="504">
        <f t="shared" si="20"/>
        <v>0</v>
      </c>
      <c r="O64" s="504">
        <f t="shared" si="21"/>
        <v>0</v>
      </c>
      <c r="P64" s="278"/>
      <c r="R64" s="243"/>
      <c r="S64" s="243"/>
      <c r="T64" s="243"/>
      <c r="U64" s="243"/>
    </row>
    <row r="65" spans="2:21">
      <c r="B65" s="145" t="str">
        <f t="shared" si="17"/>
        <v/>
      </c>
      <c r="C65" s="495">
        <f>IF(D11="","-",+C64+1)</f>
        <v>2059</v>
      </c>
      <c r="D65" s="508">
        <f>IF(F64+SUM(E$17:E64)=D$10,F64,D$10-SUM(E$17:E64))</f>
        <v>0</v>
      </c>
      <c r="E65" s="509">
        <f>IF(+I14&lt;F64,I14,D65)</f>
        <v>0</v>
      </c>
      <c r="F65" s="510">
        <f t="shared" si="22"/>
        <v>0</v>
      </c>
      <c r="G65" s="523">
        <f t="shared" si="15"/>
        <v>0</v>
      </c>
      <c r="H65" s="477">
        <f t="shared" si="16"/>
        <v>0</v>
      </c>
      <c r="I65" s="500">
        <f t="shared" si="18"/>
        <v>0</v>
      </c>
      <c r="J65" s="500"/>
      <c r="K65" s="512"/>
      <c r="L65" s="504">
        <f t="shared" si="19"/>
        <v>0</v>
      </c>
      <c r="M65" s="512"/>
      <c r="N65" s="504">
        <f t="shared" si="20"/>
        <v>0</v>
      </c>
      <c r="O65" s="504">
        <f t="shared" si="21"/>
        <v>0</v>
      </c>
      <c r="P65" s="278"/>
      <c r="R65" s="243"/>
      <c r="S65" s="243"/>
      <c r="T65" s="243"/>
      <c r="U65" s="243"/>
    </row>
    <row r="66" spans="2:21">
      <c r="B66" s="145" t="str">
        <f t="shared" si="17"/>
        <v/>
      </c>
      <c r="C66" s="495">
        <f>IF(D11="","-",+C65+1)</f>
        <v>2060</v>
      </c>
      <c r="D66" s="508">
        <f>IF(F65+SUM(E$17:E65)=D$10,F65,D$10-SUM(E$17:E65))</f>
        <v>0</v>
      </c>
      <c r="E66" s="509">
        <f>IF(+I14&lt;F65,I14,D66)</f>
        <v>0</v>
      </c>
      <c r="F66" s="510">
        <f t="shared" si="22"/>
        <v>0</v>
      </c>
      <c r="G66" s="523">
        <f t="shared" si="15"/>
        <v>0</v>
      </c>
      <c r="H66" s="477">
        <f t="shared" si="16"/>
        <v>0</v>
      </c>
      <c r="I66" s="500">
        <f t="shared" si="18"/>
        <v>0</v>
      </c>
      <c r="J66" s="500"/>
      <c r="K66" s="512"/>
      <c r="L66" s="504">
        <f t="shared" si="19"/>
        <v>0</v>
      </c>
      <c r="M66" s="512"/>
      <c r="N66" s="504">
        <f t="shared" si="20"/>
        <v>0</v>
      </c>
      <c r="O66" s="504">
        <f t="shared" si="21"/>
        <v>0</v>
      </c>
      <c r="P66" s="278"/>
      <c r="R66" s="243"/>
      <c r="S66" s="243"/>
      <c r="T66" s="243"/>
      <c r="U66" s="243"/>
    </row>
    <row r="67" spans="2:21">
      <c r="B67" s="145" t="str">
        <f t="shared" si="17"/>
        <v/>
      </c>
      <c r="C67" s="495">
        <f>IF(D11="","-",+C66+1)</f>
        <v>2061</v>
      </c>
      <c r="D67" s="508">
        <f>IF(F66+SUM(E$17:E66)=D$10,F66,D$10-SUM(E$17:E66))</f>
        <v>0</v>
      </c>
      <c r="E67" s="509">
        <f>IF(+I14&lt;F66,I14,D67)</f>
        <v>0</v>
      </c>
      <c r="F67" s="510">
        <f t="shared" si="22"/>
        <v>0</v>
      </c>
      <c r="G67" s="523">
        <f t="shared" si="15"/>
        <v>0</v>
      </c>
      <c r="H67" s="477">
        <f t="shared" si="16"/>
        <v>0</v>
      </c>
      <c r="I67" s="500">
        <f t="shared" si="18"/>
        <v>0</v>
      </c>
      <c r="J67" s="500"/>
      <c r="K67" s="512"/>
      <c r="L67" s="504">
        <f t="shared" si="19"/>
        <v>0</v>
      </c>
      <c r="M67" s="512"/>
      <c r="N67" s="504">
        <f t="shared" si="20"/>
        <v>0</v>
      </c>
      <c r="O67" s="504">
        <f t="shared" si="21"/>
        <v>0</v>
      </c>
      <c r="P67" s="278"/>
      <c r="R67" s="243"/>
      <c r="S67" s="243"/>
      <c r="T67" s="243"/>
      <c r="U67" s="243"/>
    </row>
    <row r="68" spans="2:21">
      <c r="B68" s="145" t="str">
        <f t="shared" si="17"/>
        <v/>
      </c>
      <c r="C68" s="495">
        <f>IF(D11="","-",+C67+1)</f>
        <v>2062</v>
      </c>
      <c r="D68" s="508">
        <f>IF(F67+SUM(E$17:E67)=D$10,F67,D$10-SUM(E$17:E67))</f>
        <v>0</v>
      </c>
      <c r="E68" s="509">
        <f>IF(+I14&lt;F67,I14,D68)</f>
        <v>0</v>
      </c>
      <c r="F68" s="510">
        <f t="shared" si="22"/>
        <v>0</v>
      </c>
      <c r="G68" s="523">
        <f t="shared" si="15"/>
        <v>0</v>
      </c>
      <c r="H68" s="477">
        <f t="shared" si="16"/>
        <v>0</v>
      </c>
      <c r="I68" s="500">
        <f t="shared" si="18"/>
        <v>0</v>
      </c>
      <c r="J68" s="500"/>
      <c r="K68" s="512"/>
      <c r="L68" s="504">
        <f t="shared" si="19"/>
        <v>0</v>
      </c>
      <c r="M68" s="512"/>
      <c r="N68" s="504">
        <f t="shared" si="20"/>
        <v>0</v>
      </c>
      <c r="O68" s="504">
        <f t="shared" si="21"/>
        <v>0</v>
      </c>
      <c r="P68" s="278"/>
      <c r="R68" s="243"/>
      <c r="S68" s="243"/>
      <c r="T68" s="243"/>
      <c r="U68" s="243"/>
    </row>
    <row r="69" spans="2:21">
      <c r="B69" s="145" t="str">
        <f t="shared" si="17"/>
        <v/>
      </c>
      <c r="C69" s="495">
        <f>IF(D11="","-",+C68+1)</f>
        <v>2063</v>
      </c>
      <c r="D69" s="508">
        <f>IF(F68+SUM(E$17:E68)=D$10,F68,D$10-SUM(E$17:E68))</f>
        <v>0</v>
      </c>
      <c r="E69" s="509">
        <f>IF(+I14&lt;F68,I14,D69)</f>
        <v>0</v>
      </c>
      <c r="F69" s="510">
        <f t="shared" si="22"/>
        <v>0</v>
      </c>
      <c r="G69" s="523">
        <f t="shared" si="15"/>
        <v>0</v>
      </c>
      <c r="H69" s="477">
        <f t="shared" si="16"/>
        <v>0</v>
      </c>
      <c r="I69" s="500">
        <f t="shared" si="18"/>
        <v>0</v>
      </c>
      <c r="J69" s="500"/>
      <c r="K69" s="512"/>
      <c r="L69" s="504">
        <f t="shared" si="19"/>
        <v>0</v>
      </c>
      <c r="M69" s="512"/>
      <c r="N69" s="504">
        <f t="shared" si="20"/>
        <v>0</v>
      </c>
      <c r="O69" s="504">
        <f t="shared" si="21"/>
        <v>0</v>
      </c>
      <c r="P69" s="278"/>
      <c r="R69" s="243"/>
      <c r="S69" s="243"/>
      <c r="T69" s="243"/>
      <c r="U69" s="243"/>
    </row>
    <row r="70" spans="2:21">
      <c r="B70" s="145" t="str">
        <f t="shared" si="17"/>
        <v/>
      </c>
      <c r="C70" s="495">
        <f>IF(D11="","-",+C69+1)</f>
        <v>2064</v>
      </c>
      <c r="D70" s="508">
        <f>IF(F69+SUM(E$17:E69)=D$10,F69,D$10-SUM(E$17:E69))</f>
        <v>0</v>
      </c>
      <c r="E70" s="509">
        <f>IF(+I14&lt;F69,I14,D70)</f>
        <v>0</v>
      </c>
      <c r="F70" s="510">
        <f t="shared" si="22"/>
        <v>0</v>
      </c>
      <c r="G70" s="523">
        <f t="shared" si="15"/>
        <v>0</v>
      </c>
      <c r="H70" s="477">
        <f t="shared" si="16"/>
        <v>0</v>
      </c>
      <c r="I70" s="500">
        <f t="shared" si="18"/>
        <v>0</v>
      </c>
      <c r="J70" s="500"/>
      <c r="K70" s="512"/>
      <c r="L70" s="504">
        <f t="shared" si="19"/>
        <v>0</v>
      </c>
      <c r="M70" s="512"/>
      <c r="N70" s="504">
        <f t="shared" si="20"/>
        <v>0</v>
      </c>
      <c r="O70" s="504">
        <f t="shared" si="21"/>
        <v>0</v>
      </c>
      <c r="P70" s="278"/>
      <c r="R70" s="243"/>
      <c r="S70" s="243"/>
      <c r="T70" s="243"/>
      <c r="U70" s="243"/>
    </row>
    <row r="71" spans="2:21">
      <c r="B71" s="145" t="str">
        <f t="shared" si="17"/>
        <v/>
      </c>
      <c r="C71" s="495">
        <f>IF(D11="","-",+C70+1)</f>
        <v>2065</v>
      </c>
      <c r="D71" s="508">
        <f>IF(F70+SUM(E$17:E70)=D$10,F70,D$10-SUM(E$17:E70))</f>
        <v>0</v>
      </c>
      <c r="E71" s="509">
        <f>IF(+I14&lt;F70,I14,D71)</f>
        <v>0</v>
      </c>
      <c r="F71" s="510">
        <f t="shared" si="22"/>
        <v>0</v>
      </c>
      <c r="G71" s="523">
        <f t="shared" si="15"/>
        <v>0</v>
      </c>
      <c r="H71" s="477">
        <f t="shared" si="16"/>
        <v>0</v>
      </c>
      <c r="I71" s="500">
        <f t="shared" si="18"/>
        <v>0</v>
      </c>
      <c r="J71" s="500"/>
      <c r="K71" s="512"/>
      <c r="L71" s="504">
        <f t="shared" si="19"/>
        <v>0</v>
      </c>
      <c r="M71" s="512"/>
      <c r="N71" s="504">
        <f t="shared" si="20"/>
        <v>0</v>
      </c>
      <c r="O71" s="504">
        <f t="shared" si="21"/>
        <v>0</v>
      </c>
      <c r="P71" s="278"/>
      <c r="R71" s="243"/>
      <c r="S71" s="243"/>
      <c r="T71" s="243"/>
      <c r="U71" s="243"/>
    </row>
    <row r="72" spans="2:21">
      <c r="B72" s="145" t="str">
        <f t="shared" si="17"/>
        <v/>
      </c>
      <c r="C72" s="495">
        <f>IF(D11="","-",+C71+1)</f>
        <v>2066</v>
      </c>
      <c r="D72" s="508">
        <f>IF(F71+SUM(E$17:E71)=D$10,F71,D$10-SUM(E$17:E71))</f>
        <v>0</v>
      </c>
      <c r="E72" s="509">
        <f>IF(+I14&lt;F71,I14,D72)</f>
        <v>0</v>
      </c>
      <c r="F72" s="510">
        <f t="shared" si="22"/>
        <v>0</v>
      </c>
      <c r="G72" s="523">
        <f t="shared" si="15"/>
        <v>0</v>
      </c>
      <c r="H72" s="477">
        <f t="shared" si="16"/>
        <v>0</v>
      </c>
      <c r="I72" s="500">
        <f t="shared" si="18"/>
        <v>0</v>
      </c>
      <c r="J72" s="500"/>
      <c r="K72" s="512"/>
      <c r="L72" s="504">
        <f t="shared" si="19"/>
        <v>0</v>
      </c>
      <c r="M72" s="512"/>
      <c r="N72" s="504">
        <f t="shared" si="20"/>
        <v>0</v>
      </c>
      <c r="O72" s="504">
        <f t="shared" si="21"/>
        <v>0</v>
      </c>
      <c r="P72" s="278"/>
      <c r="R72" s="243"/>
      <c r="S72" s="243"/>
      <c r="T72" s="243"/>
      <c r="U72" s="243"/>
    </row>
    <row r="73" spans="2:21" ht="13.5" thickBot="1">
      <c r="B73" s="145" t="str">
        <f t="shared" si="17"/>
        <v/>
      </c>
      <c r="C73" s="524">
        <f>IF(D11="","-",+C72+1)</f>
        <v>2067</v>
      </c>
      <c r="D73" s="525">
        <f>IF(F72+SUM(E$17:E72)=D$10,F72,D$10-SUM(E$17:E72))</f>
        <v>0</v>
      </c>
      <c r="E73" s="526">
        <f>IF(+I14&lt;F72,I14,D73)</f>
        <v>0</v>
      </c>
      <c r="F73" s="527">
        <f t="shared" si="22"/>
        <v>0</v>
      </c>
      <c r="G73" s="528">
        <f t="shared" si="15"/>
        <v>0</v>
      </c>
      <c r="H73" s="458">
        <f t="shared" si="16"/>
        <v>0</v>
      </c>
      <c r="I73" s="529">
        <f t="shared" si="18"/>
        <v>0</v>
      </c>
      <c r="J73" s="500"/>
      <c r="K73" s="530"/>
      <c r="L73" s="531">
        <f t="shared" si="19"/>
        <v>0</v>
      </c>
      <c r="M73" s="530"/>
      <c r="N73" s="531">
        <f t="shared" si="20"/>
        <v>0</v>
      </c>
      <c r="O73" s="531">
        <f t="shared" si="21"/>
        <v>0</v>
      </c>
      <c r="P73" s="278"/>
      <c r="R73" s="243"/>
      <c r="S73" s="243"/>
      <c r="T73" s="243"/>
      <c r="U73" s="243"/>
    </row>
    <row r="74" spans="2:21">
      <c r="C74" s="349" t="s">
        <v>75</v>
      </c>
      <c r="D74" s="294"/>
      <c r="E74" s="294">
        <f>SUM(E17:E73)</f>
        <v>614752.99999999988</v>
      </c>
      <c r="F74" s="294"/>
      <c r="G74" s="294">
        <f>SUM(G17:G73)</f>
        <v>2003936.789268598</v>
      </c>
      <c r="H74" s="294">
        <f>SUM(H17:H73)</f>
        <v>2003936.789268598</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3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72273.408385464543</v>
      </c>
      <c r="N88" s="544">
        <f>IF(J93&lt;D11,0,VLOOKUP(J93,C17:O73,11))</f>
        <v>72273.408385464543</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80333.712117672912</v>
      </c>
      <c r="N89" s="548">
        <f>IF(J93&lt;D11,0,VLOOKUP(J93,C100:P155,7))</f>
        <v>80333.712117672912</v>
      </c>
      <c r="O89" s="549">
        <f>+N89-M89</f>
        <v>0</v>
      </c>
      <c r="P89" s="243"/>
      <c r="Q89" s="243"/>
      <c r="R89" s="243"/>
      <c r="S89" s="243"/>
      <c r="T89" s="243"/>
      <c r="U89" s="243"/>
    </row>
    <row r="90" spans="1:21" ht="13.5" thickBot="1">
      <c r="C90" s="454" t="s">
        <v>82</v>
      </c>
      <c r="D90" s="550" t="str">
        <f>+D7</f>
        <v>Tulsa Power Station Reactor</v>
      </c>
      <c r="E90" s="243"/>
      <c r="F90" s="243"/>
      <c r="G90" s="243"/>
      <c r="H90" s="243"/>
      <c r="I90" s="325"/>
      <c r="J90" s="325"/>
      <c r="K90" s="551"/>
      <c r="L90" s="552" t="s">
        <v>135</v>
      </c>
      <c r="M90" s="553">
        <f>+M89-M88</f>
        <v>8060.3037322083692</v>
      </c>
      <c r="N90" s="553">
        <f>+N89-N88</f>
        <v>8060.3037322083692</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TP2009090</v>
      </c>
      <c r="E92" s="558"/>
      <c r="F92" s="558"/>
      <c r="G92" s="558"/>
      <c r="H92" s="558"/>
      <c r="I92" s="558"/>
      <c r="J92" s="558"/>
      <c r="K92" s="560"/>
      <c r="P92" s="468"/>
      <c r="Q92" s="243"/>
      <c r="R92" s="243"/>
      <c r="S92" s="243"/>
      <c r="T92" s="243"/>
      <c r="U92" s="243"/>
    </row>
    <row r="93" spans="1:21">
      <c r="C93" s="472" t="s">
        <v>49</v>
      </c>
      <c r="D93" s="470">
        <f>IF(D11=I10,0,D10)</f>
        <v>614753</v>
      </c>
      <c r="E93" s="248" t="s">
        <v>84</v>
      </c>
      <c r="H93" s="408"/>
      <c r="I93" s="408"/>
      <c r="J93" s="471">
        <f>+'OKT.WS.G.BPU.ATRR.True-up'!M16</f>
        <v>2021</v>
      </c>
      <c r="K93" s="467"/>
      <c r="L93" s="294" t="s">
        <v>85</v>
      </c>
      <c r="P93" s="278"/>
      <c r="Q93" s="243"/>
      <c r="R93" s="243"/>
      <c r="S93" s="243"/>
      <c r="T93" s="243"/>
      <c r="U93" s="243"/>
    </row>
    <row r="94" spans="1:21">
      <c r="C94" s="472" t="s">
        <v>52</v>
      </c>
      <c r="D94" s="561">
        <f>IF(D11=I10,"",D11)</f>
        <v>2011</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IF(D11=I10,"",D12)</f>
        <v>10</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24590.12</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31" si="23">IF(D100=F99,"","IU")</f>
        <v>IU</v>
      </c>
      <c r="C100" s="495">
        <f>IF(D94= "","-",D94)</f>
        <v>2011</v>
      </c>
      <c r="D100" s="496">
        <v>0</v>
      </c>
      <c r="E100" s="498">
        <v>1766.3534482758621</v>
      </c>
      <c r="F100" s="505">
        <v>612924.64655172417</v>
      </c>
      <c r="G100" s="571">
        <v>306462.32327586209</v>
      </c>
      <c r="H100" s="571">
        <v>24552.570276961298</v>
      </c>
      <c r="I100" s="571">
        <v>24552.570276961298</v>
      </c>
      <c r="J100" s="504">
        <v>0</v>
      </c>
      <c r="K100" s="504"/>
      <c r="L100" s="587">
        <f t="shared" ref="L100:L105" si="24">H100</f>
        <v>24552.570276961298</v>
      </c>
      <c r="M100" s="588">
        <f t="shared" ref="M100:M131" si="25">IF(L100&lt;&gt;0,+H100-L100,0)</f>
        <v>0</v>
      </c>
      <c r="N100" s="506">
        <f t="shared" ref="N100:N105" si="26">I100</f>
        <v>24552.570276961298</v>
      </c>
      <c r="O100" s="588">
        <f t="shared" ref="O100:O131" si="27">IF(N100&lt;&gt;0,+I100-N100,0)</f>
        <v>0</v>
      </c>
      <c r="P100" s="503">
        <f t="shared" ref="P100:P131" si="28">+O100-M100</f>
        <v>0</v>
      </c>
      <c r="Q100" s="243"/>
      <c r="R100" s="243"/>
      <c r="S100" s="243"/>
      <c r="T100" s="243"/>
      <c r="U100" s="243"/>
    </row>
    <row r="101" spans="1:21">
      <c r="B101" s="145" t="str">
        <f t="shared" si="23"/>
        <v>IU</v>
      </c>
      <c r="C101" s="495">
        <f>IF(D94="","-",+C100+1)</f>
        <v>2012</v>
      </c>
      <c r="D101" s="496">
        <v>612986.64655172417</v>
      </c>
      <c r="E101" s="498">
        <v>10599.189655172413</v>
      </c>
      <c r="F101" s="505">
        <v>602387.45689655177</v>
      </c>
      <c r="G101" s="505">
        <v>607687.05172413797</v>
      </c>
      <c r="H101" s="498">
        <v>72187.934734594193</v>
      </c>
      <c r="I101" s="499">
        <v>72187.934734594193</v>
      </c>
      <c r="J101" s="504">
        <v>0</v>
      </c>
      <c r="K101" s="588"/>
      <c r="L101" s="589">
        <f t="shared" si="24"/>
        <v>72187.934734594193</v>
      </c>
      <c r="M101" s="588">
        <f t="shared" ref="M101:M106" si="29">IF(L101&lt;&gt;0,+H101-L101,0)</f>
        <v>0</v>
      </c>
      <c r="N101" s="506">
        <f t="shared" si="26"/>
        <v>72187.934734594193</v>
      </c>
      <c r="O101" s="588">
        <f>IF(N101&lt;&gt;0,+I101-N101,0)</f>
        <v>0</v>
      </c>
      <c r="P101" s="588">
        <f>+O101-M101</f>
        <v>0</v>
      </c>
      <c r="Q101" s="243"/>
      <c r="R101" s="243"/>
      <c r="S101" s="243"/>
      <c r="T101" s="243"/>
      <c r="U101" s="243"/>
    </row>
    <row r="102" spans="1:21">
      <c r="B102" s="145" t="str">
        <f t="shared" si="23"/>
        <v/>
      </c>
      <c r="C102" s="495">
        <f>IF(D94="","-",+C101+1)</f>
        <v>2013</v>
      </c>
      <c r="D102" s="496">
        <v>602387.45689655177</v>
      </c>
      <c r="E102" s="498">
        <v>10599.189655172413</v>
      </c>
      <c r="F102" s="505">
        <v>591788.26724137936</v>
      </c>
      <c r="G102" s="505">
        <v>597087.86206896557</v>
      </c>
      <c r="H102" s="498">
        <v>78464.169300722831</v>
      </c>
      <c r="I102" s="499">
        <v>78464.169300722831</v>
      </c>
      <c r="J102" s="504">
        <f t="shared" ref="J102:J131" si="30">+I102-H102</f>
        <v>0</v>
      </c>
      <c r="K102" s="588"/>
      <c r="L102" s="589">
        <f t="shared" si="24"/>
        <v>78464.169300722831</v>
      </c>
      <c r="M102" s="588">
        <f t="shared" si="29"/>
        <v>0</v>
      </c>
      <c r="N102" s="506">
        <f t="shared" si="26"/>
        <v>78464.169300722831</v>
      </c>
      <c r="O102" s="588">
        <f>IF(N102&lt;&gt;0,+I102-N102,0)</f>
        <v>0</v>
      </c>
      <c r="P102" s="588">
        <f>+O102-M102</f>
        <v>0</v>
      </c>
      <c r="Q102" s="243"/>
      <c r="R102" s="243"/>
      <c r="S102" s="243"/>
      <c r="T102" s="243"/>
      <c r="U102" s="243"/>
    </row>
    <row r="103" spans="1:21">
      <c r="B103" s="145" t="str">
        <f t="shared" si="23"/>
        <v/>
      </c>
      <c r="C103" s="495">
        <f>IF(D94="","-",+C102+1)</f>
        <v>2014</v>
      </c>
      <c r="D103" s="496">
        <v>591788.26724137936</v>
      </c>
      <c r="E103" s="498">
        <v>10599.189655172413</v>
      </c>
      <c r="F103" s="505">
        <v>581189.07758620696</v>
      </c>
      <c r="G103" s="505">
        <v>586488.67241379316</v>
      </c>
      <c r="H103" s="498">
        <v>73672.191823391273</v>
      </c>
      <c r="I103" s="499">
        <v>73672.191823391273</v>
      </c>
      <c r="J103" s="504">
        <v>0</v>
      </c>
      <c r="K103" s="504"/>
      <c r="L103" s="589">
        <f t="shared" si="24"/>
        <v>73672.191823391273</v>
      </c>
      <c r="M103" s="588">
        <f t="shared" si="29"/>
        <v>0</v>
      </c>
      <c r="N103" s="506">
        <f t="shared" si="26"/>
        <v>73672.191823391273</v>
      </c>
      <c r="O103" s="588">
        <f>IF(N103&lt;&gt;0,+I103-N103,0)</f>
        <v>0</v>
      </c>
      <c r="P103" s="588">
        <f>+O103-M103</f>
        <v>0</v>
      </c>
      <c r="Q103" s="243"/>
      <c r="R103" s="243"/>
      <c r="S103" s="243"/>
      <c r="T103" s="243"/>
      <c r="U103" s="243"/>
    </row>
    <row r="104" spans="1:21">
      <c r="B104" s="145" t="str">
        <f t="shared" si="23"/>
        <v/>
      </c>
      <c r="C104" s="495">
        <f>IF(D94="","-",+C103+1)</f>
        <v>2015</v>
      </c>
      <c r="D104" s="496">
        <v>581189.07758620696</v>
      </c>
      <c r="E104" s="498">
        <v>12807.354166666666</v>
      </c>
      <c r="F104" s="505">
        <v>568381.72341954033</v>
      </c>
      <c r="G104" s="505">
        <v>574785.40050287358</v>
      </c>
      <c r="H104" s="498">
        <v>76797.884368158106</v>
      </c>
      <c r="I104" s="499">
        <v>76797.884368158106</v>
      </c>
      <c r="J104" s="504">
        <f t="shared" si="30"/>
        <v>0</v>
      </c>
      <c r="K104" s="504"/>
      <c r="L104" s="589">
        <f t="shared" si="24"/>
        <v>76797.884368158106</v>
      </c>
      <c r="M104" s="588">
        <f t="shared" si="29"/>
        <v>0</v>
      </c>
      <c r="N104" s="506">
        <f t="shared" si="26"/>
        <v>76797.884368158106</v>
      </c>
      <c r="O104" s="588">
        <f t="shared" si="27"/>
        <v>0</v>
      </c>
      <c r="P104" s="588">
        <f t="shared" si="28"/>
        <v>0</v>
      </c>
      <c r="Q104" s="243"/>
      <c r="R104" s="243"/>
      <c r="S104" s="243"/>
      <c r="T104" s="243"/>
      <c r="U104" s="243"/>
    </row>
    <row r="105" spans="1:21">
      <c r="B105" s="145" t="str">
        <f t="shared" si="23"/>
        <v/>
      </c>
      <c r="C105" s="495">
        <f>IF(D94="","-",+C104+1)</f>
        <v>2016</v>
      </c>
      <c r="D105" s="496">
        <v>568381.72341954033</v>
      </c>
      <c r="E105" s="498">
        <v>12053.980392156862</v>
      </c>
      <c r="F105" s="505">
        <v>556327.74302738346</v>
      </c>
      <c r="G105" s="505">
        <v>562354.7332234619</v>
      </c>
      <c r="H105" s="498">
        <v>72996.058830960712</v>
      </c>
      <c r="I105" s="499">
        <v>72996.058830960712</v>
      </c>
      <c r="J105" s="504">
        <f t="shared" si="30"/>
        <v>0</v>
      </c>
      <c r="K105" s="504"/>
      <c r="L105" s="589">
        <f t="shared" si="24"/>
        <v>72996.058830960712</v>
      </c>
      <c r="M105" s="588">
        <f t="shared" si="29"/>
        <v>0</v>
      </c>
      <c r="N105" s="506">
        <f t="shared" si="26"/>
        <v>72996.058830960712</v>
      </c>
      <c r="O105" s="588">
        <f>IF(N105&lt;&gt;0,+I105-N105,0)</f>
        <v>0</v>
      </c>
      <c r="P105" s="588">
        <f>+O105-M105</f>
        <v>0</v>
      </c>
      <c r="Q105" s="243"/>
      <c r="R105" s="243"/>
      <c r="S105" s="243"/>
      <c r="T105" s="243"/>
      <c r="U105" s="243"/>
    </row>
    <row r="106" spans="1:21">
      <c r="B106" s="145" t="str">
        <f t="shared" si="23"/>
        <v/>
      </c>
      <c r="C106" s="495">
        <f>IF(D94="","-",+C105+1)</f>
        <v>2017</v>
      </c>
      <c r="D106" s="496">
        <v>556327.74302738346</v>
      </c>
      <c r="E106" s="498">
        <v>15368.825000000001</v>
      </c>
      <c r="F106" s="505">
        <v>540958.91802738351</v>
      </c>
      <c r="G106" s="505">
        <v>548643.33052738348</v>
      </c>
      <c r="H106" s="498">
        <v>79744.364331325967</v>
      </c>
      <c r="I106" s="499">
        <v>79744.364331325967</v>
      </c>
      <c r="J106" s="504">
        <f t="shared" si="30"/>
        <v>0</v>
      </c>
      <c r="K106" s="504"/>
      <c r="L106" s="589">
        <f>H106</f>
        <v>79744.364331325967</v>
      </c>
      <c r="M106" s="588">
        <f t="shared" si="29"/>
        <v>0</v>
      </c>
      <c r="N106" s="506">
        <f>I106</f>
        <v>79744.364331325967</v>
      </c>
      <c r="O106" s="588">
        <f>IF(N106&lt;&gt;0,+I106-N106,0)</f>
        <v>0</v>
      </c>
      <c r="P106" s="588">
        <f>+O106-M106</f>
        <v>0</v>
      </c>
      <c r="Q106" s="243"/>
      <c r="R106" s="243"/>
      <c r="S106" s="243"/>
      <c r="T106" s="243"/>
      <c r="U106" s="243"/>
    </row>
    <row r="107" spans="1:21">
      <c r="B107" s="145" t="str">
        <f t="shared" si="23"/>
        <v/>
      </c>
      <c r="C107" s="495">
        <f>IF(D94="","-",+C106+1)</f>
        <v>2018</v>
      </c>
      <c r="D107" s="496">
        <v>540958.91802738351</v>
      </c>
      <c r="E107" s="498">
        <v>17076.472222222223</v>
      </c>
      <c r="F107" s="505">
        <v>523882.44580516126</v>
      </c>
      <c r="G107" s="505">
        <v>532420.68191627238</v>
      </c>
      <c r="H107" s="498">
        <v>73280.103356307678</v>
      </c>
      <c r="I107" s="499">
        <v>73280.103356307678</v>
      </c>
      <c r="J107" s="504">
        <f t="shared" si="30"/>
        <v>0</v>
      </c>
      <c r="K107" s="504"/>
      <c r="L107" s="589">
        <f>H107</f>
        <v>73280.103356307678</v>
      </c>
      <c r="M107" s="588">
        <f t="shared" ref="M107" si="31">IF(L107&lt;&gt;0,+H107-L107,0)</f>
        <v>0</v>
      </c>
      <c r="N107" s="506">
        <f>I107</f>
        <v>73280.103356307678</v>
      </c>
      <c r="O107" s="588">
        <f>IF(N107&lt;&gt;0,+I107-N107,0)</f>
        <v>0</v>
      </c>
      <c r="P107" s="588">
        <f>+O107-M107</f>
        <v>0</v>
      </c>
      <c r="Q107" s="243"/>
      <c r="R107" s="243"/>
      <c r="S107" s="243"/>
      <c r="T107" s="243"/>
      <c r="U107" s="243"/>
    </row>
    <row r="108" spans="1:21">
      <c r="B108" s="145" t="str">
        <f t="shared" si="23"/>
        <v/>
      </c>
      <c r="C108" s="495">
        <f>IF(D94="","-",+C107+1)</f>
        <v>2019</v>
      </c>
      <c r="D108" s="496">
        <v>523882.44580516126</v>
      </c>
      <c r="E108" s="498">
        <v>17076.472222222223</v>
      </c>
      <c r="F108" s="505">
        <v>506805.97358293901</v>
      </c>
      <c r="G108" s="505">
        <v>515344.20969405014</v>
      </c>
      <c r="H108" s="498">
        <v>71477.469126557437</v>
      </c>
      <c r="I108" s="499">
        <v>71477.469126557437</v>
      </c>
      <c r="J108" s="504">
        <f t="shared" si="30"/>
        <v>0</v>
      </c>
      <c r="K108" s="504"/>
      <c r="L108" s="589">
        <f>H108</f>
        <v>71477.469126557437</v>
      </c>
      <c r="M108" s="588">
        <f t="shared" ref="M108:M109" si="32">IF(L108&lt;&gt;0,+H108-L108,0)</f>
        <v>0</v>
      </c>
      <c r="N108" s="506">
        <f>I108</f>
        <v>71477.469126557437</v>
      </c>
      <c r="O108" s="504">
        <f t="shared" si="27"/>
        <v>0</v>
      </c>
      <c r="P108" s="504">
        <f t="shared" si="28"/>
        <v>0</v>
      </c>
      <c r="Q108" s="243"/>
      <c r="R108" s="243"/>
      <c r="S108" s="243"/>
      <c r="T108" s="243"/>
      <c r="U108" s="243"/>
    </row>
    <row r="109" spans="1:21">
      <c r="B109" s="145" t="str">
        <f t="shared" si="23"/>
        <v/>
      </c>
      <c r="C109" s="495">
        <f>IF(D94="","-",+C108+1)</f>
        <v>2020</v>
      </c>
      <c r="D109" s="496">
        <v>506805.97358293901</v>
      </c>
      <c r="E109" s="498">
        <v>21955.464285714286</v>
      </c>
      <c r="F109" s="505">
        <v>484850.50929722475</v>
      </c>
      <c r="G109" s="505">
        <v>495828.24144008185</v>
      </c>
      <c r="H109" s="498">
        <v>74718.282345644373</v>
      </c>
      <c r="I109" s="499">
        <v>74718.282345644373</v>
      </c>
      <c r="J109" s="504">
        <f t="shared" si="30"/>
        <v>0</v>
      </c>
      <c r="K109" s="504"/>
      <c r="L109" s="589">
        <f>H109</f>
        <v>74718.282345644373</v>
      </c>
      <c r="M109" s="588">
        <f t="shared" si="32"/>
        <v>0</v>
      </c>
      <c r="N109" s="506">
        <f>I109</f>
        <v>74718.282345644373</v>
      </c>
      <c r="O109" s="504">
        <f t="shared" si="27"/>
        <v>0</v>
      </c>
      <c r="P109" s="504">
        <f t="shared" si="28"/>
        <v>0</v>
      </c>
      <c r="Q109" s="243"/>
      <c r="R109" s="243"/>
      <c r="S109" s="243"/>
      <c r="T109" s="243"/>
      <c r="U109" s="243"/>
    </row>
    <row r="110" spans="1:21">
      <c r="B110" s="145" t="str">
        <f t="shared" si="23"/>
        <v/>
      </c>
      <c r="C110" s="495">
        <f>IF(D94="","-",+C109+1)</f>
        <v>2021</v>
      </c>
      <c r="D110" s="349">
        <f>IF(F109+SUM(E$100:E109)=D$93,F109,D$93-SUM(E$100:E109))</f>
        <v>484850.50929722475</v>
      </c>
      <c r="E110" s="509">
        <f>IF(+J97&lt;F109,J97,D110)</f>
        <v>24590.12</v>
      </c>
      <c r="F110" s="510">
        <f t="shared" ref="F110:F132" si="33">+D110-E110</f>
        <v>460260.38929722476</v>
      </c>
      <c r="G110" s="510">
        <f t="shared" ref="G110:G131" si="34">+(F110+D110)/2</f>
        <v>472555.44929722475</v>
      </c>
      <c r="H110" s="523">
        <f t="shared" ref="H110:H131" si="35">+J$95*G110+E110</f>
        <v>80333.712117672912</v>
      </c>
      <c r="I110" s="572">
        <f t="shared" ref="I110:I131" si="36">+J$96*G110+E110</f>
        <v>80333.712117672912</v>
      </c>
      <c r="J110" s="504">
        <f t="shared" si="30"/>
        <v>0</v>
      </c>
      <c r="K110" s="504"/>
      <c r="L110" s="512"/>
      <c r="M110" s="504">
        <f t="shared" si="25"/>
        <v>0</v>
      </c>
      <c r="N110" s="512"/>
      <c r="O110" s="504">
        <f t="shared" si="27"/>
        <v>0</v>
      </c>
      <c r="P110" s="504">
        <f t="shared" si="28"/>
        <v>0</v>
      </c>
      <c r="Q110" s="243"/>
      <c r="R110" s="243"/>
      <c r="S110" s="243"/>
      <c r="T110" s="243"/>
      <c r="U110" s="243"/>
    </row>
    <row r="111" spans="1:21">
      <c r="B111" s="145" t="str">
        <f t="shared" si="23"/>
        <v/>
      </c>
      <c r="C111" s="495">
        <f>IF(D94="","-",+C110+1)</f>
        <v>2022</v>
      </c>
      <c r="D111" s="349">
        <f>IF(F110+SUM(E$100:E110)=D$93,F110,D$93-SUM(E$100:E110))</f>
        <v>460260.38929722476</v>
      </c>
      <c r="E111" s="509">
        <f>IF(+J97&lt;F110,J97,D111)</f>
        <v>24590.12</v>
      </c>
      <c r="F111" s="510">
        <f t="shared" si="33"/>
        <v>435670.26929722476</v>
      </c>
      <c r="G111" s="510">
        <f t="shared" si="34"/>
        <v>447965.32929722476</v>
      </c>
      <c r="H111" s="523">
        <f t="shared" si="35"/>
        <v>77433.012059207453</v>
      </c>
      <c r="I111" s="572">
        <f t="shared" si="36"/>
        <v>77433.012059207453</v>
      </c>
      <c r="J111" s="504">
        <f t="shared" si="30"/>
        <v>0</v>
      </c>
      <c r="K111" s="504"/>
      <c r="L111" s="512"/>
      <c r="M111" s="504">
        <f t="shared" si="25"/>
        <v>0</v>
      </c>
      <c r="N111" s="512"/>
      <c r="O111" s="504">
        <f t="shared" si="27"/>
        <v>0</v>
      </c>
      <c r="P111" s="504">
        <f t="shared" si="28"/>
        <v>0</v>
      </c>
      <c r="Q111" s="243"/>
      <c r="R111" s="243"/>
      <c r="S111" s="243"/>
      <c r="T111" s="243"/>
      <c r="U111" s="243"/>
    </row>
    <row r="112" spans="1:21">
      <c r="B112" s="145" t="str">
        <f t="shared" si="23"/>
        <v/>
      </c>
      <c r="C112" s="495">
        <f>IF(D94="","-",+C111+1)</f>
        <v>2023</v>
      </c>
      <c r="D112" s="349">
        <f>IF(F111+SUM(E$100:E111)=D$93,F111,D$93-SUM(E$100:E111))</f>
        <v>435670.26929722476</v>
      </c>
      <c r="E112" s="509">
        <f>IF(+J97&lt;F111,J97,D112)</f>
        <v>24590.12</v>
      </c>
      <c r="F112" s="510">
        <f t="shared" si="33"/>
        <v>411080.14929722477</v>
      </c>
      <c r="G112" s="510">
        <f t="shared" si="34"/>
        <v>423375.20929722476</v>
      </c>
      <c r="H112" s="523">
        <f t="shared" si="35"/>
        <v>74532.312000741993</v>
      </c>
      <c r="I112" s="572">
        <f t="shared" si="36"/>
        <v>74532.312000741993</v>
      </c>
      <c r="J112" s="504">
        <f t="shared" si="30"/>
        <v>0</v>
      </c>
      <c r="K112" s="504"/>
      <c r="L112" s="512"/>
      <c r="M112" s="504">
        <f t="shared" si="25"/>
        <v>0</v>
      </c>
      <c r="N112" s="512"/>
      <c r="O112" s="504">
        <f t="shared" si="27"/>
        <v>0</v>
      </c>
      <c r="P112" s="504">
        <f t="shared" si="28"/>
        <v>0</v>
      </c>
      <c r="Q112" s="243"/>
      <c r="R112" s="243"/>
      <c r="S112" s="243"/>
      <c r="T112" s="243"/>
      <c r="U112" s="243"/>
    </row>
    <row r="113" spans="2:21">
      <c r="B113" s="145" t="str">
        <f t="shared" si="23"/>
        <v/>
      </c>
      <c r="C113" s="495">
        <f>IF(D94="","-",+C112+1)</f>
        <v>2024</v>
      </c>
      <c r="D113" s="349">
        <f>IF(F112+SUM(E$100:E112)=D$93,F112,D$93-SUM(E$100:E112))</f>
        <v>411080.14929722477</v>
      </c>
      <c r="E113" s="509">
        <f>IF(+J97&lt;F112,J97,D113)</f>
        <v>24590.12</v>
      </c>
      <c r="F113" s="510">
        <f t="shared" si="33"/>
        <v>386490.02929722477</v>
      </c>
      <c r="G113" s="510">
        <f t="shared" si="34"/>
        <v>398785.08929722477</v>
      </c>
      <c r="H113" s="523">
        <f t="shared" si="35"/>
        <v>71631.611942276533</v>
      </c>
      <c r="I113" s="572">
        <f t="shared" si="36"/>
        <v>71631.611942276533</v>
      </c>
      <c r="J113" s="504">
        <f t="shared" si="30"/>
        <v>0</v>
      </c>
      <c r="K113" s="504"/>
      <c r="L113" s="512"/>
      <c r="M113" s="504">
        <f t="shared" si="25"/>
        <v>0</v>
      </c>
      <c r="N113" s="512"/>
      <c r="O113" s="504">
        <f t="shared" si="27"/>
        <v>0</v>
      </c>
      <c r="P113" s="504">
        <f t="shared" si="28"/>
        <v>0</v>
      </c>
      <c r="Q113" s="243"/>
      <c r="R113" s="243"/>
      <c r="S113" s="243"/>
      <c r="T113" s="243"/>
      <c r="U113" s="243"/>
    </row>
    <row r="114" spans="2:21">
      <c r="B114" s="145" t="str">
        <f t="shared" si="23"/>
        <v/>
      </c>
      <c r="C114" s="495">
        <f>IF(D94="","-",+C113+1)</f>
        <v>2025</v>
      </c>
      <c r="D114" s="349">
        <f>IF(F113+SUM(E$100:E113)=D$93,F113,D$93-SUM(E$100:E113))</f>
        <v>386490.02929722477</v>
      </c>
      <c r="E114" s="509">
        <f>IF(+J97&lt;F113,J97,D114)</f>
        <v>24590.12</v>
      </c>
      <c r="F114" s="510">
        <f t="shared" si="33"/>
        <v>361899.90929722477</v>
      </c>
      <c r="G114" s="510">
        <f t="shared" si="34"/>
        <v>374194.96929722477</v>
      </c>
      <c r="H114" s="523">
        <f t="shared" si="35"/>
        <v>68730.911883811073</v>
      </c>
      <c r="I114" s="572">
        <f t="shared" si="36"/>
        <v>68730.911883811073</v>
      </c>
      <c r="J114" s="504">
        <f t="shared" si="30"/>
        <v>0</v>
      </c>
      <c r="K114" s="504"/>
      <c r="L114" s="512"/>
      <c r="M114" s="504">
        <f t="shared" si="25"/>
        <v>0</v>
      </c>
      <c r="N114" s="512"/>
      <c r="O114" s="504">
        <f t="shared" si="27"/>
        <v>0</v>
      </c>
      <c r="P114" s="504">
        <f t="shared" si="28"/>
        <v>0</v>
      </c>
      <c r="Q114" s="243"/>
      <c r="R114" s="243"/>
      <c r="S114" s="243"/>
      <c r="T114" s="243"/>
      <c r="U114" s="243"/>
    </row>
    <row r="115" spans="2:21">
      <c r="B115" s="145" t="str">
        <f t="shared" si="23"/>
        <v/>
      </c>
      <c r="C115" s="495">
        <f>IF(D94="","-",+C114+1)</f>
        <v>2026</v>
      </c>
      <c r="D115" s="349">
        <f>IF(F114+SUM(E$100:E114)=D$93,F114,D$93-SUM(E$100:E114))</f>
        <v>361899.90929722477</v>
      </c>
      <c r="E115" s="509">
        <f>IF(+J97&lt;F114,J97,D115)</f>
        <v>24590.12</v>
      </c>
      <c r="F115" s="510">
        <f t="shared" si="33"/>
        <v>337309.78929722478</v>
      </c>
      <c r="G115" s="510">
        <f t="shared" si="34"/>
        <v>349604.84929722478</v>
      </c>
      <c r="H115" s="523">
        <f t="shared" si="35"/>
        <v>65830.211825345628</v>
      </c>
      <c r="I115" s="572">
        <f t="shared" si="36"/>
        <v>65830.211825345628</v>
      </c>
      <c r="J115" s="504">
        <f t="shared" si="30"/>
        <v>0</v>
      </c>
      <c r="K115" s="504"/>
      <c r="L115" s="512"/>
      <c r="M115" s="504">
        <f t="shared" si="25"/>
        <v>0</v>
      </c>
      <c r="N115" s="512"/>
      <c r="O115" s="504">
        <f t="shared" si="27"/>
        <v>0</v>
      </c>
      <c r="P115" s="504">
        <f t="shared" si="28"/>
        <v>0</v>
      </c>
      <c r="Q115" s="243"/>
      <c r="R115" s="243"/>
      <c r="S115" s="243"/>
      <c r="T115" s="243"/>
      <c r="U115" s="243"/>
    </row>
    <row r="116" spans="2:21">
      <c r="B116" s="145" t="str">
        <f t="shared" si="23"/>
        <v/>
      </c>
      <c r="C116" s="495">
        <f>IF(D94="","-",+C115+1)</f>
        <v>2027</v>
      </c>
      <c r="D116" s="349">
        <f>IF(F115+SUM(E$100:E115)=D$93,F115,D$93-SUM(E$100:E115))</f>
        <v>337309.78929722478</v>
      </c>
      <c r="E116" s="509">
        <f>IF(+J97&lt;F115,J97,D116)</f>
        <v>24590.12</v>
      </c>
      <c r="F116" s="510">
        <f t="shared" si="33"/>
        <v>312719.66929722478</v>
      </c>
      <c r="G116" s="510">
        <f t="shared" si="34"/>
        <v>325014.72929722478</v>
      </c>
      <c r="H116" s="523">
        <f t="shared" si="35"/>
        <v>62929.511766880169</v>
      </c>
      <c r="I116" s="572">
        <f t="shared" si="36"/>
        <v>62929.511766880169</v>
      </c>
      <c r="J116" s="504">
        <f t="shared" si="30"/>
        <v>0</v>
      </c>
      <c r="K116" s="504"/>
      <c r="L116" s="512"/>
      <c r="M116" s="504">
        <f t="shared" si="25"/>
        <v>0</v>
      </c>
      <c r="N116" s="512"/>
      <c r="O116" s="504">
        <f t="shared" si="27"/>
        <v>0</v>
      </c>
      <c r="P116" s="504">
        <f t="shared" si="28"/>
        <v>0</v>
      </c>
      <c r="Q116" s="243"/>
      <c r="R116" s="243"/>
      <c r="S116" s="243"/>
      <c r="T116" s="243"/>
      <c r="U116" s="243"/>
    </row>
    <row r="117" spans="2:21">
      <c r="B117" s="145" t="str">
        <f t="shared" si="23"/>
        <v/>
      </c>
      <c r="C117" s="495">
        <f>IF(D94="","-",+C116+1)</f>
        <v>2028</v>
      </c>
      <c r="D117" s="349">
        <f>IF(F116+SUM(E$100:E116)=D$93,F116,D$93-SUM(E$100:E116))</f>
        <v>312719.66929722478</v>
      </c>
      <c r="E117" s="509">
        <f>IF(+J97&lt;F116,J97,D117)</f>
        <v>24590.12</v>
      </c>
      <c r="F117" s="510">
        <f t="shared" si="33"/>
        <v>288129.54929722479</v>
      </c>
      <c r="G117" s="510">
        <f t="shared" si="34"/>
        <v>300424.60929722479</v>
      </c>
      <c r="H117" s="523">
        <f t="shared" si="35"/>
        <v>60028.811708414709</v>
      </c>
      <c r="I117" s="572">
        <f t="shared" si="36"/>
        <v>60028.811708414709</v>
      </c>
      <c r="J117" s="504">
        <f t="shared" si="30"/>
        <v>0</v>
      </c>
      <c r="K117" s="504"/>
      <c r="L117" s="512"/>
      <c r="M117" s="504">
        <f t="shared" si="25"/>
        <v>0</v>
      </c>
      <c r="N117" s="512"/>
      <c r="O117" s="504">
        <f t="shared" si="27"/>
        <v>0</v>
      </c>
      <c r="P117" s="504">
        <f t="shared" si="28"/>
        <v>0</v>
      </c>
      <c r="Q117" s="243"/>
      <c r="R117" s="243"/>
      <c r="S117" s="243"/>
      <c r="T117" s="243"/>
      <c r="U117" s="243"/>
    </row>
    <row r="118" spans="2:21">
      <c r="B118" s="145" t="str">
        <f t="shared" si="23"/>
        <v/>
      </c>
      <c r="C118" s="495">
        <f>IF(D94="","-",+C117+1)</f>
        <v>2029</v>
      </c>
      <c r="D118" s="349">
        <f>IF(F117+SUM(E$100:E117)=D$93,F117,D$93-SUM(E$100:E117))</f>
        <v>288129.54929722479</v>
      </c>
      <c r="E118" s="509">
        <f>IF(+J97&lt;F117,J97,D118)</f>
        <v>24590.12</v>
      </c>
      <c r="F118" s="510">
        <f t="shared" si="33"/>
        <v>263539.42929722479</v>
      </c>
      <c r="G118" s="510">
        <f t="shared" si="34"/>
        <v>275834.48929722479</v>
      </c>
      <c r="H118" s="523">
        <f t="shared" si="35"/>
        <v>57128.111649949249</v>
      </c>
      <c r="I118" s="572">
        <f t="shared" si="36"/>
        <v>57128.111649949249</v>
      </c>
      <c r="J118" s="504">
        <f t="shared" si="30"/>
        <v>0</v>
      </c>
      <c r="K118" s="504"/>
      <c r="L118" s="512"/>
      <c r="M118" s="504">
        <f t="shared" si="25"/>
        <v>0</v>
      </c>
      <c r="N118" s="512"/>
      <c r="O118" s="504">
        <f t="shared" si="27"/>
        <v>0</v>
      </c>
      <c r="P118" s="504">
        <f t="shared" si="28"/>
        <v>0</v>
      </c>
      <c r="Q118" s="243"/>
      <c r="R118" s="243"/>
      <c r="S118" s="243"/>
      <c r="T118" s="243"/>
      <c r="U118" s="243"/>
    </row>
    <row r="119" spans="2:21">
      <c r="B119" s="145" t="str">
        <f t="shared" si="23"/>
        <v/>
      </c>
      <c r="C119" s="495">
        <f>IF(D94="","-",+C118+1)</f>
        <v>2030</v>
      </c>
      <c r="D119" s="349">
        <f>IF(F118+SUM(E$100:E118)=D$93,F118,D$93-SUM(E$100:E118))</f>
        <v>263539.42929722479</v>
      </c>
      <c r="E119" s="509">
        <f>IF(+J97&lt;F118,J97,D119)</f>
        <v>24590.12</v>
      </c>
      <c r="F119" s="510">
        <f t="shared" si="33"/>
        <v>238949.3092972248</v>
      </c>
      <c r="G119" s="510">
        <f t="shared" si="34"/>
        <v>251244.3692972248</v>
      </c>
      <c r="H119" s="523">
        <f t="shared" si="35"/>
        <v>54227.411591483789</v>
      </c>
      <c r="I119" s="572">
        <f t="shared" si="36"/>
        <v>54227.411591483789</v>
      </c>
      <c r="J119" s="504">
        <f t="shared" si="30"/>
        <v>0</v>
      </c>
      <c r="K119" s="504"/>
      <c r="L119" s="512"/>
      <c r="M119" s="504">
        <f t="shared" si="25"/>
        <v>0</v>
      </c>
      <c r="N119" s="512"/>
      <c r="O119" s="504">
        <f t="shared" si="27"/>
        <v>0</v>
      </c>
      <c r="P119" s="504">
        <f t="shared" si="28"/>
        <v>0</v>
      </c>
      <c r="Q119" s="243"/>
      <c r="R119" s="243"/>
      <c r="S119" s="243"/>
      <c r="T119" s="243"/>
      <c r="U119" s="243"/>
    </row>
    <row r="120" spans="2:21">
      <c r="B120" s="145" t="str">
        <f t="shared" si="23"/>
        <v/>
      </c>
      <c r="C120" s="495">
        <f>IF(D94="","-",+C119+1)</f>
        <v>2031</v>
      </c>
      <c r="D120" s="349">
        <f>IF(F119+SUM(E$100:E119)=D$93,F119,D$93-SUM(E$100:E119))</f>
        <v>238949.3092972248</v>
      </c>
      <c r="E120" s="509">
        <f>IF(+J97&lt;F119,J97,D120)</f>
        <v>24590.12</v>
      </c>
      <c r="F120" s="510">
        <f t="shared" si="33"/>
        <v>214359.1892972248</v>
      </c>
      <c r="G120" s="510">
        <f t="shared" si="34"/>
        <v>226654.2492972248</v>
      </c>
      <c r="H120" s="523">
        <f t="shared" si="35"/>
        <v>51326.71153301833</v>
      </c>
      <c r="I120" s="572">
        <f t="shared" si="36"/>
        <v>51326.71153301833</v>
      </c>
      <c r="J120" s="504">
        <f t="shared" si="30"/>
        <v>0</v>
      </c>
      <c r="K120" s="504"/>
      <c r="L120" s="512"/>
      <c r="M120" s="504">
        <f t="shared" si="25"/>
        <v>0</v>
      </c>
      <c r="N120" s="512"/>
      <c r="O120" s="504">
        <f t="shared" si="27"/>
        <v>0</v>
      </c>
      <c r="P120" s="504">
        <f t="shared" si="28"/>
        <v>0</v>
      </c>
      <c r="Q120" s="243"/>
      <c r="R120" s="243"/>
      <c r="S120" s="243"/>
      <c r="T120" s="243"/>
      <c r="U120" s="243"/>
    </row>
    <row r="121" spans="2:21">
      <c r="B121" s="145" t="str">
        <f t="shared" si="23"/>
        <v/>
      </c>
      <c r="C121" s="495">
        <f>IF(D94="","-",+C120+1)</f>
        <v>2032</v>
      </c>
      <c r="D121" s="349">
        <f>IF(F120+SUM(E$100:E120)=D$93,F120,D$93-SUM(E$100:E120))</f>
        <v>214359.1892972248</v>
      </c>
      <c r="E121" s="509">
        <f>IF(+J97&lt;F120,J97,D121)</f>
        <v>24590.12</v>
      </c>
      <c r="F121" s="510">
        <f t="shared" si="33"/>
        <v>189769.06929722481</v>
      </c>
      <c r="G121" s="510">
        <f t="shared" si="34"/>
        <v>202064.1292972248</v>
      </c>
      <c r="H121" s="523">
        <f t="shared" si="35"/>
        <v>48426.01147455287</v>
      </c>
      <c r="I121" s="572">
        <f t="shared" si="36"/>
        <v>48426.01147455287</v>
      </c>
      <c r="J121" s="504">
        <f t="shared" si="30"/>
        <v>0</v>
      </c>
      <c r="K121" s="504"/>
      <c r="L121" s="512"/>
      <c r="M121" s="504">
        <f t="shared" si="25"/>
        <v>0</v>
      </c>
      <c r="N121" s="512"/>
      <c r="O121" s="504">
        <f t="shared" si="27"/>
        <v>0</v>
      </c>
      <c r="P121" s="504">
        <f t="shared" si="28"/>
        <v>0</v>
      </c>
      <c r="Q121" s="243"/>
      <c r="R121" s="243"/>
      <c r="S121" s="243"/>
      <c r="T121" s="243"/>
      <c r="U121" s="243"/>
    </row>
    <row r="122" spans="2:21">
      <c r="B122" s="145" t="str">
        <f t="shared" si="23"/>
        <v/>
      </c>
      <c r="C122" s="495">
        <f>IF(D94="","-",+C121+1)</f>
        <v>2033</v>
      </c>
      <c r="D122" s="349">
        <f>IF(F121+SUM(E$100:E121)=D$93,F121,D$93-SUM(E$100:E121))</f>
        <v>189769.06929722481</v>
      </c>
      <c r="E122" s="509">
        <f>IF(+J97&lt;F121,J97,D122)</f>
        <v>24590.12</v>
      </c>
      <c r="F122" s="510">
        <f t="shared" si="33"/>
        <v>165178.94929722481</v>
      </c>
      <c r="G122" s="510">
        <f t="shared" si="34"/>
        <v>177474.00929722481</v>
      </c>
      <c r="H122" s="523">
        <f t="shared" si="35"/>
        <v>45525.31141608741</v>
      </c>
      <c r="I122" s="572">
        <f t="shared" si="36"/>
        <v>45525.31141608741</v>
      </c>
      <c r="J122" s="504">
        <f t="shared" si="30"/>
        <v>0</v>
      </c>
      <c r="K122" s="504"/>
      <c r="L122" s="512"/>
      <c r="M122" s="504">
        <f t="shared" si="25"/>
        <v>0</v>
      </c>
      <c r="N122" s="512"/>
      <c r="O122" s="504">
        <f t="shared" si="27"/>
        <v>0</v>
      </c>
      <c r="P122" s="504">
        <f t="shared" si="28"/>
        <v>0</v>
      </c>
      <c r="Q122" s="243"/>
      <c r="R122" s="243"/>
      <c r="S122" s="243"/>
      <c r="T122" s="243"/>
      <c r="U122" s="243"/>
    </row>
    <row r="123" spans="2:21">
      <c r="B123" s="145" t="str">
        <f t="shared" si="23"/>
        <v/>
      </c>
      <c r="C123" s="495">
        <f>IF(D94="","-",+C122+1)</f>
        <v>2034</v>
      </c>
      <c r="D123" s="349">
        <f>IF(F122+SUM(E$100:E122)=D$93,F122,D$93-SUM(E$100:E122))</f>
        <v>165178.94929722481</v>
      </c>
      <c r="E123" s="509">
        <f>IF(+J97&lt;F122,J97,D123)</f>
        <v>24590.12</v>
      </c>
      <c r="F123" s="510">
        <f t="shared" si="33"/>
        <v>140588.82929722482</v>
      </c>
      <c r="G123" s="510">
        <f t="shared" si="34"/>
        <v>152883.88929722481</v>
      </c>
      <c r="H123" s="523">
        <f t="shared" si="35"/>
        <v>42624.61135762195</v>
      </c>
      <c r="I123" s="572">
        <f t="shared" si="36"/>
        <v>42624.61135762195</v>
      </c>
      <c r="J123" s="504">
        <f t="shared" si="30"/>
        <v>0</v>
      </c>
      <c r="K123" s="504"/>
      <c r="L123" s="512"/>
      <c r="M123" s="504">
        <f t="shared" si="25"/>
        <v>0</v>
      </c>
      <c r="N123" s="512"/>
      <c r="O123" s="504">
        <f t="shared" si="27"/>
        <v>0</v>
      </c>
      <c r="P123" s="504">
        <f t="shared" si="28"/>
        <v>0</v>
      </c>
      <c r="Q123" s="243"/>
      <c r="R123" s="243"/>
      <c r="S123" s="243"/>
      <c r="T123" s="243"/>
      <c r="U123" s="243"/>
    </row>
    <row r="124" spans="2:21">
      <c r="B124" s="145" t="str">
        <f t="shared" si="23"/>
        <v/>
      </c>
      <c r="C124" s="495">
        <f>IF(D94="","-",+C123+1)</f>
        <v>2035</v>
      </c>
      <c r="D124" s="349">
        <f>IF(F123+SUM(E$100:E123)=D$93,F123,D$93-SUM(E$100:E123))</f>
        <v>140588.82929722482</v>
      </c>
      <c r="E124" s="509">
        <f>IF(+J97&lt;F123,J97,D124)</f>
        <v>24590.12</v>
      </c>
      <c r="F124" s="510">
        <f t="shared" si="33"/>
        <v>115998.70929722482</v>
      </c>
      <c r="G124" s="510">
        <f t="shared" si="34"/>
        <v>128293.76929722482</v>
      </c>
      <c r="H124" s="523">
        <f t="shared" si="35"/>
        <v>39723.911299156498</v>
      </c>
      <c r="I124" s="572">
        <f t="shared" si="36"/>
        <v>39723.911299156498</v>
      </c>
      <c r="J124" s="504">
        <f t="shared" si="30"/>
        <v>0</v>
      </c>
      <c r="K124" s="504"/>
      <c r="L124" s="512"/>
      <c r="M124" s="504">
        <f t="shared" si="25"/>
        <v>0</v>
      </c>
      <c r="N124" s="512"/>
      <c r="O124" s="504">
        <f t="shared" si="27"/>
        <v>0</v>
      </c>
      <c r="P124" s="504">
        <f t="shared" si="28"/>
        <v>0</v>
      </c>
      <c r="Q124" s="243"/>
      <c r="R124" s="243"/>
      <c r="S124" s="243"/>
      <c r="T124" s="243"/>
      <c r="U124" s="243"/>
    </row>
    <row r="125" spans="2:21">
      <c r="B125" s="145" t="str">
        <f t="shared" si="23"/>
        <v/>
      </c>
      <c r="C125" s="495">
        <f>IF(D94="","-",+C124+1)</f>
        <v>2036</v>
      </c>
      <c r="D125" s="349">
        <f>IF(F124+SUM(E$100:E124)=D$93,F124,D$93-SUM(E$100:E124))</f>
        <v>115998.70929722482</v>
      </c>
      <c r="E125" s="509">
        <f>IF(+J97&lt;F124,J97,D125)</f>
        <v>24590.12</v>
      </c>
      <c r="F125" s="510">
        <f t="shared" si="33"/>
        <v>91408.589297224826</v>
      </c>
      <c r="G125" s="510">
        <f t="shared" si="34"/>
        <v>103703.64929722482</v>
      </c>
      <c r="H125" s="523">
        <f t="shared" si="35"/>
        <v>36823.211240691038</v>
      </c>
      <c r="I125" s="572">
        <f t="shared" si="36"/>
        <v>36823.211240691038</v>
      </c>
      <c r="J125" s="504">
        <f t="shared" si="30"/>
        <v>0</v>
      </c>
      <c r="K125" s="504"/>
      <c r="L125" s="512"/>
      <c r="M125" s="504">
        <f t="shared" si="25"/>
        <v>0</v>
      </c>
      <c r="N125" s="512"/>
      <c r="O125" s="504">
        <f t="shared" si="27"/>
        <v>0</v>
      </c>
      <c r="P125" s="504">
        <f t="shared" si="28"/>
        <v>0</v>
      </c>
      <c r="Q125" s="243"/>
      <c r="R125" s="243"/>
      <c r="S125" s="243"/>
      <c r="T125" s="243"/>
      <c r="U125" s="243"/>
    </row>
    <row r="126" spans="2:21">
      <c r="B126" s="145" t="str">
        <f t="shared" si="23"/>
        <v/>
      </c>
      <c r="C126" s="495">
        <f>IF(D94="","-",+C125+1)</f>
        <v>2037</v>
      </c>
      <c r="D126" s="349">
        <f>IF(F125+SUM(E$100:E125)=D$93,F125,D$93-SUM(E$100:E125))</f>
        <v>91408.589297224826</v>
      </c>
      <c r="E126" s="509">
        <f>IF(+J97&lt;F125,J97,D126)</f>
        <v>24590.12</v>
      </c>
      <c r="F126" s="510">
        <f t="shared" si="33"/>
        <v>66818.46929722483</v>
      </c>
      <c r="G126" s="510">
        <f t="shared" si="34"/>
        <v>79113.529297224828</v>
      </c>
      <c r="H126" s="523">
        <f t="shared" si="35"/>
        <v>33922.511182225579</v>
      </c>
      <c r="I126" s="572">
        <f t="shared" si="36"/>
        <v>33922.511182225579</v>
      </c>
      <c r="J126" s="504">
        <f t="shared" si="30"/>
        <v>0</v>
      </c>
      <c r="K126" s="504"/>
      <c r="L126" s="512"/>
      <c r="M126" s="504">
        <f t="shared" si="25"/>
        <v>0</v>
      </c>
      <c r="N126" s="512"/>
      <c r="O126" s="504">
        <f t="shared" si="27"/>
        <v>0</v>
      </c>
      <c r="P126" s="504">
        <f t="shared" si="28"/>
        <v>0</v>
      </c>
      <c r="Q126" s="243"/>
      <c r="R126" s="243"/>
      <c r="S126" s="243"/>
      <c r="T126" s="243"/>
      <c r="U126" s="243"/>
    </row>
    <row r="127" spans="2:21">
      <c r="B127" s="145" t="str">
        <f t="shared" si="23"/>
        <v/>
      </c>
      <c r="C127" s="495">
        <f>IF(D94="","-",+C126+1)</f>
        <v>2038</v>
      </c>
      <c r="D127" s="349">
        <f>IF(F126+SUM(E$100:E126)=D$93,F126,D$93-SUM(E$100:E126))</f>
        <v>66818.46929722483</v>
      </c>
      <c r="E127" s="509">
        <f>IF(+J97&lt;F126,J97,D127)</f>
        <v>24590.12</v>
      </c>
      <c r="F127" s="510">
        <f t="shared" si="33"/>
        <v>42228.349297224835</v>
      </c>
      <c r="G127" s="510">
        <f t="shared" si="34"/>
        <v>54523.409297224833</v>
      </c>
      <c r="H127" s="523">
        <f t="shared" si="35"/>
        <v>31021.811123760119</v>
      </c>
      <c r="I127" s="572">
        <f t="shared" si="36"/>
        <v>31021.811123760119</v>
      </c>
      <c r="J127" s="504">
        <f t="shared" si="30"/>
        <v>0</v>
      </c>
      <c r="K127" s="504"/>
      <c r="L127" s="512"/>
      <c r="M127" s="504">
        <f t="shared" si="25"/>
        <v>0</v>
      </c>
      <c r="N127" s="512"/>
      <c r="O127" s="504">
        <f t="shared" si="27"/>
        <v>0</v>
      </c>
      <c r="P127" s="504">
        <f t="shared" si="28"/>
        <v>0</v>
      </c>
      <c r="Q127" s="243"/>
      <c r="R127" s="243"/>
      <c r="S127" s="243"/>
      <c r="T127" s="243"/>
      <c r="U127" s="243"/>
    </row>
    <row r="128" spans="2:21">
      <c r="B128" s="145" t="str">
        <f t="shared" si="23"/>
        <v/>
      </c>
      <c r="C128" s="495">
        <f>IF(D94="","-",+C127+1)</f>
        <v>2039</v>
      </c>
      <c r="D128" s="349">
        <f>IF(F127+SUM(E$100:E127)=D$93,F127,D$93-SUM(E$100:E127))</f>
        <v>42228.349297224835</v>
      </c>
      <c r="E128" s="509">
        <f>IF(+J97&lt;F127,J97,D128)</f>
        <v>24590.12</v>
      </c>
      <c r="F128" s="510">
        <f t="shared" si="33"/>
        <v>17638.229297224836</v>
      </c>
      <c r="G128" s="510">
        <f t="shared" si="34"/>
        <v>29933.289297224837</v>
      </c>
      <c r="H128" s="523">
        <f t="shared" si="35"/>
        <v>28121.111065294663</v>
      </c>
      <c r="I128" s="572">
        <f t="shared" si="36"/>
        <v>28121.111065294663</v>
      </c>
      <c r="J128" s="504">
        <f t="shared" si="30"/>
        <v>0</v>
      </c>
      <c r="K128" s="504"/>
      <c r="L128" s="512"/>
      <c r="M128" s="504">
        <f t="shared" si="25"/>
        <v>0</v>
      </c>
      <c r="N128" s="512"/>
      <c r="O128" s="504">
        <f t="shared" si="27"/>
        <v>0</v>
      </c>
      <c r="P128" s="504">
        <f t="shared" si="28"/>
        <v>0</v>
      </c>
      <c r="Q128" s="243"/>
      <c r="R128" s="243"/>
      <c r="S128" s="243"/>
      <c r="T128" s="243"/>
      <c r="U128" s="243"/>
    </row>
    <row r="129" spans="2:21">
      <c r="B129" s="145" t="str">
        <f t="shared" si="23"/>
        <v/>
      </c>
      <c r="C129" s="495">
        <f>IF(D94="","-",+C128+1)</f>
        <v>2040</v>
      </c>
      <c r="D129" s="349">
        <f>IF(F128+SUM(E$100:E128)=D$93,F128,D$93-SUM(E$100:E128))</f>
        <v>17638.229297224836</v>
      </c>
      <c r="E129" s="509">
        <f>IF(+J97&lt;F128,J97,D129)</f>
        <v>17638.229297224836</v>
      </c>
      <c r="F129" s="510">
        <f t="shared" si="33"/>
        <v>0</v>
      </c>
      <c r="G129" s="510">
        <f t="shared" si="34"/>
        <v>8819.114648612418</v>
      </c>
      <c r="H129" s="523">
        <f t="shared" si="35"/>
        <v>18678.549815255803</v>
      </c>
      <c r="I129" s="572">
        <f t="shared" si="36"/>
        <v>18678.549815255803</v>
      </c>
      <c r="J129" s="504">
        <f t="shared" si="30"/>
        <v>0</v>
      </c>
      <c r="K129" s="504"/>
      <c r="L129" s="512"/>
      <c r="M129" s="504">
        <f t="shared" si="25"/>
        <v>0</v>
      </c>
      <c r="N129" s="512"/>
      <c r="O129" s="504">
        <f t="shared" si="27"/>
        <v>0</v>
      </c>
      <c r="P129" s="504">
        <f t="shared" si="28"/>
        <v>0</v>
      </c>
      <c r="Q129" s="243"/>
      <c r="R129" s="243"/>
      <c r="S129" s="243"/>
      <c r="T129" s="243"/>
      <c r="U129" s="243"/>
    </row>
    <row r="130" spans="2:21">
      <c r="B130" s="145" t="str">
        <f t="shared" si="23"/>
        <v/>
      </c>
      <c r="C130" s="495">
        <f>IF(D94="","-",+C129+1)</f>
        <v>2041</v>
      </c>
      <c r="D130" s="349">
        <f>IF(F129+SUM(E$100:E129)=D$93,F129,D$93-SUM(E$100:E129))</f>
        <v>0</v>
      </c>
      <c r="E130" s="509">
        <f>IF(+J97&lt;F129,J97,D130)</f>
        <v>0</v>
      </c>
      <c r="F130" s="510">
        <f t="shared" si="33"/>
        <v>0</v>
      </c>
      <c r="G130" s="510">
        <f t="shared" si="34"/>
        <v>0</v>
      </c>
      <c r="H130" s="523">
        <f t="shared" si="35"/>
        <v>0</v>
      </c>
      <c r="I130" s="572">
        <f t="shared" si="36"/>
        <v>0</v>
      </c>
      <c r="J130" s="504">
        <f t="shared" si="30"/>
        <v>0</v>
      </c>
      <c r="K130" s="504"/>
      <c r="L130" s="512"/>
      <c r="M130" s="504">
        <f t="shared" si="25"/>
        <v>0</v>
      </c>
      <c r="N130" s="512"/>
      <c r="O130" s="504">
        <f t="shared" si="27"/>
        <v>0</v>
      </c>
      <c r="P130" s="504">
        <f t="shared" si="28"/>
        <v>0</v>
      </c>
      <c r="Q130" s="243"/>
      <c r="R130" s="243"/>
      <c r="S130" s="243"/>
      <c r="T130" s="243"/>
      <c r="U130" s="243"/>
    </row>
    <row r="131" spans="2:21">
      <c r="B131" s="145" t="str">
        <f t="shared" si="23"/>
        <v/>
      </c>
      <c r="C131" s="495">
        <f>IF(D94="","-",+C130+1)</f>
        <v>2042</v>
      </c>
      <c r="D131" s="349">
        <f>IF(F130+SUM(E$100:E130)=D$93,F130,D$93-SUM(E$100:E130))</f>
        <v>0</v>
      </c>
      <c r="E131" s="509">
        <f>IF(+J97&lt;F130,J97,D131)</f>
        <v>0</v>
      </c>
      <c r="F131" s="510">
        <f t="shared" si="33"/>
        <v>0</v>
      </c>
      <c r="G131" s="510">
        <f t="shared" si="34"/>
        <v>0</v>
      </c>
      <c r="H131" s="523">
        <f t="shared" si="35"/>
        <v>0</v>
      </c>
      <c r="I131" s="572">
        <f t="shared" si="36"/>
        <v>0</v>
      </c>
      <c r="J131" s="504">
        <f t="shared" si="30"/>
        <v>0</v>
      </c>
      <c r="K131" s="504"/>
      <c r="L131" s="512"/>
      <c r="M131" s="504">
        <f t="shared" si="25"/>
        <v>0</v>
      </c>
      <c r="N131" s="512"/>
      <c r="O131" s="504">
        <f t="shared" si="27"/>
        <v>0</v>
      </c>
      <c r="P131" s="504">
        <f t="shared" si="28"/>
        <v>0</v>
      </c>
      <c r="Q131" s="243"/>
      <c r="R131" s="243"/>
      <c r="S131" s="243"/>
      <c r="T131" s="243"/>
      <c r="U131" s="243"/>
    </row>
    <row r="132" spans="2:21">
      <c r="B132" s="145" t="str">
        <f t="shared" ref="B132:B155" si="37">IF(D132=F131,"","IU")</f>
        <v/>
      </c>
      <c r="C132" s="495">
        <f>IF(D94="","-",+C131+1)</f>
        <v>2043</v>
      </c>
      <c r="D132" s="349">
        <f>IF(F131+SUM(E$100:E131)=D$93,F131,D$93-SUM(E$100:E131))</f>
        <v>0</v>
      </c>
      <c r="E132" s="509">
        <f>IF(+J97&lt;F131,J97,D132)</f>
        <v>0</v>
      </c>
      <c r="F132" s="510">
        <f t="shared" si="33"/>
        <v>0</v>
      </c>
      <c r="G132" s="510">
        <f t="shared" ref="G132:G155" si="38">+(F132+D132)/2</f>
        <v>0</v>
      </c>
      <c r="H132" s="523">
        <f t="shared" ref="H132:H155" si="39">+J$95*G132+E132</f>
        <v>0</v>
      </c>
      <c r="I132" s="572">
        <f t="shared" ref="I132:I155" si="40">+J$96*G132+E132</f>
        <v>0</v>
      </c>
      <c r="J132" s="504">
        <f t="shared" ref="J132:J155" si="41">+I132-H132</f>
        <v>0</v>
      </c>
      <c r="K132" s="504"/>
      <c r="L132" s="512"/>
      <c r="M132" s="504">
        <f t="shared" ref="M132:M155" si="42">IF(L132&lt;&gt;0,+H132-L132,0)</f>
        <v>0</v>
      </c>
      <c r="N132" s="512"/>
      <c r="O132" s="504">
        <f t="shared" ref="O132:O155" si="43">IF(N132&lt;&gt;0,+I132-N132,0)</f>
        <v>0</v>
      </c>
      <c r="P132" s="504">
        <f t="shared" ref="P132:P155" si="44">+O132-M132</f>
        <v>0</v>
      </c>
      <c r="Q132" s="243"/>
      <c r="R132" s="243"/>
      <c r="S132" s="243"/>
      <c r="T132" s="243"/>
      <c r="U132" s="243"/>
    </row>
    <row r="133" spans="2:21">
      <c r="B133" s="145" t="str">
        <f t="shared" si="37"/>
        <v/>
      </c>
      <c r="C133" s="495">
        <f>IF(D94="","-",+C132+1)</f>
        <v>2044</v>
      </c>
      <c r="D133" s="349">
        <f>IF(F132+SUM(E$100:E132)=D$93,F132,D$93-SUM(E$100:E132))</f>
        <v>0</v>
      </c>
      <c r="E133" s="509">
        <f>IF(+J97&lt;F132,J97,D133)</f>
        <v>0</v>
      </c>
      <c r="F133" s="510">
        <f t="shared" ref="F133:F155" si="45">+D133-E133</f>
        <v>0</v>
      </c>
      <c r="G133" s="510">
        <f t="shared" si="38"/>
        <v>0</v>
      </c>
      <c r="H133" s="523">
        <f t="shared" si="39"/>
        <v>0</v>
      </c>
      <c r="I133" s="572">
        <f t="shared" si="40"/>
        <v>0</v>
      </c>
      <c r="J133" s="504">
        <f t="shared" si="41"/>
        <v>0</v>
      </c>
      <c r="K133" s="504"/>
      <c r="L133" s="512"/>
      <c r="M133" s="504">
        <f t="shared" si="42"/>
        <v>0</v>
      </c>
      <c r="N133" s="512"/>
      <c r="O133" s="504">
        <f t="shared" si="43"/>
        <v>0</v>
      </c>
      <c r="P133" s="504">
        <f t="shared" si="44"/>
        <v>0</v>
      </c>
      <c r="Q133" s="243"/>
      <c r="R133" s="243"/>
      <c r="S133" s="243"/>
      <c r="T133" s="243"/>
      <c r="U133" s="243"/>
    </row>
    <row r="134" spans="2:21">
      <c r="B134" s="145" t="str">
        <f t="shared" si="37"/>
        <v/>
      </c>
      <c r="C134" s="495">
        <f>IF(D94="","-",+C133+1)</f>
        <v>2045</v>
      </c>
      <c r="D134" s="349">
        <f>IF(F133+SUM(E$100:E133)=D$93,F133,D$93-SUM(E$100:E133))</f>
        <v>0</v>
      </c>
      <c r="E134" s="509">
        <f>IF(+J97&lt;F133,J97,D134)</f>
        <v>0</v>
      </c>
      <c r="F134" s="510">
        <f t="shared" si="45"/>
        <v>0</v>
      </c>
      <c r="G134" s="510">
        <f t="shared" si="38"/>
        <v>0</v>
      </c>
      <c r="H134" s="523">
        <f t="shared" si="39"/>
        <v>0</v>
      </c>
      <c r="I134" s="572">
        <f t="shared" si="40"/>
        <v>0</v>
      </c>
      <c r="J134" s="504">
        <f t="shared" si="41"/>
        <v>0</v>
      </c>
      <c r="K134" s="504"/>
      <c r="L134" s="512"/>
      <c r="M134" s="504">
        <f t="shared" si="42"/>
        <v>0</v>
      </c>
      <c r="N134" s="512"/>
      <c r="O134" s="504">
        <f t="shared" si="43"/>
        <v>0</v>
      </c>
      <c r="P134" s="504">
        <f t="shared" si="44"/>
        <v>0</v>
      </c>
      <c r="Q134" s="243"/>
      <c r="R134" s="243"/>
      <c r="S134" s="243"/>
      <c r="T134" s="243"/>
      <c r="U134" s="243"/>
    </row>
    <row r="135" spans="2:21">
      <c r="B135" s="145" t="str">
        <f t="shared" si="37"/>
        <v/>
      </c>
      <c r="C135" s="495">
        <f>IF(D94="","-",+C134+1)</f>
        <v>2046</v>
      </c>
      <c r="D135" s="349">
        <f>IF(F134+SUM(E$100:E134)=D$93,F134,D$93-SUM(E$100:E134))</f>
        <v>0</v>
      </c>
      <c r="E135" s="509">
        <f>IF(+J97&lt;F134,J97,D135)</f>
        <v>0</v>
      </c>
      <c r="F135" s="510">
        <f t="shared" si="45"/>
        <v>0</v>
      </c>
      <c r="G135" s="510">
        <f t="shared" si="38"/>
        <v>0</v>
      </c>
      <c r="H135" s="523">
        <f t="shared" si="39"/>
        <v>0</v>
      </c>
      <c r="I135" s="572">
        <f t="shared" si="40"/>
        <v>0</v>
      </c>
      <c r="J135" s="504">
        <f t="shared" si="41"/>
        <v>0</v>
      </c>
      <c r="K135" s="504"/>
      <c r="L135" s="512"/>
      <c r="M135" s="504">
        <f t="shared" si="42"/>
        <v>0</v>
      </c>
      <c r="N135" s="512"/>
      <c r="O135" s="504">
        <f t="shared" si="43"/>
        <v>0</v>
      </c>
      <c r="P135" s="504">
        <f t="shared" si="44"/>
        <v>0</v>
      </c>
      <c r="Q135" s="243"/>
      <c r="R135" s="243"/>
      <c r="S135" s="243"/>
      <c r="T135" s="243"/>
      <c r="U135" s="243"/>
    </row>
    <row r="136" spans="2:21">
      <c r="B136" s="145" t="str">
        <f t="shared" si="37"/>
        <v/>
      </c>
      <c r="C136" s="495">
        <f>IF(D94="","-",+C135+1)</f>
        <v>2047</v>
      </c>
      <c r="D136" s="349">
        <f>IF(F135+SUM(E$100:E135)=D$93,F135,D$93-SUM(E$100:E135))</f>
        <v>0</v>
      </c>
      <c r="E136" s="509">
        <f>IF(+J97&lt;F135,J97,D136)</f>
        <v>0</v>
      </c>
      <c r="F136" s="510">
        <f t="shared" si="45"/>
        <v>0</v>
      </c>
      <c r="G136" s="510">
        <f t="shared" si="38"/>
        <v>0</v>
      </c>
      <c r="H136" s="523">
        <f t="shared" si="39"/>
        <v>0</v>
      </c>
      <c r="I136" s="572">
        <f t="shared" si="40"/>
        <v>0</v>
      </c>
      <c r="J136" s="504">
        <f t="shared" si="41"/>
        <v>0</v>
      </c>
      <c r="K136" s="504"/>
      <c r="L136" s="512"/>
      <c r="M136" s="504">
        <f t="shared" si="42"/>
        <v>0</v>
      </c>
      <c r="N136" s="512"/>
      <c r="O136" s="504">
        <f t="shared" si="43"/>
        <v>0</v>
      </c>
      <c r="P136" s="504">
        <f t="shared" si="44"/>
        <v>0</v>
      </c>
      <c r="Q136" s="243"/>
      <c r="R136" s="243"/>
      <c r="S136" s="243"/>
      <c r="T136" s="243"/>
      <c r="U136" s="243"/>
    </row>
    <row r="137" spans="2:21">
      <c r="B137" s="145" t="str">
        <f t="shared" si="37"/>
        <v/>
      </c>
      <c r="C137" s="495">
        <f>IF(D94="","-",+C136+1)</f>
        <v>2048</v>
      </c>
      <c r="D137" s="349">
        <f>IF(F136+SUM(E$100:E136)=D$93,F136,D$93-SUM(E$100:E136))</f>
        <v>0</v>
      </c>
      <c r="E137" s="509">
        <f>IF(+J97&lt;F136,J97,D137)</f>
        <v>0</v>
      </c>
      <c r="F137" s="510">
        <f t="shared" si="45"/>
        <v>0</v>
      </c>
      <c r="G137" s="510">
        <f t="shared" si="38"/>
        <v>0</v>
      </c>
      <c r="H137" s="523">
        <f t="shared" si="39"/>
        <v>0</v>
      </c>
      <c r="I137" s="572">
        <f t="shared" si="40"/>
        <v>0</v>
      </c>
      <c r="J137" s="504">
        <f t="shared" si="41"/>
        <v>0</v>
      </c>
      <c r="K137" s="504"/>
      <c r="L137" s="512"/>
      <c r="M137" s="504">
        <f t="shared" si="42"/>
        <v>0</v>
      </c>
      <c r="N137" s="512"/>
      <c r="O137" s="504">
        <f t="shared" si="43"/>
        <v>0</v>
      </c>
      <c r="P137" s="504">
        <f t="shared" si="44"/>
        <v>0</v>
      </c>
      <c r="Q137" s="243"/>
      <c r="R137" s="243"/>
      <c r="S137" s="243"/>
      <c r="T137" s="243"/>
      <c r="U137" s="243"/>
    </row>
    <row r="138" spans="2:21">
      <c r="B138" s="145" t="str">
        <f t="shared" si="37"/>
        <v/>
      </c>
      <c r="C138" s="495">
        <f>IF(D94="","-",+C137+1)</f>
        <v>2049</v>
      </c>
      <c r="D138" s="349">
        <f>IF(F137+SUM(E$100:E137)=D$93,F137,D$93-SUM(E$100:E137))</f>
        <v>0</v>
      </c>
      <c r="E138" s="509">
        <f>IF(+J97&lt;F137,J97,D138)</f>
        <v>0</v>
      </c>
      <c r="F138" s="510">
        <f t="shared" si="45"/>
        <v>0</v>
      </c>
      <c r="G138" s="510">
        <f t="shared" si="38"/>
        <v>0</v>
      </c>
      <c r="H138" s="523">
        <f t="shared" si="39"/>
        <v>0</v>
      </c>
      <c r="I138" s="572">
        <f t="shared" si="40"/>
        <v>0</v>
      </c>
      <c r="J138" s="504">
        <f t="shared" si="41"/>
        <v>0</v>
      </c>
      <c r="K138" s="504"/>
      <c r="L138" s="512"/>
      <c r="M138" s="504">
        <f t="shared" si="42"/>
        <v>0</v>
      </c>
      <c r="N138" s="512"/>
      <c r="O138" s="504">
        <f t="shared" si="43"/>
        <v>0</v>
      </c>
      <c r="P138" s="504">
        <f t="shared" si="44"/>
        <v>0</v>
      </c>
      <c r="Q138" s="243"/>
      <c r="R138" s="243"/>
      <c r="S138" s="243"/>
      <c r="T138" s="243"/>
      <c r="U138" s="243"/>
    </row>
    <row r="139" spans="2:21">
      <c r="B139" s="145" t="str">
        <f t="shared" si="37"/>
        <v/>
      </c>
      <c r="C139" s="495">
        <f>IF(D94="","-",+C138+1)</f>
        <v>2050</v>
      </c>
      <c r="D139" s="349">
        <f>IF(F138+SUM(E$100:E138)=D$93,F138,D$93-SUM(E$100:E138))</f>
        <v>0</v>
      </c>
      <c r="E139" s="509">
        <f>IF(+J97&lt;F138,J97,D139)</f>
        <v>0</v>
      </c>
      <c r="F139" s="510">
        <f t="shared" si="45"/>
        <v>0</v>
      </c>
      <c r="G139" s="510">
        <f t="shared" si="38"/>
        <v>0</v>
      </c>
      <c r="H139" s="523">
        <f t="shared" si="39"/>
        <v>0</v>
      </c>
      <c r="I139" s="572">
        <f t="shared" si="40"/>
        <v>0</v>
      </c>
      <c r="J139" s="504">
        <f t="shared" si="41"/>
        <v>0</v>
      </c>
      <c r="K139" s="504"/>
      <c r="L139" s="512"/>
      <c r="M139" s="504">
        <f t="shared" si="42"/>
        <v>0</v>
      </c>
      <c r="N139" s="512"/>
      <c r="O139" s="504">
        <f t="shared" si="43"/>
        <v>0</v>
      </c>
      <c r="P139" s="504">
        <f t="shared" si="44"/>
        <v>0</v>
      </c>
      <c r="Q139" s="243"/>
      <c r="R139" s="243"/>
      <c r="S139" s="243"/>
      <c r="T139" s="243"/>
      <c r="U139" s="243"/>
    </row>
    <row r="140" spans="2:21">
      <c r="B140" s="145" t="str">
        <f t="shared" si="37"/>
        <v/>
      </c>
      <c r="C140" s="495">
        <f>IF(D94="","-",+C139+1)</f>
        <v>2051</v>
      </c>
      <c r="D140" s="349">
        <f>IF(F139+SUM(E$100:E139)=D$93,F139,D$93-SUM(E$100:E139))</f>
        <v>0</v>
      </c>
      <c r="E140" s="509">
        <f>IF(+J97&lt;F139,J97,D140)</f>
        <v>0</v>
      </c>
      <c r="F140" s="510">
        <f t="shared" si="45"/>
        <v>0</v>
      </c>
      <c r="G140" s="510">
        <f t="shared" si="38"/>
        <v>0</v>
      </c>
      <c r="H140" s="523">
        <f t="shared" si="39"/>
        <v>0</v>
      </c>
      <c r="I140" s="572">
        <f t="shared" si="40"/>
        <v>0</v>
      </c>
      <c r="J140" s="504">
        <f t="shared" si="41"/>
        <v>0</v>
      </c>
      <c r="K140" s="504"/>
      <c r="L140" s="512"/>
      <c r="M140" s="504">
        <f t="shared" si="42"/>
        <v>0</v>
      </c>
      <c r="N140" s="512"/>
      <c r="O140" s="504">
        <f t="shared" si="43"/>
        <v>0</v>
      </c>
      <c r="P140" s="504">
        <f t="shared" si="44"/>
        <v>0</v>
      </c>
      <c r="Q140" s="243"/>
      <c r="R140" s="243"/>
      <c r="S140" s="243"/>
      <c r="T140" s="243"/>
      <c r="U140" s="243"/>
    </row>
    <row r="141" spans="2:21">
      <c r="B141" s="145" t="str">
        <f t="shared" si="37"/>
        <v/>
      </c>
      <c r="C141" s="495">
        <f>IF(D94="","-",+C140+1)</f>
        <v>2052</v>
      </c>
      <c r="D141" s="349">
        <f>IF(F140+SUM(E$100:E140)=D$93,F140,D$93-SUM(E$100:E140))</f>
        <v>0</v>
      </c>
      <c r="E141" s="509">
        <f>IF(+J97&lt;F140,J97,D141)</f>
        <v>0</v>
      </c>
      <c r="F141" s="510">
        <f t="shared" si="45"/>
        <v>0</v>
      </c>
      <c r="G141" s="510">
        <f t="shared" si="38"/>
        <v>0</v>
      </c>
      <c r="H141" s="523">
        <f t="shared" si="39"/>
        <v>0</v>
      </c>
      <c r="I141" s="572">
        <f t="shared" si="40"/>
        <v>0</v>
      </c>
      <c r="J141" s="504">
        <f t="shared" si="41"/>
        <v>0</v>
      </c>
      <c r="K141" s="504"/>
      <c r="L141" s="512"/>
      <c r="M141" s="504">
        <f t="shared" si="42"/>
        <v>0</v>
      </c>
      <c r="N141" s="512"/>
      <c r="O141" s="504">
        <f t="shared" si="43"/>
        <v>0</v>
      </c>
      <c r="P141" s="504">
        <f t="shared" si="44"/>
        <v>0</v>
      </c>
      <c r="Q141" s="243"/>
      <c r="R141" s="243"/>
      <c r="S141" s="243"/>
      <c r="T141" s="243"/>
      <c r="U141" s="243"/>
    </row>
    <row r="142" spans="2:21">
      <c r="B142" s="145" t="str">
        <f t="shared" si="37"/>
        <v/>
      </c>
      <c r="C142" s="495">
        <f>IF(D94="","-",+C141+1)</f>
        <v>2053</v>
      </c>
      <c r="D142" s="349">
        <f>IF(F141+SUM(E$100:E141)=D$93,F141,D$93-SUM(E$100:E141))</f>
        <v>0</v>
      </c>
      <c r="E142" s="509">
        <f>IF(+J97&lt;F141,J97,D142)</f>
        <v>0</v>
      </c>
      <c r="F142" s="510">
        <f t="shared" si="45"/>
        <v>0</v>
      </c>
      <c r="G142" s="510">
        <f t="shared" si="38"/>
        <v>0</v>
      </c>
      <c r="H142" s="523">
        <f t="shared" si="39"/>
        <v>0</v>
      </c>
      <c r="I142" s="572">
        <f t="shared" si="40"/>
        <v>0</v>
      </c>
      <c r="J142" s="504">
        <f t="shared" si="41"/>
        <v>0</v>
      </c>
      <c r="K142" s="504"/>
      <c r="L142" s="512"/>
      <c r="M142" s="504">
        <f t="shared" si="42"/>
        <v>0</v>
      </c>
      <c r="N142" s="512"/>
      <c r="O142" s="504">
        <f t="shared" si="43"/>
        <v>0</v>
      </c>
      <c r="P142" s="504">
        <f t="shared" si="44"/>
        <v>0</v>
      </c>
      <c r="Q142" s="243"/>
      <c r="R142" s="243"/>
      <c r="S142" s="243"/>
      <c r="T142" s="243"/>
      <c r="U142" s="243"/>
    </row>
    <row r="143" spans="2:21">
      <c r="B143" s="145" t="str">
        <f t="shared" si="37"/>
        <v/>
      </c>
      <c r="C143" s="495">
        <f>IF(D94="","-",+C142+1)</f>
        <v>2054</v>
      </c>
      <c r="D143" s="349">
        <f>IF(F142+SUM(E$100:E142)=D$93,F142,D$93-SUM(E$100:E142))</f>
        <v>0</v>
      </c>
      <c r="E143" s="509">
        <f>IF(+J97&lt;F142,J97,D143)</f>
        <v>0</v>
      </c>
      <c r="F143" s="510">
        <f t="shared" si="45"/>
        <v>0</v>
      </c>
      <c r="G143" s="510">
        <f t="shared" si="38"/>
        <v>0</v>
      </c>
      <c r="H143" s="523">
        <f t="shared" si="39"/>
        <v>0</v>
      </c>
      <c r="I143" s="572">
        <f t="shared" si="40"/>
        <v>0</v>
      </c>
      <c r="J143" s="504">
        <f t="shared" si="41"/>
        <v>0</v>
      </c>
      <c r="K143" s="504"/>
      <c r="L143" s="512"/>
      <c r="M143" s="504">
        <f t="shared" si="42"/>
        <v>0</v>
      </c>
      <c r="N143" s="512"/>
      <c r="O143" s="504">
        <f t="shared" si="43"/>
        <v>0</v>
      </c>
      <c r="P143" s="504">
        <f t="shared" si="44"/>
        <v>0</v>
      </c>
      <c r="Q143" s="243"/>
      <c r="R143" s="243"/>
      <c r="S143" s="243"/>
      <c r="T143" s="243"/>
      <c r="U143" s="243"/>
    </row>
    <row r="144" spans="2:21">
      <c r="B144" s="145" t="str">
        <f t="shared" si="37"/>
        <v/>
      </c>
      <c r="C144" s="495">
        <f>IF(D94="","-",+C143+1)</f>
        <v>2055</v>
      </c>
      <c r="D144" s="349">
        <f>IF(F143+SUM(E$100:E143)=D$93,F143,D$93-SUM(E$100:E143))</f>
        <v>0</v>
      </c>
      <c r="E144" s="509">
        <f>IF(+J97&lt;F143,J97,D144)</f>
        <v>0</v>
      </c>
      <c r="F144" s="510">
        <f t="shared" si="45"/>
        <v>0</v>
      </c>
      <c r="G144" s="510">
        <f t="shared" si="38"/>
        <v>0</v>
      </c>
      <c r="H144" s="523">
        <f t="shared" si="39"/>
        <v>0</v>
      </c>
      <c r="I144" s="572">
        <f t="shared" si="40"/>
        <v>0</v>
      </c>
      <c r="J144" s="504">
        <f t="shared" si="41"/>
        <v>0</v>
      </c>
      <c r="K144" s="504"/>
      <c r="L144" s="512"/>
      <c r="M144" s="504">
        <f t="shared" si="42"/>
        <v>0</v>
      </c>
      <c r="N144" s="512"/>
      <c r="O144" s="504">
        <f t="shared" si="43"/>
        <v>0</v>
      </c>
      <c r="P144" s="504">
        <f t="shared" si="44"/>
        <v>0</v>
      </c>
      <c r="Q144" s="243"/>
      <c r="R144" s="243"/>
      <c r="S144" s="243"/>
      <c r="T144" s="243"/>
      <c r="U144" s="243"/>
    </row>
    <row r="145" spans="2:21">
      <c r="B145" s="145" t="str">
        <f t="shared" si="37"/>
        <v/>
      </c>
      <c r="C145" s="495">
        <f>IF(D94="","-",+C144+1)</f>
        <v>2056</v>
      </c>
      <c r="D145" s="349">
        <f>IF(F144+SUM(E$100:E144)=D$93,F144,D$93-SUM(E$100:E144))</f>
        <v>0</v>
      </c>
      <c r="E145" s="509">
        <f>IF(+J97&lt;F144,J97,D145)</f>
        <v>0</v>
      </c>
      <c r="F145" s="510">
        <f t="shared" si="45"/>
        <v>0</v>
      </c>
      <c r="G145" s="510">
        <f t="shared" si="38"/>
        <v>0</v>
      </c>
      <c r="H145" s="523">
        <f t="shared" si="39"/>
        <v>0</v>
      </c>
      <c r="I145" s="572">
        <f t="shared" si="40"/>
        <v>0</v>
      </c>
      <c r="J145" s="504">
        <f t="shared" si="41"/>
        <v>0</v>
      </c>
      <c r="K145" s="504"/>
      <c r="L145" s="512"/>
      <c r="M145" s="504">
        <f t="shared" si="42"/>
        <v>0</v>
      </c>
      <c r="N145" s="512"/>
      <c r="O145" s="504">
        <f t="shared" si="43"/>
        <v>0</v>
      </c>
      <c r="P145" s="504">
        <f t="shared" si="44"/>
        <v>0</v>
      </c>
      <c r="Q145" s="243"/>
      <c r="R145" s="243"/>
      <c r="S145" s="243"/>
      <c r="T145" s="243"/>
      <c r="U145" s="243"/>
    </row>
    <row r="146" spans="2:21">
      <c r="B146" s="145" t="str">
        <f t="shared" si="37"/>
        <v/>
      </c>
      <c r="C146" s="495">
        <f>IF(D94="","-",+C145+1)</f>
        <v>2057</v>
      </c>
      <c r="D146" s="349">
        <f>IF(F145+SUM(E$100:E145)=D$93,F145,D$93-SUM(E$100:E145))</f>
        <v>0</v>
      </c>
      <c r="E146" s="509">
        <f>IF(+J97&lt;F145,J97,D146)</f>
        <v>0</v>
      </c>
      <c r="F146" s="510">
        <f t="shared" si="45"/>
        <v>0</v>
      </c>
      <c r="G146" s="510">
        <f t="shared" si="38"/>
        <v>0</v>
      </c>
      <c r="H146" s="523">
        <f t="shared" si="39"/>
        <v>0</v>
      </c>
      <c r="I146" s="572">
        <f t="shared" si="40"/>
        <v>0</v>
      </c>
      <c r="J146" s="504">
        <f t="shared" si="41"/>
        <v>0</v>
      </c>
      <c r="K146" s="504"/>
      <c r="L146" s="512"/>
      <c r="M146" s="504">
        <f t="shared" si="42"/>
        <v>0</v>
      </c>
      <c r="N146" s="512"/>
      <c r="O146" s="504">
        <f t="shared" si="43"/>
        <v>0</v>
      </c>
      <c r="P146" s="504">
        <f t="shared" si="44"/>
        <v>0</v>
      </c>
      <c r="Q146" s="243"/>
      <c r="R146" s="243"/>
      <c r="S146" s="243"/>
      <c r="T146" s="243"/>
      <c r="U146" s="243"/>
    </row>
    <row r="147" spans="2:21">
      <c r="B147" s="145" t="str">
        <f t="shared" si="37"/>
        <v/>
      </c>
      <c r="C147" s="495">
        <f>IF(D94="","-",+C146+1)</f>
        <v>2058</v>
      </c>
      <c r="D147" s="349">
        <f>IF(F146+SUM(E$100:E146)=D$93,F146,D$93-SUM(E$100:E146))</f>
        <v>0</v>
      </c>
      <c r="E147" s="509">
        <f>IF(+J97&lt;F146,J97,D147)</f>
        <v>0</v>
      </c>
      <c r="F147" s="510">
        <f t="shared" si="45"/>
        <v>0</v>
      </c>
      <c r="G147" s="510">
        <f t="shared" si="38"/>
        <v>0</v>
      </c>
      <c r="H147" s="523">
        <f t="shared" si="39"/>
        <v>0</v>
      </c>
      <c r="I147" s="572">
        <f t="shared" si="40"/>
        <v>0</v>
      </c>
      <c r="J147" s="504">
        <f t="shared" si="41"/>
        <v>0</v>
      </c>
      <c r="K147" s="504"/>
      <c r="L147" s="512"/>
      <c r="M147" s="504">
        <f t="shared" si="42"/>
        <v>0</v>
      </c>
      <c r="N147" s="512"/>
      <c r="O147" s="504">
        <f t="shared" si="43"/>
        <v>0</v>
      </c>
      <c r="P147" s="504">
        <f t="shared" si="44"/>
        <v>0</v>
      </c>
      <c r="Q147" s="243"/>
      <c r="R147" s="243"/>
      <c r="S147" s="243"/>
      <c r="T147" s="243"/>
      <c r="U147" s="243"/>
    </row>
    <row r="148" spans="2:21">
      <c r="B148" s="145" t="str">
        <f t="shared" si="37"/>
        <v/>
      </c>
      <c r="C148" s="495">
        <f>IF(D94="","-",+C147+1)</f>
        <v>2059</v>
      </c>
      <c r="D148" s="349">
        <f>IF(F147+SUM(E$100:E147)=D$93,F147,D$93-SUM(E$100:E147))</f>
        <v>0</v>
      </c>
      <c r="E148" s="509">
        <f>IF(+J97&lt;F147,J97,D148)</f>
        <v>0</v>
      </c>
      <c r="F148" s="510">
        <f t="shared" si="45"/>
        <v>0</v>
      </c>
      <c r="G148" s="510">
        <f t="shared" si="38"/>
        <v>0</v>
      </c>
      <c r="H148" s="523">
        <f t="shared" si="39"/>
        <v>0</v>
      </c>
      <c r="I148" s="572">
        <f t="shared" si="40"/>
        <v>0</v>
      </c>
      <c r="J148" s="504">
        <f t="shared" si="41"/>
        <v>0</v>
      </c>
      <c r="K148" s="504"/>
      <c r="L148" s="512"/>
      <c r="M148" s="504">
        <f t="shared" si="42"/>
        <v>0</v>
      </c>
      <c r="N148" s="512"/>
      <c r="O148" s="504">
        <f t="shared" si="43"/>
        <v>0</v>
      </c>
      <c r="P148" s="504">
        <f t="shared" si="44"/>
        <v>0</v>
      </c>
      <c r="Q148" s="243"/>
      <c r="R148" s="243"/>
      <c r="S148" s="243"/>
      <c r="T148" s="243"/>
      <c r="U148" s="243"/>
    </row>
    <row r="149" spans="2:21">
      <c r="B149" s="145" t="str">
        <f t="shared" si="37"/>
        <v/>
      </c>
      <c r="C149" s="495">
        <f>IF(D94="","-",+C148+1)</f>
        <v>2060</v>
      </c>
      <c r="D149" s="349">
        <f>IF(F148+SUM(E$100:E148)=D$93,F148,D$93-SUM(E$100:E148))</f>
        <v>0</v>
      </c>
      <c r="E149" s="509">
        <f>IF(+J97&lt;F148,J97,D149)</f>
        <v>0</v>
      </c>
      <c r="F149" s="510">
        <f t="shared" si="45"/>
        <v>0</v>
      </c>
      <c r="G149" s="510">
        <f t="shared" si="38"/>
        <v>0</v>
      </c>
      <c r="H149" s="523">
        <f t="shared" si="39"/>
        <v>0</v>
      </c>
      <c r="I149" s="572">
        <f t="shared" si="40"/>
        <v>0</v>
      </c>
      <c r="J149" s="504">
        <f t="shared" si="41"/>
        <v>0</v>
      </c>
      <c r="K149" s="504"/>
      <c r="L149" s="512"/>
      <c r="M149" s="504">
        <f t="shared" si="42"/>
        <v>0</v>
      </c>
      <c r="N149" s="512"/>
      <c r="O149" s="504">
        <f t="shared" si="43"/>
        <v>0</v>
      </c>
      <c r="P149" s="504">
        <f t="shared" si="44"/>
        <v>0</v>
      </c>
      <c r="Q149" s="243"/>
      <c r="R149" s="243"/>
      <c r="S149" s="243"/>
      <c r="T149" s="243"/>
      <c r="U149" s="243"/>
    </row>
    <row r="150" spans="2:21">
      <c r="B150" s="145" t="str">
        <f t="shared" si="37"/>
        <v/>
      </c>
      <c r="C150" s="495">
        <f>IF(D94="","-",+C149+1)</f>
        <v>2061</v>
      </c>
      <c r="D150" s="349">
        <f>IF(F149+SUM(E$100:E149)=D$93,F149,D$93-SUM(E$100:E149))</f>
        <v>0</v>
      </c>
      <c r="E150" s="509">
        <f>IF(+J97&lt;F149,J97,D150)</f>
        <v>0</v>
      </c>
      <c r="F150" s="510">
        <f t="shared" si="45"/>
        <v>0</v>
      </c>
      <c r="G150" s="510">
        <f t="shared" si="38"/>
        <v>0</v>
      </c>
      <c r="H150" s="523">
        <f t="shared" si="39"/>
        <v>0</v>
      </c>
      <c r="I150" s="572">
        <f t="shared" si="40"/>
        <v>0</v>
      </c>
      <c r="J150" s="504">
        <f t="shared" si="41"/>
        <v>0</v>
      </c>
      <c r="K150" s="504"/>
      <c r="L150" s="512"/>
      <c r="M150" s="504">
        <f t="shared" si="42"/>
        <v>0</v>
      </c>
      <c r="N150" s="512"/>
      <c r="O150" s="504">
        <f t="shared" si="43"/>
        <v>0</v>
      </c>
      <c r="P150" s="504">
        <f t="shared" si="44"/>
        <v>0</v>
      </c>
      <c r="Q150" s="243"/>
      <c r="R150" s="243"/>
      <c r="S150" s="243"/>
      <c r="T150" s="243"/>
      <c r="U150" s="243"/>
    </row>
    <row r="151" spans="2:21">
      <c r="B151" s="145" t="str">
        <f t="shared" si="37"/>
        <v/>
      </c>
      <c r="C151" s="495">
        <f>IF(D94="","-",+C150+1)</f>
        <v>2062</v>
      </c>
      <c r="D151" s="349">
        <f>IF(F150+SUM(E$100:E150)=D$93,F150,D$93-SUM(E$100:E150))</f>
        <v>0</v>
      </c>
      <c r="E151" s="509">
        <f>IF(+J97&lt;F150,J97,D151)</f>
        <v>0</v>
      </c>
      <c r="F151" s="510">
        <f t="shared" si="45"/>
        <v>0</v>
      </c>
      <c r="G151" s="510">
        <f t="shared" si="38"/>
        <v>0</v>
      </c>
      <c r="H151" s="523">
        <f t="shared" si="39"/>
        <v>0</v>
      </c>
      <c r="I151" s="572">
        <f t="shared" si="40"/>
        <v>0</v>
      </c>
      <c r="J151" s="504">
        <f t="shared" si="41"/>
        <v>0</v>
      </c>
      <c r="K151" s="504"/>
      <c r="L151" s="512"/>
      <c r="M151" s="504">
        <f t="shared" si="42"/>
        <v>0</v>
      </c>
      <c r="N151" s="512"/>
      <c r="O151" s="504">
        <f t="shared" si="43"/>
        <v>0</v>
      </c>
      <c r="P151" s="504">
        <f t="shared" si="44"/>
        <v>0</v>
      </c>
      <c r="Q151" s="243"/>
      <c r="R151" s="243"/>
      <c r="S151" s="243"/>
      <c r="T151" s="243"/>
      <c r="U151" s="243"/>
    </row>
    <row r="152" spans="2:21">
      <c r="B152" s="145" t="str">
        <f t="shared" si="37"/>
        <v/>
      </c>
      <c r="C152" s="495">
        <f>IF(D94="","-",+C151+1)</f>
        <v>2063</v>
      </c>
      <c r="D152" s="349">
        <f>IF(F151+SUM(E$100:E151)=D$93,F151,D$93-SUM(E$100:E151))</f>
        <v>0</v>
      </c>
      <c r="E152" s="509">
        <f>IF(+J97&lt;F151,J97,D152)</f>
        <v>0</v>
      </c>
      <c r="F152" s="510">
        <f t="shared" si="45"/>
        <v>0</v>
      </c>
      <c r="G152" s="510">
        <f t="shared" si="38"/>
        <v>0</v>
      </c>
      <c r="H152" s="523">
        <f t="shared" si="39"/>
        <v>0</v>
      </c>
      <c r="I152" s="572">
        <f t="shared" si="40"/>
        <v>0</v>
      </c>
      <c r="J152" s="504">
        <f t="shared" si="41"/>
        <v>0</v>
      </c>
      <c r="K152" s="504"/>
      <c r="L152" s="512"/>
      <c r="M152" s="504">
        <f t="shared" si="42"/>
        <v>0</v>
      </c>
      <c r="N152" s="512"/>
      <c r="O152" s="504">
        <f t="shared" si="43"/>
        <v>0</v>
      </c>
      <c r="P152" s="504">
        <f t="shared" si="44"/>
        <v>0</v>
      </c>
      <c r="Q152" s="243"/>
      <c r="R152" s="243"/>
      <c r="S152" s="243"/>
      <c r="T152" s="243"/>
      <c r="U152" s="243"/>
    </row>
    <row r="153" spans="2:21">
      <c r="B153" s="145" t="str">
        <f t="shared" si="37"/>
        <v/>
      </c>
      <c r="C153" s="495">
        <f>IF(D94="","-",+C152+1)</f>
        <v>2064</v>
      </c>
      <c r="D153" s="349">
        <f>IF(F152+SUM(E$100:E152)=D$93,F152,D$93-SUM(E$100:E152))</f>
        <v>0</v>
      </c>
      <c r="E153" s="509">
        <f>IF(+J97&lt;F152,J97,D153)</f>
        <v>0</v>
      </c>
      <c r="F153" s="510">
        <f t="shared" si="45"/>
        <v>0</v>
      </c>
      <c r="G153" s="510">
        <f t="shared" si="38"/>
        <v>0</v>
      </c>
      <c r="H153" s="523">
        <f t="shared" si="39"/>
        <v>0</v>
      </c>
      <c r="I153" s="572">
        <f t="shared" si="40"/>
        <v>0</v>
      </c>
      <c r="J153" s="504">
        <f t="shared" si="41"/>
        <v>0</v>
      </c>
      <c r="K153" s="504"/>
      <c r="L153" s="512"/>
      <c r="M153" s="504">
        <f t="shared" si="42"/>
        <v>0</v>
      </c>
      <c r="N153" s="512"/>
      <c r="O153" s="504">
        <f t="shared" si="43"/>
        <v>0</v>
      </c>
      <c r="P153" s="504">
        <f t="shared" si="44"/>
        <v>0</v>
      </c>
      <c r="Q153" s="243"/>
      <c r="R153" s="243"/>
      <c r="S153" s="243"/>
      <c r="T153" s="243"/>
      <c r="U153" s="243"/>
    </row>
    <row r="154" spans="2:21">
      <c r="B154" s="145" t="str">
        <f t="shared" si="37"/>
        <v/>
      </c>
      <c r="C154" s="495">
        <f>IF(D94="","-",+C153+1)</f>
        <v>2065</v>
      </c>
      <c r="D154" s="349">
        <f>IF(F153+SUM(E$100:E153)=D$93,F153,D$93-SUM(E$100:E153))</f>
        <v>0</v>
      </c>
      <c r="E154" s="509">
        <f>IF(+J97&lt;F153,J97,D154)</f>
        <v>0</v>
      </c>
      <c r="F154" s="510">
        <f t="shared" si="45"/>
        <v>0</v>
      </c>
      <c r="G154" s="510">
        <f t="shared" si="38"/>
        <v>0</v>
      </c>
      <c r="H154" s="523">
        <f t="shared" si="39"/>
        <v>0</v>
      </c>
      <c r="I154" s="572">
        <f t="shared" si="40"/>
        <v>0</v>
      </c>
      <c r="J154" s="504">
        <f t="shared" si="41"/>
        <v>0</v>
      </c>
      <c r="K154" s="504"/>
      <c r="L154" s="512"/>
      <c r="M154" s="504">
        <f t="shared" si="42"/>
        <v>0</v>
      </c>
      <c r="N154" s="512"/>
      <c r="O154" s="504">
        <f t="shared" si="43"/>
        <v>0</v>
      </c>
      <c r="P154" s="504">
        <f t="shared" si="44"/>
        <v>0</v>
      </c>
      <c r="Q154" s="243"/>
      <c r="R154" s="243"/>
      <c r="S154" s="243"/>
      <c r="T154" s="243"/>
      <c r="U154" s="243"/>
    </row>
    <row r="155" spans="2:21" ht="13.5" thickBot="1">
      <c r="B155" s="145" t="str">
        <f t="shared" si="37"/>
        <v/>
      </c>
      <c r="C155" s="524">
        <f>IF(D94="","-",+C154+1)</f>
        <v>2066</v>
      </c>
      <c r="D155" s="527">
        <f>IF(F154+SUM(E$100:E154)=D$93,F154,D$93-SUM(E$100:E154))</f>
        <v>0</v>
      </c>
      <c r="E155" s="526">
        <f>IF(+J97&lt;F154,J97,D155)</f>
        <v>0</v>
      </c>
      <c r="F155" s="527">
        <f t="shared" si="45"/>
        <v>0</v>
      </c>
      <c r="G155" s="527">
        <f t="shared" si="38"/>
        <v>0</v>
      </c>
      <c r="H155" s="528">
        <f t="shared" si="39"/>
        <v>0</v>
      </c>
      <c r="I155" s="573">
        <f t="shared" si="40"/>
        <v>0</v>
      </c>
      <c r="J155" s="531">
        <f t="shared" si="41"/>
        <v>0</v>
      </c>
      <c r="K155" s="504"/>
      <c r="L155" s="530"/>
      <c r="M155" s="531">
        <f t="shared" si="42"/>
        <v>0</v>
      </c>
      <c r="N155" s="530"/>
      <c r="O155" s="531">
        <f t="shared" si="43"/>
        <v>0</v>
      </c>
      <c r="P155" s="531">
        <f t="shared" si="44"/>
        <v>0</v>
      </c>
      <c r="Q155" s="243"/>
      <c r="R155" s="243"/>
      <c r="S155" s="243"/>
      <c r="T155" s="243"/>
      <c r="U155" s="243"/>
    </row>
    <row r="156" spans="2:21">
      <c r="C156" s="349" t="s">
        <v>75</v>
      </c>
      <c r="D156" s="294"/>
      <c r="E156" s="294">
        <f>SUM(E100:E155)</f>
        <v>614753.00000000012</v>
      </c>
      <c r="F156" s="294"/>
      <c r="G156" s="294"/>
      <c r="H156" s="294">
        <f>SUM(H100:H155)</f>
        <v>1746890.3985480715</v>
      </c>
      <c r="I156" s="294">
        <f>SUM(I100:I155)</f>
        <v>1746890.3985480715</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8" priority="1" stopIfTrue="1" operator="equal">
      <formula>$I$10</formula>
    </cfRule>
  </conditionalFormatting>
  <conditionalFormatting sqref="C100:C155">
    <cfRule type="cellIs" dxfId="57"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2">
    <tabColor rgb="FF92D050"/>
  </sheetPr>
  <dimension ref="A1:U163"/>
  <sheetViews>
    <sheetView view="pageBreakPreview" zoomScale="90" zoomScaleNormal="100" zoomScaleSheetLayoutView="90"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4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5" thickBot="1">
      <c r="C4" s="590" t="s">
        <v>237</v>
      </c>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1325242.6316728108</v>
      </c>
      <c r="P5" s="243"/>
      <c r="R5" s="243"/>
      <c r="S5" s="243"/>
      <c r="T5" s="243"/>
      <c r="U5" s="243"/>
    </row>
    <row r="6" spans="1:21" ht="15.75">
      <c r="C6" s="591" t="s">
        <v>238</v>
      </c>
      <c r="D6" s="292"/>
      <c r="E6" s="243"/>
      <c r="F6" s="243"/>
      <c r="G6" s="243"/>
      <c r="H6" s="449"/>
      <c r="I6" s="449"/>
      <c r="J6" s="450"/>
      <c r="K6" s="451" t="s">
        <v>243</v>
      </c>
      <c r="L6" s="452"/>
      <c r="M6" s="278"/>
      <c r="N6" s="453">
        <f>VLOOKUP(I10,C17:I73,6)</f>
        <v>1325242.6316728108</v>
      </c>
      <c r="O6" s="243"/>
      <c r="P6" s="243"/>
      <c r="R6" s="243"/>
      <c r="S6" s="243"/>
      <c r="T6" s="243"/>
      <c r="U6" s="243"/>
    </row>
    <row r="7" spans="1:21" ht="13.5" thickBot="1">
      <c r="C7" s="454" t="s">
        <v>46</v>
      </c>
      <c r="D7" s="455" t="s">
        <v>201</v>
      </c>
      <c r="E7" s="243"/>
      <c r="F7" s="243"/>
      <c r="G7" s="243"/>
      <c r="H7" s="325"/>
      <c r="I7" s="325"/>
      <c r="J7" s="294"/>
      <c r="K7" s="456" t="s">
        <v>47</v>
      </c>
      <c r="L7" s="457"/>
      <c r="M7" s="457"/>
      <c r="N7" s="458">
        <f>+N6-N5</f>
        <v>0</v>
      </c>
      <c r="O7" s="243"/>
      <c r="P7" s="243"/>
      <c r="R7" s="243"/>
      <c r="S7" s="243"/>
      <c r="T7" s="243"/>
      <c r="U7" s="243"/>
    </row>
    <row r="8" spans="1:21" ht="13.5" thickBot="1">
      <c r="C8" s="459"/>
      <c r="D8"/>
      <c r="E8"/>
      <c r="F8" s="461"/>
      <c r="G8" s="461"/>
      <c r="H8" s="461"/>
      <c r="I8" s="461"/>
      <c r="J8" s="462"/>
      <c r="K8" s="461"/>
      <c r="L8" s="461"/>
      <c r="M8" s="461"/>
      <c r="N8" s="461"/>
      <c r="O8" s="462"/>
      <c r="P8" s="248"/>
      <c r="R8" s="243"/>
      <c r="S8" s="243"/>
      <c r="T8" s="243"/>
      <c r="U8" s="243"/>
    </row>
    <row r="9" spans="1:21" ht="13.5" thickBot="1">
      <c r="A9" s="152"/>
      <c r="C9" s="463" t="s">
        <v>48</v>
      </c>
      <c r="D9" s="464" t="s">
        <v>200</v>
      </c>
      <c r="E9" s="646" t="s">
        <v>309</v>
      </c>
      <c r="F9" s="465"/>
      <c r="G9" s="465"/>
      <c r="H9" s="465"/>
      <c r="I9" s="466"/>
      <c r="J9" s="467"/>
      <c r="O9" s="468"/>
      <c r="P9" s="278"/>
      <c r="R9" s="243"/>
      <c r="S9" s="243"/>
      <c r="T9" s="243"/>
      <c r="U9" s="243"/>
    </row>
    <row r="10" spans="1:21">
      <c r="C10" s="469" t="s">
        <v>49</v>
      </c>
      <c r="D10" s="470">
        <v>11742800</v>
      </c>
      <c r="E10" s="299" t="s">
        <v>50</v>
      </c>
      <c r="F10" s="468"/>
      <c r="G10" s="408"/>
      <c r="H10" s="408"/>
      <c r="I10" s="471">
        <f>+'OKT.WS.F.BPU.ATRR.Projected'!R101</f>
        <v>2024</v>
      </c>
      <c r="J10" s="467"/>
      <c r="K10" s="294" t="s">
        <v>51</v>
      </c>
      <c r="O10" s="278"/>
      <c r="P10" s="278"/>
      <c r="R10" s="243"/>
      <c r="S10" s="243"/>
      <c r="T10" s="243"/>
      <c r="U10" s="243"/>
    </row>
    <row r="11" spans="1:21">
      <c r="C11" s="472" t="s">
        <v>52</v>
      </c>
      <c r="D11" s="473">
        <v>2011</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0.11393163315254198</v>
      </c>
      <c r="J12" s="578"/>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378800</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49" si="0">IF(D17=F16,"","IU")</f>
        <v>IU</v>
      </c>
      <c r="C17" s="580">
        <f>IF(D11= "","-",D11)</f>
        <v>2011</v>
      </c>
      <c r="D17" s="496">
        <v>12876000</v>
      </c>
      <c r="E17" s="497">
        <v>18562.052446566122</v>
      </c>
      <c r="F17" s="496">
        <v>12857437.947553433</v>
      </c>
      <c r="G17" s="498">
        <v>1690105.6704770608</v>
      </c>
      <c r="H17" s="499">
        <v>1690105.6704770608</v>
      </c>
      <c r="I17" s="584">
        <f t="shared" ref="I17:I49" si="1">H17-G17</f>
        <v>0</v>
      </c>
      <c r="J17" s="350"/>
      <c r="K17" s="592">
        <f t="shared" ref="K17:K22" si="2">G17</f>
        <v>1690105.6704770608</v>
      </c>
      <c r="L17" s="593">
        <f t="shared" ref="L17:L49" si="3">IF(K17&lt;&gt;0,+G17-K17,0)</f>
        <v>0</v>
      </c>
      <c r="M17" s="592">
        <f t="shared" ref="M17:M22" si="4">H17</f>
        <v>1690105.6704770608</v>
      </c>
      <c r="N17" s="594">
        <f t="shared" ref="N17:N49" si="5">IF(M17&lt;&gt;0,+H17-M17,0)</f>
        <v>0</v>
      </c>
      <c r="O17" s="595">
        <f t="shared" ref="O17:O49" si="6">+N17-L17</f>
        <v>0</v>
      </c>
      <c r="P17" s="278"/>
      <c r="R17" s="243"/>
      <c r="S17" s="243"/>
      <c r="T17" s="243"/>
      <c r="U17" s="243"/>
    </row>
    <row r="18" spans="2:21">
      <c r="B18" s="145" t="str">
        <f t="shared" si="0"/>
        <v/>
      </c>
      <c r="C18" s="495">
        <f>IF(D11="","-",+C17+1)</f>
        <v>2012</v>
      </c>
      <c r="D18" s="505">
        <v>12857437.947553433</v>
      </c>
      <c r="E18" s="498">
        <v>203958.10236185769</v>
      </c>
      <c r="F18" s="505">
        <v>12653479.845191576</v>
      </c>
      <c r="G18" s="498">
        <v>1426879.3827639234</v>
      </c>
      <c r="H18" s="499">
        <v>1426879.3827639234</v>
      </c>
      <c r="I18" s="500">
        <v>0</v>
      </c>
      <c r="J18" s="350"/>
      <c r="K18" s="592">
        <f t="shared" si="2"/>
        <v>1426879.3827639234</v>
      </c>
      <c r="L18" s="596">
        <f t="shared" si="3"/>
        <v>0</v>
      </c>
      <c r="M18" s="592">
        <f t="shared" si="4"/>
        <v>1426879.3827639234</v>
      </c>
      <c r="N18" s="594">
        <f t="shared" si="5"/>
        <v>0</v>
      </c>
      <c r="O18" s="596">
        <f t="shared" si="6"/>
        <v>0</v>
      </c>
      <c r="P18" s="278"/>
      <c r="R18" s="243"/>
      <c r="S18" s="243"/>
      <c r="T18" s="243"/>
      <c r="U18" s="243"/>
    </row>
    <row r="19" spans="2:21">
      <c r="B19" s="145" t="str">
        <f t="shared" si="0"/>
        <v>IU</v>
      </c>
      <c r="C19" s="495">
        <f>IF(D11="","-",+C18+1)</f>
        <v>2013</v>
      </c>
      <c r="D19" s="505">
        <v>11520279.845191576</v>
      </c>
      <c r="E19" s="498">
        <v>203141.16446368746</v>
      </c>
      <c r="F19" s="505">
        <v>11317138.680727888</v>
      </c>
      <c r="G19" s="498">
        <v>1439439.106345837</v>
      </c>
      <c r="H19" s="499">
        <v>1439439.106345837</v>
      </c>
      <c r="I19" s="584">
        <v>0</v>
      </c>
      <c r="J19" s="350"/>
      <c r="K19" s="592">
        <f t="shared" si="2"/>
        <v>1439439.106345837</v>
      </c>
      <c r="L19" s="596">
        <f t="shared" ref="L19:L24" si="7">IF(K19&lt;&gt;0,+G19-K19,0)</f>
        <v>0</v>
      </c>
      <c r="M19" s="592">
        <f t="shared" si="4"/>
        <v>1439439.106345837</v>
      </c>
      <c r="N19" s="594">
        <f>IF(M19&lt;&gt;0,+H19-M19,0)</f>
        <v>0</v>
      </c>
      <c r="O19" s="596">
        <f>+N19-L19</f>
        <v>0</v>
      </c>
      <c r="P19" s="278"/>
      <c r="R19" s="243"/>
      <c r="S19" s="243"/>
      <c r="T19" s="243"/>
      <c r="U19" s="243"/>
    </row>
    <row r="20" spans="2:21">
      <c r="B20" s="145" t="str">
        <f t="shared" si="0"/>
        <v/>
      </c>
      <c r="C20" s="495">
        <f>IF(D11="","-",+C19+1)</f>
        <v>2014</v>
      </c>
      <c r="D20" s="505">
        <v>11317138.680727888</v>
      </c>
      <c r="E20" s="498">
        <v>203141.16446368746</v>
      </c>
      <c r="F20" s="505">
        <v>11113997.5162642</v>
      </c>
      <c r="G20" s="498">
        <v>1425984.6077299202</v>
      </c>
      <c r="H20" s="499">
        <v>1425984.6077299202</v>
      </c>
      <c r="I20" s="500">
        <v>0</v>
      </c>
      <c r="J20" s="500"/>
      <c r="K20" s="592">
        <f t="shared" si="2"/>
        <v>1425984.6077299202</v>
      </c>
      <c r="L20" s="596">
        <f t="shared" si="7"/>
        <v>0</v>
      </c>
      <c r="M20" s="592">
        <f t="shared" si="4"/>
        <v>1425984.6077299202</v>
      </c>
      <c r="N20" s="594">
        <f>IF(M20&lt;&gt;0,+H20-M20,0)</f>
        <v>0</v>
      </c>
      <c r="O20" s="596">
        <f>+N20-L20</f>
        <v>0</v>
      </c>
      <c r="P20" s="278"/>
      <c r="R20" s="243"/>
      <c r="S20" s="243"/>
      <c r="T20" s="243"/>
      <c r="U20" s="243"/>
    </row>
    <row r="21" spans="2:21">
      <c r="B21" s="145" t="str">
        <f t="shared" si="0"/>
        <v/>
      </c>
      <c r="C21" s="495">
        <f>IF(D12="","-",+C20+1)</f>
        <v>2015</v>
      </c>
      <c r="D21" s="505">
        <v>11113997.5162642</v>
      </c>
      <c r="E21" s="498">
        <v>203141.16446368746</v>
      </c>
      <c r="F21" s="505">
        <v>10910856.351800513</v>
      </c>
      <c r="G21" s="498">
        <v>1327673.3550101635</v>
      </c>
      <c r="H21" s="499">
        <v>1327673.3550101635</v>
      </c>
      <c r="I21" s="500">
        <v>0</v>
      </c>
      <c r="J21" s="500"/>
      <c r="K21" s="592">
        <f t="shared" si="2"/>
        <v>1327673.3550101635</v>
      </c>
      <c r="L21" s="596">
        <f t="shared" si="7"/>
        <v>0</v>
      </c>
      <c r="M21" s="592">
        <f t="shared" si="4"/>
        <v>1327673.3550101635</v>
      </c>
      <c r="N21" s="594">
        <f>IF(M21&lt;&gt;0,+H21-M21,0)</f>
        <v>0</v>
      </c>
      <c r="O21" s="596">
        <f>+N21-L21</f>
        <v>0</v>
      </c>
      <c r="P21" s="278"/>
      <c r="R21" s="243"/>
      <c r="S21" s="243"/>
      <c r="T21" s="243"/>
      <c r="U21" s="243"/>
    </row>
    <row r="22" spans="2:21">
      <c r="B22" s="145" t="str">
        <f>IF(D22=F21,"","IU")</f>
        <v>IU</v>
      </c>
      <c r="C22" s="495">
        <f>IF(D11="","-",+C21+1)</f>
        <v>2016</v>
      </c>
      <c r="D22" s="505">
        <v>10206288.351800514</v>
      </c>
      <c r="E22" s="498">
        <v>229368.43576510914</v>
      </c>
      <c r="F22" s="505">
        <v>9976919.9160354044</v>
      </c>
      <c r="G22" s="498">
        <v>1305682.2485042256</v>
      </c>
      <c r="H22" s="499">
        <v>1305682.2485042256</v>
      </c>
      <c r="I22" s="500">
        <f t="shared" si="1"/>
        <v>0</v>
      </c>
      <c r="J22" s="500"/>
      <c r="K22" s="592">
        <f t="shared" si="2"/>
        <v>1305682.2485042256</v>
      </c>
      <c r="L22" s="596">
        <f t="shared" si="7"/>
        <v>0</v>
      </c>
      <c r="M22" s="592">
        <f t="shared" si="4"/>
        <v>1305682.2485042256</v>
      </c>
      <c r="N22" s="504">
        <f t="shared" si="5"/>
        <v>0</v>
      </c>
      <c r="O22" s="504">
        <f t="shared" si="6"/>
        <v>0</v>
      </c>
      <c r="P22" s="278"/>
      <c r="R22" s="243"/>
      <c r="S22" s="243"/>
      <c r="T22" s="243"/>
      <c r="U22" s="243"/>
    </row>
    <row r="23" spans="2:21">
      <c r="B23" s="145" t="str">
        <f t="shared" si="0"/>
        <v/>
      </c>
      <c r="C23" s="495">
        <f>IF(D11="","-",+C22+1)</f>
        <v>2017</v>
      </c>
      <c r="D23" s="505">
        <v>9976919.9160354044</v>
      </c>
      <c r="E23" s="498">
        <v>217033.49443183315</v>
      </c>
      <c r="F23" s="505">
        <v>9759886.4216035716</v>
      </c>
      <c r="G23" s="498">
        <v>1301965.4660054925</v>
      </c>
      <c r="H23" s="499">
        <v>1301965.4660054925</v>
      </c>
      <c r="I23" s="500">
        <f t="shared" si="1"/>
        <v>0</v>
      </c>
      <c r="J23" s="500"/>
      <c r="K23" s="592">
        <f t="shared" ref="K23:K28" si="8">G23</f>
        <v>1301965.4660054925</v>
      </c>
      <c r="L23" s="596">
        <f t="shared" si="7"/>
        <v>0</v>
      </c>
      <c r="M23" s="592">
        <f t="shared" ref="M23:M28" si="9">H23</f>
        <v>1301965.4660054925</v>
      </c>
      <c r="N23" s="504">
        <f>IF(M23&lt;&gt;0,+H23-M23,0)</f>
        <v>0</v>
      </c>
      <c r="O23" s="504">
        <f>+N23-L23</f>
        <v>0</v>
      </c>
      <c r="P23" s="278"/>
      <c r="R23" s="243"/>
      <c r="S23" s="243"/>
      <c r="T23" s="243"/>
      <c r="U23" s="243"/>
    </row>
    <row r="24" spans="2:21">
      <c r="B24" s="145" t="str">
        <f t="shared" si="0"/>
        <v/>
      </c>
      <c r="C24" s="495">
        <f>IF(D11="","-",+C23+1)</f>
        <v>2018</v>
      </c>
      <c r="D24" s="505">
        <v>9759886.4216035716</v>
      </c>
      <c r="E24" s="498">
        <v>270708.0251158927</v>
      </c>
      <c r="F24" s="505">
        <v>9489178.3964876793</v>
      </c>
      <c r="G24" s="498">
        <v>1248788.1344461204</v>
      </c>
      <c r="H24" s="499">
        <v>1248788.1344461204</v>
      </c>
      <c r="I24" s="500">
        <v>0</v>
      </c>
      <c r="J24" s="500"/>
      <c r="K24" s="592">
        <f t="shared" si="8"/>
        <v>1248788.1344461204</v>
      </c>
      <c r="L24" s="596">
        <f t="shared" si="7"/>
        <v>0</v>
      </c>
      <c r="M24" s="592">
        <f t="shared" si="9"/>
        <v>1248788.1344461204</v>
      </c>
      <c r="N24" s="504">
        <f>IF(M24&lt;&gt;0,+H24-M24,0)</f>
        <v>0</v>
      </c>
      <c r="O24" s="504">
        <f>+N24-L24</f>
        <v>0</v>
      </c>
      <c r="P24" s="278"/>
      <c r="R24" s="243"/>
      <c r="S24" s="243"/>
      <c r="T24" s="243"/>
      <c r="U24" s="243"/>
    </row>
    <row r="25" spans="2:21">
      <c r="B25" s="145" t="str">
        <f t="shared" si="0"/>
        <v/>
      </c>
      <c r="C25" s="495">
        <f>IF(D11="","-",+C24+1)</f>
        <v>2019</v>
      </c>
      <c r="D25" s="505">
        <v>9489178.3964876793</v>
      </c>
      <c r="E25" s="498">
        <v>327381.233179364</v>
      </c>
      <c r="F25" s="505">
        <v>9161797.163308315</v>
      </c>
      <c r="G25" s="498">
        <v>1296634.8001552834</v>
      </c>
      <c r="H25" s="499">
        <v>1296634.8001552834</v>
      </c>
      <c r="I25" s="500">
        <f t="shared" si="1"/>
        <v>0</v>
      </c>
      <c r="J25" s="500"/>
      <c r="K25" s="592">
        <f t="shared" si="8"/>
        <v>1296634.8001552834</v>
      </c>
      <c r="L25" s="596">
        <f t="shared" ref="L25" si="10">IF(K25&lt;&gt;0,+G25-K25,0)</f>
        <v>0</v>
      </c>
      <c r="M25" s="592">
        <f t="shared" si="9"/>
        <v>1296634.8001552834</v>
      </c>
      <c r="N25" s="504">
        <f>IF(M25&lt;&gt;0,+H25-M25,0)</f>
        <v>0</v>
      </c>
      <c r="O25" s="504">
        <f>+N25-L25</f>
        <v>0</v>
      </c>
      <c r="P25" s="278"/>
      <c r="R25" s="243"/>
      <c r="S25" s="243"/>
      <c r="T25" s="243"/>
      <c r="U25" s="243"/>
    </row>
    <row r="26" spans="2:21">
      <c r="B26" s="145" t="str">
        <f t="shared" si="0"/>
        <v>IU</v>
      </c>
      <c r="C26" s="495">
        <f>IF(D11="","-",+C25+1)</f>
        <v>2020</v>
      </c>
      <c r="D26" s="505">
        <v>9218470.371371787</v>
      </c>
      <c r="E26" s="498">
        <v>323219.08619976818</v>
      </c>
      <c r="F26" s="505">
        <v>8895251.2851720192</v>
      </c>
      <c r="G26" s="498">
        <v>1273577.8300042083</v>
      </c>
      <c r="H26" s="499">
        <v>1273577.8300042083</v>
      </c>
      <c r="I26" s="500">
        <f t="shared" si="1"/>
        <v>0</v>
      </c>
      <c r="J26" s="500"/>
      <c r="K26" s="592">
        <f t="shared" si="8"/>
        <v>1273577.8300042083</v>
      </c>
      <c r="L26" s="596">
        <f t="shared" ref="L26" si="11">IF(K26&lt;&gt;0,+G26-K26,0)</f>
        <v>0</v>
      </c>
      <c r="M26" s="592">
        <f t="shared" si="9"/>
        <v>1273577.8300042083</v>
      </c>
      <c r="N26" s="504">
        <f>IF(M26&lt;&gt;0,+H26-M26,0)</f>
        <v>0</v>
      </c>
      <c r="O26" s="504">
        <f t="shared" si="6"/>
        <v>0</v>
      </c>
      <c r="P26" s="278"/>
      <c r="R26" s="243"/>
      <c r="S26" s="243"/>
      <c r="T26" s="243"/>
      <c r="U26" s="243"/>
    </row>
    <row r="27" spans="2:21">
      <c r="B27" s="145" t="str">
        <f t="shared" si="0"/>
        <v>IU</v>
      </c>
      <c r="C27" s="495">
        <f>IF(D11="","-",+C26+1)</f>
        <v>2021</v>
      </c>
      <c r="D27" s="505">
        <v>8838578.0771085471</v>
      </c>
      <c r="E27" s="498">
        <v>356072</v>
      </c>
      <c r="F27" s="505">
        <v>8482506.0771085471</v>
      </c>
      <c r="G27" s="498">
        <v>1293013.3264763721</v>
      </c>
      <c r="H27" s="499">
        <v>1293013.3264763721</v>
      </c>
      <c r="I27" s="500">
        <f t="shared" si="1"/>
        <v>0</v>
      </c>
      <c r="J27" s="500"/>
      <c r="K27" s="592">
        <f t="shared" si="8"/>
        <v>1293013.3264763721</v>
      </c>
      <c r="L27" s="596">
        <f t="shared" ref="L27" si="12">IF(K27&lt;&gt;0,+G27-K27,0)</f>
        <v>0</v>
      </c>
      <c r="M27" s="592">
        <f t="shared" si="9"/>
        <v>1293013.3264763721</v>
      </c>
      <c r="N27" s="504">
        <f>IF(M27&lt;&gt;0,+H27-M27,0)</f>
        <v>0</v>
      </c>
      <c r="O27" s="504">
        <f t="shared" si="6"/>
        <v>0</v>
      </c>
      <c r="P27" s="278"/>
      <c r="R27" s="243"/>
      <c r="S27" s="243"/>
      <c r="T27" s="243"/>
      <c r="U27" s="243"/>
    </row>
    <row r="28" spans="2:21">
      <c r="B28" s="145" t="str">
        <f t="shared" si="0"/>
        <v/>
      </c>
      <c r="C28" s="580">
        <f>IF(D11="","-",+C27+1)</f>
        <v>2022</v>
      </c>
      <c r="D28" s="505">
        <v>8482506.0771085471</v>
      </c>
      <c r="E28" s="498">
        <v>334491.87878787878</v>
      </c>
      <c r="F28" s="505">
        <v>8148014.1983206682</v>
      </c>
      <c r="G28" s="498">
        <v>1288740.9368321924</v>
      </c>
      <c r="H28" s="499">
        <v>1288740.9368321924</v>
      </c>
      <c r="I28" s="500">
        <f t="shared" si="1"/>
        <v>0</v>
      </c>
      <c r="J28" s="500"/>
      <c r="K28" s="592">
        <f t="shared" si="8"/>
        <v>1288740.9368321924</v>
      </c>
      <c r="L28" s="596">
        <f t="shared" ref="L28" si="13">IF(K28&lt;&gt;0,+G28-K28,0)</f>
        <v>0</v>
      </c>
      <c r="M28" s="592">
        <f t="shared" si="9"/>
        <v>1288740.9368321924</v>
      </c>
      <c r="N28" s="504">
        <f t="shared" si="5"/>
        <v>0</v>
      </c>
      <c r="O28" s="504">
        <f t="shared" si="6"/>
        <v>0</v>
      </c>
      <c r="P28" s="278"/>
      <c r="R28" s="243"/>
      <c r="S28" s="243"/>
      <c r="T28" s="243"/>
      <c r="U28" s="243"/>
    </row>
    <row r="29" spans="2:21">
      <c r="B29" s="145" t="str">
        <f t="shared" si="0"/>
        <v/>
      </c>
      <c r="C29" s="495">
        <f>IF(D11="","-",+C28+1)</f>
        <v>2023</v>
      </c>
      <c r="D29" s="505">
        <v>8148014.1983206682</v>
      </c>
      <c r="E29" s="498">
        <v>356072</v>
      </c>
      <c r="F29" s="505">
        <v>7791942.1983206682</v>
      </c>
      <c r="G29" s="498">
        <v>1256941.3903317812</v>
      </c>
      <c r="H29" s="499">
        <v>1256941.3903317812</v>
      </c>
      <c r="I29" s="500">
        <f t="shared" si="1"/>
        <v>0</v>
      </c>
      <c r="J29" s="500"/>
      <c r="K29" s="512"/>
      <c r="L29" s="504">
        <f t="shared" si="3"/>
        <v>0</v>
      </c>
      <c r="M29" s="512"/>
      <c r="N29" s="504">
        <f t="shared" si="5"/>
        <v>0</v>
      </c>
      <c r="O29" s="504">
        <f t="shared" si="6"/>
        <v>0</v>
      </c>
      <c r="P29" s="278"/>
      <c r="R29" s="243"/>
      <c r="S29" s="243"/>
      <c r="T29" s="243"/>
      <c r="U29" s="243"/>
    </row>
    <row r="30" spans="2:21">
      <c r="B30" s="145" t="str">
        <f t="shared" si="0"/>
        <v>IU</v>
      </c>
      <c r="C30" s="495">
        <f>IF(D11="","-",+C29+1)</f>
        <v>2024</v>
      </c>
      <c r="D30" s="508">
        <f>IF(F29+SUM(E$17:E29)=D$10,F29,D$10-SUM(E$17:E29))</f>
        <v>8496510.1983206682</v>
      </c>
      <c r="E30" s="509">
        <f>IF(+I14&lt;F29,I14,D30)</f>
        <v>378800</v>
      </c>
      <c r="F30" s="510">
        <f t="shared" ref="F30:F49" si="14">+D30-E30</f>
        <v>8117710.1983206682</v>
      </c>
      <c r="G30" s="511">
        <f t="shared" ref="G30:G73" si="15">(D30+F30)/2*I$12+E30</f>
        <v>1325242.6316728108</v>
      </c>
      <c r="H30" s="477">
        <f t="shared" ref="H30:H73" si="16">+(D30+F30)/2*I$13+E30</f>
        <v>1325242.6316728108</v>
      </c>
      <c r="I30" s="500">
        <f t="shared" si="1"/>
        <v>0</v>
      </c>
      <c r="J30" s="500"/>
      <c r="K30" s="512"/>
      <c r="L30" s="504">
        <f t="shared" si="3"/>
        <v>0</v>
      </c>
      <c r="M30" s="512"/>
      <c r="N30" s="504">
        <f t="shared" si="5"/>
        <v>0</v>
      </c>
      <c r="O30" s="504">
        <f t="shared" si="6"/>
        <v>0</v>
      </c>
      <c r="P30" s="278"/>
      <c r="R30" s="243"/>
      <c r="S30" s="243"/>
      <c r="T30" s="243"/>
      <c r="U30" s="243"/>
    </row>
    <row r="31" spans="2:21">
      <c r="B31" s="145" t="str">
        <f t="shared" si="0"/>
        <v/>
      </c>
      <c r="C31" s="495">
        <f>IF(D11="","-",+C30+1)</f>
        <v>2025</v>
      </c>
      <c r="D31" s="508">
        <f>IF(F30+SUM(E$17:E30)=D$10,F30,D$10-SUM(E$17:E30))</f>
        <v>8117710.1983206682</v>
      </c>
      <c r="E31" s="597">
        <f>IF(+I14&lt;F30,I14,D31)</f>
        <v>378800</v>
      </c>
      <c r="F31" s="510">
        <f>+D31-E31</f>
        <v>7738910.1983206682</v>
      </c>
      <c r="G31" s="511">
        <f t="shared" si="15"/>
        <v>1282085.3290346279</v>
      </c>
      <c r="H31" s="477">
        <f t="shared" si="16"/>
        <v>1282085.3290346279</v>
      </c>
      <c r="I31" s="500">
        <f>H31-G31</f>
        <v>0</v>
      </c>
      <c r="J31" s="500"/>
      <c r="K31" s="512"/>
      <c r="L31" s="504">
        <f>IF(K31&lt;&gt;0,+G31-K31,0)</f>
        <v>0</v>
      </c>
      <c r="M31" s="512"/>
      <c r="N31" s="504">
        <f>IF(M31&lt;&gt;0,+H31-M31,0)</f>
        <v>0</v>
      </c>
      <c r="O31" s="504">
        <f>+N31-L31</f>
        <v>0</v>
      </c>
      <c r="P31" s="278"/>
      <c r="Q31" s="220"/>
      <c r="R31" s="278"/>
      <c r="S31" s="278"/>
      <c r="T31" s="278"/>
      <c r="U31" s="243"/>
    </row>
    <row r="32" spans="2:21">
      <c r="B32" s="145" t="str">
        <f t="shared" si="0"/>
        <v/>
      </c>
      <c r="C32" s="495">
        <f>IF(D12="","-",+C31+1)</f>
        <v>2026</v>
      </c>
      <c r="D32" s="508">
        <f>IF(F31+SUM(E$17:E31)=D$10,F31,D$10-SUM(E$17:E31))</f>
        <v>7738910.1983206682</v>
      </c>
      <c r="E32" s="597">
        <f>IF(+I14&lt;F31,I14,D32)</f>
        <v>378800</v>
      </c>
      <c r="F32" s="510">
        <f>+D32-E32</f>
        <v>7360110.1983206682</v>
      </c>
      <c r="G32" s="511">
        <f t="shared" si="15"/>
        <v>1238928.026396445</v>
      </c>
      <c r="H32" s="477">
        <f t="shared" si="16"/>
        <v>1238928.026396445</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2027</v>
      </c>
      <c r="D33" s="508">
        <f>IF(F32+SUM(E$17:E32)=D$10,F32,D$10-SUM(E$17:E32))</f>
        <v>7360110.1983206682</v>
      </c>
      <c r="E33" s="509">
        <f>IF(+I14&lt;F31,I14,D33)</f>
        <v>378800</v>
      </c>
      <c r="F33" s="510">
        <f>+D33-E33</f>
        <v>6981310.1983206682</v>
      </c>
      <c r="G33" s="511">
        <f t="shared" si="15"/>
        <v>1195770.7237582619</v>
      </c>
      <c r="H33" s="477">
        <f t="shared" si="16"/>
        <v>1195770.7237582619</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2028</v>
      </c>
      <c r="D34" s="514">
        <f>IF(F33+SUM(E$17:E33)=D$10,F33,D$10-SUM(E$17:E33))</f>
        <v>6981310.1983206682</v>
      </c>
      <c r="E34" s="515">
        <f>IF(+I14&lt;F33,I14,D34)</f>
        <v>378800</v>
      </c>
      <c r="F34" s="516">
        <f t="shared" si="14"/>
        <v>6602510.1983206682</v>
      </c>
      <c r="G34" s="517">
        <f t="shared" si="15"/>
        <v>1152613.421120079</v>
      </c>
      <c r="H34" s="518">
        <f t="shared" si="16"/>
        <v>1152613.421120079</v>
      </c>
      <c r="I34" s="519">
        <f t="shared" si="1"/>
        <v>0</v>
      </c>
      <c r="J34" s="519"/>
      <c r="K34" s="520"/>
      <c r="L34" s="521">
        <f t="shared" si="3"/>
        <v>0</v>
      </c>
      <c r="M34" s="520"/>
      <c r="N34" s="521">
        <f t="shared" si="5"/>
        <v>0</v>
      </c>
      <c r="O34" s="521">
        <f t="shared" si="6"/>
        <v>0</v>
      </c>
      <c r="P34" s="522"/>
      <c r="Q34" s="216"/>
      <c r="R34" s="522"/>
      <c r="S34" s="522"/>
      <c r="T34" s="522"/>
      <c r="U34" s="243"/>
    </row>
    <row r="35" spans="2:21">
      <c r="B35" s="145" t="str">
        <f t="shared" si="0"/>
        <v/>
      </c>
      <c r="C35" s="495">
        <f>IF(D11="","-",+C34+1)</f>
        <v>2029</v>
      </c>
      <c r="D35" s="508">
        <f>IF(F34+SUM(E$17:E34)=D$10,F34,D$10-SUM(E$17:E34))</f>
        <v>6602510.1983206682</v>
      </c>
      <c r="E35" s="509">
        <f>IF(+I14&lt;F34,I14,D35)</f>
        <v>378800</v>
      </c>
      <c r="F35" s="510">
        <f t="shared" si="14"/>
        <v>6223710.1983206682</v>
      </c>
      <c r="G35" s="511">
        <f t="shared" si="15"/>
        <v>1109456.1184818961</v>
      </c>
      <c r="H35" s="477">
        <f t="shared" si="16"/>
        <v>1109456.1184818961</v>
      </c>
      <c r="I35" s="500">
        <f t="shared" si="1"/>
        <v>0</v>
      </c>
      <c r="J35" s="500"/>
      <c r="K35" s="512"/>
      <c r="L35" s="504">
        <f t="shared" si="3"/>
        <v>0</v>
      </c>
      <c r="M35" s="512"/>
      <c r="N35" s="504">
        <f t="shared" si="5"/>
        <v>0</v>
      </c>
      <c r="O35" s="504">
        <f t="shared" si="6"/>
        <v>0</v>
      </c>
      <c r="P35" s="278"/>
      <c r="R35" s="243"/>
      <c r="S35" s="243"/>
      <c r="T35" s="243"/>
      <c r="U35" s="243"/>
    </row>
    <row r="36" spans="2:21">
      <c r="B36" s="145" t="str">
        <f t="shared" si="0"/>
        <v/>
      </c>
      <c r="C36" s="495">
        <f>IF(D11="","-",+C35+1)</f>
        <v>2030</v>
      </c>
      <c r="D36" s="508">
        <f>IF(F35+SUM(E$17:E35)=D$10,F35,D$10-SUM(E$17:E35))</f>
        <v>6223710.1983206682</v>
      </c>
      <c r="E36" s="509">
        <f>IF(+I14&lt;F35,I14,D36)</f>
        <v>378800</v>
      </c>
      <c r="F36" s="510">
        <f t="shared" si="14"/>
        <v>5844910.1983206682</v>
      </c>
      <c r="G36" s="511">
        <f t="shared" si="15"/>
        <v>1066298.8158437132</v>
      </c>
      <c r="H36" s="477">
        <f t="shared" si="16"/>
        <v>1066298.8158437132</v>
      </c>
      <c r="I36" s="500">
        <f t="shared" si="1"/>
        <v>0</v>
      </c>
      <c r="J36" s="500"/>
      <c r="K36" s="512"/>
      <c r="L36" s="504">
        <f t="shared" si="3"/>
        <v>0</v>
      </c>
      <c r="M36" s="512"/>
      <c r="N36" s="504">
        <f t="shared" si="5"/>
        <v>0</v>
      </c>
      <c r="O36" s="504">
        <f t="shared" si="6"/>
        <v>0</v>
      </c>
      <c r="P36" s="278"/>
      <c r="R36" s="243"/>
      <c r="S36" s="243"/>
      <c r="T36" s="243"/>
      <c r="U36" s="243"/>
    </row>
    <row r="37" spans="2:21">
      <c r="B37" s="145" t="str">
        <f t="shared" si="0"/>
        <v/>
      </c>
      <c r="C37" s="495">
        <f>IF(D11="","-",+C36+1)</f>
        <v>2031</v>
      </c>
      <c r="D37" s="508">
        <f>IF(F36+SUM(E$17:E36)=D$10,F36,D$10-SUM(E$17:E36))</f>
        <v>5844910.1983206682</v>
      </c>
      <c r="E37" s="509">
        <f>IF(+I14&lt;F36,I14,D37)</f>
        <v>378800</v>
      </c>
      <c r="F37" s="510">
        <f t="shared" si="14"/>
        <v>5466110.1983206682</v>
      </c>
      <c r="G37" s="511">
        <f t="shared" si="15"/>
        <v>1023141.5132055304</v>
      </c>
      <c r="H37" s="477">
        <f t="shared" si="16"/>
        <v>1023141.5132055304</v>
      </c>
      <c r="I37" s="500">
        <f t="shared" si="1"/>
        <v>0</v>
      </c>
      <c r="J37" s="500"/>
      <c r="K37" s="512"/>
      <c r="L37" s="504">
        <f t="shared" si="3"/>
        <v>0</v>
      </c>
      <c r="M37" s="512"/>
      <c r="N37" s="504">
        <f t="shared" si="5"/>
        <v>0</v>
      </c>
      <c r="O37" s="504">
        <f t="shared" si="6"/>
        <v>0</v>
      </c>
      <c r="P37" s="278"/>
      <c r="R37" s="243"/>
      <c r="S37" s="243"/>
      <c r="T37" s="243"/>
      <c r="U37" s="243"/>
    </row>
    <row r="38" spans="2:21">
      <c r="B38" s="145" t="str">
        <f t="shared" si="0"/>
        <v/>
      </c>
      <c r="C38" s="495">
        <f>IF(D11="","-",+C37+1)</f>
        <v>2032</v>
      </c>
      <c r="D38" s="508">
        <f>IF(F37+SUM(E$17:E37)=D$10,F37,D$10-SUM(E$17:E37))</f>
        <v>5466110.1983206682</v>
      </c>
      <c r="E38" s="509">
        <f>IF(+I14&lt;F37,I14,D38)</f>
        <v>378800</v>
      </c>
      <c r="F38" s="510">
        <f t="shared" si="14"/>
        <v>5087310.1983206682</v>
      </c>
      <c r="G38" s="511">
        <f t="shared" si="15"/>
        <v>979984.21056734747</v>
      </c>
      <c r="H38" s="477">
        <f t="shared" si="16"/>
        <v>979984.21056734747</v>
      </c>
      <c r="I38" s="500">
        <f t="shared" si="1"/>
        <v>0</v>
      </c>
      <c r="J38" s="500"/>
      <c r="K38" s="512"/>
      <c r="L38" s="504">
        <f t="shared" si="3"/>
        <v>0</v>
      </c>
      <c r="M38" s="512"/>
      <c r="N38" s="504">
        <f t="shared" si="5"/>
        <v>0</v>
      </c>
      <c r="O38" s="504">
        <f t="shared" si="6"/>
        <v>0</v>
      </c>
      <c r="P38" s="278"/>
      <c r="R38" s="243"/>
      <c r="S38" s="243"/>
      <c r="T38" s="243"/>
      <c r="U38" s="243"/>
    </row>
    <row r="39" spans="2:21">
      <c r="B39" s="145" t="str">
        <f t="shared" si="0"/>
        <v/>
      </c>
      <c r="C39" s="495">
        <f>IF(D11="","-",+C38+1)</f>
        <v>2033</v>
      </c>
      <c r="D39" s="508">
        <f>IF(F38+SUM(E$17:E38)=D$10,F38,D$10-SUM(E$17:E38))</f>
        <v>5087310.1983206682</v>
      </c>
      <c r="E39" s="509">
        <f>IF(+I14&lt;F38,I14,D39)</f>
        <v>378800</v>
      </c>
      <c r="F39" s="510">
        <f t="shared" si="14"/>
        <v>4708510.1983206682</v>
      </c>
      <c r="G39" s="511">
        <f t="shared" si="15"/>
        <v>936826.90792916447</v>
      </c>
      <c r="H39" s="477">
        <f t="shared" si="16"/>
        <v>936826.90792916447</v>
      </c>
      <c r="I39" s="500">
        <f t="shared" si="1"/>
        <v>0</v>
      </c>
      <c r="J39" s="500"/>
      <c r="K39" s="512"/>
      <c r="L39" s="504">
        <f t="shared" si="3"/>
        <v>0</v>
      </c>
      <c r="M39" s="512"/>
      <c r="N39" s="504">
        <f t="shared" si="5"/>
        <v>0</v>
      </c>
      <c r="O39" s="504">
        <f t="shared" si="6"/>
        <v>0</v>
      </c>
      <c r="P39" s="278"/>
      <c r="R39" s="243"/>
      <c r="S39" s="243"/>
      <c r="T39" s="243"/>
      <c r="U39" s="243"/>
    </row>
    <row r="40" spans="2:21">
      <c r="B40" s="145" t="str">
        <f t="shared" si="0"/>
        <v/>
      </c>
      <c r="C40" s="495">
        <f>IF(D11="","-",+C39+1)</f>
        <v>2034</v>
      </c>
      <c r="D40" s="508">
        <f>IF(F39+SUM(E$17:E39)=D$10,F39,D$10-SUM(E$17:E39))</f>
        <v>4708510.1983206682</v>
      </c>
      <c r="E40" s="509">
        <f>IF(+I14&lt;F39,I14,D40)</f>
        <v>378800</v>
      </c>
      <c r="F40" s="510">
        <f t="shared" si="14"/>
        <v>4329710.1983206682</v>
      </c>
      <c r="G40" s="511">
        <f t="shared" si="15"/>
        <v>893669.60529098159</v>
      </c>
      <c r="H40" s="477">
        <f t="shared" si="16"/>
        <v>893669.60529098159</v>
      </c>
      <c r="I40" s="500">
        <f t="shared" si="1"/>
        <v>0</v>
      </c>
      <c r="J40" s="500"/>
      <c r="K40" s="512"/>
      <c r="L40" s="504">
        <f t="shared" si="3"/>
        <v>0</v>
      </c>
      <c r="M40" s="512"/>
      <c r="N40" s="504">
        <f t="shared" si="5"/>
        <v>0</v>
      </c>
      <c r="O40" s="504">
        <f t="shared" si="6"/>
        <v>0</v>
      </c>
      <c r="P40" s="278"/>
      <c r="R40" s="243"/>
      <c r="S40" s="243"/>
      <c r="T40" s="243"/>
      <c r="U40" s="243"/>
    </row>
    <row r="41" spans="2:21">
      <c r="B41" s="145" t="str">
        <f t="shared" si="0"/>
        <v/>
      </c>
      <c r="C41" s="495">
        <f>IF(D12="","-",+C40+1)</f>
        <v>2035</v>
      </c>
      <c r="D41" s="508">
        <f>IF(F40+SUM(E$17:E40)=D$10,F40,D$10-SUM(E$17:E40))</f>
        <v>4329710.1983206682</v>
      </c>
      <c r="E41" s="509">
        <f>IF(+I14&lt;F40,I14,D41)</f>
        <v>378800</v>
      </c>
      <c r="F41" s="510">
        <f t="shared" si="14"/>
        <v>3950910.1983206682</v>
      </c>
      <c r="G41" s="511">
        <f t="shared" si="15"/>
        <v>850512.30265279871</v>
      </c>
      <c r="H41" s="477">
        <f t="shared" si="16"/>
        <v>850512.30265279871</v>
      </c>
      <c r="I41" s="500">
        <f t="shared" si="1"/>
        <v>0</v>
      </c>
      <c r="J41" s="500"/>
      <c r="K41" s="512"/>
      <c r="L41" s="504">
        <f t="shared" si="3"/>
        <v>0</v>
      </c>
      <c r="M41" s="512"/>
      <c r="N41" s="504">
        <f t="shared" si="5"/>
        <v>0</v>
      </c>
      <c r="O41" s="504">
        <f t="shared" si="6"/>
        <v>0</v>
      </c>
      <c r="P41" s="278"/>
      <c r="R41" s="243"/>
      <c r="S41" s="243"/>
      <c r="T41" s="243"/>
      <c r="U41" s="243"/>
    </row>
    <row r="42" spans="2:21">
      <c r="B42" s="145" t="str">
        <f t="shared" si="0"/>
        <v/>
      </c>
      <c r="C42" s="495">
        <f>IF(D13="","-",+C41+1)</f>
        <v>2036</v>
      </c>
      <c r="D42" s="508">
        <f>IF(F41+SUM(E$17:E41)=D$10,F41,D$10-SUM(E$17:E41))</f>
        <v>3950910.1983206682</v>
      </c>
      <c r="E42" s="509">
        <f>IF(+I14&lt;F41,I14,D42)</f>
        <v>378800</v>
      </c>
      <c r="F42" s="510">
        <f t="shared" si="14"/>
        <v>3572110.1983206682</v>
      </c>
      <c r="G42" s="511">
        <f t="shared" si="15"/>
        <v>807355.00001461583</v>
      </c>
      <c r="H42" s="477">
        <f t="shared" si="16"/>
        <v>807355.00001461583</v>
      </c>
      <c r="I42" s="500">
        <f t="shared" si="1"/>
        <v>0</v>
      </c>
      <c r="J42" s="500"/>
      <c r="K42" s="512"/>
      <c r="L42" s="504">
        <f t="shared" si="3"/>
        <v>0</v>
      </c>
      <c r="M42" s="512"/>
      <c r="N42" s="504">
        <f t="shared" si="5"/>
        <v>0</v>
      </c>
      <c r="O42" s="504">
        <f t="shared" si="6"/>
        <v>0</v>
      </c>
      <c r="P42" s="278"/>
      <c r="R42" s="243"/>
      <c r="S42" s="243"/>
      <c r="T42" s="243"/>
      <c r="U42" s="243"/>
    </row>
    <row r="43" spans="2:21">
      <c r="B43" s="145" t="str">
        <f t="shared" si="0"/>
        <v/>
      </c>
      <c r="C43" s="495">
        <f>IF(D14="","-",+C42+1)</f>
        <v>2037</v>
      </c>
      <c r="D43" s="508">
        <f>IF(F42+SUM(E$17:E42)=D$10,F42,D$10-SUM(E$17:E42))</f>
        <v>3572110.1983206682</v>
      </c>
      <c r="E43" s="509">
        <f>IF(+I14&lt;F42,I14,D43)</f>
        <v>378800</v>
      </c>
      <c r="F43" s="510">
        <f t="shared" si="14"/>
        <v>3193310.1983206682</v>
      </c>
      <c r="G43" s="511">
        <f t="shared" si="15"/>
        <v>764197.69737643283</v>
      </c>
      <c r="H43" s="477">
        <f t="shared" si="16"/>
        <v>764197.69737643283</v>
      </c>
      <c r="I43" s="500">
        <f t="shared" si="1"/>
        <v>0</v>
      </c>
      <c r="J43" s="500"/>
      <c r="K43" s="512"/>
      <c r="L43" s="504">
        <f t="shared" si="3"/>
        <v>0</v>
      </c>
      <c r="M43" s="512"/>
      <c r="N43" s="504">
        <f t="shared" si="5"/>
        <v>0</v>
      </c>
      <c r="O43" s="504">
        <f t="shared" si="6"/>
        <v>0</v>
      </c>
      <c r="P43" s="278"/>
      <c r="R43" s="243"/>
      <c r="S43" s="243"/>
      <c r="T43" s="243"/>
      <c r="U43" s="243"/>
    </row>
    <row r="44" spans="2:21">
      <c r="B44" s="145" t="str">
        <f t="shared" si="0"/>
        <v/>
      </c>
      <c r="C44" s="495">
        <f>IF(D11="","-",+C43+1)</f>
        <v>2038</v>
      </c>
      <c r="D44" s="508">
        <f>IF(F43+SUM(E$17:E43)=D$10,F43,D$10-SUM(E$17:E43))</f>
        <v>3193310.1983206682</v>
      </c>
      <c r="E44" s="509">
        <f>IF(+I14&lt;F43,I14,D44)</f>
        <v>378800</v>
      </c>
      <c r="F44" s="510">
        <f t="shared" si="14"/>
        <v>2814510.1983206682</v>
      </c>
      <c r="G44" s="511">
        <f t="shared" si="15"/>
        <v>721040.39473824995</v>
      </c>
      <c r="H44" s="477">
        <f t="shared" si="16"/>
        <v>721040.39473824995</v>
      </c>
      <c r="I44" s="500">
        <f t="shared" si="1"/>
        <v>0</v>
      </c>
      <c r="J44" s="500"/>
      <c r="K44" s="512"/>
      <c r="L44" s="504">
        <f t="shared" si="3"/>
        <v>0</v>
      </c>
      <c r="M44" s="512"/>
      <c r="N44" s="504">
        <f t="shared" si="5"/>
        <v>0</v>
      </c>
      <c r="O44" s="504">
        <f t="shared" si="6"/>
        <v>0</v>
      </c>
      <c r="P44" s="278"/>
      <c r="R44" s="243"/>
      <c r="S44" s="243"/>
      <c r="T44" s="243"/>
      <c r="U44" s="243"/>
    </row>
    <row r="45" spans="2:21">
      <c r="B45" s="145" t="str">
        <f t="shared" si="0"/>
        <v/>
      </c>
      <c r="C45" s="495">
        <f>IF(D11="","-",+C44+1)</f>
        <v>2039</v>
      </c>
      <c r="D45" s="508">
        <f>IF(F44+SUM(E$17:E44)=D$10,F44,D$10-SUM(E$17:E44))</f>
        <v>2814510.1983206682</v>
      </c>
      <c r="E45" s="509">
        <f>IF(+I14&lt;F44,I14,D45)</f>
        <v>378800</v>
      </c>
      <c r="F45" s="510">
        <f t="shared" si="14"/>
        <v>2435710.1983206682</v>
      </c>
      <c r="G45" s="511">
        <f t="shared" si="15"/>
        <v>677883.09210006706</v>
      </c>
      <c r="H45" s="477">
        <f t="shared" si="16"/>
        <v>677883.09210006706</v>
      </c>
      <c r="I45" s="500">
        <f t="shared" si="1"/>
        <v>0</v>
      </c>
      <c r="J45" s="500"/>
      <c r="K45" s="512"/>
      <c r="L45" s="504">
        <f t="shared" si="3"/>
        <v>0</v>
      </c>
      <c r="M45" s="512"/>
      <c r="N45" s="504">
        <f t="shared" si="5"/>
        <v>0</v>
      </c>
      <c r="O45" s="504">
        <f t="shared" si="6"/>
        <v>0</v>
      </c>
      <c r="P45" s="278"/>
      <c r="R45" s="243"/>
      <c r="S45" s="243"/>
      <c r="T45" s="243"/>
      <c r="U45" s="243"/>
    </row>
    <row r="46" spans="2:21">
      <c r="B46" s="145" t="str">
        <f t="shared" si="0"/>
        <v/>
      </c>
      <c r="C46" s="495">
        <f>IF(D11="","-",+C45+1)</f>
        <v>2040</v>
      </c>
      <c r="D46" s="508">
        <f>IF(F45+SUM(E$17:E45)=D$10,F45,D$10-SUM(E$17:E45))</f>
        <v>2435710.1983206682</v>
      </c>
      <c r="E46" s="509">
        <f>IF(+I14&lt;F45,I14,D46)</f>
        <v>378800</v>
      </c>
      <c r="F46" s="510">
        <f t="shared" si="14"/>
        <v>2056910.1983206682</v>
      </c>
      <c r="G46" s="511">
        <f t="shared" si="15"/>
        <v>634725.78946188418</v>
      </c>
      <c r="H46" s="477">
        <f t="shared" si="16"/>
        <v>634725.78946188418</v>
      </c>
      <c r="I46" s="500">
        <f t="shared" si="1"/>
        <v>0</v>
      </c>
      <c r="J46" s="500"/>
      <c r="K46" s="512"/>
      <c r="L46" s="504">
        <f t="shared" si="3"/>
        <v>0</v>
      </c>
      <c r="M46" s="512"/>
      <c r="N46" s="504">
        <f t="shared" si="5"/>
        <v>0</v>
      </c>
      <c r="O46" s="504">
        <f t="shared" si="6"/>
        <v>0</v>
      </c>
      <c r="P46" s="278"/>
      <c r="R46" s="243"/>
      <c r="S46" s="243"/>
      <c r="T46" s="243"/>
      <c r="U46" s="243"/>
    </row>
    <row r="47" spans="2:21">
      <c r="B47" s="145" t="str">
        <f t="shared" si="0"/>
        <v/>
      </c>
      <c r="C47" s="495">
        <f>IF(D11="","-",+C46+1)</f>
        <v>2041</v>
      </c>
      <c r="D47" s="508">
        <f>IF(F46+SUM(E$17:E46)=D$10,F46,D$10-SUM(E$17:E46))</f>
        <v>2056910.1983206682</v>
      </c>
      <c r="E47" s="509">
        <f>IF(+I14&lt;F46,I14,D47)</f>
        <v>378800</v>
      </c>
      <c r="F47" s="510">
        <f t="shared" si="14"/>
        <v>1678110.1983206682</v>
      </c>
      <c r="G47" s="511">
        <f t="shared" si="15"/>
        <v>591568.4868237013</v>
      </c>
      <c r="H47" s="477">
        <f t="shared" si="16"/>
        <v>591568.4868237013</v>
      </c>
      <c r="I47" s="500">
        <f t="shared" si="1"/>
        <v>0</v>
      </c>
      <c r="J47" s="500"/>
      <c r="K47" s="512"/>
      <c r="L47" s="504">
        <f t="shared" si="3"/>
        <v>0</v>
      </c>
      <c r="M47" s="512"/>
      <c r="N47" s="504">
        <f t="shared" si="5"/>
        <v>0</v>
      </c>
      <c r="O47" s="504">
        <f t="shared" si="6"/>
        <v>0</v>
      </c>
      <c r="P47" s="278"/>
      <c r="R47" s="243"/>
      <c r="S47" s="243"/>
      <c r="T47" s="243"/>
      <c r="U47" s="243"/>
    </row>
    <row r="48" spans="2:21">
      <c r="B48" s="145" t="str">
        <f t="shared" si="0"/>
        <v/>
      </c>
      <c r="C48" s="495">
        <f>IF(D11="","-",+C47+1)</f>
        <v>2042</v>
      </c>
      <c r="D48" s="508">
        <f>IF(F47+SUM(E$17:E47)=D$10,F47,D$10-SUM(E$17:E47))</f>
        <v>1678110.1983206682</v>
      </c>
      <c r="E48" s="509">
        <f>IF(+I14&lt;F47,I14,D48)</f>
        <v>378800</v>
      </c>
      <c r="F48" s="510">
        <f t="shared" si="14"/>
        <v>1299310.1983206682</v>
      </c>
      <c r="G48" s="511">
        <f t="shared" si="15"/>
        <v>548411.18418551842</v>
      </c>
      <c r="H48" s="477">
        <f t="shared" si="16"/>
        <v>548411.18418551842</v>
      </c>
      <c r="I48" s="500">
        <f t="shared" si="1"/>
        <v>0</v>
      </c>
      <c r="J48" s="500"/>
      <c r="K48" s="512"/>
      <c r="L48" s="504">
        <f t="shared" si="3"/>
        <v>0</v>
      </c>
      <c r="M48" s="512"/>
      <c r="N48" s="504">
        <f t="shared" si="5"/>
        <v>0</v>
      </c>
      <c r="O48" s="504">
        <f t="shared" si="6"/>
        <v>0</v>
      </c>
      <c r="P48" s="278"/>
      <c r="R48" s="243"/>
      <c r="S48" s="243"/>
      <c r="T48" s="243"/>
      <c r="U48" s="243"/>
    </row>
    <row r="49" spans="2:21">
      <c r="B49" s="145" t="str">
        <f t="shared" si="0"/>
        <v/>
      </c>
      <c r="C49" s="495">
        <f>IF(D11="","-",+C48+1)</f>
        <v>2043</v>
      </c>
      <c r="D49" s="508">
        <f>IF(F48+SUM(E$17:E48)=D$10,F48,D$10-SUM(E$17:E48))</f>
        <v>1299310.1983206682</v>
      </c>
      <c r="E49" s="509">
        <f>IF(+I14&lt;F48,I14,D49)</f>
        <v>378800</v>
      </c>
      <c r="F49" s="510">
        <f t="shared" si="14"/>
        <v>920510.19832066819</v>
      </c>
      <c r="G49" s="511">
        <f t="shared" si="15"/>
        <v>505253.88154733548</v>
      </c>
      <c r="H49" s="477">
        <f t="shared" si="16"/>
        <v>505253.88154733548</v>
      </c>
      <c r="I49" s="500">
        <f t="shared" si="1"/>
        <v>0</v>
      </c>
      <c r="J49" s="500"/>
      <c r="K49" s="512"/>
      <c r="L49" s="504">
        <f t="shared" si="3"/>
        <v>0</v>
      </c>
      <c r="M49" s="512"/>
      <c r="N49" s="504">
        <f t="shared" si="5"/>
        <v>0</v>
      </c>
      <c r="O49" s="504">
        <f t="shared" si="6"/>
        <v>0</v>
      </c>
      <c r="P49" s="278"/>
      <c r="R49" s="243"/>
      <c r="S49" s="243"/>
      <c r="T49" s="243"/>
      <c r="U49" s="243"/>
    </row>
    <row r="50" spans="2:21">
      <c r="B50" s="145" t="str">
        <f t="shared" ref="B50:B73" si="17">IF(D50=F49,"","IU")</f>
        <v/>
      </c>
      <c r="C50" s="495">
        <f>IF(D11="","-",+C49+1)</f>
        <v>2044</v>
      </c>
      <c r="D50" s="508">
        <f>IF(F49+SUM(E$17:E49)=D$10,F49,D$10-SUM(E$17:E49))</f>
        <v>920510.19832066819</v>
      </c>
      <c r="E50" s="509">
        <f>IF(+I14&lt;F49,I14,D50)</f>
        <v>378800</v>
      </c>
      <c r="F50" s="510">
        <f t="shared" ref="F50:F73" si="18">+D50-E50</f>
        <v>541710.19832066819</v>
      </c>
      <c r="G50" s="511">
        <f t="shared" si="15"/>
        <v>462096.57890915259</v>
      </c>
      <c r="H50" s="477">
        <f t="shared" si="16"/>
        <v>462096.57890915259</v>
      </c>
      <c r="I50" s="500">
        <f t="shared" ref="I50:I73" si="19">H50-G50</f>
        <v>0</v>
      </c>
      <c r="J50" s="500"/>
      <c r="K50" s="512"/>
      <c r="L50" s="504">
        <f t="shared" ref="L50:L73" si="20">IF(K50&lt;&gt;0,+G50-K50,0)</f>
        <v>0</v>
      </c>
      <c r="M50" s="512"/>
      <c r="N50" s="504">
        <f t="shared" ref="N50:N73" si="21">IF(M50&lt;&gt;0,+H50-M50,0)</f>
        <v>0</v>
      </c>
      <c r="O50" s="504">
        <f t="shared" ref="O50:O73" si="22">+N50-L50</f>
        <v>0</v>
      </c>
      <c r="P50" s="278"/>
      <c r="R50" s="243"/>
      <c r="S50" s="243"/>
      <c r="T50" s="243"/>
      <c r="U50" s="243"/>
    </row>
    <row r="51" spans="2:21">
      <c r="B51" s="145" t="str">
        <f t="shared" si="17"/>
        <v/>
      </c>
      <c r="C51" s="495">
        <f>IF(D11="","-",+C50+1)</f>
        <v>2045</v>
      </c>
      <c r="D51" s="508">
        <f>IF(F50+SUM(E$17:E50)=D$10,F50,D$10-SUM(E$17:E50))</f>
        <v>541710.19832066819</v>
      </c>
      <c r="E51" s="509">
        <f>IF(+I14&lt;F50,I14,D51)</f>
        <v>378800</v>
      </c>
      <c r="F51" s="510">
        <f t="shared" si="18"/>
        <v>162910.19832066819</v>
      </c>
      <c r="G51" s="511">
        <f t="shared" si="15"/>
        <v>418939.27627096965</v>
      </c>
      <c r="H51" s="477">
        <f t="shared" si="16"/>
        <v>418939.27627096965</v>
      </c>
      <c r="I51" s="500">
        <f t="shared" si="19"/>
        <v>0</v>
      </c>
      <c r="J51" s="500"/>
      <c r="K51" s="512"/>
      <c r="L51" s="504">
        <f t="shared" si="20"/>
        <v>0</v>
      </c>
      <c r="M51" s="512"/>
      <c r="N51" s="504">
        <f t="shared" si="21"/>
        <v>0</v>
      </c>
      <c r="O51" s="504">
        <f t="shared" si="22"/>
        <v>0</v>
      </c>
      <c r="P51" s="278"/>
      <c r="R51" s="243"/>
      <c r="S51" s="243"/>
      <c r="T51" s="243"/>
      <c r="U51" s="243"/>
    </row>
    <row r="52" spans="2:21">
      <c r="B52" s="145" t="str">
        <f t="shared" si="17"/>
        <v/>
      </c>
      <c r="C52" s="495">
        <f>IF(D11="","-",+C51+1)</f>
        <v>2046</v>
      </c>
      <c r="D52" s="508">
        <f>IF(F51+SUM(E$17:E51)=D$10,F51,D$10-SUM(E$17:E51))</f>
        <v>162910.19832066819</v>
      </c>
      <c r="E52" s="509">
        <f>IF(+I14&lt;F51,I14,D52)</f>
        <v>162910.19832066819</v>
      </c>
      <c r="F52" s="510">
        <f t="shared" si="18"/>
        <v>0</v>
      </c>
      <c r="G52" s="511">
        <f t="shared" si="15"/>
        <v>172190.5107966073</v>
      </c>
      <c r="H52" s="477">
        <f t="shared" si="16"/>
        <v>172190.5107966073</v>
      </c>
      <c r="I52" s="500">
        <f t="shared" si="19"/>
        <v>0</v>
      </c>
      <c r="J52" s="500"/>
      <c r="K52" s="512"/>
      <c r="L52" s="504">
        <f t="shared" si="20"/>
        <v>0</v>
      </c>
      <c r="M52" s="512"/>
      <c r="N52" s="504">
        <f t="shared" si="21"/>
        <v>0</v>
      </c>
      <c r="O52" s="504">
        <f t="shared" si="22"/>
        <v>0</v>
      </c>
      <c r="P52" s="278"/>
      <c r="R52" s="243"/>
      <c r="S52" s="243"/>
      <c r="T52" s="243"/>
      <c r="U52" s="243"/>
    </row>
    <row r="53" spans="2:21">
      <c r="B53" s="145" t="str">
        <f t="shared" si="17"/>
        <v/>
      </c>
      <c r="C53" s="495">
        <f>IF(D11="","-",+C52+1)</f>
        <v>2047</v>
      </c>
      <c r="D53" s="508">
        <f>IF(F52+SUM(E$17:E52)=D$10,F52,D$10-SUM(E$17:E52))</f>
        <v>0</v>
      </c>
      <c r="E53" s="509">
        <f>IF(+I14&lt;F52,I14,D53)</f>
        <v>0</v>
      </c>
      <c r="F53" s="510">
        <f t="shared" si="18"/>
        <v>0</v>
      </c>
      <c r="G53" s="511">
        <f t="shared" si="15"/>
        <v>0</v>
      </c>
      <c r="H53" s="477">
        <f t="shared" si="16"/>
        <v>0</v>
      </c>
      <c r="I53" s="500">
        <f t="shared" si="19"/>
        <v>0</v>
      </c>
      <c r="J53" s="500"/>
      <c r="K53" s="512"/>
      <c r="L53" s="504">
        <f t="shared" si="20"/>
        <v>0</v>
      </c>
      <c r="M53" s="512"/>
      <c r="N53" s="504">
        <f t="shared" si="21"/>
        <v>0</v>
      </c>
      <c r="O53" s="504">
        <f t="shared" si="22"/>
        <v>0</v>
      </c>
      <c r="P53" s="278"/>
      <c r="R53" s="243"/>
      <c r="S53" s="243"/>
      <c r="T53" s="243"/>
      <c r="U53" s="243"/>
    </row>
    <row r="54" spans="2:21">
      <c r="B54" s="145" t="str">
        <f t="shared" si="17"/>
        <v/>
      </c>
      <c r="C54" s="495">
        <f>IF(D11="","-",+C53+1)</f>
        <v>2048</v>
      </c>
      <c r="D54" s="508">
        <f>IF(F53+SUM(E$17:E53)=D$10,F53,D$10-SUM(E$17:E53))</f>
        <v>0</v>
      </c>
      <c r="E54" s="509">
        <f>IF(+I14&lt;F53,I14,D54)</f>
        <v>0</v>
      </c>
      <c r="F54" s="510">
        <f t="shared" si="18"/>
        <v>0</v>
      </c>
      <c r="G54" s="511">
        <f t="shared" si="15"/>
        <v>0</v>
      </c>
      <c r="H54" s="477">
        <f t="shared" si="16"/>
        <v>0</v>
      </c>
      <c r="I54" s="500">
        <f t="shared" si="19"/>
        <v>0</v>
      </c>
      <c r="J54" s="500"/>
      <c r="K54" s="512"/>
      <c r="L54" s="504">
        <f t="shared" si="20"/>
        <v>0</v>
      </c>
      <c r="M54" s="512"/>
      <c r="N54" s="504">
        <f t="shared" si="21"/>
        <v>0</v>
      </c>
      <c r="O54" s="504">
        <f t="shared" si="22"/>
        <v>0</v>
      </c>
      <c r="P54" s="278"/>
      <c r="R54" s="243"/>
      <c r="S54" s="243"/>
      <c r="T54" s="243"/>
      <c r="U54" s="243"/>
    </row>
    <row r="55" spans="2:21">
      <c r="B55" s="145" t="str">
        <f t="shared" si="17"/>
        <v/>
      </c>
      <c r="C55" s="495">
        <f>IF(D11="","-",+C54+1)</f>
        <v>2049</v>
      </c>
      <c r="D55" s="508">
        <f>IF(F54+SUM(E$17:E54)=D$10,F54,D$10-SUM(E$17:E54))</f>
        <v>0</v>
      </c>
      <c r="E55" s="509">
        <f>IF(+I14&lt;F54,I14,D55)</f>
        <v>0</v>
      </c>
      <c r="F55" s="510">
        <f t="shared" si="18"/>
        <v>0</v>
      </c>
      <c r="G55" s="511">
        <f t="shared" si="15"/>
        <v>0</v>
      </c>
      <c r="H55" s="477">
        <f t="shared" si="16"/>
        <v>0</v>
      </c>
      <c r="I55" s="500">
        <f t="shared" si="19"/>
        <v>0</v>
      </c>
      <c r="J55" s="500"/>
      <c r="K55" s="512"/>
      <c r="L55" s="504">
        <f t="shared" si="20"/>
        <v>0</v>
      </c>
      <c r="M55" s="512"/>
      <c r="N55" s="504">
        <f t="shared" si="21"/>
        <v>0</v>
      </c>
      <c r="O55" s="504">
        <f t="shared" si="22"/>
        <v>0</v>
      </c>
      <c r="P55" s="278"/>
      <c r="R55" s="243"/>
      <c r="S55" s="243"/>
      <c r="T55" s="243"/>
      <c r="U55" s="243"/>
    </row>
    <row r="56" spans="2:21">
      <c r="B56" s="145" t="str">
        <f t="shared" si="17"/>
        <v/>
      </c>
      <c r="C56" s="495">
        <f>IF(D11="","-",+C55+1)</f>
        <v>2050</v>
      </c>
      <c r="D56" s="508">
        <f>IF(F55+SUM(E$17:E55)=D$10,F55,D$10-SUM(E$17:E55))</f>
        <v>0</v>
      </c>
      <c r="E56" s="509">
        <f>IF(+I14&lt;F55,I14,D56)</f>
        <v>0</v>
      </c>
      <c r="F56" s="510">
        <f t="shared" si="18"/>
        <v>0</v>
      </c>
      <c r="G56" s="511">
        <f t="shared" si="15"/>
        <v>0</v>
      </c>
      <c r="H56" s="477">
        <f t="shared" si="16"/>
        <v>0</v>
      </c>
      <c r="I56" s="500">
        <f t="shared" si="19"/>
        <v>0</v>
      </c>
      <c r="J56" s="500"/>
      <c r="K56" s="512"/>
      <c r="L56" s="504">
        <f t="shared" si="20"/>
        <v>0</v>
      </c>
      <c r="M56" s="512"/>
      <c r="N56" s="504">
        <f t="shared" si="21"/>
        <v>0</v>
      </c>
      <c r="O56" s="504">
        <f t="shared" si="22"/>
        <v>0</v>
      </c>
      <c r="P56" s="278"/>
      <c r="R56" s="243"/>
      <c r="S56" s="243"/>
      <c r="T56" s="243"/>
      <c r="U56" s="243"/>
    </row>
    <row r="57" spans="2:21">
      <c r="B57" s="145" t="str">
        <f t="shared" si="17"/>
        <v/>
      </c>
      <c r="C57" s="495">
        <f>IF(D11="","-",+C56+1)</f>
        <v>2051</v>
      </c>
      <c r="D57" s="508">
        <f>IF(F56+SUM(E$17:E56)=D$10,F56,D$10-SUM(E$17:E56))</f>
        <v>0</v>
      </c>
      <c r="E57" s="509">
        <f>IF(+I14&lt;F56,I14,D57)</f>
        <v>0</v>
      </c>
      <c r="F57" s="510">
        <f t="shared" si="18"/>
        <v>0</v>
      </c>
      <c r="G57" s="511">
        <f t="shared" si="15"/>
        <v>0</v>
      </c>
      <c r="H57" s="477">
        <f t="shared" si="16"/>
        <v>0</v>
      </c>
      <c r="I57" s="500">
        <f t="shared" si="19"/>
        <v>0</v>
      </c>
      <c r="J57" s="500"/>
      <c r="K57" s="512"/>
      <c r="L57" s="504">
        <f t="shared" si="20"/>
        <v>0</v>
      </c>
      <c r="M57" s="512"/>
      <c r="N57" s="504">
        <f t="shared" si="21"/>
        <v>0</v>
      </c>
      <c r="O57" s="504">
        <f t="shared" si="22"/>
        <v>0</v>
      </c>
      <c r="P57" s="278"/>
      <c r="R57" s="243"/>
      <c r="S57" s="243"/>
      <c r="T57" s="243"/>
      <c r="U57" s="243"/>
    </row>
    <row r="58" spans="2:21">
      <c r="B58" s="145" t="str">
        <f t="shared" si="17"/>
        <v/>
      </c>
      <c r="C58" s="495">
        <f>IF(D11="","-",+C57+1)</f>
        <v>2052</v>
      </c>
      <c r="D58" s="508">
        <f>IF(F57+SUM(E$17:E57)=D$10,F57,D$10-SUM(E$17:E57))</f>
        <v>0</v>
      </c>
      <c r="E58" s="509">
        <f>IF(+I14&lt;F57,I14,D58)</f>
        <v>0</v>
      </c>
      <c r="F58" s="510">
        <f t="shared" si="18"/>
        <v>0</v>
      </c>
      <c r="G58" s="511">
        <f t="shared" si="15"/>
        <v>0</v>
      </c>
      <c r="H58" s="477">
        <f t="shared" si="16"/>
        <v>0</v>
      </c>
      <c r="I58" s="500">
        <f t="shared" si="19"/>
        <v>0</v>
      </c>
      <c r="J58" s="500"/>
      <c r="K58" s="512"/>
      <c r="L58" s="504">
        <f t="shared" si="20"/>
        <v>0</v>
      </c>
      <c r="M58" s="512"/>
      <c r="N58" s="504">
        <f t="shared" si="21"/>
        <v>0</v>
      </c>
      <c r="O58" s="504">
        <f t="shared" si="22"/>
        <v>0</v>
      </c>
      <c r="P58" s="278"/>
      <c r="R58" s="243"/>
      <c r="S58" s="243"/>
      <c r="T58" s="243"/>
      <c r="U58" s="243"/>
    </row>
    <row r="59" spans="2:21">
      <c r="B59" s="145" t="str">
        <f t="shared" si="17"/>
        <v/>
      </c>
      <c r="C59" s="495">
        <f>IF(D11="","-",+C58+1)</f>
        <v>2053</v>
      </c>
      <c r="D59" s="508">
        <f>IF(F58+SUM(E$17:E58)=D$10,F58,D$10-SUM(E$17:E58))</f>
        <v>0</v>
      </c>
      <c r="E59" s="509">
        <f>IF(+I14&lt;F58,I14,D59)</f>
        <v>0</v>
      </c>
      <c r="F59" s="510">
        <f t="shared" si="18"/>
        <v>0</v>
      </c>
      <c r="G59" s="511">
        <f t="shared" si="15"/>
        <v>0</v>
      </c>
      <c r="H59" s="477">
        <f t="shared" si="16"/>
        <v>0</v>
      </c>
      <c r="I59" s="500">
        <f t="shared" si="19"/>
        <v>0</v>
      </c>
      <c r="J59" s="500"/>
      <c r="K59" s="512"/>
      <c r="L59" s="504">
        <f t="shared" si="20"/>
        <v>0</v>
      </c>
      <c r="M59" s="512"/>
      <c r="N59" s="504">
        <f t="shared" si="21"/>
        <v>0</v>
      </c>
      <c r="O59" s="504">
        <f t="shared" si="22"/>
        <v>0</v>
      </c>
      <c r="P59" s="278"/>
      <c r="R59" s="243"/>
      <c r="S59" s="243"/>
      <c r="T59" s="243"/>
      <c r="U59" s="243"/>
    </row>
    <row r="60" spans="2:21">
      <c r="B60" s="145" t="str">
        <f t="shared" si="17"/>
        <v/>
      </c>
      <c r="C60" s="495">
        <f>IF(D11="","-",+C59+1)</f>
        <v>2054</v>
      </c>
      <c r="D60" s="508">
        <f>IF(F59+SUM(E$17:E59)=D$10,F59,D$10-SUM(E$17:E59))</f>
        <v>0</v>
      </c>
      <c r="E60" s="509">
        <f>IF(+I14&lt;F59,I14,D60)</f>
        <v>0</v>
      </c>
      <c r="F60" s="510">
        <f t="shared" si="18"/>
        <v>0</v>
      </c>
      <c r="G60" s="511">
        <f t="shared" si="15"/>
        <v>0</v>
      </c>
      <c r="H60" s="477">
        <f t="shared" si="16"/>
        <v>0</v>
      </c>
      <c r="I60" s="500">
        <f t="shared" si="19"/>
        <v>0</v>
      </c>
      <c r="J60" s="500"/>
      <c r="K60" s="512"/>
      <c r="L60" s="504">
        <f t="shared" si="20"/>
        <v>0</v>
      </c>
      <c r="M60" s="512"/>
      <c r="N60" s="504">
        <f t="shared" si="21"/>
        <v>0</v>
      </c>
      <c r="O60" s="504">
        <f t="shared" si="22"/>
        <v>0</v>
      </c>
      <c r="P60" s="278"/>
      <c r="R60" s="243"/>
      <c r="S60" s="243"/>
      <c r="T60" s="243"/>
      <c r="U60" s="243"/>
    </row>
    <row r="61" spans="2:21">
      <c r="B61" s="145" t="str">
        <f t="shared" si="17"/>
        <v/>
      </c>
      <c r="C61" s="495">
        <f>IF(D11="","-",+C60+1)</f>
        <v>2055</v>
      </c>
      <c r="D61" s="508">
        <f>IF(F60+SUM(E$17:E60)=D$10,F60,D$10-SUM(E$17:E60))</f>
        <v>0</v>
      </c>
      <c r="E61" s="509">
        <f>IF(+I14&lt;F60,I14,D61)</f>
        <v>0</v>
      </c>
      <c r="F61" s="510">
        <f t="shared" si="18"/>
        <v>0</v>
      </c>
      <c r="G61" s="511">
        <f t="shared" si="15"/>
        <v>0</v>
      </c>
      <c r="H61" s="477">
        <f t="shared" si="16"/>
        <v>0</v>
      </c>
      <c r="I61" s="500">
        <f t="shared" si="19"/>
        <v>0</v>
      </c>
      <c r="J61" s="500"/>
      <c r="K61" s="512"/>
      <c r="L61" s="504">
        <f t="shared" si="20"/>
        <v>0</v>
      </c>
      <c r="M61" s="512"/>
      <c r="N61" s="504">
        <f t="shared" si="21"/>
        <v>0</v>
      </c>
      <c r="O61" s="504">
        <f t="shared" si="22"/>
        <v>0</v>
      </c>
      <c r="P61" s="278"/>
      <c r="R61" s="243"/>
      <c r="S61" s="243"/>
      <c r="T61" s="243"/>
      <c r="U61" s="243"/>
    </row>
    <row r="62" spans="2:21">
      <c r="B62" s="145" t="str">
        <f t="shared" si="17"/>
        <v/>
      </c>
      <c r="C62" s="495">
        <f>IF(D11="","-",+C61+1)</f>
        <v>2056</v>
      </c>
      <c r="D62" s="508">
        <f>IF(F61+SUM(E$17:E61)=D$10,F61,D$10-SUM(E$17:E61))</f>
        <v>0</v>
      </c>
      <c r="E62" s="509">
        <f>IF(+I14&lt;F61,I14,D62)</f>
        <v>0</v>
      </c>
      <c r="F62" s="510">
        <f t="shared" si="18"/>
        <v>0</v>
      </c>
      <c r="G62" s="523">
        <f t="shared" si="15"/>
        <v>0</v>
      </c>
      <c r="H62" s="477">
        <f t="shared" si="16"/>
        <v>0</v>
      </c>
      <c r="I62" s="500">
        <f t="shared" si="19"/>
        <v>0</v>
      </c>
      <c r="J62" s="500"/>
      <c r="K62" s="512"/>
      <c r="L62" s="504">
        <f t="shared" si="20"/>
        <v>0</v>
      </c>
      <c r="M62" s="512"/>
      <c r="N62" s="504">
        <f t="shared" si="21"/>
        <v>0</v>
      </c>
      <c r="O62" s="504">
        <f t="shared" si="22"/>
        <v>0</v>
      </c>
      <c r="P62" s="278"/>
      <c r="R62" s="243"/>
      <c r="S62" s="243"/>
      <c r="T62" s="243"/>
      <c r="U62" s="243"/>
    </row>
    <row r="63" spans="2:21">
      <c r="B63" s="145" t="str">
        <f t="shared" si="17"/>
        <v/>
      </c>
      <c r="C63" s="495">
        <f>IF(D11="","-",+C62+1)</f>
        <v>2057</v>
      </c>
      <c r="D63" s="508">
        <f>IF(F62+SUM(E$17:E62)=D$10,F62,D$10-SUM(E$17:E62))</f>
        <v>0</v>
      </c>
      <c r="E63" s="509">
        <f>IF(+I14&lt;F62,I14,D63)</f>
        <v>0</v>
      </c>
      <c r="F63" s="510">
        <f t="shared" si="18"/>
        <v>0</v>
      </c>
      <c r="G63" s="523">
        <f t="shared" si="15"/>
        <v>0</v>
      </c>
      <c r="H63" s="477">
        <f t="shared" si="16"/>
        <v>0</v>
      </c>
      <c r="I63" s="500">
        <f t="shared" si="19"/>
        <v>0</v>
      </c>
      <c r="J63" s="500"/>
      <c r="K63" s="512"/>
      <c r="L63" s="504">
        <f t="shared" si="20"/>
        <v>0</v>
      </c>
      <c r="M63" s="512"/>
      <c r="N63" s="504">
        <f t="shared" si="21"/>
        <v>0</v>
      </c>
      <c r="O63" s="504">
        <f t="shared" si="22"/>
        <v>0</v>
      </c>
      <c r="P63" s="278"/>
      <c r="R63" s="243"/>
      <c r="S63" s="243"/>
      <c r="T63" s="243"/>
      <c r="U63" s="243"/>
    </row>
    <row r="64" spans="2:21">
      <c r="B64" s="145" t="str">
        <f t="shared" si="17"/>
        <v/>
      </c>
      <c r="C64" s="495">
        <f>IF(D11="","-",+C63+1)</f>
        <v>2058</v>
      </c>
      <c r="D64" s="508">
        <f>IF(F63+SUM(E$17:E63)=D$10,F63,D$10-SUM(E$17:E63))</f>
        <v>0</v>
      </c>
      <c r="E64" s="509">
        <f>IF(+I14&lt;F63,I14,D64)</f>
        <v>0</v>
      </c>
      <c r="F64" s="510">
        <f t="shared" si="18"/>
        <v>0</v>
      </c>
      <c r="G64" s="523">
        <f t="shared" si="15"/>
        <v>0</v>
      </c>
      <c r="H64" s="477">
        <f t="shared" si="16"/>
        <v>0</v>
      </c>
      <c r="I64" s="500">
        <f t="shared" si="19"/>
        <v>0</v>
      </c>
      <c r="J64" s="500"/>
      <c r="K64" s="512"/>
      <c r="L64" s="504">
        <f t="shared" si="20"/>
        <v>0</v>
      </c>
      <c r="M64" s="512"/>
      <c r="N64" s="504">
        <f t="shared" si="21"/>
        <v>0</v>
      </c>
      <c r="O64" s="504">
        <f t="shared" si="22"/>
        <v>0</v>
      </c>
      <c r="P64" s="278"/>
      <c r="R64" s="243"/>
      <c r="S64" s="243"/>
      <c r="T64" s="243"/>
      <c r="U64" s="243"/>
    </row>
    <row r="65" spans="2:21">
      <c r="B65" s="145" t="str">
        <f t="shared" si="17"/>
        <v/>
      </c>
      <c r="C65" s="495">
        <f>IF(D11="","-",+C64+1)</f>
        <v>2059</v>
      </c>
      <c r="D65" s="508">
        <f>IF(F64+SUM(E$17:E64)=D$10,F64,D$10-SUM(E$17:E64))</f>
        <v>0</v>
      </c>
      <c r="E65" s="509">
        <f>IF(+I14&lt;F64,I14,D65)</f>
        <v>0</v>
      </c>
      <c r="F65" s="510">
        <f t="shared" si="18"/>
        <v>0</v>
      </c>
      <c r="G65" s="523">
        <f t="shared" si="15"/>
        <v>0</v>
      </c>
      <c r="H65" s="477">
        <f t="shared" si="16"/>
        <v>0</v>
      </c>
      <c r="I65" s="500">
        <f t="shared" si="19"/>
        <v>0</v>
      </c>
      <c r="J65" s="500"/>
      <c r="K65" s="512"/>
      <c r="L65" s="504">
        <f t="shared" si="20"/>
        <v>0</v>
      </c>
      <c r="M65" s="512"/>
      <c r="N65" s="504">
        <f t="shared" si="21"/>
        <v>0</v>
      </c>
      <c r="O65" s="504">
        <f t="shared" si="22"/>
        <v>0</v>
      </c>
      <c r="P65" s="278"/>
      <c r="R65" s="243"/>
      <c r="S65" s="243"/>
      <c r="T65" s="243"/>
      <c r="U65" s="243"/>
    </row>
    <row r="66" spans="2:21">
      <c r="B66" s="145" t="str">
        <f t="shared" si="17"/>
        <v/>
      </c>
      <c r="C66" s="495">
        <f>IF(D11="","-",+C65+1)</f>
        <v>2060</v>
      </c>
      <c r="D66" s="508">
        <f>IF(F65+SUM(E$17:E65)=D$10,F65,D$10-SUM(E$17:E65))</f>
        <v>0</v>
      </c>
      <c r="E66" s="509">
        <f>IF(+I14&lt;F65,I14,D66)</f>
        <v>0</v>
      </c>
      <c r="F66" s="510">
        <f t="shared" si="18"/>
        <v>0</v>
      </c>
      <c r="G66" s="523">
        <f t="shared" si="15"/>
        <v>0</v>
      </c>
      <c r="H66" s="477">
        <f t="shared" si="16"/>
        <v>0</v>
      </c>
      <c r="I66" s="500">
        <f t="shared" si="19"/>
        <v>0</v>
      </c>
      <c r="J66" s="500"/>
      <c r="K66" s="512"/>
      <c r="L66" s="504">
        <f t="shared" si="20"/>
        <v>0</v>
      </c>
      <c r="M66" s="512"/>
      <c r="N66" s="504">
        <f t="shared" si="21"/>
        <v>0</v>
      </c>
      <c r="O66" s="504">
        <f t="shared" si="22"/>
        <v>0</v>
      </c>
      <c r="P66" s="278"/>
      <c r="R66" s="243"/>
      <c r="S66" s="243"/>
      <c r="T66" s="243"/>
      <c r="U66" s="243"/>
    </row>
    <row r="67" spans="2:21">
      <c r="B67" s="145" t="str">
        <f t="shared" si="17"/>
        <v/>
      </c>
      <c r="C67" s="495">
        <f>IF(D11="","-",+C66+1)</f>
        <v>2061</v>
      </c>
      <c r="D67" s="508">
        <f>IF(F66+SUM(E$17:E66)=D$10,F66,D$10-SUM(E$17:E66))</f>
        <v>0</v>
      </c>
      <c r="E67" s="509">
        <f>IF(+I14&lt;F66,I14,D67)</f>
        <v>0</v>
      </c>
      <c r="F67" s="510">
        <f t="shared" si="18"/>
        <v>0</v>
      </c>
      <c r="G67" s="523">
        <f t="shared" si="15"/>
        <v>0</v>
      </c>
      <c r="H67" s="477">
        <f t="shared" si="16"/>
        <v>0</v>
      </c>
      <c r="I67" s="500">
        <f t="shared" si="19"/>
        <v>0</v>
      </c>
      <c r="J67" s="500"/>
      <c r="K67" s="512"/>
      <c r="L67" s="504">
        <f t="shared" si="20"/>
        <v>0</v>
      </c>
      <c r="M67" s="512"/>
      <c r="N67" s="504">
        <f t="shared" si="21"/>
        <v>0</v>
      </c>
      <c r="O67" s="504">
        <f t="shared" si="22"/>
        <v>0</v>
      </c>
      <c r="P67" s="278"/>
      <c r="R67" s="243"/>
      <c r="S67" s="243"/>
      <c r="T67" s="243"/>
      <c r="U67" s="243"/>
    </row>
    <row r="68" spans="2:21">
      <c r="B68" s="145" t="str">
        <f t="shared" si="17"/>
        <v/>
      </c>
      <c r="C68" s="495">
        <f>IF(D11="","-",+C67+1)</f>
        <v>2062</v>
      </c>
      <c r="D68" s="508">
        <f>IF(F67+SUM(E$17:E67)=D$10,F67,D$10-SUM(E$17:E67))</f>
        <v>0</v>
      </c>
      <c r="E68" s="509">
        <f>IF(+I14&lt;F67,I14,D68)</f>
        <v>0</v>
      </c>
      <c r="F68" s="510">
        <f t="shared" si="18"/>
        <v>0</v>
      </c>
      <c r="G68" s="523">
        <f t="shared" si="15"/>
        <v>0</v>
      </c>
      <c r="H68" s="477">
        <f t="shared" si="16"/>
        <v>0</v>
      </c>
      <c r="I68" s="500">
        <f t="shared" si="19"/>
        <v>0</v>
      </c>
      <c r="J68" s="500"/>
      <c r="K68" s="512"/>
      <c r="L68" s="504">
        <f t="shared" si="20"/>
        <v>0</v>
      </c>
      <c r="M68" s="512"/>
      <c r="N68" s="504">
        <f t="shared" si="21"/>
        <v>0</v>
      </c>
      <c r="O68" s="504">
        <f t="shared" si="22"/>
        <v>0</v>
      </c>
      <c r="P68" s="278"/>
      <c r="R68" s="243"/>
      <c r="S68" s="243"/>
      <c r="T68" s="243"/>
      <c r="U68" s="243"/>
    </row>
    <row r="69" spans="2:21">
      <c r="B69" s="145" t="str">
        <f t="shared" si="17"/>
        <v/>
      </c>
      <c r="C69" s="495">
        <f>IF(D11="","-",+C68+1)</f>
        <v>2063</v>
      </c>
      <c r="D69" s="508">
        <f>IF(F68+SUM(E$17:E68)=D$10,F68,D$10-SUM(E$17:E68))</f>
        <v>0</v>
      </c>
      <c r="E69" s="509">
        <f>IF(+I14&lt;F68,I14,D69)</f>
        <v>0</v>
      </c>
      <c r="F69" s="510">
        <f t="shared" si="18"/>
        <v>0</v>
      </c>
      <c r="G69" s="523">
        <f t="shared" si="15"/>
        <v>0</v>
      </c>
      <c r="H69" s="477">
        <f t="shared" si="16"/>
        <v>0</v>
      </c>
      <c r="I69" s="500">
        <f t="shared" si="19"/>
        <v>0</v>
      </c>
      <c r="J69" s="500"/>
      <c r="K69" s="512"/>
      <c r="L69" s="504">
        <f t="shared" si="20"/>
        <v>0</v>
      </c>
      <c r="M69" s="512"/>
      <c r="N69" s="504">
        <f t="shared" si="21"/>
        <v>0</v>
      </c>
      <c r="O69" s="504">
        <f t="shared" si="22"/>
        <v>0</v>
      </c>
      <c r="P69" s="278"/>
      <c r="R69" s="243"/>
      <c r="S69" s="243"/>
      <c r="T69" s="243"/>
      <c r="U69" s="243"/>
    </row>
    <row r="70" spans="2:21">
      <c r="B70" s="145" t="str">
        <f t="shared" si="17"/>
        <v/>
      </c>
      <c r="C70" s="495">
        <f>IF(D11="","-",+C69+1)</f>
        <v>2064</v>
      </c>
      <c r="D70" s="508">
        <f>IF(F69+SUM(E$17:E69)=D$10,F69,D$10-SUM(E$17:E69))</f>
        <v>0</v>
      </c>
      <c r="E70" s="509">
        <f>IF(+I14&lt;F69,I14,D70)</f>
        <v>0</v>
      </c>
      <c r="F70" s="510">
        <f t="shared" si="18"/>
        <v>0</v>
      </c>
      <c r="G70" s="523">
        <f t="shared" si="15"/>
        <v>0</v>
      </c>
      <c r="H70" s="477">
        <f t="shared" si="16"/>
        <v>0</v>
      </c>
      <c r="I70" s="500">
        <f t="shared" si="19"/>
        <v>0</v>
      </c>
      <c r="J70" s="500"/>
      <c r="K70" s="512"/>
      <c r="L70" s="504">
        <f t="shared" si="20"/>
        <v>0</v>
      </c>
      <c r="M70" s="512"/>
      <c r="N70" s="504">
        <f t="shared" si="21"/>
        <v>0</v>
      </c>
      <c r="O70" s="504">
        <f t="shared" si="22"/>
        <v>0</v>
      </c>
      <c r="P70" s="278"/>
      <c r="R70" s="243"/>
      <c r="S70" s="243"/>
      <c r="T70" s="243"/>
      <c r="U70" s="243"/>
    </row>
    <row r="71" spans="2:21">
      <c r="B71" s="145" t="str">
        <f t="shared" si="17"/>
        <v/>
      </c>
      <c r="C71" s="495">
        <f>IF(D11="","-",+C70+1)</f>
        <v>2065</v>
      </c>
      <c r="D71" s="508">
        <f>IF(F70+SUM(E$17:E70)=D$10,F70,D$10-SUM(E$17:E70))</f>
        <v>0</v>
      </c>
      <c r="E71" s="509">
        <f>IF(+I14&lt;F70,I14,D71)</f>
        <v>0</v>
      </c>
      <c r="F71" s="510">
        <f t="shared" si="18"/>
        <v>0</v>
      </c>
      <c r="G71" s="523">
        <f t="shared" si="15"/>
        <v>0</v>
      </c>
      <c r="H71" s="477">
        <f t="shared" si="16"/>
        <v>0</v>
      </c>
      <c r="I71" s="500">
        <f t="shared" si="19"/>
        <v>0</v>
      </c>
      <c r="J71" s="500"/>
      <c r="K71" s="512"/>
      <c r="L71" s="504">
        <f t="shared" si="20"/>
        <v>0</v>
      </c>
      <c r="M71" s="512"/>
      <c r="N71" s="504">
        <f t="shared" si="21"/>
        <v>0</v>
      </c>
      <c r="O71" s="504">
        <f t="shared" si="22"/>
        <v>0</v>
      </c>
      <c r="P71" s="278"/>
      <c r="R71" s="243"/>
      <c r="S71" s="243"/>
      <c r="T71" s="243"/>
      <c r="U71" s="243"/>
    </row>
    <row r="72" spans="2:21">
      <c r="B72" s="145" t="str">
        <f t="shared" si="17"/>
        <v/>
      </c>
      <c r="C72" s="495">
        <f>IF(D11="","-",+C71+1)</f>
        <v>2066</v>
      </c>
      <c r="D72" s="508">
        <f>IF(F71+SUM(E$17:E71)=D$10,F71,D$10-SUM(E$17:E71))</f>
        <v>0</v>
      </c>
      <c r="E72" s="509">
        <f>IF(+I14&lt;F71,I14,D72)</f>
        <v>0</v>
      </c>
      <c r="F72" s="510">
        <f t="shared" si="18"/>
        <v>0</v>
      </c>
      <c r="G72" s="523">
        <f t="shared" si="15"/>
        <v>0</v>
      </c>
      <c r="H72" s="477">
        <f t="shared" si="16"/>
        <v>0</v>
      </c>
      <c r="I72" s="500">
        <f t="shared" si="19"/>
        <v>0</v>
      </c>
      <c r="J72" s="500"/>
      <c r="K72" s="512"/>
      <c r="L72" s="504">
        <f t="shared" si="20"/>
        <v>0</v>
      </c>
      <c r="M72" s="512"/>
      <c r="N72" s="504">
        <f t="shared" si="21"/>
        <v>0</v>
      </c>
      <c r="O72" s="504">
        <f t="shared" si="22"/>
        <v>0</v>
      </c>
      <c r="P72" s="278"/>
      <c r="R72" s="243"/>
      <c r="S72" s="243"/>
      <c r="T72" s="243"/>
      <c r="U72" s="243"/>
    </row>
    <row r="73" spans="2:21" ht="13.5" thickBot="1">
      <c r="B73" s="145" t="str">
        <f t="shared" si="17"/>
        <v/>
      </c>
      <c r="C73" s="524">
        <f>IF(D11="","-",+C72+1)</f>
        <v>2067</v>
      </c>
      <c r="D73" s="525">
        <f>IF(F72+SUM(E$17:E72)=D$10,F72,D$10-SUM(E$17:E72))</f>
        <v>0</v>
      </c>
      <c r="E73" s="526">
        <f>IF(+I14&lt;F72,I14,D73)</f>
        <v>0</v>
      </c>
      <c r="F73" s="527">
        <f t="shared" si="18"/>
        <v>0</v>
      </c>
      <c r="G73" s="528">
        <f t="shared" si="15"/>
        <v>0</v>
      </c>
      <c r="H73" s="458">
        <f t="shared" si="16"/>
        <v>0</v>
      </c>
      <c r="I73" s="529">
        <f t="shared" si="19"/>
        <v>0</v>
      </c>
      <c r="J73" s="500"/>
      <c r="K73" s="530"/>
      <c r="L73" s="531">
        <f t="shared" si="20"/>
        <v>0</v>
      </c>
      <c r="M73" s="530"/>
      <c r="N73" s="531">
        <f t="shared" si="21"/>
        <v>0</v>
      </c>
      <c r="O73" s="531">
        <f t="shared" si="22"/>
        <v>0</v>
      </c>
      <c r="P73" s="278"/>
      <c r="R73" s="243"/>
      <c r="S73" s="243"/>
      <c r="T73" s="243"/>
      <c r="U73" s="243"/>
    </row>
    <row r="74" spans="2:21">
      <c r="C74" s="349" t="s">
        <v>75</v>
      </c>
      <c r="D74" s="294"/>
      <c r="E74" s="294">
        <f>SUM(E17:E73)</f>
        <v>11742800</v>
      </c>
      <c r="F74" s="294"/>
      <c r="G74" s="294">
        <f>SUM(G17:G73)</f>
        <v>36933617.753260761</v>
      </c>
      <c r="H74" s="294">
        <f>SUM(H17:H73)</f>
        <v>36933617.753260761</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4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1293013.3264763721</v>
      </c>
      <c r="N88" s="544">
        <f>IF(J93&lt;D11,0,VLOOKUP(J93,C17:O73,11))</f>
        <v>1293013.3264763721</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1539522.1290250374</v>
      </c>
      <c r="N89" s="548">
        <f>IF(J93&lt;D11,0,VLOOKUP(J93,C100:P155,7))</f>
        <v>1539522.1290250374</v>
      </c>
      <c r="O89" s="549">
        <f>+N89-M89</f>
        <v>0</v>
      </c>
      <c r="P89" s="243"/>
      <c r="Q89" s="243"/>
      <c r="R89" s="243"/>
      <c r="S89" s="243"/>
      <c r="T89" s="243"/>
      <c r="U89" s="243"/>
    </row>
    <row r="90" spans="1:21" ht="13.5" thickBot="1">
      <c r="C90" s="454" t="s">
        <v>82</v>
      </c>
      <c r="D90" s="550" t="str">
        <f>+D7</f>
        <v xml:space="preserve">Bartlesville SE to Coffeyville T Rebuild </v>
      </c>
      <c r="E90" s="243"/>
      <c r="F90" s="243"/>
      <c r="G90" s="243"/>
      <c r="H90" s="243"/>
      <c r="I90" s="325"/>
      <c r="J90" s="325"/>
      <c r="K90" s="551"/>
      <c r="L90" s="552" t="s">
        <v>135</v>
      </c>
      <c r="M90" s="553">
        <f>+M89-M88</f>
        <v>246508.80254866532</v>
      </c>
      <c r="N90" s="553">
        <f>+N89-N88</f>
        <v>246508.80254866532</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TP2008079</v>
      </c>
      <c r="E92" s="558"/>
      <c r="F92" s="558"/>
      <c r="G92" s="558"/>
      <c r="H92" s="558"/>
      <c r="I92" s="558"/>
      <c r="J92" s="558"/>
      <c r="K92" s="560"/>
      <c r="P92" s="468"/>
      <c r="Q92" s="243"/>
      <c r="R92" s="243"/>
      <c r="S92" s="243"/>
      <c r="T92" s="243"/>
      <c r="U92" s="243"/>
    </row>
    <row r="93" spans="1:21">
      <c r="C93" s="472" t="s">
        <v>49</v>
      </c>
      <c r="D93" s="598">
        <f>D10</f>
        <v>11742800</v>
      </c>
      <c r="E93" s="248" t="s">
        <v>84</v>
      </c>
      <c r="H93" s="408"/>
      <c r="I93" s="408"/>
      <c r="J93" s="471">
        <f>+'OKT.WS.G.BPU.ATRR.True-up'!M16</f>
        <v>2021</v>
      </c>
      <c r="K93" s="467"/>
      <c r="L93" s="294" t="s">
        <v>85</v>
      </c>
      <c r="P93" s="278"/>
      <c r="Q93" s="243"/>
      <c r="R93" s="243"/>
      <c r="S93" s="243"/>
      <c r="T93" s="243"/>
      <c r="U93" s="243"/>
    </row>
    <row r="94" spans="1:21">
      <c r="C94" s="472" t="s">
        <v>52</v>
      </c>
      <c r="D94" s="561">
        <f>IF(D11=I10,"",D11)</f>
        <v>2011</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IF(D11=I10,"",D12)</f>
        <v>6</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469712</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599" t="s">
        <v>74</v>
      </c>
      <c r="M99" s="599" t="s">
        <v>74</v>
      </c>
      <c r="N99" s="599" t="s">
        <v>94</v>
      </c>
      <c r="O99" s="599" t="s">
        <v>94</v>
      </c>
      <c r="P99" s="599" t="s">
        <v>94</v>
      </c>
      <c r="Q99" s="243"/>
      <c r="R99" s="243"/>
      <c r="S99" s="243"/>
      <c r="T99" s="243"/>
      <c r="U99" s="243"/>
    </row>
    <row r="100" spans="1:21">
      <c r="B100" s="145" t="str">
        <f t="shared" ref="B100:B131" si="23">IF(D100=F99,"","IU")</f>
        <v>IU</v>
      </c>
      <c r="C100" s="495">
        <f>IF(D94= "","-",D94)</f>
        <v>2011</v>
      </c>
      <c r="D100" s="496">
        <v>0</v>
      </c>
      <c r="E100" s="498">
        <v>101638.13793103448</v>
      </c>
      <c r="F100" s="505">
        <v>11688385.862068966</v>
      </c>
      <c r="G100" s="571">
        <v>5844192.931034483</v>
      </c>
      <c r="H100" s="571">
        <v>536168.05303368822</v>
      </c>
      <c r="I100" s="571">
        <v>536168.05303368822</v>
      </c>
      <c r="J100" s="504">
        <v>0</v>
      </c>
      <c r="K100" s="588"/>
      <c r="L100" s="600">
        <f t="shared" ref="L100:L105" si="24">H100</f>
        <v>536168.05303368822</v>
      </c>
      <c r="M100" s="521">
        <f t="shared" ref="M100:M131" si="25">IF(L100&lt;&gt;0,+H100-L100,0)</f>
        <v>0</v>
      </c>
      <c r="N100" s="601">
        <f t="shared" ref="N100:N105" si="26">I100</f>
        <v>536168.05303368822</v>
      </c>
      <c r="O100" s="602">
        <f t="shared" ref="O100:O131" si="27">IF(N100&lt;&gt;0,+I100-N100,0)</f>
        <v>0</v>
      </c>
      <c r="P100" s="603">
        <f t="shared" ref="P100:P131" si="28">+O100-M100</f>
        <v>0</v>
      </c>
      <c r="Q100" s="243"/>
      <c r="R100" s="243"/>
      <c r="S100" s="243"/>
      <c r="T100" s="243"/>
      <c r="U100" s="243"/>
    </row>
    <row r="101" spans="1:21">
      <c r="B101" s="145" t="str">
        <f t="shared" si="23"/>
        <v>IU</v>
      </c>
      <c r="C101" s="495">
        <f>IF(D94="","-",+C100+1)</f>
        <v>2012</v>
      </c>
      <c r="D101" s="496">
        <v>11641161.862068966</v>
      </c>
      <c r="E101" s="498">
        <v>202462.06896551725</v>
      </c>
      <c r="F101" s="505">
        <v>11438699.793103449</v>
      </c>
      <c r="G101" s="505">
        <v>11539930.827586208</v>
      </c>
      <c r="H101" s="498">
        <v>1372027.6470996495</v>
      </c>
      <c r="I101" s="499">
        <v>1372027.6470996495</v>
      </c>
      <c r="J101" s="504">
        <v>0</v>
      </c>
      <c r="K101" s="588"/>
      <c r="L101" s="592">
        <f t="shared" si="24"/>
        <v>1372027.6470996495</v>
      </c>
      <c r="M101" s="504">
        <f t="shared" ref="M101:M106" si="29">IF(L101&lt;&gt;0,+H101-L101,0)</f>
        <v>0</v>
      </c>
      <c r="N101" s="506">
        <f t="shared" si="26"/>
        <v>1372027.6470996495</v>
      </c>
      <c r="O101" s="350">
        <f>IF(N101&lt;&gt;0,+I101-N101,0)</f>
        <v>0</v>
      </c>
      <c r="P101" s="594">
        <f>+O101-M101</f>
        <v>0</v>
      </c>
      <c r="Q101" s="243"/>
      <c r="R101" s="243"/>
      <c r="S101" s="243"/>
      <c r="T101" s="243"/>
      <c r="U101" s="243"/>
    </row>
    <row r="102" spans="1:21">
      <c r="B102" s="145" t="str">
        <f t="shared" si="23"/>
        <v/>
      </c>
      <c r="C102" s="495">
        <f>IF(D94="","-",+C101+1)</f>
        <v>2013</v>
      </c>
      <c r="D102" s="496">
        <v>11438699.793103449</v>
      </c>
      <c r="E102" s="498">
        <v>202462.06896551725</v>
      </c>
      <c r="F102" s="505">
        <v>11236237.724137932</v>
      </c>
      <c r="G102" s="505">
        <v>11337468.758620691</v>
      </c>
      <c r="H102" s="498">
        <v>1491078.2600060694</v>
      </c>
      <c r="I102" s="499">
        <v>1491078.2600060694</v>
      </c>
      <c r="J102" s="504">
        <v>0</v>
      </c>
      <c r="K102" s="504"/>
      <c r="L102" s="592">
        <f t="shared" si="24"/>
        <v>1491078.2600060694</v>
      </c>
      <c r="M102" s="504">
        <f t="shared" si="29"/>
        <v>0</v>
      </c>
      <c r="N102" s="506">
        <f t="shared" si="26"/>
        <v>1491078.2600060694</v>
      </c>
      <c r="O102" s="350">
        <f>IF(N102&lt;&gt;0,+I102-N102,0)</f>
        <v>0</v>
      </c>
      <c r="P102" s="594">
        <f>+O102-M102</f>
        <v>0</v>
      </c>
      <c r="Q102" s="243"/>
      <c r="R102" s="243"/>
      <c r="S102" s="243"/>
      <c r="T102" s="243"/>
      <c r="U102" s="243"/>
    </row>
    <row r="103" spans="1:21">
      <c r="B103" s="145" t="str">
        <f t="shared" si="23"/>
        <v/>
      </c>
      <c r="C103" s="495">
        <f>IF(D94="","-",+C102+1)</f>
        <v>2014</v>
      </c>
      <c r="D103" s="496">
        <v>11236237.724137932</v>
      </c>
      <c r="E103" s="498">
        <v>202462.06896551725</v>
      </c>
      <c r="F103" s="505">
        <v>11033775.655172415</v>
      </c>
      <c r="G103" s="505">
        <v>11135006.689655174</v>
      </c>
      <c r="H103" s="498">
        <v>1399958.856395772</v>
      </c>
      <c r="I103" s="499">
        <v>1399958.856395772</v>
      </c>
      <c r="J103" s="504">
        <v>0</v>
      </c>
      <c r="K103" s="504"/>
      <c r="L103" s="592">
        <f t="shared" si="24"/>
        <v>1399958.856395772</v>
      </c>
      <c r="M103" s="504">
        <f t="shared" si="29"/>
        <v>0</v>
      </c>
      <c r="N103" s="506">
        <f t="shared" si="26"/>
        <v>1399958.856395772</v>
      </c>
      <c r="O103" s="350">
        <f>IF(N103&lt;&gt;0,+I103-N103,0)</f>
        <v>0</v>
      </c>
      <c r="P103" s="594">
        <f>+O103-M103</f>
        <v>0</v>
      </c>
      <c r="Q103" s="243"/>
      <c r="R103" s="243"/>
      <c r="S103" s="243"/>
      <c r="T103" s="243"/>
      <c r="U103" s="243"/>
    </row>
    <row r="104" spans="1:21">
      <c r="B104" s="145" t="str">
        <f t="shared" si="23"/>
        <v>IU</v>
      </c>
      <c r="C104" s="495">
        <f>IF(D94="","-",+C103+1)</f>
        <v>2015</v>
      </c>
      <c r="D104" s="496">
        <v>10329207.655172413</v>
      </c>
      <c r="E104" s="498">
        <v>229963.16666666666</v>
      </c>
      <c r="F104" s="505">
        <v>10099244.488505747</v>
      </c>
      <c r="G104" s="505">
        <v>10214226.071839079</v>
      </c>
      <c r="H104" s="498">
        <v>1367107.118762597</v>
      </c>
      <c r="I104" s="499">
        <v>1367107.118762597</v>
      </c>
      <c r="J104" s="504">
        <v>0</v>
      </c>
      <c r="K104" s="504"/>
      <c r="L104" s="592">
        <f t="shared" si="24"/>
        <v>1367107.118762597</v>
      </c>
      <c r="M104" s="504">
        <f t="shared" si="29"/>
        <v>0</v>
      </c>
      <c r="N104" s="506">
        <f t="shared" si="26"/>
        <v>1367107.118762597</v>
      </c>
      <c r="O104" s="500">
        <f t="shared" si="27"/>
        <v>0</v>
      </c>
      <c r="P104" s="504">
        <f t="shared" si="28"/>
        <v>0</v>
      </c>
      <c r="Q104" s="243"/>
      <c r="R104" s="243"/>
      <c r="S104" s="243"/>
      <c r="T104" s="243"/>
      <c r="U104" s="243"/>
    </row>
    <row r="105" spans="1:21">
      <c r="B105" s="145" t="str">
        <f t="shared" si="23"/>
        <v/>
      </c>
      <c r="C105" s="495">
        <f>IF(D94="","-",+C104+1)</f>
        <v>2016</v>
      </c>
      <c r="D105" s="496">
        <v>10099244.488505747</v>
      </c>
      <c r="E105" s="498">
        <v>216435.92156862744</v>
      </c>
      <c r="F105" s="505">
        <v>9882808.5669371206</v>
      </c>
      <c r="G105" s="505">
        <v>9991026.5277214348</v>
      </c>
      <c r="H105" s="498">
        <v>1299158.0653771381</v>
      </c>
      <c r="I105" s="499">
        <v>1299158.0653771381</v>
      </c>
      <c r="J105" s="504">
        <f t="shared" ref="J105:J131" si="30">+I105-H105</f>
        <v>0</v>
      </c>
      <c r="K105" s="504"/>
      <c r="L105" s="592">
        <f t="shared" si="24"/>
        <v>1299158.0653771381</v>
      </c>
      <c r="M105" s="504">
        <f t="shared" si="29"/>
        <v>0</v>
      </c>
      <c r="N105" s="506">
        <f t="shared" si="26"/>
        <v>1299158.0653771381</v>
      </c>
      <c r="O105" s="500">
        <f>IF(N105&lt;&gt;0,+I105-N105,0)</f>
        <v>0</v>
      </c>
      <c r="P105" s="504">
        <f>+O105-M105</f>
        <v>0</v>
      </c>
      <c r="Q105" s="243"/>
      <c r="R105" s="243"/>
      <c r="S105" s="243"/>
      <c r="T105" s="243"/>
      <c r="U105" s="243"/>
    </row>
    <row r="106" spans="1:21">
      <c r="B106" s="145" t="str">
        <f t="shared" si="23"/>
        <v/>
      </c>
      <c r="C106" s="495">
        <f>IF(D94="","-",+C105+1)</f>
        <v>2017</v>
      </c>
      <c r="D106" s="496">
        <v>9882808.5669371206</v>
      </c>
      <c r="E106" s="498">
        <v>275955.8</v>
      </c>
      <c r="F106" s="505">
        <v>9606852.7669371199</v>
      </c>
      <c r="G106" s="505">
        <v>9744830.6669371203</v>
      </c>
      <c r="H106" s="498">
        <v>1419373.9279001462</v>
      </c>
      <c r="I106" s="499">
        <v>1419373.9279001462</v>
      </c>
      <c r="J106" s="504">
        <v>0</v>
      </c>
      <c r="K106" s="504"/>
      <c r="L106" s="592">
        <f>H106</f>
        <v>1419373.9279001462</v>
      </c>
      <c r="M106" s="504">
        <f t="shared" si="29"/>
        <v>0</v>
      </c>
      <c r="N106" s="506">
        <f>I106</f>
        <v>1419373.9279001462</v>
      </c>
      <c r="O106" s="500">
        <f>IF(N106&lt;&gt;0,+I106-N106,0)</f>
        <v>0</v>
      </c>
      <c r="P106" s="504">
        <f>+O106-M106</f>
        <v>0</v>
      </c>
      <c r="Q106" s="243"/>
      <c r="R106" s="243"/>
      <c r="S106" s="243"/>
      <c r="T106" s="243"/>
      <c r="U106" s="243"/>
    </row>
    <row r="107" spans="1:21">
      <c r="B107" s="145" t="str">
        <f t="shared" si="23"/>
        <v/>
      </c>
      <c r="C107" s="495">
        <f>IF(D94="","-",+C106+1)</f>
        <v>2018</v>
      </c>
      <c r="D107" s="496">
        <v>9606852.7669371199</v>
      </c>
      <c r="E107" s="498">
        <v>306617.55555555556</v>
      </c>
      <c r="F107" s="505">
        <v>9300235.2113815639</v>
      </c>
      <c r="G107" s="505">
        <v>9453543.9891593419</v>
      </c>
      <c r="H107" s="498">
        <v>1304556.8117171286</v>
      </c>
      <c r="I107" s="499">
        <v>1304556.8117171286</v>
      </c>
      <c r="J107" s="504">
        <f t="shared" si="30"/>
        <v>0</v>
      </c>
      <c r="K107" s="504"/>
      <c r="L107" s="592">
        <f>H107</f>
        <v>1304556.8117171286</v>
      </c>
      <c r="M107" s="504">
        <f t="shared" ref="M107" si="31">IF(L107&lt;&gt;0,+H107-L107,0)</f>
        <v>0</v>
      </c>
      <c r="N107" s="506">
        <f>I107</f>
        <v>1304556.8117171286</v>
      </c>
      <c r="O107" s="500">
        <f>IF(N107&lt;&gt;0,+I107-N107,0)</f>
        <v>0</v>
      </c>
      <c r="P107" s="504">
        <f>+O107-M107</f>
        <v>0</v>
      </c>
      <c r="Q107" s="243"/>
      <c r="R107" s="243"/>
      <c r="S107" s="243"/>
      <c r="T107" s="243"/>
      <c r="U107" s="243"/>
    </row>
    <row r="108" spans="1:21">
      <c r="B108" s="145" t="str">
        <f t="shared" si="23"/>
        <v/>
      </c>
      <c r="C108" s="495">
        <f>IF(D94="","-",+C107+1)</f>
        <v>2019</v>
      </c>
      <c r="D108" s="496">
        <v>9300235.2113815639</v>
      </c>
      <c r="E108" s="498">
        <v>306617.55555555556</v>
      </c>
      <c r="F108" s="505">
        <v>8993617.6558260079</v>
      </c>
      <c r="G108" s="505">
        <v>9146926.4336037859</v>
      </c>
      <c r="H108" s="498">
        <v>1272189.5116159101</v>
      </c>
      <c r="I108" s="499">
        <v>1272189.5116159101</v>
      </c>
      <c r="J108" s="504">
        <f t="shared" si="30"/>
        <v>0</v>
      </c>
      <c r="K108" s="504"/>
      <c r="L108" s="592">
        <f>H108</f>
        <v>1272189.5116159101</v>
      </c>
      <c r="M108" s="504">
        <f t="shared" ref="M108:M109" si="32">IF(L108&lt;&gt;0,+H108-L108,0)</f>
        <v>0</v>
      </c>
      <c r="N108" s="506">
        <f>I108</f>
        <v>1272189.5116159101</v>
      </c>
      <c r="O108" s="500">
        <f>IF(N108&lt;&gt;0,+I108-N108,0)</f>
        <v>0</v>
      </c>
      <c r="P108" s="504">
        <f t="shared" si="28"/>
        <v>0</v>
      </c>
      <c r="Q108" s="243"/>
      <c r="R108" s="243"/>
      <c r="S108" s="243"/>
      <c r="T108" s="243"/>
      <c r="U108" s="243"/>
    </row>
    <row r="109" spans="1:21">
      <c r="B109" s="145" t="str">
        <f t="shared" si="23"/>
        <v/>
      </c>
      <c r="C109" s="495">
        <f>IF(D94="","-",+C108+1)</f>
        <v>2020</v>
      </c>
      <c r="D109" s="496">
        <v>8993617.6558260079</v>
      </c>
      <c r="E109" s="498">
        <v>394222.57142857142</v>
      </c>
      <c r="F109" s="505">
        <v>8599395.0843974371</v>
      </c>
      <c r="G109" s="505">
        <v>8796506.3701117225</v>
      </c>
      <c r="H109" s="498">
        <v>1330289.5929866973</v>
      </c>
      <c r="I109" s="499">
        <v>1330289.5929866973</v>
      </c>
      <c r="J109" s="504">
        <f t="shared" si="30"/>
        <v>0</v>
      </c>
      <c r="K109" s="504"/>
      <c r="L109" s="592">
        <f>H109</f>
        <v>1330289.5929866973</v>
      </c>
      <c r="M109" s="504">
        <f t="shared" si="32"/>
        <v>0</v>
      </c>
      <c r="N109" s="506">
        <f>I109</f>
        <v>1330289.5929866973</v>
      </c>
      <c r="O109" s="500">
        <f>IF(N109&lt;&gt;0,+I109-N109,0)</f>
        <v>0</v>
      </c>
      <c r="P109" s="504">
        <f t="shared" si="28"/>
        <v>0</v>
      </c>
      <c r="Q109" s="243"/>
      <c r="R109" s="243"/>
      <c r="S109" s="243"/>
      <c r="T109" s="243"/>
      <c r="U109" s="243"/>
    </row>
    <row r="110" spans="1:21">
      <c r="B110" s="145" t="str">
        <f t="shared" si="23"/>
        <v>IU</v>
      </c>
      <c r="C110" s="495">
        <f>IF(D94="","-",+C109+1)</f>
        <v>2021</v>
      </c>
      <c r="D110" s="349">
        <f>IF(F109+SUM(E$100:E109)=D$93,F109,D$93-SUM(E$100:E109))</f>
        <v>9303963.0843974371</v>
      </c>
      <c r="E110" s="509">
        <f>IF(+J97&lt;F109,J97,D110)</f>
        <v>469712</v>
      </c>
      <c r="F110" s="510">
        <f t="shared" ref="F110:F132" si="33">+D110-E110</f>
        <v>8834251.0843974371</v>
      </c>
      <c r="G110" s="510">
        <f t="shared" ref="G110:G131" si="34">+(F110+D110)/2</f>
        <v>9069107.0843974371</v>
      </c>
      <c r="H110" s="523">
        <f t="shared" ref="H110:H131" si="35">+J$95*G110+E110</f>
        <v>1539522.1290250374</v>
      </c>
      <c r="I110" s="572">
        <f t="shared" ref="I110:I131" si="36">+J$96*G110+E110</f>
        <v>1539522.1290250374</v>
      </c>
      <c r="J110" s="504">
        <f t="shared" si="30"/>
        <v>0</v>
      </c>
      <c r="K110" s="504"/>
      <c r="L110" s="512"/>
      <c r="M110" s="504">
        <f t="shared" si="25"/>
        <v>0</v>
      </c>
      <c r="N110" s="512"/>
      <c r="O110" s="504">
        <f t="shared" si="27"/>
        <v>0</v>
      </c>
      <c r="P110" s="504">
        <f t="shared" si="28"/>
        <v>0</v>
      </c>
      <c r="Q110" s="243"/>
      <c r="R110" s="243"/>
      <c r="S110" s="243"/>
      <c r="T110" s="243"/>
      <c r="U110" s="243"/>
    </row>
    <row r="111" spans="1:21">
      <c r="B111" s="145" t="str">
        <f t="shared" si="23"/>
        <v/>
      </c>
      <c r="C111" s="495">
        <f>IF(D94="","-",+C110+1)</f>
        <v>2022</v>
      </c>
      <c r="D111" s="349">
        <f>IF(F110+SUM(E$100:E110)=D$93,F110,D$93-SUM(E$100:E110))</f>
        <v>8834251.0843974371</v>
      </c>
      <c r="E111" s="509">
        <f>IF(+J97&lt;F110,J97,D111)</f>
        <v>469712</v>
      </c>
      <c r="F111" s="510">
        <f t="shared" si="33"/>
        <v>8364539.0843974371</v>
      </c>
      <c r="G111" s="510">
        <f t="shared" si="34"/>
        <v>8599395.0843974371</v>
      </c>
      <c r="H111" s="523">
        <f t="shared" si="35"/>
        <v>1484113.9559107164</v>
      </c>
      <c r="I111" s="572">
        <f t="shared" si="36"/>
        <v>1484113.9559107164</v>
      </c>
      <c r="J111" s="504">
        <f t="shared" si="30"/>
        <v>0</v>
      </c>
      <c r="K111" s="504"/>
      <c r="L111" s="512"/>
      <c r="M111" s="504">
        <f t="shared" si="25"/>
        <v>0</v>
      </c>
      <c r="N111" s="512"/>
      <c r="O111" s="504">
        <f t="shared" si="27"/>
        <v>0</v>
      </c>
      <c r="P111" s="504">
        <f t="shared" si="28"/>
        <v>0</v>
      </c>
      <c r="Q111" s="243"/>
      <c r="R111" s="243"/>
      <c r="S111" s="243"/>
      <c r="T111" s="243"/>
      <c r="U111" s="243"/>
    </row>
    <row r="112" spans="1:21">
      <c r="B112" s="145" t="str">
        <f t="shared" si="23"/>
        <v/>
      </c>
      <c r="C112" s="495">
        <f>IF(D94="","-",+C111+1)</f>
        <v>2023</v>
      </c>
      <c r="D112" s="349">
        <f>IF(F111+SUM(E$100:E111)=D$93,F111,D$93-SUM(E$100:E111))</f>
        <v>8364539.0843974371</v>
      </c>
      <c r="E112" s="509">
        <f>IF(+J97&lt;F111,J97,D112)</f>
        <v>469712</v>
      </c>
      <c r="F112" s="510">
        <f t="shared" si="33"/>
        <v>7894827.0843974371</v>
      </c>
      <c r="G112" s="510">
        <f t="shared" si="34"/>
        <v>8129683.0843974371</v>
      </c>
      <c r="H112" s="523">
        <f t="shared" si="35"/>
        <v>1428705.7827963955</v>
      </c>
      <c r="I112" s="572">
        <f t="shared" si="36"/>
        <v>1428705.7827963955</v>
      </c>
      <c r="J112" s="504">
        <f t="shared" si="30"/>
        <v>0</v>
      </c>
      <c r="K112" s="504"/>
      <c r="L112" s="512"/>
      <c r="M112" s="504">
        <f t="shared" si="25"/>
        <v>0</v>
      </c>
      <c r="N112" s="512"/>
      <c r="O112" s="504">
        <f t="shared" si="27"/>
        <v>0</v>
      </c>
      <c r="P112" s="504">
        <f t="shared" si="28"/>
        <v>0</v>
      </c>
      <c r="Q112" s="243"/>
      <c r="R112" s="243"/>
      <c r="S112" s="243"/>
      <c r="T112" s="243"/>
      <c r="U112" s="243"/>
    </row>
    <row r="113" spans="2:21">
      <c r="B113" s="145" t="str">
        <f t="shared" si="23"/>
        <v/>
      </c>
      <c r="C113" s="495">
        <f>IF(D94="","-",+C112+1)</f>
        <v>2024</v>
      </c>
      <c r="D113" s="349">
        <f>IF(F112+SUM(E$100:E112)=D$93,F112,D$93-SUM(E$100:E112))</f>
        <v>7894827.0843974371</v>
      </c>
      <c r="E113" s="509">
        <f>IF(+J97&lt;F112,J97,D113)</f>
        <v>469712</v>
      </c>
      <c r="F113" s="510">
        <f t="shared" si="33"/>
        <v>7425115.0843974371</v>
      </c>
      <c r="G113" s="510">
        <f t="shared" si="34"/>
        <v>7659971.0843974371</v>
      </c>
      <c r="H113" s="523">
        <f t="shared" si="35"/>
        <v>1373297.6096820743</v>
      </c>
      <c r="I113" s="572">
        <f t="shared" si="36"/>
        <v>1373297.6096820743</v>
      </c>
      <c r="J113" s="504">
        <f t="shared" si="30"/>
        <v>0</v>
      </c>
      <c r="K113" s="504"/>
      <c r="L113" s="512"/>
      <c r="M113" s="504">
        <f t="shared" si="25"/>
        <v>0</v>
      </c>
      <c r="N113" s="512"/>
      <c r="O113" s="504">
        <f t="shared" si="27"/>
        <v>0</v>
      </c>
      <c r="P113" s="504">
        <f t="shared" si="28"/>
        <v>0</v>
      </c>
      <c r="Q113" s="243"/>
      <c r="R113" s="243"/>
      <c r="S113" s="243"/>
      <c r="T113" s="243"/>
      <c r="U113" s="243"/>
    </row>
    <row r="114" spans="2:21">
      <c r="B114" s="145" t="str">
        <f t="shared" si="23"/>
        <v/>
      </c>
      <c r="C114" s="495">
        <f>IF(D94="","-",+C113+1)</f>
        <v>2025</v>
      </c>
      <c r="D114" s="349">
        <f>IF(F113+SUM(E$100:E113)=D$93,F113,D$93-SUM(E$100:E113))</f>
        <v>7425115.0843974371</v>
      </c>
      <c r="E114" s="509">
        <f>IF(+J97&lt;F113,J97,D114)</f>
        <v>469712</v>
      </c>
      <c r="F114" s="510">
        <f t="shared" si="33"/>
        <v>6955403.0843974371</v>
      </c>
      <c r="G114" s="510">
        <f t="shared" si="34"/>
        <v>7190259.0843974371</v>
      </c>
      <c r="H114" s="523">
        <f t="shared" si="35"/>
        <v>1317889.4365677533</v>
      </c>
      <c r="I114" s="572">
        <f t="shared" si="36"/>
        <v>1317889.4365677533</v>
      </c>
      <c r="J114" s="504">
        <f t="shared" si="30"/>
        <v>0</v>
      </c>
      <c r="K114" s="504"/>
      <c r="L114" s="512"/>
      <c r="M114" s="504">
        <f t="shared" si="25"/>
        <v>0</v>
      </c>
      <c r="N114" s="512"/>
      <c r="O114" s="504">
        <f t="shared" si="27"/>
        <v>0</v>
      </c>
      <c r="P114" s="504">
        <f t="shared" si="28"/>
        <v>0</v>
      </c>
      <c r="Q114" s="243"/>
      <c r="R114" s="243"/>
      <c r="S114" s="243"/>
      <c r="T114" s="243"/>
      <c r="U114" s="243"/>
    </row>
    <row r="115" spans="2:21">
      <c r="B115" s="145" t="str">
        <f t="shared" si="23"/>
        <v/>
      </c>
      <c r="C115" s="495">
        <f>IF(D94="","-",+C114+1)</f>
        <v>2026</v>
      </c>
      <c r="D115" s="349">
        <f>IF(F114+SUM(E$100:E114)=D$93,F114,D$93-SUM(E$100:E114))</f>
        <v>6955403.0843974371</v>
      </c>
      <c r="E115" s="509">
        <f>IF(+J97&lt;F114,J97,D115)</f>
        <v>469712</v>
      </c>
      <c r="F115" s="510">
        <f t="shared" si="33"/>
        <v>6485691.0843974371</v>
      </c>
      <c r="G115" s="510">
        <f t="shared" si="34"/>
        <v>6720547.0843974371</v>
      </c>
      <c r="H115" s="523">
        <f t="shared" si="35"/>
        <v>1262481.2634534324</v>
      </c>
      <c r="I115" s="572">
        <f t="shared" si="36"/>
        <v>1262481.2634534324</v>
      </c>
      <c r="J115" s="504">
        <f t="shared" si="30"/>
        <v>0</v>
      </c>
      <c r="K115" s="504"/>
      <c r="L115" s="512"/>
      <c r="M115" s="504">
        <f t="shared" si="25"/>
        <v>0</v>
      </c>
      <c r="N115" s="512"/>
      <c r="O115" s="504">
        <f t="shared" si="27"/>
        <v>0</v>
      </c>
      <c r="P115" s="504">
        <f t="shared" si="28"/>
        <v>0</v>
      </c>
      <c r="Q115" s="243"/>
      <c r="R115" s="243"/>
      <c r="S115" s="243"/>
      <c r="T115" s="243"/>
      <c r="U115" s="243"/>
    </row>
    <row r="116" spans="2:21">
      <c r="B116" s="145" t="str">
        <f t="shared" si="23"/>
        <v/>
      </c>
      <c r="C116" s="495">
        <f>IF(D94="","-",+C115+1)</f>
        <v>2027</v>
      </c>
      <c r="D116" s="349">
        <f>IF(F115+SUM(E$100:E115)=D$93,F115,D$93-SUM(E$100:E115))</f>
        <v>6485691.0843974371</v>
      </c>
      <c r="E116" s="509">
        <f>IF(+J97&lt;F115,J97,D116)</f>
        <v>469712</v>
      </c>
      <c r="F116" s="510">
        <f t="shared" si="33"/>
        <v>6015979.0843974371</v>
      </c>
      <c r="G116" s="510">
        <f t="shared" si="34"/>
        <v>6250835.0843974371</v>
      </c>
      <c r="H116" s="523">
        <f t="shared" si="35"/>
        <v>1207073.0903391112</v>
      </c>
      <c r="I116" s="572">
        <f t="shared" si="36"/>
        <v>1207073.0903391112</v>
      </c>
      <c r="J116" s="504">
        <f t="shared" si="30"/>
        <v>0</v>
      </c>
      <c r="K116" s="504"/>
      <c r="L116" s="512"/>
      <c r="M116" s="504">
        <f t="shared" si="25"/>
        <v>0</v>
      </c>
      <c r="N116" s="512"/>
      <c r="O116" s="504">
        <f t="shared" si="27"/>
        <v>0</v>
      </c>
      <c r="P116" s="504">
        <f t="shared" si="28"/>
        <v>0</v>
      </c>
      <c r="Q116" s="243"/>
      <c r="R116" s="243"/>
      <c r="S116" s="243"/>
      <c r="T116" s="243"/>
      <c r="U116" s="243"/>
    </row>
    <row r="117" spans="2:21">
      <c r="B117" s="145" t="str">
        <f t="shared" si="23"/>
        <v/>
      </c>
      <c r="C117" s="495">
        <f>IF(D94="","-",+C116+1)</f>
        <v>2028</v>
      </c>
      <c r="D117" s="349">
        <f>IF(F116+SUM(E$100:E116)=D$93,F116,D$93-SUM(E$100:E116))</f>
        <v>6015979.0843974371</v>
      </c>
      <c r="E117" s="509">
        <f>IF(+J97&lt;F116,J97,D117)</f>
        <v>469712</v>
      </c>
      <c r="F117" s="510">
        <f t="shared" si="33"/>
        <v>5546267.0843974371</v>
      </c>
      <c r="G117" s="510">
        <f t="shared" si="34"/>
        <v>5781123.0843974371</v>
      </c>
      <c r="H117" s="523">
        <f t="shared" si="35"/>
        <v>1151664.9172247904</v>
      </c>
      <c r="I117" s="572">
        <f t="shared" si="36"/>
        <v>1151664.9172247904</v>
      </c>
      <c r="J117" s="504">
        <f t="shared" si="30"/>
        <v>0</v>
      </c>
      <c r="K117" s="504"/>
      <c r="L117" s="512"/>
      <c r="M117" s="504">
        <f t="shared" si="25"/>
        <v>0</v>
      </c>
      <c r="N117" s="512"/>
      <c r="O117" s="504">
        <f t="shared" si="27"/>
        <v>0</v>
      </c>
      <c r="P117" s="504">
        <f t="shared" si="28"/>
        <v>0</v>
      </c>
      <c r="Q117" s="243"/>
      <c r="R117" s="243"/>
      <c r="S117" s="243"/>
      <c r="T117" s="243"/>
      <c r="U117" s="243"/>
    </row>
    <row r="118" spans="2:21">
      <c r="B118" s="145" t="str">
        <f t="shared" si="23"/>
        <v/>
      </c>
      <c r="C118" s="495">
        <f>IF(D94="","-",+C117+1)</f>
        <v>2029</v>
      </c>
      <c r="D118" s="349">
        <f>IF(F117+SUM(E$100:E117)=D$93,F117,D$93-SUM(E$100:E117))</f>
        <v>5546267.0843974371</v>
      </c>
      <c r="E118" s="509">
        <f>IF(+J97&lt;F117,J97,D118)</f>
        <v>469712</v>
      </c>
      <c r="F118" s="510">
        <f t="shared" si="33"/>
        <v>5076555.0843974371</v>
      </c>
      <c r="G118" s="510">
        <f t="shared" si="34"/>
        <v>5311411.0843974371</v>
      </c>
      <c r="H118" s="523">
        <f t="shared" si="35"/>
        <v>1096256.7441104692</v>
      </c>
      <c r="I118" s="572">
        <f t="shared" si="36"/>
        <v>1096256.7441104692</v>
      </c>
      <c r="J118" s="504">
        <f t="shared" si="30"/>
        <v>0</v>
      </c>
      <c r="K118" s="504"/>
      <c r="L118" s="512"/>
      <c r="M118" s="504">
        <f t="shared" si="25"/>
        <v>0</v>
      </c>
      <c r="N118" s="512"/>
      <c r="O118" s="504">
        <f t="shared" si="27"/>
        <v>0</v>
      </c>
      <c r="P118" s="504">
        <f t="shared" si="28"/>
        <v>0</v>
      </c>
      <c r="Q118" s="243"/>
      <c r="R118" s="243"/>
      <c r="S118" s="243"/>
      <c r="T118" s="243"/>
      <c r="U118" s="243"/>
    </row>
    <row r="119" spans="2:21">
      <c r="B119" s="145" t="str">
        <f t="shared" si="23"/>
        <v/>
      </c>
      <c r="C119" s="495">
        <f>IF(D94="","-",+C118+1)</f>
        <v>2030</v>
      </c>
      <c r="D119" s="349">
        <f>IF(F118+SUM(E$100:E118)=D$93,F118,D$93-SUM(E$100:E118))</f>
        <v>5076555.0843974371</v>
      </c>
      <c r="E119" s="509">
        <f>IF(+J97&lt;F118,J97,D119)</f>
        <v>469712</v>
      </c>
      <c r="F119" s="510">
        <f t="shared" si="33"/>
        <v>4606843.0843974371</v>
      </c>
      <c r="G119" s="510">
        <f t="shared" si="34"/>
        <v>4841699.0843974371</v>
      </c>
      <c r="H119" s="523">
        <f t="shared" si="35"/>
        <v>1040848.5709961483</v>
      </c>
      <c r="I119" s="572">
        <f t="shared" si="36"/>
        <v>1040848.5709961483</v>
      </c>
      <c r="J119" s="504">
        <f t="shared" si="30"/>
        <v>0</v>
      </c>
      <c r="K119" s="504"/>
      <c r="L119" s="512"/>
      <c r="M119" s="504">
        <f t="shared" si="25"/>
        <v>0</v>
      </c>
      <c r="N119" s="512"/>
      <c r="O119" s="504">
        <f t="shared" si="27"/>
        <v>0</v>
      </c>
      <c r="P119" s="504">
        <f t="shared" si="28"/>
        <v>0</v>
      </c>
      <c r="Q119" s="243"/>
      <c r="R119" s="243"/>
      <c r="S119" s="243"/>
      <c r="T119" s="243"/>
      <c r="U119" s="243"/>
    </row>
    <row r="120" spans="2:21">
      <c r="B120" s="145" t="str">
        <f t="shared" si="23"/>
        <v/>
      </c>
      <c r="C120" s="495">
        <f>IF(D94="","-",+C119+1)</f>
        <v>2031</v>
      </c>
      <c r="D120" s="349">
        <f>IF(F119+SUM(E$100:E119)=D$93,F119,D$93-SUM(E$100:E119))</f>
        <v>4606843.0843974371</v>
      </c>
      <c r="E120" s="509">
        <f>IF(+J97&lt;F119,J97,D120)</f>
        <v>469712</v>
      </c>
      <c r="F120" s="510">
        <f t="shared" si="33"/>
        <v>4137131.0843974371</v>
      </c>
      <c r="G120" s="510">
        <f t="shared" si="34"/>
        <v>4371987.0843974371</v>
      </c>
      <c r="H120" s="523">
        <f t="shared" si="35"/>
        <v>985440.39788182732</v>
      </c>
      <c r="I120" s="572">
        <f t="shared" si="36"/>
        <v>985440.39788182732</v>
      </c>
      <c r="J120" s="504">
        <f t="shared" si="30"/>
        <v>0</v>
      </c>
      <c r="K120" s="504"/>
      <c r="L120" s="512"/>
      <c r="M120" s="504">
        <f t="shared" si="25"/>
        <v>0</v>
      </c>
      <c r="N120" s="512"/>
      <c r="O120" s="504">
        <f t="shared" si="27"/>
        <v>0</v>
      </c>
      <c r="P120" s="504">
        <f t="shared" si="28"/>
        <v>0</v>
      </c>
      <c r="Q120" s="243"/>
      <c r="R120" s="243"/>
      <c r="S120" s="243"/>
      <c r="T120" s="243"/>
      <c r="U120" s="243"/>
    </row>
    <row r="121" spans="2:21">
      <c r="B121" s="145" t="str">
        <f t="shared" si="23"/>
        <v/>
      </c>
      <c r="C121" s="495">
        <f>IF(D94="","-",+C120+1)</f>
        <v>2032</v>
      </c>
      <c r="D121" s="349">
        <f>IF(F120+SUM(E$100:E120)=D$93,F120,D$93-SUM(E$100:E120))</f>
        <v>4137131.0843974371</v>
      </c>
      <c r="E121" s="509">
        <f>IF(+J97&lt;F120,J97,D121)</f>
        <v>469712</v>
      </c>
      <c r="F121" s="510">
        <f t="shared" si="33"/>
        <v>3667419.0843974371</v>
      </c>
      <c r="G121" s="510">
        <f t="shared" si="34"/>
        <v>3902275.0843974371</v>
      </c>
      <c r="H121" s="523">
        <f t="shared" si="35"/>
        <v>930032.22476750612</v>
      </c>
      <c r="I121" s="572">
        <f t="shared" si="36"/>
        <v>930032.22476750612</v>
      </c>
      <c r="J121" s="504">
        <f t="shared" si="30"/>
        <v>0</v>
      </c>
      <c r="K121" s="504"/>
      <c r="L121" s="512"/>
      <c r="M121" s="504">
        <f t="shared" si="25"/>
        <v>0</v>
      </c>
      <c r="N121" s="512"/>
      <c r="O121" s="504">
        <f t="shared" si="27"/>
        <v>0</v>
      </c>
      <c r="P121" s="504">
        <f t="shared" si="28"/>
        <v>0</v>
      </c>
      <c r="Q121" s="243"/>
      <c r="R121" s="243"/>
      <c r="S121" s="243"/>
      <c r="T121" s="243"/>
      <c r="U121" s="243"/>
    </row>
    <row r="122" spans="2:21">
      <c r="B122" s="145" t="str">
        <f t="shared" si="23"/>
        <v/>
      </c>
      <c r="C122" s="495">
        <f>IF(D94="","-",+C121+1)</f>
        <v>2033</v>
      </c>
      <c r="D122" s="349">
        <f>IF(F121+SUM(E$100:E121)=D$93,F121,D$93-SUM(E$100:E121))</f>
        <v>3667419.0843974371</v>
      </c>
      <c r="E122" s="509">
        <f>IF(+J97&lt;F121,J97,D122)</f>
        <v>469712</v>
      </c>
      <c r="F122" s="510">
        <f t="shared" si="33"/>
        <v>3197707.0843974371</v>
      </c>
      <c r="G122" s="510">
        <f t="shared" si="34"/>
        <v>3432563.0843974371</v>
      </c>
      <c r="H122" s="523">
        <f t="shared" si="35"/>
        <v>874624.05165318516</v>
      </c>
      <c r="I122" s="572">
        <f t="shared" si="36"/>
        <v>874624.05165318516</v>
      </c>
      <c r="J122" s="504">
        <f t="shared" si="30"/>
        <v>0</v>
      </c>
      <c r="K122" s="504"/>
      <c r="L122" s="512"/>
      <c r="M122" s="504">
        <f t="shared" si="25"/>
        <v>0</v>
      </c>
      <c r="N122" s="512"/>
      <c r="O122" s="504">
        <f t="shared" si="27"/>
        <v>0</v>
      </c>
      <c r="P122" s="504">
        <f t="shared" si="28"/>
        <v>0</v>
      </c>
      <c r="Q122" s="243"/>
      <c r="R122" s="243"/>
      <c r="S122" s="243"/>
      <c r="T122" s="243"/>
      <c r="U122" s="243"/>
    </row>
    <row r="123" spans="2:21">
      <c r="B123" s="145" t="str">
        <f t="shared" si="23"/>
        <v/>
      </c>
      <c r="C123" s="495">
        <f>IF(D94="","-",+C122+1)</f>
        <v>2034</v>
      </c>
      <c r="D123" s="349">
        <f>IF(F122+SUM(E$100:E122)=D$93,F122,D$93-SUM(E$100:E122))</f>
        <v>3197707.0843974371</v>
      </c>
      <c r="E123" s="509">
        <f>IF(+J97&lt;F122,J97,D123)</f>
        <v>469712</v>
      </c>
      <c r="F123" s="510">
        <f t="shared" si="33"/>
        <v>2727995.0843974371</v>
      </c>
      <c r="G123" s="510">
        <f t="shared" si="34"/>
        <v>2962851.0843974371</v>
      </c>
      <c r="H123" s="523">
        <f t="shared" si="35"/>
        <v>819215.8785388642</v>
      </c>
      <c r="I123" s="572">
        <f t="shared" si="36"/>
        <v>819215.8785388642</v>
      </c>
      <c r="J123" s="504">
        <f t="shared" si="30"/>
        <v>0</v>
      </c>
      <c r="K123" s="504"/>
      <c r="L123" s="512"/>
      <c r="M123" s="504">
        <f t="shared" si="25"/>
        <v>0</v>
      </c>
      <c r="N123" s="512"/>
      <c r="O123" s="504">
        <f t="shared" si="27"/>
        <v>0</v>
      </c>
      <c r="P123" s="504">
        <f t="shared" si="28"/>
        <v>0</v>
      </c>
      <c r="Q123" s="243"/>
      <c r="R123" s="243"/>
      <c r="S123" s="243"/>
      <c r="T123" s="243"/>
      <c r="U123" s="243"/>
    </row>
    <row r="124" spans="2:21">
      <c r="B124" s="145" t="str">
        <f t="shared" si="23"/>
        <v/>
      </c>
      <c r="C124" s="495">
        <f>IF(D94="","-",+C123+1)</f>
        <v>2035</v>
      </c>
      <c r="D124" s="349">
        <f>IF(F123+SUM(E$100:E123)=D$93,F123,D$93-SUM(E$100:E123))</f>
        <v>2727995.0843974371</v>
      </c>
      <c r="E124" s="509">
        <f>IF(+J97&lt;F123,J97,D124)</f>
        <v>469712</v>
      </c>
      <c r="F124" s="510">
        <f t="shared" si="33"/>
        <v>2258283.0843974371</v>
      </c>
      <c r="G124" s="510">
        <f t="shared" si="34"/>
        <v>2493139.0843974371</v>
      </c>
      <c r="H124" s="523">
        <f t="shared" si="35"/>
        <v>763807.70542454312</v>
      </c>
      <c r="I124" s="572">
        <f t="shared" si="36"/>
        <v>763807.70542454312</v>
      </c>
      <c r="J124" s="504">
        <f t="shared" si="30"/>
        <v>0</v>
      </c>
      <c r="K124" s="504"/>
      <c r="L124" s="512"/>
      <c r="M124" s="504">
        <f t="shared" si="25"/>
        <v>0</v>
      </c>
      <c r="N124" s="512"/>
      <c r="O124" s="504">
        <f t="shared" si="27"/>
        <v>0</v>
      </c>
      <c r="P124" s="504">
        <f t="shared" si="28"/>
        <v>0</v>
      </c>
      <c r="Q124" s="243"/>
      <c r="R124" s="243"/>
      <c r="S124" s="243"/>
      <c r="T124" s="243"/>
      <c r="U124" s="243"/>
    </row>
    <row r="125" spans="2:21">
      <c r="B125" s="145" t="str">
        <f t="shared" si="23"/>
        <v/>
      </c>
      <c r="C125" s="495">
        <f>IF(D94="","-",+C124+1)</f>
        <v>2036</v>
      </c>
      <c r="D125" s="349">
        <f>IF(F124+SUM(E$100:E124)=D$93,F124,D$93-SUM(E$100:E124))</f>
        <v>2258283.0843974371</v>
      </c>
      <c r="E125" s="509">
        <f>IF(+J97&lt;F124,J97,D125)</f>
        <v>469712</v>
      </c>
      <c r="F125" s="510">
        <f t="shared" si="33"/>
        <v>1788571.0843974371</v>
      </c>
      <c r="G125" s="510">
        <f t="shared" si="34"/>
        <v>2023427.0843974371</v>
      </c>
      <c r="H125" s="523">
        <f t="shared" si="35"/>
        <v>708399.53231022204</v>
      </c>
      <c r="I125" s="572">
        <f t="shared" si="36"/>
        <v>708399.53231022204</v>
      </c>
      <c r="J125" s="504">
        <f t="shared" si="30"/>
        <v>0</v>
      </c>
      <c r="K125" s="504"/>
      <c r="L125" s="512"/>
      <c r="M125" s="504">
        <f t="shared" si="25"/>
        <v>0</v>
      </c>
      <c r="N125" s="512"/>
      <c r="O125" s="504">
        <f t="shared" si="27"/>
        <v>0</v>
      </c>
      <c r="P125" s="504">
        <f t="shared" si="28"/>
        <v>0</v>
      </c>
      <c r="Q125" s="243"/>
      <c r="R125" s="243"/>
      <c r="S125" s="243"/>
      <c r="T125" s="243"/>
      <c r="U125" s="243"/>
    </row>
    <row r="126" spans="2:21">
      <c r="B126" s="145" t="str">
        <f t="shared" si="23"/>
        <v/>
      </c>
      <c r="C126" s="495">
        <f>IF(D94="","-",+C125+1)</f>
        <v>2037</v>
      </c>
      <c r="D126" s="349">
        <f>IF(F125+SUM(E$100:E125)=D$93,F125,D$93-SUM(E$100:E125))</f>
        <v>1788571.0843974371</v>
      </c>
      <c r="E126" s="509">
        <f>IF(+J97&lt;F125,J97,D126)</f>
        <v>469712</v>
      </c>
      <c r="F126" s="510">
        <f t="shared" si="33"/>
        <v>1318859.0843974371</v>
      </c>
      <c r="G126" s="510">
        <f t="shared" si="34"/>
        <v>1553715.0843974371</v>
      </c>
      <c r="H126" s="523">
        <f t="shared" si="35"/>
        <v>652991.35919590108</v>
      </c>
      <c r="I126" s="572">
        <f t="shared" si="36"/>
        <v>652991.35919590108</v>
      </c>
      <c r="J126" s="504">
        <f t="shared" si="30"/>
        <v>0</v>
      </c>
      <c r="K126" s="504"/>
      <c r="L126" s="512"/>
      <c r="M126" s="504">
        <f t="shared" si="25"/>
        <v>0</v>
      </c>
      <c r="N126" s="512"/>
      <c r="O126" s="504">
        <f t="shared" si="27"/>
        <v>0</v>
      </c>
      <c r="P126" s="504">
        <f t="shared" si="28"/>
        <v>0</v>
      </c>
      <c r="Q126" s="243"/>
      <c r="R126" s="243"/>
      <c r="S126" s="243"/>
      <c r="T126" s="243"/>
      <c r="U126" s="243"/>
    </row>
    <row r="127" spans="2:21">
      <c r="B127" s="145" t="str">
        <f t="shared" si="23"/>
        <v/>
      </c>
      <c r="C127" s="495">
        <f>IF(D94="","-",+C126+1)</f>
        <v>2038</v>
      </c>
      <c r="D127" s="349">
        <f>IF(F126+SUM(E$100:E126)=D$93,F126,D$93-SUM(E$100:E126))</f>
        <v>1318859.0843974371</v>
      </c>
      <c r="E127" s="509">
        <f>IF(+J97&lt;F126,J97,D127)</f>
        <v>469712</v>
      </c>
      <c r="F127" s="510">
        <f t="shared" si="33"/>
        <v>849147.08439743705</v>
      </c>
      <c r="G127" s="510">
        <f t="shared" si="34"/>
        <v>1084003.0843974371</v>
      </c>
      <c r="H127" s="523">
        <f t="shared" si="35"/>
        <v>597583.18608158012</v>
      </c>
      <c r="I127" s="572">
        <f t="shared" si="36"/>
        <v>597583.18608158012</v>
      </c>
      <c r="J127" s="504">
        <f t="shared" si="30"/>
        <v>0</v>
      </c>
      <c r="K127" s="504"/>
      <c r="L127" s="512"/>
      <c r="M127" s="504">
        <f t="shared" si="25"/>
        <v>0</v>
      </c>
      <c r="N127" s="512"/>
      <c r="O127" s="504">
        <f t="shared" si="27"/>
        <v>0</v>
      </c>
      <c r="P127" s="504">
        <f t="shared" si="28"/>
        <v>0</v>
      </c>
      <c r="Q127" s="243"/>
      <c r="R127" s="243"/>
      <c r="S127" s="243"/>
      <c r="T127" s="243"/>
      <c r="U127" s="243"/>
    </row>
    <row r="128" spans="2:21">
      <c r="B128" s="145" t="str">
        <f t="shared" si="23"/>
        <v/>
      </c>
      <c r="C128" s="495">
        <f>IF(D94="","-",+C127+1)</f>
        <v>2039</v>
      </c>
      <c r="D128" s="349">
        <f>IF(F127+SUM(E$100:E127)=D$93,F127,D$93-SUM(E$100:E127))</f>
        <v>849147.08439743705</v>
      </c>
      <c r="E128" s="509">
        <f>IF(+J97&lt;F127,J97,D128)</f>
        <v>469712</v>
      </c>
      <c r="F128" s="510">
        <f t="shared" si="33"/>
        <v>379435.08439743705</v>
      </c>
      <c r="G128" s="510">
        <f t="shared" si="34"/>
        <v>614291.08439743705</v>
      </c>
      <c r="H128" s="523">
        <f t="shared" si="35"/>
        <v>542175.01296725904</v>
      </c>
      <c r="I128" s="572">
        <f t="shared" si="36"/>
        <v>542175.01296725904</v>
      </c>
      <c r="J128" s="504">
        <f t="shared" si="30"/>
        <v>0</v>
      </c>
      <c r="K128" s="504"/>
      <c r="L128" s="512"/>
      <c r="M128" s="504">
        <f t="shared" si="25"/>
        <v>0</v>
      </c>
      <c r="N128" s="512"/>
      <c r="O128" s="504">
        <f t="shared" si="27"/>
        <v>0</v>
      </c>
      <c r="P128" s="504">
        <f t="shared" si="28"/>
        <v>0</v>
      </c>
      <c r="Q128" s="243"/>
      <c r="R128" s="243"/>
      <c r="S128" s="243"/>
      <c r="T128" s="243"/>
      <c r="U128" s="243"/>
    </row>
    <row r="129" spans="2:21">
      <c r="B129" s="145" t="str">
        <f t="shared" si="23"/>
        <v/>
      </c>
      <c r="C129" s="495">
        <f>IF(D94="","-",+C128+1)</f>
        <v>2040</v>
      </c>
      <c r="D129" s="349">
        <f>IF(F128+SUM(E$100:E128)=D$93,F128,D$93-SUM(E$100:E128))</f>
        <v>379435.08439743705</v>
      </c>
      <c r="E129" s="509">
        <f>IF(+J97&lt;F128,J97,D129)</f>
        <v>379435.08439743705</v>
      </c>
      <c r="F129" s="510">
        <f t="shared" si="33"/>
        <v>0</v>
      </c>
      <c r="G129" s="510">
        <f t="shared" si="34"/>
        <v>189717.54219871853</v>
      </c>
      <c r="H129" s="523">
        <f t="shared" si="35"/>
        <v>401814.54760248633</v>
      </c>
      <c r="I129" s="572">
        <f t="shared" si="36"/>
        <v>401814.54760248633</v>
      </c>
      <c r="J129" s="504">
        <f t="shared" si="30"/>
        <v>0</v>
      </c>
      <c r="K129" s="504"/>
      <c r="L129" s="512"/>
      <c r="M129" s="504">
        <f t="shared" si="25"/>
        <v>0</v>
      </c>
      <c r="N129" s="512"/>
      <c r="O129" s="504">
        <f t="shared" si="27"/>
        <v>0</v>
      </c>
      <c r="P129" s="504">
        <f t="shared" si="28"/>
        <v>0</v>
      </c>
      <c r="Q129" s="243"/>
      <c r="R129" s="243"/>
      <c r="S129" s="243"/>
      <c r="T129" s="243"/>
      <c r="U129" s="243"/>
    </row>
    <row r="130" spans="2:21">
      <c r="B130" s="145" t="str">
        <f t="shared" si="23"/>
        <v/>
      </c>
      <c r="C130" s="495">
        <f>IF(D94="","-",+C129+1)</f>
        <v>2041</v>
      </c>
      <c r="D130" s="349">
        <f>IF(F129+SUM(E$100:E129)=D$93,F129,D$93-SUM(E$100:E129))</f>
        <v>0</v>
      </c>
      <c r="E130" s="509">
        <f>IF(+J97&lt;F129,J97,D130)</f>
        <v>0</v>
      </c>
      <c r="F130" s="510">
        <f t="shared" si="33"/>
        <v>0</v>
      </c>
      <c r="G130" s="510">
        <f t="shared" si="34"/>
        <v>0</v>
      </c>
      <c r="H130" s="523">
        <f t="shared" si="35"/>
        <v>0</v>
      </c>
      <c r="I130" s="572">
        <f t="shared" si="36"/>
        <v>0</v>
      </c>
      <c r="J130" s="504">
        <f t="shared" si="30"/>
        <v>0</v>
      </c>
      <c r="K130" s="504"/>
      <c r="L130" s="512"/>
      <c r="M130" s="504">
        <f t="shared" si="25"/>
        <v>0</v>
      </c>
      <c r="N130" s="512"/>
      <c r="O130" s="504">
        <f t="shared" si="27"/>
        <v>0</v>
      </c>
      <c r="P130" s="504">
        <f t="shared" si="28"/>
        <v>0</v>
      </c>
      <c r="Q130" s="243"/>
      <c r="R130" s="243"/>
      <c r="S130" s="243"/>
      <c r="T130" s="243"/>
      <c r="U130" s="243"/>
    </row>
    <row r="131" spans="2:21">
      <c r="B131" s="145" t="str">
        <f t="shared" si="23"/>
        <v/>
      </c>
      <c r="C131" s="495">
        <f>IF(D94="","-",+C130+1)</f>
        <v>2042</v>
      </c>
      <c r="D131" s="349">
        <f>IF(F130+SUM(E$100:E130)=D$93,F130,D$93-SUM(E$100:E130))</f>
        <v>0</v>
      </c>
      <c r="E131" s="509">
        <f>IF(+J97&lt;F130,J97,D131)</f>
        <v>0</v>
      </c>
      <c r="F131" s="510">
        <f t="shared" si="33"/>
        <v>0</v>
      </c>
      <c r="G131" s="510">
        <f t="shared" si="34"/>
        <v>0</v>
      </c>
      <c r="H131" s="523">
        <f t="shared" si="35"/>
        <v>0</v>
      </c>
      <c r="I131" s="572">
        <f t="shared" si="36"/>
        <v>0</v>
      </c>
      <c r="J131" s="504">
        <f t="shared" si="30"/>
        <v>0</v>
      </c>
      <c r="K131" s="504"/>
      <c r="L131" s="512"/>
      <c r="M131" s="504">
        <f t="shared" si="25"/>
        <v>0</v>
      </c>
      <c r="N131" s="512"/>
      <c r="O131" s="504">
        <f t="shared" si="27"/>
        <v>0</v>
      </c>
      <c r="P131" s="504">
        <f t="shared" si="28"/>
        <v>0</v>
      </c>
      <c r="Q131" s="243"/>
      <c r="R131" s="243"/>
      <c r="S131" s="243"/>
      <c r="T131" s="243"/>
      <c r="U131" s="243"/>
    </row>
    <row r="132" spans="2:21">
      <c r="B132" s="145" t="str">
        <f t="shared" ref="B132:B155" si="37">IF(D132=F131,"","IU")</f>
        <v/>
      </c>
      <c r="C132" s="495">
        <f>IF(D94="","-",+C131+1)</f>
        <v>2043</v>
      </c>
      <c r="D132" s="349">
        <f>IF(F131+SUM(E$100:E131)=D$93,F131,D$93-SUM(E$100:E131))</f>
        <v>0</v>
      </c>
      <c r="E132" s="509">
        <f>IF(+J97&lt;F131,J97,D132)</f>
        <v>0</v>
      </c>
      <c r="F132" s="510">
        <f t="shared" si="33"/>
        <v>0</v>
      </c>
      <c r="G132" s="510">
        <f t="shared" ref="G132:G155" si="38">+(F132+D132)/2</f>
        <v>0</v>
      </c>
      <c r="H132" s="523">
        <f t="shared" ref="H132:H155" si="39">+J$95*G132+E132</f>
        <v>0</v>
      </c>
      <c r="I132" s="572">
        <f t="shared" ref="I132:I155" si="40">+J$96*G132+E132</f>
        <v>0</v>
      </c>
      <c r="J132" s="504">
        <f t="shared" ref="J132:J155" si="41">+I132-H132</f>
        <v>0</v>
      </c>
      <c r="K132" s="504"/>
      <c r="L132" s="512"/>
      <c r="M132" s="504">
        <f t="shared" ref="M132:M155" si="42">IF(L132&lt;&gt;0,+H132-L132,0)</f>
        <v>0</v>
      </c>
      <c r="N132" s="512"/>
      <c r="O132" s="504">
        <f t="shared" ref="O132:O155" si="43">IF(N132&lt;&gt;0,+I132-N132,0)</f>
        <v>0</v>
      </c>
      <c r="P132" s="504">
        <f t="shared" ref="P132:P155" si="44">+O132-M132</f>
        <v>0</v>
      </c>
      <c r="Q132" s="243"/>
      <c r="R132" s="243"/>
      <c r="S132" s="243"/>
      <c r="T132" s="243"/>
      <c r="U132" s="243"/>
    </row>
    <row r="133" spans="2:21">
      <c r="B133" s="145" t="str">
        <f t="shared" si="37"/>
        <v/>
      </c>
      <c r="C133" s="495">
        <f>IF(D94="","-",+C132+1)</f>
        <v>2044</v>
      </c>
      <c r="D133" s="349">
        <f>IF(F132+SUM(E$100:E132)=D$93,F132,D$93-SUM(E$100:E132))</f>
        <v>0</v>
      </c>
      <c r="E133" s="509">
        <f>IF(+J97&lt;F132,J97,D133)</f>
        <v>0</v>
      </c>
      <c r="F133" s="510">
        <f t="shared" ref="F133:F155" si="45">+D133-E133</f>
        <v>0</v>
      </c>
      <c r="G133" s="510">
        <f t="shared" si="38"/>
        <v>0</v>
      </c>
      <c r="H133" s="523">
        <f t="shared" si="39"/>
        <v>0</v>
      </c>
      <c r="I133" s="572">
        <f t="shared" si="40"/>
        <v>0</v>
      </c>
      <c r="J133" s="504">
        <f t="shared" si="41"/>
        <v>0</v>
      </c>
      <c r="K133" s="504"/>
      <c r="L133" s="512"/>
      <c r="M133" s="504">
        <f t="shared" si="42"/>
        <v>0</v>
      </c>
      <c r="N133" s="512"/>
      <c r="O133" s="504">
        <f t="shared" si="43"/>
        <v>0</v>
      </c>
      <c r="P133" s="504">
        <f t="shared" si="44"/>
        <v>0</v>
      </c>
      <c r="Q133" s="243"/>
      <c r="R133" s="243"/>
      <c r="S133" s="243"/>
      <c r="T133" s="243"/>
      <c r="U133" s="243"/>
    </row>
    <row r="134" spans="2:21">
      <c r="B134" s="145" t="str">
        <f t="shared" si="37"/>
        <v/>
      </c>
      <c r="C134" s="495">
        <f>IF(D94="","-",+C133+1)</f>
        <v>2045</v>
      </c>
      <c r="D134" s="349">
        <f>IF(F133+SUM(E$100:E133)=D$93,F133,D$93-SUM(E$100:E133))</f>
        <v>0</v>
      </c>
      <c r="E134" s="509">
        <f>IF(+J97&lt;F133,J97,D134)</f>
        <v>0</v>
      </c>
      <c r="F134" s="510">
        <f t="shared" si="45"/>
        <v>0</v>
      </c>
      <c r="G134" s="510">
        <f t="shared" si="38"/>
        <v>0</v>
      </c>
      <c r="H134" s="523">
        <f t="shared" si="39"/>
        <v>0</v>
      </c>
      <c r="I134" s="572">
        <f t="shared" si="40"/>
        <v>0</v>
      </c>
      <c r="J134" s="504">
        <f t="shared" si="41"/>
        <v>0</v>
      </c>
      <c r="K134" s="504"/>
      <c r="L134" s="512"/>
      <c r="M134" s="504">
        <f t="shared" si="42"/>
        <v>0</v>
      </c>
      <c r="N134" s="512"/>
      <c r="O134" s="504">
        <f t="shared" si="43"/>
        <v>0</v>
      </c>
      <c r="P134" s="504">
        <f t="shared" si="44"/>
        <v>0</v>
      </c>
      <c r="Q134" s="243"/>
      <c r="R134" s="243"/>
      <c r="S134" s="243"/>
      <c r="T134" s="243"/>
      <c r="U134" s="243"/>
    </row>
    <row r="135" spans="2:21">
      <c r="B135" s="145" t="str">
        <f t="shared" si="37"/>
        <v/>
      </c>
      <c r="C135" s="495">
        <f>IF(D94="","-",+C134+1)</f>
        <v>2046</v>
      </c>
      <c r="D135" s="349">
        <f>IF(F134+SUM(E$100:E134)=D$93,F134,D$93-SUM(E$100:E134))</f>
        <v>0</v>
      </c>
      <c r="E135" s="509">
        <f>IF(+J97&lt;F134,J97,D135)</f>
        <v>0</v>
      </c>
      <c r="F135" s="510">
        <f t="shared" si="45"/>
        <v>0</v>
      </c>
      <c r="G135" s="510">
        <f t="shared" si="38"/>
        <v>0</v>
      </c>
      <c r="H135" s="523">
        <f t="shared" si="39"/>
        <v>0</v>
      </c>
      <c r="I135" s="572">
        <f t="shared" si="40"/>
        <v>0</v>
      </c>
      <c r="J135" s="504">
        <f t="shared" si="41"/>
        <v>0</v>
      </c>
      <c r="K135" s="504"/>
      <c r="L135" s="512"/>
      <c r="M135" s="504">
        <f t="shared" si="42"/>
        <v>0</v>
      </c>
      <c r="N135" s="512"/>
      <c r="O135" s="504">
        <f t="shared" si="43"/>
        <v>0</v>
      </c>
      <c r="P135" s="504">
        <f t="shared" si="44"/>
        <v>0</v>
      </c>
      <c r="Q135" s="243"/>
      <c r="R135" s="243"/>
      <c r="S135" s="243"/>
      <c r="T135" s="243"/>
      <c r="U135" s="243"/>
    </row>
    <row r="136" spans="2:21">
      <c r="B136" s="145" t="str">
        <f t="shared" si="37"/>
        <v/>
      </c>
      <c r="C136" s="495">
        <f>IF(D94="","-",+C135+1)</f>
        <v>2047</v>
      </c>
      <c r="D136" s="349">
        <f>IF(F135+SUM(E$100:E135)=D$93,F135,D$93-SUM(E$100:E135))</f>
        <v>0</v>
      </c>
      <c r="E136" s="509">
        <f>IF(+J97&lt;F135,J97,D136)</f>
        <v>0</v>
      </c>
      <c r="F136" s="510">
        <f t="shared" si="45"/>
        <v>0</v>
      </c>
      <c r="G136" s="510">
        <f t="shared" si="38"/>
        <v>0</v>
      </c>
      <c r="H136" s="523">
        <f t="shared" si="39"/>
        <v>0</v>
      </c>
      <c r="I136" s="572">
        <f t="shared" si="40"/>
        <v>0</v>
      </c>
      <c r="J136" s="504">
        <f t="shared" si="41"/>
        <v>0</v>
      </c>
      <c r="K136" s="504"/>
      <c r="L136" s="512"/>
      <c r="M136" s="504">
        <f t="shared" si="42"/>
        <v>0</v>
      </c>
      <c r="N136" s="512"/>
      <c r="O136" s="504">
        <f t="shared" si="43"/>
        <v>0</v>
      </c>
      <c r="P136" s="504">
        <f t="shared" si="44"/>
        <v>0</v>
      </c>
      <c r="Q136" s="243"/>
      <c r="R136" s="243"/>
      <c r="S136" s="243"/>
      <c r="T136" s="243"/>
      <c r="U136" s="243"/>
    </row>
    <row r="137" spans="2:21">
      <c r="B137" s="145" t="str">
        <f t="shared" si="37"/>
        <v/>
      </c>
      <c r="C137" s="495">
        <f>IF(D94="","-",+C136+1)</f>
        <v>2048</v>
      </c>
      <c r="D137" s="349">
        <f>IF(F136+SUM(E$100:E136)=D$93,F136,D$93-SUM(E$100:E136))</f>
        <v>0</v>
      </c>
      <c r="E137" s="509">
        <f>IF(+J97&lt;F136,J97,D137)</f>
        <v>0</v>
      </c>
      <c r="F137" s="510">
        <f t="shared" si="45"/>
        <v>0</v>
      </c>
      <c r="G137" s="510">
        <f t="shared" si="38"/>
        <v>0</v>
      </c>
      <c r="H137" s="523">
        <f t="shared" si="39"/>
        <v>0</v>
      </c>
      <c r="I137" s="572">
        <f t="shared" si="40"/>
        <v>0</v>
      </c>
      <c r="J137" s="504">
        <f t="shared" si="41"/>
        <v>0</v>
      </c>
      <c r="K137" s="504"/>
      <c r="L137" s="512"/>
      <c r="M137" s="504">
        <f t="shared" si="42"/>
        <v>0</v>
      </c>
      <c r="N137" s="512"/>
      <c r="O137" s="504">
        <f t="shared" si="43"/>
        <v>0</v>
      </c>
      <c r="P137" s="504">
        <f t="shared" si="44"/>
        <v>0</v>
      </c>
      <c r="Q137" s="243"/>
      <c r="R137" s="243"/>
      <c r="S137" s="243"/>
      <c r="T137" s="243"/>
      <c r="U137" s="243"/>
    </row>
    <row r="138" spans="2:21">
      <c r="B138" s="145" t="str">
        <f t="shared" si="37"/>
        <v/>
      </c>
      <c r="C138" s="495">
        <f>IF(D94="","-",+C137+1)</f>
        <v>2049</v>
      </c>
      <c r="D138" s="349">
        <f>IF(F137+SUM(E$100:E137)=D$93,F137,D$93-SUM(E$100:E137))</f>
        <v>0</v>
      </c>
      <c r="E138" s="509">
        <f>IF(+J97&lt;F137,J97,D138)</f>
        <v>0</v>
      </c>
      <c r="F138" s="510">
        <f t="shared" si="45"/>
        <v>0</v>
      </c>
      <c r="G138" s="510">
        <f t="shared" si="38"/>
        <v>0</v>
      </c>
      <c r="H138" s="523">
        <f t="shared" si="39"/>
        <v>0</v>
      </c>
      <c r="I138" s="572">
        <f t="shared" si="40"/>
        <v>0</v>
      </c>
      <c r="J138" s="504">
        <f t="shared" si="41"/>
        <v>0</v>
      </c>
      <c r="K138" s="504"/>
      <c r="L138" s="512"/>
      <c r="M138" s="504">
        <f t="shared" si="42"/>
        <v>0</v>
      </c>
      <c r="N138" s="512"/>
      <c r="O138" s="504">
        <f t="shared" si="43"/>
        <v>0</v>
      </c>
      <c r="P138" s="504">
        <f t="shared" si="44"/>
        <v>0</v>
      </c>
      <c r="Q138" s="243"/>
      <c r="R138" s="243"/>
      <c r="S138" s="243"/>
      <c r="T138" s="243"/>
      <c r="U138" s="243"/>
    </row>
    <row r="139" spans="2:21">
      <c r="B139" s="145" t="str">
        <f t="shared" si="37"/>
        <v/>
      </c>
      <c r="C139" s="495">
        <f>IF(D94="","-",+C138+1)</f>
        <v>2050</v>
      </c>
      <c r="D139" s="349">
        <f>IF(F138+SUM(E$100:E138)=D$93,F138,D$93-SUM(E$100:E138))</f>
        <v>0</v>
      </c>
      <c r="E139" s="509">
        <f>IF(+J97&lt;F138,J97,D139)</f>
        <v>0</v>
      </c>
      <c r="F139" s="510">
        <f t="shared" si="45"/>
        <v>0</v>
      </c>
      <c r="G139" s="510">
        <f t="shared" si="38"/>
        <v>0</v>
      </c>
      <c r="H139" s="523">
        <f t="shared" si="39"/>
        <v>0</v>
      </c>
      <c r="I139" s="572">
        <f t="shared" si="40"/>
        <v>0</v>
      </c>
      <c r="J139" s="504">
        <f t="shared" si="41"/>
        <v>0</v>
      </c>
      <c r="K139" s="504"/>
      <c r="L139" s="512"/>
      <c r="M139" s="504">
        <f t="shared" si="42"/>
        <v>0</v>
      </c>
      <c r="N139" s="512"/>
      <c r="O139" s="504">
        <f t="shared" si="43"/>
        <v>0</v>
      </c>
      <c r="P139" s="504">
        <f t="shared" si="44"/>
        <v>0</v>
      </c>
      <c r="Q139" s="243"/>
      <c r="R139" s="243"/>
      <c r="S139" s="243"/>
      <c r="T139" s="243"/>
      <c r="U139" s="243"/>
    </row>
    <row r="140" spans="2:21">
      <c r="B140" s="145" t="str">
        <f t="shared" si="37"/>
        <v/>
      </c>
      <c r="C140" s="495">
        <f>IF(D94="","-",+C139+1)</f>
        <v>2051</v>
      </c>
      <c r="D140" s="349">
        <f>IF(F139+SUM(E$100:E139)=D$93,F139,D$93-SUM(E$100:E139))</f>
        <v>0</v>
      </c>
      <c r="E140" s="509">
        <f>IF(+J97&lt;F139,J97,D140)</f>
        <v>0</v>
      </c>
      <c r="F140" s="510">
        <f t="shared" si="45"/>
        <v>0</v>
      </c>
      <c r="G140" s="510">
        <f t="shared" si="38"/>
        <v>0</v>
      </c>
      <c r="H140" s="523">
        <f t="shared" si="39"/>
        <v>0</v>
      </c>
      <c r="I140" s="572">
        <f t="shared" si="40"/>
        <v>0</v>
      </c>
      <c r="J140" s="504">
        <f t="shared" si="41"/>
        <v>0</v>
      </c>
      <c r="K140" s="504"/>
      <c r="L140" s="512"/>
      <c r="M140" s="504">
        <f t="shared" si="42"/>
        <v>0</v>
      </c>
      <c r="N140" s="512"/>
      <c r="O140" s="504">
        <f t="shared" si="43"/>
        <v>0</v>
      </c>
      <c r="P140" s="504">
        <f t="shared" si="44"/>
        <v>0</v>
      </c>
      <c r="Q140" s="243"/>
      <c r="R140" s="243"/>
      <c r="S140" s="243"/>
      <c r="T140" s="243"/>
      <c r="U140" s="243"/>
    </row>
    <row r="141" spans="2:21">
      <c r="B141" s="145" t="str">
        <f t="shared" si="37"/>
        <v/>
      </c>
      <c r="C141" s="495">
        <f>IF(D94="","-",+C140+1)</f>
        <v>2052</v>
      </c>
      <c r="D141" s="349">
        <f>IF(F140+SUM(E$100:E140)=D$93,F140,D$93-SUM(E$100:E140))</f>
        <v>0</v>
      </c>
      <c r="E141" s="509">
        <f>IF(+J97&lt;F140,J97,D141)</f>
        <v>0</v>
      </c>
      <c r="F141" s="510">
        <f t="shared" si="45"/>
        <v>0</v>
      </c>
      <c r="G141" s="510">
        <f t="shared" si="38"/>
        <v>0</v>
      </c>
      <c r="H141" s="523">
        <f t="shared" si="39"/>
        <v>0</v>
      </c>
      <c r="I141" s="572">
        <f t="shared" si="40"/>
        <v>0</v>
      </c>
      <c r="J141" s="504">
        <f t="shared" si="41"/>
        <v>0</v>
      </c>
      <c r="K141" s="504"/>
      <c r="L141" s="512"/>
      <c r="M141" s="504">
        <f t="shared" si="42"/>
        <v>0</v>
      </c>
      <c r="N141" s="512"/>
      <c r="O141" s="504">
        <f t="shared" si="43"/>
        <v>0</v>
      </c>
      <c r="P141" s="504">
        <f t="shared" si="44"/>
        <v>0</v>
      </c>
      <c r="Q141" s="243"/>
      <c r="R141" s="243"/>
      <c r="S141" s="243"/>
      <c r="T141" s="243"/>
      <c r="U141" s="243"/>
    </row>
    <row r="142" spans="2:21">
      <c r="B142" s="145" t="str">
        <f t="shared" si="37"/>
        <v/>
      </c>
      <c r="C142" s="495">
        <f>IF(D94="","-",+C141+1)</f>
        <v>2053</v>
      </c>
      <c r="D142" s="349">
        <f>IF(F141+SUM(E$100:E141)=D$93,F141,D$93-SUM(E$100:E141))</f>
        <v>0</v>
      </c>
      <c r="E142" s="509">
        <f>IF(+J97&lt;F141,J97,D142)</f>
        <v>0</v>
      </c>
      <c r="F142" s="510">
        <f t="shared" si="45"/>
        <v>0</v>
      </c>
      <c r="G142" s="510">
        <f t="shared" si="38"/>
        <v>0</v>
      </c>
      <c r="H142" s="523">
        <f t="shared" si="39"/>
        <v>0</v>
      </c>
      <c r="I142" s="572">
        <f t="shared" si="40"/>
        <v>0</v>
      </c>
      <c r="J142" s="504">
        <f t="shared" si="41"/>
        <v>0</v>
      </c>
      <c r="K142" s="504"/>
      <c r="L142" s="512"/>
      <c r="M142" s="504">
        <f t="shared" si="42"/>
        <v>0</v>
      </c>
      <c r="N142" s="512"/>
      <c r="O142" s="504">
        <f t="shared" si="43"/>
        <v>0</v>
      </c>
      <c r="P142" s="504">
        <f t="shared" si="44"/>
        <v>0</v>
      </c>
      <c r="Q142" s="243"/>
      <c r="R142" s="243"/>
      <c r="S142" s="243"/>
      <c r="T142" s="243"/>
      <c r="U142" s="243"/>
    </row>
    <row r="143" spans="2:21">
      <c r="B143" s="145" t="str">
        <f t="shared" si="37"/>
        <v/>
      </c>
      <c r="C143" s="495">
        <f>IF(D94="","-",+C142+1)</f>
        <v>2054</v>
      </c>
      <c r="D143" s="349">
        <f>IF(F142+SUM(E$100:E142)=D$93,F142,D$93-SUM(E$100:E142))</f>
        <v>0</v>
      </c>
      <c r="E143" s="509">
        <f>IF(+J97&lt;F142,J97,D143)</f>
        <v>0</v>
      </c>
      <c r="F143" s="510">
        <f t="shared" si="45"/>
        <v>0</v>
      </c>
      <c r="G143" s="510">
        <f t="shared" si="38"/>
        <v>0</v>
      </c>
      <c r="H143" s="523">
        <f t="shared" si="39"/>
        <v>0</v>
      </c>
      <c r="I143" s="572">
        <f t="shared" si="40"/>
        <v>0</v>
      </c>
      <c r="J143" s="504">
        <f t="shared" si="41"/>
        <v>0</v>
      </c>
      <c r="K143" s="504"/>
      <c r="L143" s="512"/>
      <c r="M143" s="504">
        <f t="shared" si="42"/>
        <v>0</v>
      </c>
      <c r="N143" s="512"/>
      <c r="O143" s="504">
        <f t="shared" si="43"/>
        <v>0</v>
      </c>
      <c r="P143" s="504">
        <f t="shared" si="44"/>
        <v>0</v>
      </c>
      <c r="Q143" s="243"/>
      <c r="R143" s="243"/>
      <c r="S143" s="243"/>
      <c r="T143" s="243"/>
      <c r="U143" s="243"/>
    </row>
    <row r="144" spans="2:21">
      <c r="B144" s="145" t="str">
        <f t="shared" si="37"/>
        <v/>
      </c>
      <c r="C144" s="495">
        <f>IF(D94="","-",+C143+1)</f>
        <v>2055</v>
      </c>
      <c r="D144" s="349">
        <f>IF(F143+SUM(E$100:E143)=D$93,F143,D$93-SUM(E$100:E143))</f>
        <v>0</v>
      </c>
      <c r="E144" s="509">
        <f>IF(+J97&lt;F143,J97,D144)</f>
        <v>0</v>
      </c>
      <c r="F144" s="510">
        <f t="shared" si="45"/>
        <v>0</v>
      </c>
      <c r="G144" s="510">
        <f t="shared" si="38"/>
        <v>0</v>
      </c>
      <c r="H144" s="523">
        <f t="shared" si="39"/>
        <v>0</v>
      </c>
      <c r="I144" s="572">
        <f t="shared" si="40"/>
        <v>0</v>
      </c>
      <c r="J144" s="504">
        <f t="shared" si="41"/>
        <v>0</v>
      </c>
      <c r="K144" s="504"/>
      <c r="L144" s="512"/>
      <c r="M144" s="504">
        <f t="shared" si="42"/>
        <v>0</v>
      </c>
      <c r="N144" s="512"/>
      <c r="O144" s="504">
        <f t="shared" si="43"/>
        <v>0</v>
      </c>
      <c r="P144" s="504">
        <f t="shared" si="44"/>
        <v>0</v>
      </c>
      <c r="Q144" s="243"/>
      <c r="R144" s="243"/>
      <c r="S144" s="243"/>
      <c r="T144" s="243"/>
      <c r="U144" s="243"/>
    </row>
    <row r="145" spans="2:21">
      <c r="B145" s="145" t="str">
        <f t="shared" si="37"/>
        <v/>
      </c>
      <c r="C145" s="495">
        <f>IF(D94="","-",+C144+1)</f>
        <v>2056</v>
      </c>
      <c r="D145" s="349">
        <f>IF(F144+SUM(E$100:E144)=D$93,F144,D$93-SUM(E$100:E144))</f>
        <v>0</v>
      </c>
      <c r="E145" s="509">
        <f>IF(+J97&lt;F144,J97,D145)</f>
        <v>0</v>
      </c>
      <c r="F145" s="510">
        <f t="shared" si="45"/>
        <v>0</v>
      </c>
      <c r="G145" s="510">
        <f t="shared" si="38"/>
        <v>0</v>
      </c>
      <c r="H145" s="523">
        <f t="shared" si="39"/>
        <v>0</v>
      </c>
      <c r="I145" s="572">
        <f t="shared" si="40"/>
        <v>0</v>
      </c>
      <c r="J145" s="504">
        <f t="shared" si="41"/>
        <v>0</v>
      </c>
      <c r="K145" s="504"/>
      <c r="L145" s="512"/>
      <c r="M145" s="504">
        <f t="shared" si="42"/>
        <v>0</v>
      </c>
      <c r="N145" s="512"/>
      <c r="O145" s="504">
        <f t="shared" si="43"/>
        <v>0</v>
      </c>
      <c r="P145" s="504">
        <f t="shared" si="44"/>
        <v>0</v>
      </c>
      <c r="Q145" s="243"/>
      <c r="R145" s="243"/>
      <c r="S145" s="243"/>
      <c r="T145" s="243"/>
      <c r="U145" s="243"/>
    </row>
    <row r="146" spans="2:21">
      <c r="B146" s="145" t="str">
        <f t="shared" si="37"/>
        <v/>
      </c>
      <c r="C146" s="495">
        <f>IF(D94="","-",+C145+1)</f>
        <v>2057</v>
      </c>
      <c r="D146" s="349">
        <f>IF(F145+SUM(E$100:E145)=D$93,F145,D$93-SUM(E$100:E145))</f>
        <v>0</v>
      </c>
      <c r="E146" s="509">
        <f>IF(+J97&lt;F145,J97,D146)</f>
        <v>0</v>
      </c>
      <c r="F146" s="510">
        <f t="shared" si="45"/>
        <v>0</v>
      </c>
      <c r="G146" s="510">
        <f t="shared" si="38"/>
        <v>0</v>
      </c>
      <c r="H146" s="523">
        <f t="shared" si="39"/>
        <v>0</v>
      </c>
      <c r="I146" s="572">
        <f t="shared" si="40"/>
        <v>0</v>
      </c>
      <c r="J146" s="504">
        <f t="shared" si="41"/>
        <v>0</v>
      </c>
      <c r="K146" s="504"/>
      <c r="L146" s="512"/>
      <c r="M146" s="504">
        <f t="shared" si="42"/>
        <v>0</v>
      </c>
      <c r="N146" s="512"/>
      <c r="O146" s="504">
        <f t="shared" si="43"/>
        <v>0</v>
      </c>
      <c r="P146" s="504">
        <f t="shared" si="44"/>
        <v>0</v>
      </c>
      <c r="Q146" s="243"/>
      <c r="R146" s="243"/>
      <c r="S146" s="243"/>
      <c r="T146" s="243"/>
      <c r="U146" s="243"/>
    </row>
    <row r="147" spans="2:21">
      <c r="B147" s="145" t="str">
        <f t="shared" si="37"/>
        <v/>
      </c>
      <c r="C147" s="495">
        <f>IF(D94="","-",+C146+1)</f>
        <v>2058</v>
      </c>
      <c r="D147" s="349">
        <f>IF(F146+SUM(E$100:E146)=D$93,F146,D$93-SUM(E$100:E146))</f>
        <v>0</v>
      </c>
      <c r="E147" s="509">
        <f>IF(+J97&lt;F146,J97,D147)</f>
        <v>0</v>
      </c>
      <c r="F147" s="510">
        <f t="shared" si="45"/>
        <v>0</v>
      </c>
      <c r="G147" s="510">
        <f t="shared" si="38"/>
        <v>0</v>
      </c>
      <c r="H147" s="523">
        <f t="shared" si="39"/>
        <v>0</v>
      </c>
      <c r="I147" s="572">
        <f t="shared" si="40"/>
        <v>0</v>
      </c>
      <c r="J147" s="504">
        <f t="shared" si="41"/>
        <v>0</v>
      </c>
      <c r="K147" s="504"/>
      <c r="L147" s="512"/>
      <c r="M147" s="504">
        <f t="shared" si="42"/>
        <v>0</v>
      </c>
      <c r="N147" s="512"/>
      <c r="O147" s="504">
        <f t="shared" si="43"/>
        <v>0</v>
      </c>
      <c r="P147" s="504">
        <f t="shared" si="44"/>
        <v>0</v>
      </c>
      <c r="Q147" s="243"/>
      <c r="R147" s="243"/>
      <c r="S147" s="243"/>
      <c r="T147" s="243"/>
      <c r="U147" s="243"/>
    </row>
    <row r="148" spans="2:21">
      <c r="B148" s="145" t="str">
        <f t="shared" si="37"/>
        <v/>
      </c>
      <c r="C148" s="495">
        <f>IF(D94="","-",+C147+1)</f>
        <v>2059</v>
      </c>
      <c r="D148" s="349">
        <f>IF(F147+SUM(E$100:E147)=D$93,F147,D$93-SUM(E$100:E147))</f>
        <v>0</v>
      </c>
      <c r="E148" s="509">
        <f>IF(+J97&lt;F147,J97,D148)</f>
        <v>0</v>
      </c>
      <c r="F148" s="510">
        <f t="shared" si="45"/>
        <v>0</v>
      </c>
      <c r="G148" s="510">
        <f t="shared" si="38"/>
        <v>0</v>
      </c>
      <c r="H148" s="523">
        <f t="shared" si="39"/>
        <v>0</v>
      </c>
      <c r="I148" s="572">
        <f t="shared" si="40"/>
        <v>0</v>
      </c>
      <c r="J148" s="504">
        <f t="shared" si="41"/>
        <v>0</v>
      </c>
      <c r="K148" s="504"/>
      <c r="L148" s="512"/>
      <c r="M148" s="504">
        <f t="shared" si="42"/>
        <v>0</v>
      </c>
      <c r="N148" s="512"/>
      <c r="O148" s="504">
        <f t="shared" si="43"/>
        <v>0</v>
      </c>
      <c r="P148" s="504">
        <f t="shared" si="44"/>
        <v>0</v>
      </c>
      <c r="Q148" s="243"/>
      <c r="R148" s="243"/>
      <c r="S148" s="243"/>
      <c r="T148" s="243"/>
      <c r="U148" s="243"/>
    </row>
    <row r="149" spans="2:21">
      <c r="B149" s="145" t="str">
        <f t="shared" si="37"/>
        <v/>
      </c>
      <c r="C149" s="495">
        <f>IF(D94="","-",+C148+1)</f>
        <v>2060</v>
      </c>
      <c r="D149" s="349">
        <f>IF(F148+SUM(E$100:E148)=D$93,F148,D$93-SUM(E$100:E148))</f>
        <v>0</v>
      </c>
      <c r="E149" s="509">
        <f>IF(+J97&lt;F148,J97,D149)</f>
        <v>0</v>
      </c>
      <c r="F149" s="510">
        <f t="shared" si="45"/>
        <v>0</v>
      </c>
      <c r="G149" s="510">
        <f t="shared" si="38"/>
        <v>0</v>
      </c>
      <c r="H149" s="523">
        <f t="shared" si="39"/>
        <v>0</v>
      </c>
      <c r="I149" s="572">
        <f t="shared" si="40"/>
        <v>0</v>
      </c>
      <c r="J149" s="504">
        <f t="shared" si="41"/>
        <v>0</v>
      </c>
      <c r="K149" s="504"/>
      <c r="L149" s="512"/>
      <c r="M149" s="504">
        <f t="shared" si="42"/>
        <v>0</v>
      </c>
      <c r="N149" s="512"/>
      <c r="O149" s="504">
        <f t="shared" si="43"/>
        <v>0</v>
      </c>
      <c r="P149" s="504">
        <f t="shared" si="44"/>
        <v>0</v>
      </c>
      <c r="Q149" s="243"/>
      <c r="R149" s="243"/>
      <c r="S149" s="243"/>
      <c r="T149" s="243"/>
      <c r="U149" s="243"/>
    </row>
    <row r="150" spans="2:21">
      <c r="B150" s="145" t="str">
        <f t="shared" si="37"/>
        <v/>
      </c>
      <c r="C150" s="495">
        <f>IF(D94="","-",+C149+1)</f>
        <v>2061</v>
      </c>
      <c r="D150" s="349">
        <f>IF(F149+SUM(E$100:E149)=D$93,F149,D$93-SUM(E$100:E149))</f>
        <v>0</v>
      </c>
      <c r="E150" s="509">
        <f>IF(+J97&lt;F149,J97,D150)</f>
        <v>0</v>
      </c>
      <c r="F150" s="510">
        <f t="shared" si="45"/>
        <v>0</v>
      </c>
      <c r="G150" s="510">
        <f t="shared" si="38"/>
        <v>0</v>
      </c>
      <c r="H150" s="523">
        <f t="shared" si="39"/>
        <v>0</v>
      </c>
      <c r="I150" s="572">
        <f t="shared" si="40"/>
        <v>0</v>
      </c>
      <c r="J150" s="504">
        <f t="shared" si="41"/>
        <v>0</v>
      </c>
      <c r="K150" s="504"/>
      <c r="L150" s="512"/>
      <c r="M150" s="504">
        <f t="shared" si="42"/>
        <v>0</v>
      </c>
      <c r="N150" s="512"/>
      <c r="O150" s="504">
        <f t="shared" si="43"/>
        <v>0</v>
      </c>
      <c r="P150" s="504">
        <f t="shared" si="44"/>
        <v>0</v>
      </c>
      <c r="Q150" s="243"/>
      <c r="R150" s="243"/>
      <c r="S150" s="243"/>
      <c r="T150" s="243"/>
      <c r="U150" s="243"/>
    </row>
    <row r="151" spans="2:21">
      <c r="B151" s="145" t="str">
        <f t="shared" si="37"/>
        <v/>
      </c>
      <c r="C151" s="495">
        <f>IF(D94="","-",+C150+1)</f>
        <v>2062</v>
      </c>
      <c r="D151" s="349">
        <f>IF(F150+SUM(E$100:E150)=D$93,F150,D$93-SUM(E$100:E150))</f>
        <v>0</v>
      </c>
      <c r="E151" s="509">
        <f>IF(+J97&lt;F150,J97,D151)</f>
        <v>0</v>
      </c>
      <c r="F151" s="510">
        <f t="shared" si="45"/>
        <v>0</v>
      </c>
      <c r="G151" s="510">
        <f t="shared" si="38"/>
        <v>0</v>
      </c>
      <c r="H151" s="523">
        <f t="shared" si="39"/>
        <v>0</v>
      </c>
      <c r="I151" s="572">
        <f t="shared" si="40"/>
        <v>0</v>
      </c>
      <c r="J151" s="504">
        <f t="shared" si="41"/>
        <v>0</v>
      </c>
      <c r="K151" s="504"/>
      <c r="L151" s="512"/>
      <c r="M151" s="504">
        <f t="shared" si="42"/>
        <v>0</v>
      </c>
      <c r="N151" s="512"/>
      <c r="O151" s="504">
        <f t="shared" si="43"/>
        <v>0</v>
      </c>
      <c r="P151" s="504">
        <f t="shared" si="44"/>
        <v>0</v>
      </c>
      <c r="Q151" s="243"/>
      <c r="R151" s="243"/>
      <c r="S151" s="243"/>
      <c r="T151" s="243"/>
      <c r="U151" s="243"/>
    </row>
    <row r="152" spans="2:21">
      <c r="B152" s="145" t="str">
        <f t="shared" si="37"/>
        <v/>
      </c>
      <c r="C152" s="495">
        <f>IF(D94="","-",+C151+1)</f>
        <v>2063</v>
      </c>
      <c r="D152" s="349">
        <f>IF(F151+SUM(E$100:E151)=D$93,F151,D$93-SUM(E$100:E151))</f>
        <v>0</v>
      </c>
      <c r="E152" s="509">
        <f>IF(+J97&lt;F151,J97,D152)</f>
        <v>0</v>
      </c>
      <c r="F152" s="510">
        <f t="shared" si="45"/>
        <v>0</v>
      </c>
      <c r="G152" s="510">
        <f t="shared" si="38"/>
        <v>0</v>
      </c>
      <c r="H152" s="523">
        <f t="shared" si="39"/>
        <v>0</v>
      </c>
      <c r="I152" s="572">
        <f t="shared" si="40"/>
        <v>0</v>
      </c>
      <c r="J152" s="504">
        <f t="shared" si="41"/>
        <v>0</v>
      </c>
      <c r="K152" s="504"/>
      <c r="L152" s="512"/>
      <c r="M152" s="504">
        <f t="shared" si="42"/>
        <v>0</v>
      </c>
      <c r="N152" s="512"/>
      <c r="O152" s="504">
        <f t="shared" si="43"/>
        <v>0</v>
      </c>
      <c r="P152" s="504">
        <f t="shared" si="44"/>
        <v>0</v>
      </c>
      <c r="Q152" s="243"/>
      <c r="R152" s="243"/>
      <c r="S152" s="243"/>
      <c r="T152" s="243"/>
      <c r="U152" s="243"/>
    </row>
    <row r="153" spans="2:21">
      <c r="B153" s="145" t="str">
        <f t="shared" si="37"/>
        <v/>
      </c>
      <c r="C153" s="495">
        <f>IF(D94="","-",+C152+1)</f>
        <v>2064</v>
      </c>
      <c r="D153" s="349">
        <f>IF(F152+SUM(E$100:E152)=D$93,F152,D$93-SUM(E$100:E152))</f>
        <v>0</v>
      </c>
      <c r="E153" s="509">
        <f>IF(+J97&lt;F152,J97,D153)</f>
        <v>0</v>
      </c>
      <c r="F153" s="510">
        <f t="shared" si="45"/>
        <v>0</v>
      </c>
      <c r="G153" s="510">
        <f t="shared" si="38"/>
        <v>0</v>
      </c>
      <c r="H153" s="523">
        <f t="shared" si="39"/>
        <v>0</v>
      </c>
      <c r="I153" s="572">
        <f t="shared" si="40"/>
        <v>0</v>
      </c>
      <c r="J153" s="504">
        <f t="shared" si="41"/>
        <v>0</v>
      </c>
      <c r="K153" s="504"/>
      <c r="L153" s="512"/>
      <c r="M153" s="504">
        <f t="shared" si="42"/>
        <v>0</v>
      </c>
      <c r="N153" s="512"/>
      <c r="O153" s="504">
        <f t="shared" si="43"/>
        <v>0</v>
      </c>
      <c r="P153" s="504">
        <f t="shared" si="44"/>
        <v>0</v>
      </c>
      <c r="Q153" s="243"/>
      <c r="R153" s="243"/>
      <c r="S153" s="243"/>
      <c r="T153" s="243"/>
      <c r="U153" s="243"/>
    </row>
    <row r="154" spans="2:21">
      <c r="B154" s="145" t="str">
        <f t="shared" si="37"/>
        <v/>
      </c>
      <c r="C154" s="495">
        <f>IF(D94="","-",+C153+1)</f>
        <v>2065</v>
      </c>
      <c r="D154" s="349">
        <f>IF(F153+SUM(E$100:E153)=D$93,F153,D$93-SUM(E$100:E153))</f>
        <v>0</v>
      </c>
      <c r="E154" s="509">
        <f>IF(+J97&lt;F153,J97,D154)</f>
        <v>0</v>
      </c>
      <c r="F154" s="510">
        <f t="shared" si="45"/>
        <v>0</v>
      </c>
      <c r="G154" s="510">
        <f t="shared" si="38"/>
        <v>0</v>
      </c>
      <c r="H154" s="523">
        <f t="shared" si="39"/>
        <v>0</v>
      </c>
      <c r="I154" s="572">
        <f t="shared" si="40"/>
        <v>0</v>
      </c>
      <c r="J154" s="504">
        <f t="shared" si="41"/>
        <v>0</v>
      </c>
      <c r="K154" s="504"/>
      <c r="L154" s="512"/>
      <c r="M154" s="504">
        <f t="shared" si="42"/>
        <v>0</v>
      </c>
      <c r="N154" s="512"/>
      <c r="O154" s="504">
        <f t="shared" si="43"/>
        <v>0</v>
      </c>
      <c r="P154" s="504">
        <f t="shared" si="44"/>
        <v>0</v>
      </c>
      <c r="Q154" s="243"/>
      <c r="R154" s="243"/>
      <c r="S154" s="243"/>
      <c r="T154" s="243"/>
      <c r="U154" s="243"/>
    </row>
    <row r="155" spans="2:21" ht="13.5" thickBot="1">
      <c r="B155" s="145" t="str">
        <f t="shared" si="37"/>
        <v/>
      </c>
      <c r="C155" s="524">
        <f>IF(D94="","-",+C154+1)</f>
        <v>2066</v>
      </c>
      <c r="D155" s="527">
        <f>IF(F154+SUM(E$100:E154)=D$93,F154,D$93-SUM(E$100:E154))</f>
        <v>0</v>
      </c>
      <c r="E155" s="526">
        <f>IF(+J97&lt;F154,J97,D155)</f>
        <v>0</v>
      </c>
      <c r="F155" s="527">
        <f t="shared" si="45"/>
        <v>0</v>
      </c>
      <c r="G155" s="527">
        <f t="shared" si="38"/>
        <v>0</v>
      </c>
      <c r="H155" s="528">
        <f t="shared" si="39"/>
        <v>0</v>
      </c>
      <c r="I155" s="573">
        <f t="shared" si="40"/>
        <v>0</v>
      </c>
      <c r="J155" s="531">
        <f t="shared" si="41"/>
        <v>0</v>
      </c>
      <c r="K155" s="504"/>
      <c r="L155" s="530"/>
      <c r="M155" s="531">
        <f t="shared" si="42"/>
        <v>0</v>
      </c>
      <c r="N155" s="530"/>
      <c r="O155" s="531">
        <f t="shared" si="43"/>
        <v>0</v>
      </c>
      <c r="P155" s="531">
        <f t="shared" si="44"/>
        <v>0</v>
      </c>
      <c r="Q155" s="243"/>
      <c r="R155" s="243"/>
      <c r="S155" s="243"/>
      <c r="T155" s="243"/>
      <c r="U155" s="243"/>
    </row>
    <row r="156" spans="2:21">
      <c r="C156" s="349" t="s">
        <v>75</v>
      </c>
      <c r="D156" s="294"/>
      <c r="E156" s="294">
        <f>SUM(E100:E155)</f>
        <v>11742800</v>
      </c>
      <c r="F156" s="294"/>
      <c r="G156" s="294"/>
      <c r="H156" s="294">
        <f>SUM(H100:H155)</f>
        <v>32969845.241424102</v>
      </c>
      <c r="I156" s="294">
        <f>SUM(I100:I155)</f>
        <v>32969845.241424102</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6" priority="1" stopIfTrue="1" operator="equal">
      <formula>$I$10</formula>
    </cfRule>
  </conditionalFormatting>
  <conditionalFormatting sqref="C100:C155">
    <cfRule type="cellIs" dxfId="55"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3">
    <tabColor theme="1"/>
  </sheetPr>
  <dimension ref="A1:U163"/>
  <sheetViews>
    <sheetView view="pageBreakPreview" zoomScale="90" zoomScaleNormal="100" zoomScaleSheetLayoutView="90" workbookViewId="0">
      <selection activeCell="D11" sqref="D11"/>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5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0</v>
      </c>
      <c r="P5" s="243"/>
      <c r="R5" s="243"/>
      <c r="S5" s="243"/>
      <c r="T5" s="243"/>
      <c r="U5" s="243"/>
    </row>
    <row r="6" spans="1:21" ht="15.75">
      <c r="C6" s="235"/>
      <c r="D6" s="292"/>
      <c r="E6" s="243"/>
      <c r="F6" s="243"/>
      <c r="G6" s="243"/>
      <c r="H6" s="449"/>
      <c r="I6" s="449"/>
      <c r="J6" s="450"/>
      <c r="K6" s="451" t="s">
        <v>243</v>
      </c>
      <c r="L6" s="452"/>
      <c r="M6" s="278"/>
      <c r="N6" s="453">
        <f>VLOOKUP(I10,C17:I73,6)</f>
        <v>0</v>
      </c>
      <c r="O6" s="243"/>
      <c r="P6" s="243"/>
      <c r="R6" s="243"/>
      <c r="S6" s="243"/>
      <c r="T6" s="243"/>
      <c r="U6" s="243"/>
    </row>
    <row r="7" spans="1:21" ht="13.5" thickBot="1">
      <c r="C7" s="454" t="s">
        <v>46</v>
      </c>
      <c r="D7" s="455" t="s">
        <v>211</v>
      </c>
      <c r="E7" s="243"/>
      <c r="F7" s="243"/>
      <c r="G7" s="243"/>
      <c r="H7" s="325"/>
      <c r="I7" s="325"/>
      <c r="J7" s="294"/>
      <c r="K7" s="456" t="s">
        <v>47</v>
      </c>
      <c r="L7" s="457"/>
      <c r="M7" s="457"/>
      <c r="N7" s="458">
        <f>+N6-N5</f>
        <v>0</v>
      </c>
      <c r="O7" s="243"/>
      <c r="P7" s="243"/>
      <c r="R7" s="243"/>
      <c r="S7" s="243"/>
      <c r="T7" s="243"/>
      <c r="U7" s="243"/>
    </row>
    <row r="8" spans="1:21" ht="13.5" thickBot="1">
      <c r="C8" s="459"/>
      <c r="D8" s="604" t="s">
        <v>209</v>
      </c>
      <c r="E8" s="461"/>
      <c r="F8" s="461"/>
      <c r="G8" s="461"/>
      <c r="H8" s="461"/>
      <c r="I8" s="461"/>
      <c r="J8" s="462"/>
      <c r="K8" s="461"/>
      <c r="L8" s="461"/>
      <c r="M8" s="461"/>
      <c r="N8" s="461"/>
      <c r="O8" s="462"/>
      <c r="P8" s="248"/>
      <c r="R8" s="243"/>
      <c r="S8" s="243"/>
      <c r="T8" s="243"/>
      <c r="U8" s="243"/>
    </row>
    <row r="9" spans="1:21" ht="13.5" thickBot="1">
      <c r="A9" s="152"/>
      <c r="C9" s="463" t="s">
        <v>48</v>
      </c>
      <c r="D9" s="464" t="s">
        <v>204</v>
      </c>
      <c r="E9" s="646" t="s">
        <v>308</v>
      </c>
      <c r="F9" s="465"/>
      <c r="G9" s="465"/>
      <c r="H9" s="465"/>
      <c r="I9" s="466"/>
      <c r="J9" s="467"/>
      <c r="O9" s="468"/>
      <c r="P9" s="278"/>
      <c r="R9" s="243"/>
      <c r="S9" s="243"/>
      <c r="T9" s="243"/>
      <c r="U9" s="243"/>
    </row>
    <row r="10" spans="1:21">
      <c r="C10" s="469" t="s">
        <v>49</v>
      </c>
      <c r="D10" s="470">
        <v>0</v>
      </c>
      <c r="E10" s="299" t="s">
        <v>50</v>
      </c>
      <c r="F10" s="468"/>
      <c r="G10" s="408"/>
      <c r="H10" s="408"/>
      <c r="I10" s="471">
        <f>+'OKT.WS.F.BPU.ATRR.Projected'!R101</f>
        <v>2024</v>
      </c>
      <c r="J10" s="467"/>
      <c r="K10" s="294" t="s">
        <v>51</v>
      </c>
      <c r="O10" s="278"/>
      <c r="P10" s="278"/>
      <c r="R10" s="243"/>
      <c r="S10" s="243"/>
      <c r="T10" s="243"/>
      <c r="U10" s="243"/>
    </row>
    <row r="11" spans="1:21">
      <c r="C11" s="472" t="s">
        <v>52</v>
      </c>
      <c r="D11" s="473">
        <v>2012</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4</v>
      </c>
      <c r="E12" s="472" t="s">
        <v>55</v>
      </c>
      <c r="F12" s="408"/>
      <c r="G12" s="220"/>
      <c r="H12" s="220"/>
      <c r="I12" s="476">
        <f>'OKT.WS.F.BPU.ATRR.Projected'!$F$79</f>
        <v>0.11393163315254198</v>
      </c>
      <c r="J12" s="578"/>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0</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49" si="0">IF(D17=F16,"","IU")</f>
        <v>IU</v>
      </c>
      <c r="C17" s="580">
        <f>IF(D11= "","-",D11)</f>
        <v>2012</v>
      </c>
      <c r="D17" s="496">
        <v>3951600</v>
      </c>
      <c r="E17" s="497">
        <v>45573.039110189922</v>
      </c>
      <c r="F17" s="496">
        <v>3906026.9608898102</v>
      </c>
      <c r="G17" s="498">
        <v>423078.95453720703</v>
      </c>
      <c r="H17" s="499">
        <v>423078.95453720703</v>
      </c>
      <c r="I17" s="584">
        <v>0</v>
      </c>
      <c r="J17" s="500"/>
      <c r="K17" s="501">
        <f>G17</f>
        <v>423078.95453720703</v>
      </c>
      <c r="L17" s="502">
        <f t="shared" ref="L17:L49" si="1">IF(K17&lt;&gt;0,+G17-K17,0)</f>
        <v>0</v>
      </c>
      <c r="M17" s="501">
        <f>H17</f>
        <v>423078.95453720703</v>
      </c>
      <c r="N17" s="503">
        <f t="shared" ref="N17:N49" si="2">IF(M17&lt;&gt;0,+H17-M17,0)</f>
        <v>0</v>
      </c>
      <c r="O17" s="504">
        <f t="shared" ref="O17:O49" si="3">+N17-L17</f>
        <v>0</v>
      </c>
      <c r="P17" s="278"/>
      <c r="R17" s="243"/>
      <c r="S17" s="243"/>
      <c r="T17" s="243"/>
      <c r="U17" s="243"/>
    </row>
    <row r="18" spans="2:21">
      <c r="B18" s="145" t="str">
        <f t="shared" si="0"/>
        <v>IU</v>
      </c>
      <c r="C18" s="495">
        <f>IF(D$11="","-",+C17+1)</f>
        <v>2013</v>
      </c>
      <c r="D18" s="508"/>
      <c r="E18" s="509">
        <f t="shared" ref="E18:E32" si="4">IF(+I$14&lt;F17,I$14,D18)</f>
        <v>0</v>
      </c>
      <c r="F18" s="510">
        <f t="shared" ref="F18:F49" si="5">+D18-E18</f>
        <v>0</v>
      </c>
      <c r="G18" s="511">
        <f t="shared" ref="G18:G73" si="6">(D18+F18)/2*I$12+E18</f>
        <v>0</v>
      </c>
      <c r="H18" s="477">
        <f t="shared" ref="H18:H73" si="7">+(D18+F18)/2*I$13+E18</f>
        <v>0</v>
      </c>
      <c r="I18" s="500">
        <f t="shared" ref="I18:I49" si="8">H18-G18</f>
        <v>0</v>
      </c>
      <c r="J18" s="500"/>
      <c r="K18" s="512"/>
      <c r="L18" s="504">
        <f t="shared" si="1"/>
        <v>0</v>
      </c>
      <c r="M18" s="512"/>
      <c r="N18" s="504">
        <f t="shared" si="2"/>
        <v>0</v>
      </c>
      <c r="O18" s="504">
        <f t="shared" si="3"/>
        <v>0</v>
      </c>
      <c r="P18" s="278"/>
      <c r="R18" s="243"/>
      <c r="S18" s="243"/>
      <c r="T18" s="243"/>
      <c r="U18" s="243"/>
    </row>
    <row r="19" spans="2:21">
      <c r="B19" s="145" t="str">
        <f t="shared" si="0"/>
        <v/>
      </c>
      <c r="C19" s="495">
        <f>IF(D$11="","-",+C18+1)</f>
        <v>2014</v>
      </c>
      <c r="D19" s="508"/>
      <c r="E19" s="509">
        <f t="shared" si="4"/>
        <v>0</v>
      </c>
      <c r="F19" s="510">
        <f t="shared" si="5"/>
        <v>0</v>
      </c>
      <c r="G19" s="511">
        <f t="shared" si="6"/>
        <v>0</v>
      </c>
      <c r="H19" s="477">
        <f t="shared" si="7"/>
        <v>0</v>
      </c>
      <c r="I19" s="500">
        <f t="shared" si="8"/>
        <v>0</v>
      </c>
      <c r="J19" s="500"/>
      <c r="K19" s="512"/>
      <c r="L19" s="504">
        <f t="shared" si="1"/>
        <v>0</v>
      </c>
      <c r="M19" s="512"/>
      <c r="N19" s="504">
        <f t="shared" si="2"/>
        <v>0</v>
      </c>
      <c r="O19" s="504">
        <f t="shared" si="3"/>
        <v>0</v>
      </c>
      <c r="P19" s="278"/>
      <c r="R19" s="243"/>
      <c r="S19" s="243"/>
      <c r="T19" s="243"/>
      <c r="U19" s="243"/>
    </row>
    <row r="20" spans="2:21">
      <c r="B20" s="145" t="str">
        <f t="shared" si="0"/>
        <v/>
      </c>
      <c r="C20" s="495">
        <f>IF(D$11="","-",+C19+1)</f>
        <v>2015</v>
      </c>
      <c r="D20" s="508"/>
      <c r="E20" s="509">
        <f t="shared" si="4"/>
        <v>0</v>
      </c>
      <c r="F20" s="510">
        <f t="shared" si="5"/>
        <v>0</v>
      </c>
      <c r="G20" s="511">
        <f t="shared" si="6"/>
        <v>0</v>
      </c>
      <c r="H20" s="477">
        <f t="shared" si="7"/>
        <v>0</v>
      </c>
      <c r="I20" s="500">
        <f t="shared" si="8"/>
        <v>0</v>
      </c>
      <c r="J20" s="500"/>
      <c r="K20" s="512"/>
      <c r="L20" s="504">
        <f t="shared" si="1"/>
        <v>0</v>
      </c>
      <c r="M20" s="512"/>
      <c r="N20" s="504">
        <f t="shared" si="2"/>
        <v>0</v>
      </c>
      <c r="O20" s="504">
        <f t="shared" si="3"/>
        <v>0</v>
      </c>
      <c r="P20" s="278"/>
      <c r="R20" s="243"/>
      <c r="S20" s="243"/>
      <c r="T20" s="243"/>
      <c r="U20" s="243"/>
    </row>
    <row r="21" spans="2:21">
      <c r="B21" s="145" t="str">
        <f t="shared" si="0"/>
        <v/>
      </c>
      <c r="C21" s="495">
        <f>IF(D12="","-",+C20+1)</f>
        <v>2016</v>
      </c>
      <c r="D21" s="508"/>
      <c r="E21" s="509">
        <f t="shared" si="4"/>
        <v>0</v>
      </c>
      <c r="F21" s="510">
        <f t="shared" si="5"/>
        <v>0</v>
      </c>
      <c r="G21" s="511">
        <f t="shared" si="6"/>
        <v>0</v>
      </c>
      <c r="H21" s="477">
        <f t="shared" si="7"/>
        <v>0</v>
      </c>
      <c r="I21" s="500">
        <f t="shared" si="8"/>
        <v>0</v>
      </c>
      <c r="J21" s="500"/>
      <c r="K21" s="512"/>
      <c r="L21" s="504">
        <f t="shared" si="1"/>
        <v>0</v>
      </c>
      <c r="M21" s="512"/>
      <c r="N21" s="504">
        <f t="shared" si="2"/>
        <v>0</v>
      </c>
      <c r="O21" s="504">
        <f t="shared" si="3"/>
        <v>0</v>
      </c>
      <c r="P21" s="278"/>
      <c r="R21" s="243"/>
      <c r="S21" s="243"/>
      <c r="T21" s="243"/>
      <c r="U21" s="243"/>
    </row>
    <row r="22" spans="2:21">
      <c r="B22" s="145" t="str">
        <f t="shared" si="0"/>
        <v/>
      </c>
      <c r="C22" s="495">
        <f>IF(D$11="","-",+C21+1)</f>
        <v>2017</v>
      </c>
      <c r="D22" s="508"/>
      <c r="E22" s="509">
        <f t="shared" si="4"/>
        <v>0</v>
      </c>
      <c r="F22" s="510">
        <f t="shared" si="5"/>
        <v>0</v>
      </c>
      <c r="G22" s="511">
        <f t="shared" si="6"/>
        <v>0</v>
      </c>
      <c r="H22" s="477">
        <f t="shared" si="7"/>
        <v>0</v>
      </c>
      <c r="I22" s="500">
        <f t="shared" si="8"/>
        <v>0</v>
      </c>
      <c r="J22" s="500"/>
      <c r="K22" s="512"/>
      <c r="L22" s="504">
        <f t="shared" si="1"/>
        <v>0</v>
      </c>
      <c r="M22" s="512"/>
      <c r="N22" s="504">
        <f t="shared" si="2"/>
        <v>0</v>
      </c>
      <c r="O22" s="504">
        <f t="shared" si="3"/>
        <v>0</v>
      </c>
      <c r="P22" s="278"/>
      <c r="R22" s="243"/>
      <c r="S22" s="243"/>
      <c r="T22" s="243"/>
      <c r="U22" s="243"/>
    </row>
    <row r="23" spans="2:21">
      <c r="B23" s="145" t="str">
        <f t="shared" si="0"/>
        <v/>
      </c>
      <c r="C23" s="495">
        <f>IF(D$11="","-",+C22+1)</f>
        <v>2018</v>
      </c>
      <c r="D23" s="508"/>
      <c r="E23" s="509">
        <f t="shared" si="4"/>
        <v>0</v>
      </c>
      <c r="F23" s="510">
        <f t="shared" si="5"/>
        <v>0</v>
      </c>
      <c r="G23" s="511">
        <f t="shared" si="6"/>
        <v>0</v>
      </c>
      <c r="H23" s="477">
        <f t="shared" si="7"/>
        <v>0</v>
      </c>
      <c r="I23" s="500">
        <f t="shared" si="8"/>
        <v>0</v>
      </c>
      <c r="J23" s="500"/>
      <c r="K23" s="512"/>
      <c r="L23" s="504">
        <f t="shared" si="1"/>
        <v>0</v>
      </c>
      <c r="M23" s="512"/>
      <c r="N23" s="504">
        <f t="shared" si="2"/>
        <v>0</v>
      </c>
      <c r="O23" s="504">
        <f t="shared" si="3"/>
        <v>0</v>
      </c>
      <c r="P23" s="278"/>
      <c r="R23" s="243"/>
      <c r="S23" s="243"/>
      <c r="T23" s="243"/>
      <c r="U23" s="243"/>
    </row>
    <row r="24" spans="2:21">
      <c r="B24" s="145" t="str">
        <f t="shared" si="0"/>
        <v/>
      </c>
      <c r="C24" s="495">
        <f>IF(D$11="","-",+C23+1)</f>
        <v>2019</v>
      </c>
      <c r="D24" s="508"/>
      <c r="E24" s="509">
        <f t="shared" si="4"/>
        <v>0</v>
      </c>
      <c r="F24" s="510">
        <f t="shared" si="5"/>
        <v>0</v>
      </c>
      <c r="G24" s="511">
        <f t="shared" si="6"/>
        <v>0</v>
      </c>
      <c r="H24" s="477">
        <f t="shared" si="7"/>
        <v>0</v>
      </c>
      <c r="I24" s="500">
        <f t="shared" si="8"/>
        <v>0</v>
      </c>
      <c r="J24" s="500"/>
      <c r="K24" s="512"/>
      <c r="L24" s="504">
        <f t="shared" si="1"/>
        <v>0</v>
      </c>
      <c r="M24" s="512"/>
      <c r="N24" s="504">
        <f t="shared" si="2"/>
        <v>0</v>
      </c>
      <c r="O24" s="504">
        <f t="shared" si="3"/>
        <v>0</v>
      </c>
      <c r="P24" s="278"/>
      <c r="R24" s="243"/>
      <c r="S24" s="243"/>
      <c r="T24" s="243"/>
      <c r="U24" s="243"/>
    </row>
    <row r="25" spans="2:21">
      <c r="B25" s="145" t="str">
        <f t="shared" si="0"/>
        <v/>
      </c>
      <c r="C25" s="495">
        <f>IF(D$11="","-",+C24+1)</f>
        <v>2020</v>
      </c>
      <c r="D25" s="508"/>
      <c r="E25" s="509">
        <f t="shared" si="4"/>
        <v>0</v>
      </c>
      <c r="F25" s="510">
        <f t="shared" si="5"/>
        <v>0</v>
      </c>
      <c r="G25" s="511">
        <f t="shared" si="6"/>
        <v>0</v>
      </c>
      <c r="H25" s="477">
        <f t="shared" si="7"/>
        <v>0</v>
      </c>
      <c r="I25" s="500">
        <f t="shared" si="8"/>
        <v>0</v>
      </c>
      <c r="J25" s="500"/>
      <c r="K25" s="512"/>
      <c r="L25" s="504">
        <f t="shared" si="1"/>
        <v>0</v>
      </c>
      <c r="M25" s="512"/>
      <c r="N25" s="504">
        <f t="shared" si="2"/>
        <v>0</v>
      </c>
      <c r="O25" s="504">
        <f t="shared" si="3"/>
        <v>0</v>
      </c>
      <c r="P25" s="278"/>
      <c r="R25" s="243"/>
      <c r="S25" s="243"/>
      <c r="T25" s="243"/>
      <c r="U25" s="243"/>
    </row>
    <row r="26" spans="2:21">
      <c r="B26" s="145" t="str">
        <f t="shared" si="0"/>
        <v/>
      </c>
      <c r="C26" s="495">
        <f>IF(D$11="","-",+C25+1)</f>
        <v>2021</v>
      </c>
      <c r="D26" s="508"/>
      <c r="E26" s="509">
        <f t="shared" si="4"/>
        <v>0</v>
      </c>
      <c r="F26" s="510">
        <f t="shared" si="5"/>
        <v>0</v>
      </c>
      <c r="G26" s="511">
        <f t="shared" si="6"/>
        <v>0</v>
      </c>
      <c r="H26" s="477">
        <f t="shared" si="7"/>
        <v>0</v>
      </c>
      <c r="I26" s="500">
        <f t="shared" si="8"/>
        <v>0</v>
      </c>
      <c r="J26" s="500"/>
      <c r="K26" s="512"/>
      <c r="L26" s="504">
        <f t="shared" si="1"/>
        <v>0</v>
      </c>
      <c r="M26" s="512"/>
      <c r="N26" s="504">
        <f t="shared" si="2"/>
        <v>0</v>
      </c>
      <c r="O26" s="504">
        <f t="shared" si="3"/>
        <v>0</v>
      </c>
      <c r="P26" s="278"/>
      <c r="R26" s="243"/>
      <c r="S26" s="243"/>
      <c r="T26" s="243"/>
      <c r="U26" s="243"/>
    </row>
    <row r="27" spans="2:21">
      <c r="B27" s="145" t="str">
        <f t="shared" si="0"/>
        <v/>
      </c>
      <c r="C27" s="495">
        <f t="shared" ref="C27:C73" si="9">IF(D$11="","-",+C26+1)</f>
        <v>2022</v>
      </c>
      <c r="D27" s="508"/>
      <c r="E27" s="509">
        <f t="shared" si="4"/>
        <v>0</v>
      </c>
      <c r="F27" s="510">
        <f t="shared" si="5"/>
        <v>0</v>
      </c>
      <c r="G27" s="511">
        <f t="shared" si="6"/>
        <v>0</v>
      </c>
      <c r="H27" s="477">
        <f t="shared" si="7"/>
        <v>0</v>
      </c>
      <c r="I27" s="500">
        <f t="shared" si="8"/>
        <v>0</v>
      </c>
      <c r="J27" s="500"/>
      <c r="K27" s="512"/>
      <c r="L27" s="504">
        <f t="shared" si="1"/>
        <v>0</v>
      </c>
      <c r="M27" s="512"/>
      <c r="N27" s="504">
        <f t="shared" si="2"/>
        <v>0</v>
      </c>
      <c r="O27" s="504">
        <f t="shared" si="3"/>
        <v>0</v>
      </c>
      <c r="P27" s="278"/>
      <c r="R27" s="243"/>
      <c r="S27" s="243"/>
      <c r="T27" s="243"/>
      <c r="U27" s="243"/>
    </row>
    <row r="28" spans="2:21">
      <c r="B28" s="145" t="str">
        <f t="shared" si="0"/>
        <v/>
      </c>
      <c r="C28" s="495">
        <f t="shared" si="9"/>
        <v>2023</v>
      </c>
      <c r="D28" s="508"/>
      <c r="E28" s="509">
        <f t="shared" si="4"/>
        <v>0</v>
      </c>
      <c r="F28" s="510">
        <f t="shared" si="5"/>
        <v>0</v>
      </c>
      <c r="G28" s="511">
        <f t="shared" si="6"/>
        <v>0</v>
      </c>
      <c r="H28" s="477">
        <f t="shared" si="7"/>
        <v>0</v>
      </c>
      <c r="I28" s="500">
        <f t="shared" si="8"/>
        <v>0</v>
      </c>
      <c r="J28" s="500"/>
      <c r="K28" s="512"/>
      <c r="L28" s="504">
        <f t="shared" si="1"/>
        <v>0</v>
      </c>
      <c r="M28" s="512"/>
      <c r="N28" s="504">
        <f t="shared" si="2"/>
        <v>0</v>
      </c>
      <c r="O28" s="504">
        <f t="shared" si="3"/>
        <v>0</v>
      </c>
      <c r="P28" s="278"/>
      <c r="R28" s="243"/>
      <c r="S28" s="243"/>
      <c r="T28" s="243"/>
      <c r="U28" s="243"/>
    </row>
    <row r="29" spans="2:21">
      <c r="B29" s="145" t="str">
        <f t="shared" si="0"/>
        <v/>
      </c>
      <c r="C29" s="495">
        <f t="shared" si="9"/>
        <v>2024</v>
      </c>
      <c r="D29" s="508"/>
      <c r="E29" s="509">
        <f t="shared" si="4"/>
        <v>0</v>
      </c>
      <c r="F29" s="510">
        <f t="shared" si="5"/>
        <v>0</v>
      </c>
      <c r="G29" s="511">
        <f t="shared" si="6"/>
        <v>0</v>
      </c>
      <c r="H29" s="477">
        <f t="shared" si="7"/>
        <v>0</v>
      </c>
      <c r="I29" s="500">
        <f t="shared" si="8"/>
        <v>0</v>
      </c>
      <c r="J29" s="500"/>
      <c r="K29" s="512"/>
      <c r="L29" s="504">
        <f t="shared" si="1"/>
        <v>0</v>
      </c>
      <c r="M29" s="512"/>
      <c r="N29" s="504">
        <f t="shared" si="2"/>
        <v>0</v>
      </c>
      <c r="O29" s="504">
        <f t="shared" si="3"/>
        <v>0</v>
      </c>
      <c r="P29" s="278"/>
      <c r="R29" s="243"/>
      <c r="S29" s="243"/>
      <c r="T29" s="243"/>
      <c r="U29" s="243"/>
    </row>
    <row r="30" spans="2:21">
      <c r="B30" s="145" t="str">
        <f t="shared" si="0"/>
        <v/>
      </c>
      <c r="C30" s="495">
        <f t="shared" si="9"/>
        <v>2025</v>
      </c>
      <c r="D30" s="508"/>
      <c r="E30" s="509">
        <f t="shared" si="4"/>
        <v>0</v>
      </c>
      <c r="F30" s="510">
        <f t="shared" si="5"/>
        <v>0</v>
      </c>
      <c r="G30" s="511">
        <f t="shared" si="6"/>
        <v>0</v>
      </c>
      <c r="H30" s="477">
        <f t="shared" si="7"/>
        <v>0</v>
      </c>
      <c r="I30" s="500">
        <f t="shared" si="8"/>
        <v>0</v>
      </c>
      <c r="J30" s="500"/>
      <c r="K30" s="512"/>
      <c r="L30" s="504">
        <f t="shared" si="1"/>
        <v>0</v>
      </c>
      <c r="M30" s="512"/>
      <c r="N30" s="504">
        <f t="shared" si="2"/>
        <v>0</v>
      </c>
      <c r="O30" s="504">
        <f t="shared" si="3"/>
        <v>0</v>
      </c>
      <c r="P30" s="278"/>
      <c r="R30" s="243"/>
      <c r="S30" s="243"/>
      <c r="T30" s="243"/>
      <c r="U30" s="243"/>
    </row>
    <row r="31" spans="2:21">
      <c r="B31" s="145" t="str">
        <f t="shared" si="0"/>
        <v/>
      </c>
      <c r="C31" s="495">
        <f t="shared" si="9"/>
        <v>2026</v>
      </c>
      <c r="D31" s="508"/>
      <c r="E31" s="509">
        <f t="shared" si="4"/>
        <v>0</v>
      </c>
      <c r="F31" s="510">
        <f t="shared" si="5"/>
        <v>0</v>
      </c>
      <c r="G31" s="511">
        <f t="shared" si="6"/>
        <v>0</v>
      </c>
      <c r="H31" s="477">
        <f t="shared" si="7"/>
        <v>0</v>
      </c>
      <c r="I31" s="500">
        <f t="shared" si="8"/>
        <v>0</v>
      </c>
      <c r="J31" s="500"/>
      <c r="K31" s="512"/>
      <c r="L31" s="504">
        <f t="shared" si="1"/>
        <v>0</v>
      </c>
      <c r="M31" s="512"/>
      <c r="N31" s="504">
        <f t="shared" si="2"/>
        <v>0</v>
      </c>
      <c r="O31" s="504">
        <f t="shared" si="3"/>
        <v>0</v>
      </c>
      <c r="P31" s="278"/>
      <c r="Q31" s="220"/>
      <c r="R31" s="278"/>
      <c r="S31" s="278"/>
      <c r="T31" s="278"/>
      <c r="U31" s="243"/>
    </row>
    <row r="32" spans="2:21">
      <c r="B32" s="145" t="str">
        <f t="shared" si="0"/>
        <v/>
      </c>
      <c r="C32" s="495">
        <f t="shared" si="9"/>
        <v>2027</v>
      </c>
      <c r="D32" s="508"/>
      <c r="E32" s="509">
        <f t="shared" si="4"/>
        <v>0</v>
      </c>
      <c r="F32" s="510">
        <f>+D32-E32</f>
        <v>0</v>
      </c>
      <c r="G32" s="511">
        <f t="shared" si="6"/>
        <v>0</v>
      </c>
      <c r="H32" s="477">
        <f t="shared" si="7"/>
        <v>0</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 t="shared" si="9"/>
        <v>2028</v>
      </c>
      <c r="D33" s="508"/>
      <c r="E33" s="509">
        <f>IF(+I$14&lt;F31,I$14,D33)</f>
        <v>0</v>
      </c>
      <c r="F33" s="510">
        <f t="shared" si="5"/>
        <v>0</v>
      </c>
      <c r="G33" s="511">
        <f t="shared" si="6"/>
        <v>0</v>
      </c>
      <c r="H33" s="477">
        <f t="shared" si="7"/>
        <v>0</v>
      </c>
      <c r="I33" s="500">
        <f t="shared" si="8"/>
        <v>0</v>
      </c>
      <c r="J33" s="500"/>
      <c r="K33" s="512"/>
      <c r="L33" s="504">
        <f t="shared" si="1"/>
        <v>0</v>
      </c>
      <c r="M33" s="512"/>
      <c r="N33" s="504">
        <f t="shared" si="2"/>
        <v>0</v>
      </c>
      <c r="O33" s="504">
        <f t="shared" si="3"/>
        <v>0</v>
      </c>
      <c r="P33" s="278"/>
      <c r="R33" s="243"/>
      <c r="S33" s="243"/>
      <c r="T33" s="243"/>
      <c r="U33" s="243"/>
    </row>
    <row r="34" spans="2:21">
      <c r="B34" s="145" t="str">
        <f t="shared" si="0"/>
        <v/>
      </c>
      <c r="C34" s="495">
        <f t="shared" si="9"/>
        <v>2029</v>
      </c>
      <c r="D34" s="508"/>
      <c r="E34" s="509">
        <f t="shared" ref="E34:E73" si="10">IF(+I$14&lt;F33,I$14,D34)</f>
        <v>0</v>
      </c>
      <c r="F34" s="510">
        <f t="shared" si="5"/>
        <v>0</v>
      </c>
      <c r="G34" s="511">
        <f t="shared" si="6"/>
        <v>0</v>
      </c>
      <c r="H34" s="477">
        <f t="shared" si="7"/>
        <v>0</v>
      </c>
      <c r="I34" s="500">
        <f t="shared" si="8"/>
        <v>0</v>
      </c>
      <c r="J34" s="500"/>
      <c r="K34" s="512"/>
      <c r="L34" s="504">
        <f t="shared" si="1"/>
        <v>0</v>
      </c>
      <c r="M34" s="512"/>
      <c r="N34" s="504">
        <f t="shared" si="2"/>
        <v>0</v>
      </c>
      <c r="O34" s="504">
        <f t="shared" si="3"/>
        <v>0</v>
      </c>
      <c r="P34" s="522"/>
      <c r="Q34" s="216"/>
      <c r="R34" s="522"/>
      <c r="S34" s="522"/>
      <c r="T34" s="522"/>
      <c r="U34" s="243"/>
    </row>
    <row r="35" spans="2:21">
      <c r="B35" s="145" t="str">
        <f t="shared" si="0"/>
        <v/>
      </c>
      <c r="C35" s="495">
        <f t="shared" si="9"/>
        <v>2030</v>
      </c>
      <c r="D35" s="508"/>
      <c r="E35" s="509">
        <f t="shared" si="10"/>
        <v>0</v>
      </c>
      <c r="F35" s="510">
        <f t="shared" si="5"/>
        <v>0</v>
      </c>
      <c r="G35" s="511">
        <f t="shared" si="6"/>
        <v>0</v>
      </c>
      <c r="H35" s="477">
        <f t="shared" si="7"/>
        <v>0</v>
      </c>
      <c r="I35" s="500">
        <f t="shared" si="8"/>
        <v>0</v>
      </c>
      <c r="J35" s="500"/>
      <c r="K35" s="512"/>
      <c r="L35" s="504">
        <f t="shared" si="1"/>
        <v>0</v>
      </c>
      <c r="M35" s="512"/>
      <c r="N35" s="504">
        <f t="shared" si="2"/>
        <v>0</v>
      </c>
      <c r="O35" s="504">
        <f t="shared" si="3"/>
        <v>0</v>
      </c>
      <c r="P35" s="278"/>
      <c r="R35" s="243"/>
      <c r="S35" s="243"/>
      <c r="T35" s="243"/>
      <c r="U35" s="243"/>
    </row>
    <row r="36" spans="2:21">
      <c r="B36" s="145" t="str">
        <f t="shared" si="0"/>
        <v/>
      </c>
      <c r="C36" s="495">
        <f t="shared" si="9"/>
        <v>2031</v>
      </c>
      <c r="D36" s="508"/>
      <c r="E36" s="509">
        <f t="shared" si="10"/>
        <v>0</v>
      </c>
      <c r="F36" s="510">
        <f t="shared" si="5"/>
        <v>0</v>
      </c>
      <c r="G36" s="511">
        <f t="shared" si="6"/>
        <v>0</v>
      </c>
      <c r="H36" s="477">
        <f t="shared" si="7"/>
        <v>0</v>
      </c>
      <c r="I36" s="500">
        <f t="shared" si="8"/>
        <v>0</v>
      </c>
      <c r="J36" s="500"/>
      <c r="K36" s="512"/>
      <c r="L36" s="504">
        <f t="shared" si="1"/>
        <v>0</v>
      </c>
      <c r="M36" s="512"/>
      <c r="N36" s="504">
        <f t="shared" si="2"/>
        <v>0</v>
      </c>
      <c r="O36" s="504">
        <f t="shared" si="3"/>
        <v>0</v>
      </c>
      <c r="P36" s="278"/>
      <c r="R36" s="243"/>
      <c r="S36" s="243"/>
      <c r="T36" s="243"/>
      <c r="U36" s="243"/>
    </row>
    <row r="37" spans="2:21">
      <c r="B37" s="145" t="str">
        <f t="shared" si="0"/>
        <v/>
      </c>
      <c r="C37" s="495">
        <f t="shared" si="9"/>
        <v>2032</v>
      </c>
      <c r="D37" s="508"/>
      <c r="E37" s="509">
        <f t="shared" si="10"/>
        <v>0</v>
      </c>
      <c r="F37" s="510">
        <f t="shared" si="5"/>
        <v>0</v>
      </c>
      <c r="G37" s="511">
        <f t="shared" si="6"/>
        <v>0</v>
      </c>
      <c r="H37" s="477">
        <f t="shared" si="7"/>
        <v>0</v>
      </c>
      <c r="I37" s="500">
        <f t="shared" si="8"/>
        <v>0</v>
      </c>
      <c r="J37" s="500"/>
      <c r="K37" s="512"/>
      <c r="L37" s="504">
        <f t="shared" si="1"/>
        <v>0</v>
      </c>
      <c r="M37" s="512"/>
      <c r="N37" s="504">
        <f t="shared" si="2"/>
        <v>0</v>
      </c>
      <c r="O37" s="504">
        <f t="shared" si="3"/>
        <v>0</v>
      </c>
      <c r="P37" s="278"/>
      <c r="R37" s="243"/>
      <c r="S37" s="243"/>
      <c r="T37" s="243"/>
      <c r="U37" s="243"/>
    </row>
    <row r="38" spans="2:21">
      <c r="B38" s="145" t="str">
        <f t="shared" si="0"/>
        <v/>
      </c>
      <c r="C38" s="495">
        <f t="shared" si="9"/>
        <v>2033</v>
      </c>
      <c r="D38" s="508"/>
      <c r="E38" s="509">
        <f t="shared" si="10"/>
        <v>0</v>
      </c>
      <c r="F38" s="510">
        <f t="shared" si="5"/>
        <v>0</v>
      </c>
      <c r="G38" s="511">
        <f t="shared" si="6"/>
        <v>0</v>
      </c>
      <c r="H38" s="477">
        <f t="shared" si="7"/>
        <v>0</v>
      </c>
      <c r="I38" s="500">
        <f t="shared" si="8"/>
        <v>0</v>
      </c>
      <c r="J38" s="500"/>
      <c r="K38" s="512"/>
      <c r="L38" s="504">
        <f t="shared" si="1"/>
        <v>0</v>
      </c>
      <c r="M38" s="512"/>
      <c r="N38" s="504">
        <f t="shared" si="2"/>
        <v>0</v>
      </c>
      <c r="O38" s="504">
        <f t="shared" si="3"/>
        <v>0</v>
      </c>
      <c r="P38" s="278"/>
      <c r="R38" s="243"/>
      <c r="S38" s="243"/>
      <c r="T38" s="243"/>
      <c r="U38" s="243"/>
    </row>
    <row r="39" spans="2:21">
      <c r="B39" s="145" t="str">
        <f t="shared" si="0"/>
        <v/>
      </c>
      <c r="C39" s="495">
        <f t="shared" si="9"/>
        <v>2034</v>
      </c>
      <c r="D39" s="508"/>
      <c r="E39" s="509">
        <f t="shared" si="10"/>
        <v>0</v>
      </c>
      <c r="F39" s="510">
        <f t="shared" si="5"/>
        <v>0</v>
      </c>
      <c r="G39" s="511">
        <f t="shared" si="6"/>
        <v>0</v>
      </c>
      <c r="H39" s="477">
        <f t="shared" si="7"/>
        <v>0</v>
      </c>
      <c r="I39" s="500">
        <f t="shared" si="8"/>
        <v>0</v>
      </c>
      <c r="J39" s="500"/>
      <c r="K39" s="512"/>
      <c r="L39" s="504">
        <f t="shared" si="1"/>
        <v>0</v>
      </c>
      <c r="M39" s="512"/>
      <c r="N39" s="504">
        <f t="shared" si="2"/>
        <v>0</v>
      </c>
      <c r="O39" s="504">
        <f t="shared" si="3"/>
        <v>0</v>
      </c>
      <c r="P39" s="278"/>
      <c r="R39" s="243"/>
      <c r="S39" s="243"/>
      <c r="T39" s="243"/>
      <c r="U39" s="243"/>
    </row>
    <row r="40" spans="2:21">
      <c r="B40" s="145" t="str">
        <f t="shared" si="0"/>
        <v/>
      </c>
      <c r="C40" s="495">
        <f t="shared" si="9"/>
        <v>2035</v>
      </c>
      <c r="D40" s="508"/>
      <c r="E40" s="509">
        <f t="shared" si="10"/>
        <v>0</v>
      </c>
      <c r="F40" s="510">
        <f t="shared" si="5"/>
        <v>0</v>
      </c>
      <c r="G40" s="511">
        <f t="shared" si="6"/>
        <v>0</v>
      </c>
      <c r="H40" s="477">
        <f t="shared" si="7"/>
        <v>0</v>
      </c>
      <c r="I40" s="500">
        <f t="shared" si="8"/>
        <v>0</v>
      </c>
      <c r="J40" s="500"/>
      <c r="K40" s="512"/>
      <c r="L40" s="504">
        <f t="shared" si="1"/>
        <v>0</v>
      </c>
      <c r="M40" s="512"/>
      <c r="N40" s="504">
        <f t="shared" si="2"/>
        <v>0</v>
      </c>
      <c r="O40" s="504">
        <f t="shared" si="3"/>
        <v>0</v>
      </c>
      <c r="P40" s="278"/>
      <c r="R40" s="243"/>
      <c r="S40" s="243"/>
      <c r="T40" s="243"/>
      <c r="U40" s="243"/>
    </row>
    <row r="41" spans="2:21">
      <c r="B41" s="145" t="str">
        <f t="shared" si="0"/>
        <v/>
      </c>
      <c r="C41" s="495">
        <f t="shared" si="9"/>
        <v>2036</v>
      </c>
      <c r="D41" s="508"/>
      <c r="E41" s="509">
        <f t="shared" si="10"/>
        <v>0</v>
      </c>
      <c r="F41" s="510">
        <f t="shared" si="5"/>
        <v>0</v>
      </c>
      <c r="G41" s="511">
        <f t="shared" si="6"/>
        <v>0</v>
      </c>
      <c r="H41" s="477">
        <f t="shared" si="7"/>
        <v>0</v>
      </c>
      <c r="I41" s="500">
        <f t="shared" si="8"/>
        <v>0</v>
      </c>
      <c r="J41" s="500"/>
      <c r="K41" s="512"/>
      <c r="L41" s="504">
        <f t="shared" si="1"/>
        <v>0</v>
      </c>
      <c r="M41" s="512"/>
      <c r="N41" s="504">
        <f t="shared" si="2"/>
        <v>0</v>
      </c>
      <c r="O41" s="504">
        <f t="shared" si="3"/>
        <v>0</v>
      </c>
      <c r="P41" s="278"/>
      <c r="R41" s="243"/>
      <c r="S41" s="243"/>
      <c r="T41" s="243"/>
      <c r="U41" s="243"/>
    </row>
    <row r="42" spans="2:21">
      <c r="B42" s="145" t="str">
        <f t="shared" si="0"/>
        <v/>
      </c>
      <c r="C42" s="495">
        <f t="shared" si="9"/>
        <v>2037</v>
      </c>
      <c r="D42" s="508"/>
      <c r="E42" s="509">
        <f t="shared" si="10"/>
        <v>0</v>
      </c>
      <c r="F42" s="510">
        <f t="shared" si="5"/>
        <v>0</v>
      </c>
      <c r="G42" s="511">
        <f t="shared" si="6"/>
        <v>0</v>
      </c>
      <c r="H42" s="477">
        <f t="shared" si="7"/>
        <v>0</v>
      </c>
      <c r="I42" s="500">
        <f t="shared" si="8"/>
        <v>0</v>
      </c>
      <c r="J42" s="500"/>
      <c r="K42" s="512"/>
      <c r="L42" s="504">
        <f t="shared" si="1"/>
        <v>0</v>
      </c>
      <c r="M42" s="512"/>
      <c r="N42" s="504">
        <f t="shared" si="2"/>
        <v>0</v>
      </c>
      <c r="O42" s="504">
        <f t="shared" si="3"/>
        <v>0</v>
      </c>
      <c r="P42" s="278"/>
      <c r="R42" s="243"/>
      <c r="S42" s="243"/>
      <c r="T42" s="243"/>
      <c r="U42" s="243"/>
    </row>
    <row r="43" spans="2:21">
      <c r="B43" s="145" t="str">
        <f t="shared" si="0"/>
        <v/>
      </c>
      <c r="C43" s="495">
        <f t="shared" si="9"/>
        <v>2038</v>
      </c>
      <c r="D43" s="508"/>
      <c r="E43" s="509">
        <f t="shared" si="10"/>
        <v>0</v>
      </c>
      <c r="F43" s="510">
        <f t="shared" si="5"/>
        <v>0</v>
      </c>
      <c r="G43" s="511">
        <f t="shared" si="6"/>
        <v>0</v>
      </c>
      <c r="H43" s="477">
        <f t="shared" si="7"/>
        <v>0</v>
      </c>
      <c r="I43" s="500">
        <f t="shared" si="8"/>
        <v>0</v>
      </c>
      <c r="J43" s="500"/>
      <c r="K43" s="512"/>
      <c r="L43" s="504">
        <f t="shared" si="1"/>
        <v>0</v>
      </c>
      <c r="M43" s="512"/>
      <c r="N43" s="504">
        <f t="shared" si="2"/>
        <v>0</v>
      </c>
      <c r="O43" s="504">
        <f t="shared" si="3"/>
        <v>0</v>
      </c>
      <c r="P43" s="278"/>
      <c r="R43" s="243"/>
      <c r="S43" s="243"/>
      <c r="T43" s="243"/>
      <c r="U43" s="243"/>
    </row>
    <row r="44" spans="2:21">
      <c r="B44" s="145" t="str">
        <f t="shared" si="0"/>
        <v/>
      </c>
      <c r="C44" s="495">
        <f t="shared" si="9"/>
        <v>2039</v>
      </c>
      <c r="D44" s="508"/>
      <c r="E44" s="509">
        <f t="shared" si="10"/>
        <v>0</v>
      </c>
      <c r="F44" s="510">
        <f t="shared" si="5"/>
        <v>0</v>
      </c>
      <c r="G44" s="511">
        <f t="shared" si="6"/>
        <v>0</v>
      </c>
      <c r="H44" s="477">
        <f t="shared" si="7"/>
        <v>0</v>
      </c>
      <c r="I44" s="500">
        <f t="shared" si="8"/>
        <v>0</v>
      </c>
      <c r="J44" s="500"/>
      <c r="K44" s="512"/>
      <c r="L44" s="504">
        <f t="shared" si="1"/>
        <v>0</v>
      </c>
      <c r="M44" s="512"/>
      <c r="N44" s="504">
        <f t="shared" si="2"/>
        <v>0</v>
      </c>
      <c r="O44" s="504">
        <f t="shared" si="3"/>
        <v>0</v>
      </c>
      <c r="P44" s="278"/>
      <c r="R44" s="243"/>
      <c r="S44" s="243"/>
      <c r="T44" s="243"/>
      <c r="U44" s="243"/>
    </row>
    <row r="45" spans="2:21">
      <c r="B45" s="145" t="str">
        <f t="shared" si="0"/>
        <v/>
      </c>
      <c r="C45" s="495">
        <f t="shared" si="9"/>
        <v>2040</v>
      </c>
      <c r="D45" s="508"/>
      <c r="E45" s="509">
        <f t="shared" si="10"/>
        <v>0</v>
      </c>
      <c r="F45" s="510">
        <f t="shared" si="5"/>
        <v>0</v>
      </c>
      <c r="G45" s="511">
        <f t="shared" si="6"/>
        <v>0</v>
      </c>
      <c r="H45" s="477">
        <f t="shared" si="7"/>
        <v>0</v>
      </c>
      <c r="I45" s="500">
        <f t="shared" si="8"/>
        <v>0</v>
      </c>
      <c r="J45" s="500"/>
      <c r="K45" s="512"/>
      <c r="L45" s="504">
        <f t="shared" si="1"/>
        <v>0</v>
      </c>
      <c r="M45" s="512"/>
      <c r="N45" s="504">
        <f t="shared" si="2"/>
        <v>0</v>
      </c>
      <c r="O45" s="504">
        <f t="shared" si="3"/>
        <v>0</v>
      </c>
      <c r="P45" s="278"/>
      <c r="R45" s="243"/>
      <c r="S45" s="243"/>
      <c r="T45" s="243"/>
      <c r="U45" s="243"/>
    </row>
    <row r="46" spans="2:21">
      <c r="B46" s="145" t="str">
        <f t="shared" si="0"/>
        <v/>
      </c>
      <c r="C46" s="495">
        <f t="shared" si="9"/>
        <v>2041</v>
      </c>
      <c r="D46" s="508"/>
      <c r="E46" s="509">
        <f t="shared" si="10"/>
        <v>0</v>
      </c>
      <c r="F46" s="510">
        <f t="shared" si="5"/>
        <v>0</v>
      </c>
      <c r="G46" s="511">
        <f t="shared" si="6"/>
        <v>0</v>
      </c>
      <c r="H46" s="477">
        <f t="shared" si="7"/>
        <v>0</v>
      </c>
      <c r="I46" s="500">
        <f t="shared" si="8"/>
        <v>0</v>
      </c>
      <c r="J46" s="500"/>
      <c r="K46" s="512"/>
      <c r="L46" s="504">
        <f t="shared" si="1"/>
        <v>0</v>
      </c>
      <c r="M46" s="512"/>
      <c r="N46" s="504">
        <f t="shared" si="2"/>
        <v>0</v>
      </c>
      <c r="O46" s="504">
        <f t="shared" si="3"/>
        <v>0</v>
      </c>
      <c r="P46" s="278"/>
      <c r="R46" s="243"/>
      <c r="S46" s="243"/>
      <c r="T46" s="243"/>
      <c r="U46" s="243"/>
    </row>
    <row r="47" spans="2:21">
      <c r="B47" s="145" t="str">
        <f t="shared" si="0"/>
        <v/>
      </c>
      <c r="C47" s="495">
        <f t="shared" si="9"/>
        <v>2042</v>
      </c>
      <c r="D47" s="508"/>
      <c r="E47" s="509">
        <f t="shared" si="10"/>
        <v>0</v>
      </c>
      <c r="F47" s="510">
        <f t="shared" si="5"/>
        <v>0</v>
      </c>
      <c r="G47" s="511">
        <f t="shared" si="6"/>
        <v>0</v>
      </c>
      <c r="H47" s="477">
        <f t="shared" si="7"/>
        <v>0</v>
      </c>
      <c r="I47" s="500">
        <f t="shared" si="8"/>
        <v>0</v>
      </c>
      <c r="J47" s="500"/>
      <c r="K47" s="512"/>
      <c r="L47" s="504">
        <f t="shared" si="1"/>
        <v>0</v>
      </c>
      <c r="M47" s="512"/>
      <c r="N47" s="504">
        <f t="shared" si="2"/>
        <v>0</v>
      </c>
      <c r="O47" s="504">
        <f t="shared" si="3"/>
        <v>0</v>
      </c>
      <c r="P47" s="278"/>
      <c r="R47" s="243"/>
      <c r="S47" s="243"/>
      <c r="T47" s="243"/>
      <c r="U47" s="243"/>
    </row>
    <row r="48" spans="2:21">
      <c r="B48" s="145" t="str">
        <f t="shared" si="0"/>
        <v/>
      </c>
      <c r="C48" s="495">
        <f t="shared" si="9"/>
        <v>2043</v>
      </c>
      <c r="D48" s="508"/>
      <c r="E48" s="509">
        <f t="shared" si="10"/>
        <v>0</v>
      </c>
      <c r="F48" s="510">
        <f t="shared" si="5"/>
        <v>0</v>
      </c>
      <c r="G48" s="511">
        <f t="shared" si="6"/>
        <v>0</v>
      </c>
      <c r="H48" s="477">
        <f t="shared" si="7"/>
        <v>0</v>
      </c>
      <c r="I48" s="500">
        <f t="shared" si="8"/>
        <v>0</v>
      </c>
      <c r="J48" s="500"/>
      <c r="K48" s="512"/>
      <c r="L48" s="504">
        <f t="shared" si="1"/>
        <v>0</v>
      </c>
      <c r="M48" s="512"/>
      <c r="N48" s="504">
        <f t="shared" si="2"/>
        <v>0</v>
      </c>
      <c r="O48" s="504">
        <f t="shared" si="3"/>
        <v>0</v>
      </c>
      <c r="P48" s="278"/>
      <c r="R48" s="243"/>
      <c r="S48" s="243"/>
      <c r="T48" s="243"/>
      <c r="U48" s="243"/>
    </row>
    <row r="49" spans="2:21">
      <c r="B49" s="145" t="str">
        <f t="shared" si="0"/>
        <v/>
      </c>
      <c r="C49" s="495">
        <f t="shared" si="9"/>
        <v>2044</v>
      </c>
      <c r="D49" s="508"/>
      <c r="E49" s="509">
        <f t="shared" si="10"/>
        <v>0</v>
      </c>
      <c r="F49" s="510">
        <f t="shared" si="5"/>
        <v>0</v>
      </c>
      <c r="G49" s="511">
        <f t="shared" si="6"/>
        <v>0</v>
      </c>
      <c r="H49" s="477">
        <f t="shared" si="7"/>
        <v>0</v>
      </c>
      <c r="I49" s="500">
        <f t="shared" si="8"/>
        <v>0</v>
      </c>
      <c r="J49" s="500"/>
      <c r="K49" s="512"/>
      <c r="L49" s="504">
        <f t="shared" si="1"/>
        <v>0</v>
      </c>
      <c r="M49" s="512"/>
      <c r="N49" s="504">
        <f t="shared" si="2"/>
        <v>0</v>
      </c>
      <c r="O49" s="504">
        <f t="shared" si="3"/>
        <v>0</v>
      </c>
      <c r="P49" s="278"/>
      <c r="R49" s="243"/>
      <c r="S49" s="243"/>
      <c r="T49" s="243"/>
      <c r="U49" s="243"/>
    </row>
    <row r="50" spans="2:21">
      <c r="B50" s="145" t="str">
        <f t="shared" ref="B50:B73" si="11">IF(D50=F49,"","IU")</f>
        <v/>
      </c>
      <c r="C50" s="495">
        <f t="shared" si="9"/>
        <v>2045</v>
      </c>
      <c r="D50" s="508"/>
      <c r="E50" s="509">
        <f t="shared" si="10"/>
        <v>0</v>
      </c>
      <c r="F50" s="510">
        <f t="shared" ref="F50:F73" si="12">+D50-E50</f>
        <v>0</v>
      </c>
      <c r="G50" s="511">
        <f t="shared" si="6"/>
        <v>0</v>
      </c>
      <c r="H50" s="477">
        <f t="shared" si="7"/>
        <v>0</v>
      </c>
      <c r="I50" s="500">
        <f t="shared" ref="I50:I73" si="13">H50-G50</f>
        <v>0</v>
      </c>
      <c r="J50" s="500"/>
      <c r="K50" s="512"/>
      <c r="L50" s="504">
        <f t="shared" ref="L50:L73" si="14">IF(K50&lt;&gt;0,+G50-K50,0)</f>
        <v>0</v>
      </c>
      <c r="M50" s="512"/>
      <c r="N50" s="504">
        <f t="shared" ref="N50:N73" si="15">IF(M50&lt;&gt;0,+H50-M50,0)</f>
        <v>0</v>
      </c>
      <c r="O50" s="504">
        <f t="shared" ref="O50:O73" si="16">+N50-L50</f>
        <v>0</v>
      </c>
      <c r="P50" s="278"/>
      <c r="R50" s="243"/>
      <c r="S50" s="243"/>
      <c r="T50" s="243"/>
      <c r="U50" s="243"/>
    </row>
    <row r="51" spans="2:21">
      <c r="B51" s="145" t="str">
        <f t="shared" si="11"/>
        <v/>
      </c>
      <c r="C51" s="495">
        <f t="shared" si="9"/>
        <v>2046</v>
      </c>
      <c r="D51" s="508"/>
      <c r="E51" s="509">
        <f t="shared" si="10"/>
        <v>0</v>
      </c>
      <c r="F51" s="510">
        <f t="shared" si="12"/>
        <v>0</v>
      </c>
      <c r="G51" s="511">
        <f t="shared" si="6"/>
        <v>0</v>
      </c>
      <c r="H51" s="477">
        <f t="shared" si="7"/>
        <v>0</v>
      </c>
      <c r="I51" s="500">
        <f t="shared" si="13"/>
        <v>0</v>
      </c>
      <c r="J51" s="500"/>
      <c r="K51" s="512"/>
      <c r="L51" s="504">
        <f t="shared" si="14"/>
        <v>0</v>
      </c>
      <c r="M51" s="512"/>
      <c r="N51" s="504">
        <f t="shared" si="15"/>
        <v>0</v>
      </c>
      <c r="O51" s="504">
        <f t="shared" si="16"/>
        <v>0</v>
      </c>
      <c r="P51" s="278"/>
      <c r="R51" s="243"/>
      <c r="S51" s="243"/>
      <c r="T51" s="243"/>
      <c r="U51" s="243"/>
    </row>
    <row r="52" spans="2:21">
      <c r="B52" s="145" t="str">
        <f t="shared" si="11"/>
        <v/>
      </c>
      <c r="C52" s="495">
        <f t="shared" si="9"/>
        <v>2047</v>
      </c>
      <c r="D52" s="508"/>
      <c r="E52" s="509">
        <f t="shared" si="10"/>
        <v>0</v>
      </c>
      <c r="F52" s="510">
        <f t="shared" si="12"/>
        <v>0</v>
      </c>
      <c r="G52" s="511">
        <f t="shared" si="6"/>
        <v>0</v>
      </c>
      <c r="H52" s="477">
        <f t="shared" si="7"/>
        <v>0</v>
      </c>
      <c r="I52" s="500">
        <f t="shared" si="13"/>
        <v>0</v>
      </c>
      <c r="J52" s="500"/>
      <c r="K52" s="512"/>
      <c r="L52" s="504">
        <f t="shared" si="14"/>
        <v>0</v>
      </c>
      <c r="M52" s="512"/>
      <c r="N52" s="504">
        <f t="shared" si="15"/>
        <v>0</v>
      </c>
      <c r="O52" s="504">
        <f t="shared" si="16"/>
        <v>0</v>
      </c>
      <c r="P52" s="278"/>
      <c r="R52" s="243"/>
      <c r="S52" s="243"/>
      <c r="T52" s="243"/>
      <c r="U52" s="243"/>
    </row>
    <row r="53" spans="2:21">
      <c r="B53" s="145" t="str">
        <f t="shared" si="11"/>
        <v/>
      </c>
      <c r="C53" s="495">
        <f t="shared" si="9"/>
        <v>2048</v>
      </c>
      <c r="D53" s="508"/>
      <c r="E53" s="509">
        <f t="shared" si="10"/>
        <v>0</v>
      </c>
      <c r="F53" s="510">
        <f t="shared" si="12"/>
        <v>0</v>
      </c>
      <c r="G53" s="511">
        <f t="shared" si="6"/>
        <v>0</v>
      </c>
      <c r="H53" s="477">
        <f t="shared" si="7"/>
        <v>0</v>
      </c>
      <c r="I53" s="500">
        <f t="shared" si="13"/>
        <v>0</v>
      </c>
      <c r="J53" s="500"/>
      <c r="K53" s="512"/>
      <c r="L53" s="504">
        <f t="shared" si="14"/>
        <v>0</v>
      </c>
      <c r="M53" s="512"/>
      <c r="N53" s="504">
        <f t="shared" si="15"/>
        <v>0</v>
      </c>
      <c r="O53" s="504">
        <f t="shared" si="16"/>
        <v>0</v>
      </c>
      <c r="P53" s="278"/>
      <c r="R53" s="243"/>
      <c r="S53" s="243"/>
      <c r="T53" s="243"/>
      <c r="U53" s="243"/>
    </row>
    <row r="54" spans="2:21">
      <c r="B54" s="145" t="str">
        <f t="shared" si="11"/>
        <v/>
      </c>
      <c r="C54" s="495">
        <f t="shared" si="9"/>
        <v>2049</v>
      </c>
      <c r="D54" s="508"/>
      <c r="E54" s="509">
        <f t="shared" si="10"/>
        <v>0</v>
      </c>
      <c r="F54" s="510">
        <f t="shared" si="12"/>
        <v>0</v>
      </c>
      <c r="G54" s="511">
        <f t="shared" si="6"/>
        <v>0</v>
      </c>
      <c r="H54" s="477">
        <f t="shared" si="7"/>
        <v>0</v>
      </c>
      <c r="I54" s="500">
        <f t="shared" si="13"/>
        <v>0</v>
      </c>
      <c r="J54" s="500"/>
      <c r="K54" s="512"/>
      <c r="L54" s="504">
        <f t="shared" si="14"/>
        <v>0</v>
      </c>
      <c r="M54" s="512"/>
      <c r="N54" s="504">
        <f t="shared" si="15"/>
        <v>0</v>
      </c>
      <c r="O54" s="504">
        <f t="shared" si="16"/>
        <v>0</v>
      </c>
      <c r="P54" s="278"/>
      <c r="R54" s="243"/>
      <c r="S54" s="243"/>
      <c r="T54" s="243"/>
      <c r="U54" s="243"/>
    </row>
    <row r="55" spans="2:21">
      <c r="B55" s="145" t="str">
        <f t="shared" si="11"/>
        <v/>
      </c>
      <c r="C55" s="495">
        <f t="shared" si="9"/>
        <v>2050</v>
      </c>
      <c r="D55" s="508"/>
      <c r="E55" s="509">
        <f t="shared" si="10"/>
        <v>0</v>
      </c>
      <c r="F55" s="510">
        <f t="shared" si="12"/>
        <v>0</v>
      </c>
      <c r="G55" s="511">
        <f t="shared" si="6"/>
        <v>0</v>
      </c>
      <c r="H55" s="477">
        <f t="shared" si="7"/>
        <v>0</v>
      </c>
      <c r="I55" s="500">
        <f t="shared" si="13"/>
        <v>0</v>
      </c>
      <c r="J55" s="500"/>
      <c r="K55" s="512"/>
      <c r="L55" s="504">
        <f t="shared" si="14"/>
        <v>0</v>
      </c>
      <c r="M55" s="512"/>
      <c r="N55" s="504">
        <f t="shared" si="15"/>
        <v>0</v>
      </c>
      <c r="O55" s="504">
        <f t="shared" si="16"/>
        <v>0</v>
      </c>
      <c r="P55" s="278"/>
      <c r="R55" s="243"/>
      <c r="S55" s="243"/>
      <c r="T55" s="243"/>
      <c r="U55" s="243"/>
    </row>
    <row r="56" spans="2:21">
      <c r="B56" s="145" t="str">
        <f t="shared" si="11"/>
        <v/>
      </c>
      <c r="C56" s="495">
        <f t="shared" si="9"/>
        <v>2051</v>
      </c>
      <c r="D56" s="508"/>
      <c r="E56" s="509">
        <f t="shared" si="10"/>
        <v>0</v>
      </c>
      <c r="F56" s="510">
        <f t="shared" si="12"/>
        <v>0</v>
      </c>
      <c r="G56" s="511">
        <f t="shared" si="6"/>
        <v>0</v>
      </c>
      <c r="H56" s="477">
        <f t="shared" si="7"/>
        <v>0</v>
      </c>
      <c r="I56" s="500">
        <f t="shared" si="13"/>
        <v>0</v>
      </c>
      <c r="J56" s="500"/>
      <c r="K56" s="512"/>
      <c r="L56" s="504">
        <f t="shared" si="14"/>
        <v>0</v>
      </c>
      <c r="M56" s="512"/>
      <c r="N56" s="504">
        <f t="shared" si="15"/>
        <v>0</v>
      </c>
      <c r="O56" s="504">
        <f t="shared" si="16"/>
        <v>0</v>
      </c>
      <c r="P56" s="278"/>
      <c r="R56" s="243"/>
      <c r="S56" s="243"/>
      <c r="T56" s="243"/>
      <c r="U56" s="243"/>
    </row>
    <row r="57" spans="2:21">
      <c r="B57" s="145" t="str">
        <f t="shared" si="11"/>
        <v/>
      </c>
      <c r="C57" s="495">
        <f t="shared" si="9"/>
        <v>2052</v>
      </c>
      <c r="D57" s="508"/>
      <c r="E57" s="509">
        <f t="shared" si="10"/>
        <v>0</v>
      </c>
      <c r="F57" s="510">
        <f t="shared" si="12"/>
        <v>0</v>
      </c>
      <c r="G57" s="511">
        <f t="shared" si="6"/>
        <v>0</v>
      </c>
      <c r="H57" s="477">
        <f t="shared" si="7"/>
        <v>0</v>
      </c>
      <c r="I57" s="500">
        <f t="shared" si="13"/>
        <v>0</v>
      </c>
      <c r="J57" s="500"/>
      <c r="K57" s="512"/>
      <c r="L57" s="504">
        <f t="shared" si="14"/>
        <v>0</v>
      </c>
      <c r="M57" s="512"/>
      <c r="N57" s="504">
        <f t="shared" si="15"/>
        <v>0</v>
      </c>
      <c r="O57" s="504">
        <f t="shared" si="16"/>
        <v>0</v>
      </c>
      <c r="P57" s="278"/>
      <c r="R57" s="243"/>
      <c r="S57" s="243"/>
      <c r="T57" s="243"/>
      <c r="U57" s="243"/>
    </row>
    <row r="58" spans="2:21">
      <c r="B58" s="145" t="str">
        <f t="shared" si="11"/>
        <v/>
      </c>
      <c r="C58" s="495">
        <f t="shared" si="9"/>
        <v>2053</v>
      </c>
      <c r="D58" s="508"/>
      <c r="E58" s="509">
        <f t="shared" si="10"/>
        <v>0</v>
      </c>
      <c r="F58" s="510">
        <f t="shared" si="12"/>
        <v>0</v>
      </c>
      <c r="G58" s="511">
        <f t="shared" si="6"/>
        <v>0</v>
      </c>
      <c r="H58" s="477">
        <f t="shared" si="7"/>
        <v>0</v>
      </c>
      <c r="I58" s="500">
        <f t="shared" si="13"/>
        <v>0</v>
      </c>
      <c r="J58" s="500"/>
      <c r="K58" s="512"/>
      <c r="L58" s="504">
        <f t="shared" si="14"/>
        <v>0</v>
      </c>
      <c r="M58" s="512"/>
      <c r="N58" s="504">
        <f t="shared" si="15"/>
        <v>0</v>
      </c>
      <c r="O58" s="504">
        <f t="shared" si="16"/>
        <v>0</v>
      </c>
      <c r="P58" s="278"/>
      <c r="R58" s="243"/>
      <c r="S58" s="243"/>
      <c r="T58" s="243"/>
      <c r="U58" s="243"/>
    </row>
    <row r="59" spans="2:21">
      <c r="B59" s="145" t="str">
        <f t="shared" si="11"/>
        <v/>
      </c>
      <c r="C59" s="495">
        <f t="shared" si="9"/>
        <v>2054</v>
      </c>
      <c r="D59" s="508"/>
      <c r="E59" s="509">
        <f t="shared" si="10"/>
        <v>0</v>
      </c>
      <c r="F59" s="510">
        <f t="shared" si="12"/>
        <v>0</v>
      </c>
      <c r="G59" s="511">
        <f t="shared" si="6"/>
        <v>0</v>
      </c>
      <c r="H59" s="477">
        <f t="shared" si="7"/>
        <v>0</v>
      </c>
      <c r="I59" s="500">
        <f t="shared" si="13"/>
        <v>0</v>
      </c>
      <c r="J59" s="500"/>
      <c r="K59" s="512"/>
      <c r="L59" s="504">
        <f t="shared" si="14"/>
        <v>0</v>
      </c>
      <c r="M59" s="512"/>
      <c r="N59" s="504">
        <f t="shared" si="15"/>
        <v>0</v>
      </c>
      <c r="O59" s="504">
        <f t="shared" si="16"/>
        <v>0</v>
      </c>
      <c r="P59" s="278"/>
      <c r="R59" s="243"/>
      <c r="S59" s="243"/>
      <c r="T59" s="243"/>
      <c r="U59" s="243"/>
    </row>
    <row r="60" spans="2:21">
      <c r="B60" s="145" t="str">
        <f t="shared" si="11"/>
        <v/>
      </c>
      <c r="C60" s="495">
        <f t="shared" si="9"/>
        <v>2055</v>
      </c>
      <c r="D60" s="508"/>
      <c r="E60" s="509">
        <f t="shared" si="10"/>
        <v>0</v>
      </c>
      <c r="F60" s="510">
        <f t="shared" si="12"/>
        <v>0</v>
      </c>
      <c r="G60" s="511">
        <f t="shared" si="6"/>
        <v>0</v>
      </c>
      <c r="H60" s="477">
        <f t="shared" si="7"/>
        <v>0</v>
      </c>
      <c r="I60" s="500">
        <f t="shared" si="13"/>
        <v>0</v>
      </c>
      <c r="J60" s="500"/>
      <c r="K60" s="512"/>
      <c r="L60" s="504">
        <f t="shared" si="14"/>
        <v>0</v>
      </c>
      <c r="M60" s="512"/>
      <c r="N60" s="504">
        <f t="shared" si="15"/>
        <v>0</v>
      </c>
      <c r="O60" s="504">
        <f t="shared" si="16"/>
        <v>0</v>
      </c>
      <c r="P60" s="278"/>
      <c r="R60" s="243"/>
      <c r="S60" s="243"/>
      <c r="T60" s="243"/>
      <c r="U60" s="243"/>
    </row>
    <row r="61" spans="2:21">
      <c r="B61" s="145" t="str">
        <f t="shared" si="11"/>
        <v/>
      </c>
      <c r="C61" s="495">
        <f t="shared" si="9"/>
        <v>2056</v>
      </c>
      <c r="D61" s="508"/>
      <c r="E61" s="509">
        <f t="shared" si="10"/>
        <v>0</v>
      </c>
      <c r="F61" s="510">
        <f t="shared" si="12"/>
        <v>0</v>
      </c>
      <c r="G61" s="511">
        <f t="shared" si="6"/>
        <v>0</v>
      </c>
      <c r="H61" s="477">
        <f t="shared" si="7"/>
        <v>0</v>
      </c>
      <c r="I61" s="500">
        <f t="shared" si="13"/>
        <v>0</v>
      </c>
      <c r="J61" s="500"/>
      <c r="K61" s="512"/>
      <c r="L61" s="504">
        <f t="shared" si="14"/>
        <v>0</v>
      </c>
      <c r="M61" s="512"/>
      <c r="N61" s="504">
        <f t="shared" si="15"/>
        <v>0</v>
      </c>
      <c r="O61" s="504">
        <f t="shared" si="16"/>
        <v>0</v>
      </c>
      <c r="P61" s="278"/>
      <c r="R61" s="243"/>
      <c r="S61" s="243"/>
      <c r="T61" s="243"/>
      <c r="U61" s="243"/>
    </row>
    <row r="62" spans="2:21">
      <c r="B62" s="145" t="str">
        <f t="shared" si="11"/>
        <v/>
      </c>
      <c r="C62" s="495">
        <f t="shared" si="9"/>
        <v>2057</v>
      </c>
      <c r="D62" s="508"/>
      <c r="E62" s="509">
        <f t="shared" si="10"/>
        <v>0</v>
      </c>
      <c r="F62" s="510">
        <f t="shared" si="12"/>
        <v>0</v>
      </c>
      <c r="G62" s="523">
        <f t="shared" si="6"/>
        <v>0</v>
      </c>
      <c r="H62" s="477">
        <f t="shared" si="7"/>
        <v>0</v>
      </c>
      <c r="I62" s="500">
        <f t="shared" si="13"/>
        <v>0</v>
      </c>
      <c r="J62" s="500"/>
      <c r="K62" s="512"/>
      <c r="L62" s="504">
        <f t="shared" si="14"/>
        <v>0</v>
      </c>
      <c r="M62" s="512"/>
      <c r="N62" s="504">
        <f t="shared" si="15"/>
        <v>0</v>
      </c>
      <c r="O62" s="504">
        <f t="shared" si="16"/>
        <v>0</v>
      </c>
      <c r="P62" s="278"/>
      <c r="R62" s="243"/>
      <c r="S62" s="243"/>
      <c r="T62" s="243"/>
      <c r="U62" s="243"/>
    </row>
    <row r="63" spans="2:21">
      <c r="B63" s="145" t="str">
        <f t="shared" si="11"/>
        <v/>
      </c>
      <c r="C63" s="495">
        <f t="shared" si="9"/>
        <v>2058</v>
      </c>
      <c r="D63" s="508"/>
      <c r="E63" s="509">
        <f t="shared" si="10"/>
        <v>0</v>
      </c>
      <c r="F63" s="510">
        <f t="shared" si="12"/>
        <v>0</v>
      </c>
      <c r="G63" s="523">
        <f t="shared" si="6"/>
        <v>0</v>
      </c>
      <c r="H63" s="477">
        <f t="shared" si="7"/>
        <v>0</v>
      </c>
      <c r="I63" s="500">
        <f t="shared" si="13"/>
        <v>0</v>
      </c>
      <c r="J63" s="500"/>
      <c r="K63" s="512"/>
      <c r="L63" s="504">
        <f t="shared" si="14"/>
        <v>0</v>
      </c>
      <c r="M63" s="512"/>
      <c r="N63" s="504">
        <f t="shared" si="15"/>
        <v>0</v>
      </c>
      <c r="O63" s="504">
        <f t="shared" si="16"/>
        <v>0</v>
      </c>
      <c r="P63" s="278"/>
      <c r="R63" s="243"/>
      <c r="S63" s="243"/>
      <c r="T63" s="243"/>
      <c r="U63" s="243"/>
    </row>
    <row r="64" spans="2:21">
      <c r="B64" s="145" t="str">
        <f t="shared" si="11"/>
        <v/>
      </c>
      <c r="C64" s="495">
        <f t="shared" si="9"/>
        <v>2059</v>
      </c>
      <c r="D64" s="508"/>
      <c r="E64" s="509">
        <f t="shared" si="10"/>
        <v>0</v>
      </c>
      <c r="F64" s="510">
        <f t="shared" si="12"/>
        <v>0</v>
      </c>
      <c r="G64" s="523">
        <f t="shared" si="6"/>
        <v>0</v>
      </c>
      <c r="H64" s="477">
        <f t="shared" si="7"/>
        <v>0</v>
      </c>
      <c r="I64" s="500">
        <f t="shared" si="13"/>
        <v>0</v>
      </c>
      <c r="J64" s="500"/>
      <c r="K64" s="512"/>
      <c r="L64" s="504">
        <f t="shared" si="14"/>
        <v>0</v>
      </c>
      <c r="M64" s="512"/>
      <c r="N64" s="504">
        <f t="shared" si="15"/>
        <v>0</v>
      </c>
      <c r="O64" s="504">
        <f t="shared" si="16"/>
        <v>0</v>
      </c>
      <c r="P64" s="278"/>
      <c r="R64" s="243"/>
      <c r="S64" s="243"/>
      <c r="T64" s="243"/>
      <c r="U64" s="243"/>
    </row>
    <row r="65" spans="2:21">
      <c r="B65" s="145" t="str">
        <f t="shared" si="11"/>
        <v/>
      </c>
      <c r="C65" s="495">
        <f t="shared" si="9"/>
        <v>2060</v>
      </c>
      <c r="D65" s="508"/>
      <c r="E65" s="509">
        <f t="shared" si="10"/>
        <v>0</v>
      </c>
      <c r="F65" s="510">
        <f t="shared" si="12"/>
        <v>0</v>
      </c>
      <c r="G65" s="523">
        <f t="shared" si="6"/>
        <v>0</v>
      </c>
      <c r="H65" s="477">
        <f t="shared" si="7"/>
        <v>0</v>
      </c>
      <c r="I65" s="500">
        <f t="shared" si="13"/>
        <v>0</v>
      </c>
      <c r="J65" s="500"/>
      <c r="K65" s="512"/>
      <c r="L65" s="504">
        <f t="shared" si="14"/>
        <v>0</v>
      </c>
      <c r="M65" s="512"/>
      <c r="N65" s="504">
        <f t="shared" si="15"/>
        <v>0</v>
      </c>
      <c r="O65" s="504">
        <f t="shared" si="16"/>
        <v>0</v>
      </c>
      <c r="P65" s="278"/>
      <c r="R65" s="243"/>
      <c r="S65" s="243"/>
      <c r="T65" s="243"/>
      <c r="U65" s="243"/>
    </row>
    <row r="66" spans="2:21">
      <c r="B66" s="145" t="str">
        <f t="shared" si="11"/>
        <v/>
      </c>
      <c r="C66" s="495">
        <f t="shared" si="9"/>
        <v>2061</v>
      </c>
      <c r="D66" s="508"/>
      <c r="E66" s="509">
        <f t="shared" si="10"/>
        <v>0</v>
      </c>
      <c r="F66" s="510">
        <f t="shared" si="12"/>
        <v>0</v>
      </c>
      <c r="G66" s="523">
        <f t="shared" si="6"/>
        <v>0</v>
      </c>
      <c r="H66" s="477">
        <f t="shared" si="7"/>
        <v>0</v>
      </c>
      <c r="I66" s="500">
        <f t="shared" si="13"/>
        <v>0</v>
      </c>
      <c r="J66" s="500"/>
      <c r="K66" s="512"/>
      <c r="L66" s="504">
        <f t="shared" si="14"/>
        <v>0</v>
      </c>
      <c r="M66" s="512"/>
      <c r="N66" s="504">
        <f t="shared" si="15"/>
        <v>0</v>
      </c>
      <c r="O66" s="504">
        <f t="shared" si="16"/>
        <v>0</v>
      </c>
      <c r="P66" s="278"/>
      <c r="R66" s="243"/>
      <c r="S66" s="243"/>
      <c r="T66" s="243"/>
      <c r="U66" s="243"/>
    </row>
    <row r="67" spans="2:21">
      <c r="B67" s="145" t="str">
        <f t="shared" si="11"/>
        <v/>
      </c>
      <c r="C67" s="495">
        <f t="shared" si="9"/>
        <v>2062</v>
      </c>
      <c r="D67" s="508"/>
      <c r="E67" s="509">
        <f t="shared" si="10"/>
        <v>0</v>
      </c>
      <c r="F67" s="510">
        <f t="shared" si="12"/>
        <v>0</v>
      </c>
      <c r="G67" s="523">
        <f t="shared" si="6"/>
        <v>0</v>
      </c>
      <c r="H67" s="477">
        <f t="shared" si="7"/>
        <v>0</v>
      </c>
      <c r="I67" s="500">
        <f t="shared" si="13"/>
        <v>0</v>
      </c>
      <c r="J67" s="500"/>
      <c r="K67" s="512"/>
      <c r="L67" s="504">
        <f t="shared" si="14"/>
        <v>0</v>
      </c>
      <c r="M67" s="512"/>
      <c r="N67" s="504">
        <f t="shared" si="15"/>
        <v>0</v>
      </c>
      <c r="O67" s="504">
        <f t="shared" si="16"/>
        <v>0</v>
      </c>
      <c r="P67" s="278"/>
      <c r="R67" s="243"/>
      <c r="S67" s="243"/>
      <c r="T67" s="243"/>
      <c r="U67" s="243"/>
    </row>
    <row r="68" spans="2:21">
      <c r="B68" s="145" t="str">
        <f t="shared" si="11"/>
        <v/>
      </c>
      <c r="C68" s="495">
        <f t="shared" si="9"/>
        <v>2063</v>
      </c>
      <c r="D68" s="508"/>
      <c r="E68" s="509">
        <f t="shared" si="10"/>
        <v>0</v>
      </c>
      <c r="F68" s="510">
        <f t="shared" si="12"/>
        <v>0</v>
      </c>
      <c r="G68" s="523">
        <f t="shared" si="6"/>
        <v>0</v>
      </c>
      <c r="H68" s="477">
        <f t="shared" si="7"/>
        <v>0</v>
      </c>
      <c r="I68" s="500">
        <f t="shared" si="13"/>
        <v>0</v>
      </c>
      <c r="J68" s="500"/>
      <c r="K68" s="512"/>
      <c r="L68" s="504">
        <f t="shared" si="14"/>
        <v>0</v>
      </c>
      <c r="M68" s="512"/>
      <c r="N68" s="504">
        <f t="shared" si="15"/>
        <v>0</v>
      </c>
      <c r="O68" s="504">
        <f t="shared" si="16"/>
        <v>0</v>
      </c>
      <c r="P68" s="278"/>
      <c r="R68" s="243"/>
      <c r="S68" s="243"/>
      <c r="T68" s="243"/>
      <c r="U68" s="243"/>
    </row>
    <row r="69" spans="2:21">
      <c r="B69" s="145" t="str">
        <f t="shared" si="11"/>
        <v/>
      </c>
      <c r="C69" s="495">
        <f t="shared" si="9"/>
        <v>2064</v>
      </c>
      <c r="D69" s="508"/>
      <c r="E69" s="509">
        <f t="shared" si="10"/>
        <v>0</v>
      </c>
      <c r="F69" s="510">
        <f t="shared" si="12"/>
        <v>0</v>
      </c>
      <c r="G69" s="523">
        <f t="shared" si="6"/>
        <v>0</v>
      </c>
      <c r="H69" s="477">
        <f t="shared" si="7"/>
        <v>0</v>
      </c>
      <c r="I69" s="500">
        <f t="shared" si="13"/>
        <v>0</v>
      </c>
      <c r="J69" s="500"/>
      <c r="K69" s="512"/>
      <c r="L69" s="504">
        <f t="shared" si="14"/>
        <v>0</v>
      </c>
      <c r="M69" s="512"/>
      <c r="N69" s="504">
        <f t="shared" si="15"/>
        <v>0</v>
      </c>
      <c r="O69" s="504">
        <f t="shared" si="16"/>
        <v>0</v>
      </c>
      <c r="P69" s="278"/>
      <c r="R69" s="243"/>
      <c r="S69" s="243"/>
      <c r="T69" s="243"/>
      <c r="U69" s="243"/>
    </row>
    <row r="70" spans="2:21">
      <c r="B70" s="145" t="str">
        <f t="shared" si="11"/>
        <v/>
      </c>
      <c r="C70" s="495">
        <f t="shared" si="9"/>
        <v>2065</v>
      </c>
      <c r="D70" s="508"/>
      <c r="E70" s="509">
        <f t="shared" si="10"/>
        <v>0</v>
      </c>
      <c r="F70" s="510">
        <f t="shared" si="12"/>
        <v>0</v>
      </c>
      <c r="G70" s="523">
        <f t="shared" si="6"/>
        <v>0</v>
      </c>
      <c r="H70" s="477">
        <f t="shared" si="7"/>
        <v>0</v>
      </c>
      <c r="I70" s="500">
        <f t="shared" si="13"/>
        <v>0</v>
      </c>
      <c r="J70" s="500"/>
      <c r="K70" s="512"/>
      <c r="L70" s="504">
        <f t="shared" si="14"/>
        <v>0</v>
      </c>
      <c r="M70" s="512"/>
      <c r="N70" s="504">
        <f t="shared" si="15"/>
        <v>0</v>
      </c>
      <c r="O70" s="504">
        <f t="shared" si="16"/>
        <v>0</v>
      </c>
      <c r="P70" s="278"/>
      <c r="R70" s="243"/>
      <c r="S70" s="243"/>
      <c r="T70" s="243"/>
      <c r="U70" s="243"/>
    </row>
    <row r="71" spans="2:21">
      <c r="B71" s="145" t="str">
        <f t="shared" si="11"/>
        <v/>
      </c>
      <c r="C71" s="495">
        <f t="shared" si="9"/>
        <v>2066</v>
      </c>
      <c r="D71" s="508"/>
      <c r="E71" s="509">
        <f t="shared" si="10"/>
        <v>0</v>
      </c>
      <c r="F71" s="510">
        <f t="shared" si="12"/>
        <v>0</v>
      </c>
      <c r="G71" s="523">
        <f t="shared" si="6"/>
        <v>0</v>
      </c>
      <c r="H71" s="477">
        <f t="shared" si="7"/>
        <v>0</v>
      </c>
      <c r="I71" s="500">
        <f t="shared" si="13"/>
        <v>0</v>
      </c>
      <c r="J71" s="500"/>
      <c r="K71" s="512"/>
      <c r="L71" s="504">
        <f t="shared" si="14"/>
        <v>0</v>
      </c>
      <c r="M71" s="512"/>
      <c r="N71" s="504">
        <f t="shared" si="15"/>
        <v>0</v>
      </c>
      <c r="O71" s="504">
        <f t="shared" si="16"/>
        <v>0</v>
      </c>
      <c r="P71" s="278"/>
      <c r="R71" s="243"/>
      <c r="S71" s="243"/>
      <c r="T71" s="243"/>
      <c r="U71" s="243"/>
    </row>
    <row r="72" spans="2:21">
      <c r="B72" s="145" t="str">
        <f t="shared" si="11"/>
        <v/>
      </c>
      <c r="C72" s="495">
        <f t="shared" si="9"/>
        <v>2067</v>
      </c>
      <c r="D72" s="508"/>
      <c r="E72" s="509">
        <f t="shared" si="10"/>
        <v>0</v>
      </c>
      <c r="F72" s="510">
        <f t="shared" si="12"/>
        <v>0</v>
      </c>
      <c r="G72" s="523">
        <f t="shared" si="6"/>
        <v>0</v>
      </c>
      <c r="H72" s="477">
        <f t="shared" si="7"/>
        <v>0</v>
      </c>
      <c r="I72" s="500">
        <f t="shared" si="13"/>
        <v>0</v>
      </c>
      <c r="J72" s="500"/>
      <c r="K72" s="512"/>
      <c r="L72" s="504">
        <f t="shared" si="14"/>
        <v>0</v>
      </c>
      <c r="M72" s="512"/>
      <c r="N72" s="504">
        <f t="shared" si="15"/>
        <v>0</v>
      </c>
      <c r="O72" s="504">
        <f t="shared" si="16"/>
        <v>0</v>
      </c>
      <c r="P72" s="278"/>
      <c r="R72" s="243"/>
      <c r="S72" s="243"/>
      <c r="T72" s="243"/>
      <c r="U72" s="243"/>
    </row>
    <row r="73" spans="2:21" ht="13.5" thickBot="1">
      <c r="B73" s="145" t="str">
        <f t="shared" si="11"/>
        <v/>
      </c>
      <c r="C73" s="524">
        <f t="shared" si="9"/>
        <v>2068</v>
      </c>
      <c r="D73" s="525"/>
      <c r="E73" s="526">
        <f t="shared" si="10"/>
        <v>0</v>
      </c>
      <c r="F73" s="527">
        <f t="shared" si="12"/>
        <v>0</v>
      </c>
      <c r="G73" s="528">
        <f t="shared" si="6"/>
        <v>0</v>
      </c>
      <c r="H73" s="458">
        <f t="shared" si="7"/>
        <v>0</v>
      </c>
      <c r="I73" s="529">
        <f t="shared" si="13"/>
        <v>0</v>
      </c>
      <c r="J73" s="500"/>
      <c r="K73" s="530"/>
      <c r="L73" s="531">
        <f t="shared" si="14"/>
        <v>0</v>
      </c>
      <c r="M73" s="530"/>
      <c r="N73" s="531">
        <f t="shared" si="15"/>
        <v>0</v>
      </c>
      <c r="O73" s="531">
        <f t="shared" si="16"/>
        <v>0</v>
      </c>
      <c r="P73" s="278"/>
      <c r="R73" s="243"/>
      <c r="S73" s="243"/>
      <c r="T73" s="243"/>
      <c r="U73" s="243"/>
    </row>
    <row r="74" spans="2:21">
      <c r="C74" s="349" t="s">
        <v>75</v>
      </c>
      <c r="D74" s="294"/>
      <c r="E74" s="294">
        <f>SUM(E17:E73)</f>
        <v>45573.039110189922</v>
      </c>
      <c r="F74" s="294"/>
      <c r="G74" s="294">
        <f>SUM(G17:G73)</f>
        <v>423078.95453720703</v>
      </c>
      <c r="H74" s="294">
        <f>SUM(H17:H73)</f>
        <v>423078.95453720703</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5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0</v>
      </c>
      <c r="N88" s="544">
        <f>IF(J93&lt;D11,0,VLOOKUP(J93,C17:O73,11))</f>
        <v>0</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0</v>
      </c>
      <c r="N89" s="548">
        <f>IF(J93&lt;D11,0,VLOOKUP(J93,C100:P155,7))</f>
        <v>0</v>
      </c>
      <c r="O89" s="549">
        <f>+N89-M89</f>
        <v>0</v>
      </c>
      <c r="P89" s="243"/>
      <c r="Q89" s="243"/>
      <c r="R89" s="243"/>
      <c r="S89" s="243"/>
      <c r="T89" s="243"/>
      <c r="U89" s="243"/>
    </row>
    <row r="90" spans="1:21" ht="13.5" thickBot="1">
      <c r="C90" s="454" t="s">
        <v>82</v>
      </c>
      <c r="D90" s="550" t="str">
        <f>+D7</f>
        <v>Install 345kV terminal at Valliant***</v>
      </c>
      <c r="E90" s="243"/>
      <c r="F90" s="243"/>
      <c r="G90" s="243"/>
      <c r="H90" s="243"/>
      <c r="I90" s="325"/>
      <c r="J90" s="325"/>
      <c r="K90" s="551"/>
      <c r="L90" s="552" t="s">
        <v>135</v>
      </c>
      <c r="M90" s="553">
        <f>+M89-M88</f>
        <v>0</v>
      </c>
      <c r="N90" s="553">
        <f>+N89-N88</f>
        <v>0</v>
      </c>
      <c r="O90" s="554">
        <f>+O89-O88</f>
        <v>0</v>
      </c>
      <c r="P90" s="243"/>
      <c r="Q90" s="243"/>
      <c r="R90" s="243"/>
      <c r="S90" s="243"/>
      <c r="T90" s="243"/>
      <c r="U90" s="243"/>
    </row>
    <row r="91" spans="1:21" ht="13.5" thickBot="1">
      <c r="C91" s="532"/>
      <c r="D91" s="604" t="s">
        <v>210</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TP2007167</v>
      </c>
      <c r="E92" s="558"/>
      <c r="F92" s="558"/>
      <c r="G92" s="558"/>
      <c r="H92" s="558"/>
      <c r="I92" s="558"/>
      <c r="J92" s="558"/>
      <c r="K92" s="560"/>
      <c r="P92" s="468"/>
      <c r="Q92" s="243"/>
      <c r="R92" s="243"/>
      <c r="S92" s="243"/>
      <c r="T92" s="243"/>
      <c r="U92" s="243"/>
    </row>
    <row r="93" spans="1:21">
      <c r="C93" s="472" t="s">
        <v>49</v>
      </c>
      <c r="D93" s="582">
        <f>IF(D11=I10,0,D10)</f>
        <v>0</v>
      </c>
      <c r="E93" s="248" t="s">
        <v>84</v>
      </c>
      <c r="H93" s="408"/>
      <c r="I93" s="408"/>
      <c r="J93" s="471">
        <f>+'OKT.WS.G.BPU.ATRR.True-up'!M16</f>
        <v>2021</v>
      </c>
      <c r="K93" s="467"/>
      <c r="L93" s="294" t="s">
        <v>85</v>
      </c>
      <c r="P93" s="278"/>
      <c r="Q93" s="243"/>
      <c r="R93" s="243"/>
      <c r="S93" s="243"/>
      <c r="T93" s="243"/>
      <c r="U93" s="243"/>
    </row>
    <row r="94" spans="1:21">
      <c r="C94" s="472" t="s">
        <v>52</v>
      </c>
      <c r="D94" s="561">
        <f>IF(D11=I10,"",D11)</f>
        <v>2012</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IF(D11=I10,"",D12)</f>
        <v>4</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0</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31" si="17">IF(D100=F99,"","IU")</f>
        <v>IU</v>
      </c>
      <c r="C100" s="495">
        <f>IF(D94= "","-",D94)</f>
        <v>2012</v>
      </c>
      <c r="D100" s="349">
        <f>IF(D94=C100,0,IF(D93&lt;100000,0,D93))</f>
        <v>0</v>
      </c>
      <c r="E100" s="511">
        <f>IF(OR(D11=I10,D93&lt;100000),0,J97/12*(12-D95))</f>
        <v>0</v>
      </c>
      <c r="F100" s="510">
        <f>IF(D94=C100,+D93-E100,+D100-E100)</f>
        <v>0</v>
      </c>
      <c r="G100" s="605">
        <f t="shared" ref="G100:G131" si="18">+(F100+D100)/2</f>
        <v>0</v>
      </c>
      <c r="H100" s="605">
        <f t="shared" ref="H100:H131" si="19">+J$95*G100+E100</f>
        <v>0</v>
      </c>
      <c r="I100" s="605">
        <f t="shared" ref="I100:I131" si="20">+J$96*G100+E100</f>
        <v>0</v>
      </c>
      <c r="J100" s="504">
        <f t="shared" ref="J100:J131" si="21">+I100-H100</f>
        <v>0</v>
      </c>
      <c r="K100" s="504"/>
      <c r="L100" s="606"/>
      <c r="M100" s="503">
        <f t="shared" ref="M100:M131" si="22">IF(L100&lt;&gt;0,+H100-L100,0)</f>
        <v>0</v>
      </c>
      <c r="N100" s="606"/>
      <c r="O100" s="503">
        <f t="shared" ref="O100:O131" si="23">IF(N100&lt;&gt;0,+I100-N100,0)</f>
        <v>0</v>
      </c>
      <c r="P100" s="503">
        <f t="shared" ref="P100:P131" si="24">+O100-M100</f>
        <v>0</v>
      </c>
      <c r="Q100" s="243"/>
      <c r="R100" s="243"/>
      <c r="S100" s="243"/>
      <c r="T100" s="243"/>
      <c r="U100" s="243"/>
    </row>
    <row r="101" spans="1:21">
      <c r="B101" s="145" t="str">
        <f t="shared" si="17"/>
        <v/>
      </c>
      <c r="C101" s="495">
        <f>IF(D94="","-",+C100+1)</f>
        <v>2013</v>
      </c>
      <c r="D101" s="349">
        <f>IF(F100+SUM(E$100:E100)=D$93,F100,D$93-SUM(E$100:E100))</f>
        <v>0</v>
      </c>
      <c r="E101" s="509">
        <f>IF(+J97&lt;F100,J97,D101)</f>
        <v>0</v>
      </c>
      <c r="F101" s="510">
        <f t="shared" ref="F101:F132" si="25">+D101-E101</f>
        <v>0</v>
      </c>
      <c r="G101" s="510">
        <f t="shared" si="18"/>
        <v>0</v>
      </c>
      <c r="H101" s="523">
        <f t="shared" si="19"/>
        <v>0</v>
      </c>
      <c r="I101" s="572">
        <f t="shared" si="20"/>
        <v>0</v>
      </c>
      <c r="J101" s="504">
        <f t="shared" si="21"/>
        <v>0</v>
      </c>
      <c r="K101" s="504"/>
      <c r="L101" s="512"/>
      <c r="M101" s="504">
        <f t="shared" si="22"/>
        <v>0</v>
      </c>
      <c r="N101" s="512"/>
      <c r="O101" s="504">
        <f t="shared" si="23"/>
        <v>0</v>
      </c>
      <c r="P101" s="504">
        <f t="shared" si="24"/>
        <v>0</v>
      </c>
      <c r="Q101" s="243"/>
      <c r="R101" s="243"/>
      <c r="S101" s="243"/>
      <c r="T101" s="243"/>
      <c r="U101" s="243"/>
    </row>
    <row r="102" spans="1:21">
      <c r="B102" s="145" t="str">
        <f t="shared" si="17"/>
        <v/>
      </c>
      <c r="C102" s="495">
        <f>IF(D94="","-",+C101+1)</f>
        <v>2014</v>
      </c>
      <c r="D102" s="349">
        <f>IF(F101+SUM(E$100:E101)=D$93,F101,D$93-SUM(E$100:E101))</f>
        <v>0</v>
      </c>
      <c r="E102" s="509">
        <f>IF(+J97&lt;F101,J97,D102)</f>
        <v>0</v>
      </c>
      <c r="F102" s="510">
        <f t="shared" si="25"/>
        <v>0</v>
      </c>
      <c r="G102" s="510">
        <f t="shared" si="18"/>
        <v>0</v>
      </c>
      <c r="H102" s="523">
        <f t="shared" si="19"/>
        <v>0</v>
      </c>
      <c r="I102" s="572">
        <f t="shared" si="20"/>
        <v>0</v>
      </c>
      <c r="J102" s="504">
        <f t="shared" si="21"/>
        <v>0</v>
      </c>
      <c r="K102" s="504"/>
      <c r="L102" s="512"/>
      <c r="M102" s="504">
        <f t="shared" si="22"/>
        <v>0</v>
      </c>
      <c r="N102" s="512"/>
      <c r="O102" s="504">
        <f t="shared" si="23"/>
        <v>0</v>
      </c>
      <c r="P102" s="504">
        <f t="shared" si="24"/>
        <v>0</v>
      </c>
      <c r="Q102" s="243"/>
      <c r="R102" s="243"/>
      <c r="S102" s="243"/>
      <c r="T102" s="243"/>
      <c r="U102" s="243"/>
    </row>
    <row r="103" spans="1:21">
      <c r="B103" s="145" t="str">
        <f t="shared" si="17"/>
        <v/>
      </c>
      <c r="C103" s="495">
        <f>IF(D94="","-",+C102+1)</f>
        <v>2015</v>
      </c>
      <c r="D103" s="349">
        <f>IF(F102+SUM(E$100:E102)=D$93,F102,D$93-SUM(E$100:E102))</f>
        <v>0</v>
      </c>
      <c r="E103" s="509">
        <f>IF(+J97&lt;F102,J97,D103)</f>
        <v>0</v>
      </c>
      <c r="F103" s="510">
        <f t="shared" si="25"/>
        <v>0</v>
      </c>
      <c r="G103" s="510">
        <f t="shared" si="18"/>
        <v>0</v>
      </c>
      <c r="H103" s="523">
        <f t="shared" si="19"/>
        <v>0</v>
      </c>
      <c r="I103" s="572">
        <f t="shared" si="20"/>
        <v>0</v>
      </c>
      <c r="J103" s="504">
        <f t="shared" si="21"/>
        <v>0</v>
      </c>
      <c r="K103" s="504"/>
      <c r="L103" s="512"/>
      <c r="M103" s="504">
        <f t="shared" si="22"/>
        <v>0</v>
      </c>
      <c r="N103" s="512"/>
      <c r="O103" s="504">
        <f t="shared" si="23"/>
        <v>0</v>
      </c>
      <c r="P103" s="504">
        <f t="shared" si="24"/>
        <v>0</v>
      </c>
      <c r="Q103" s="243"/>
      <c r="R103" s="243"/>
      <c r="S103" s="243"/>
      <c r="T103" s="243"/>
      <c r="U103" s="243"/>
    </row>
    <row r="104" spans="1:21">
      <c r="B104" s="145" t="str">
        <f t="shared" si="17"/>
        <v/>
      </c>
      <c r="C104" s="495">
        <f>IF(D94="","-",+C103+1)</f>
        <v>2016</v>
      </c>
      <c r="D104" s="349">
        <f>IF(F103+SUM(E$100:E103)=D$93,F103,D$93-SUM(E$100:E103))</f>
        <v>0</v>
      </c>
      <c r="E104" s="509">
        <f>IF(+J97&lt;F103,J97,D104)</f>
        <v>0</v>
      </c>
      <c r="F104" s="510">
        <f t="shared" si="25"/>
        <v>0</v>
      </c>
      <c r="G104" s="510">
        <f t="shared" si="18"/>
        <v>0</v>
      </c>
      <c r="H104" s="523">
        <f t="shared" si="19"/>
        <v>0</v>
      </c>
      <c r="I104" s="572">
        <f t="shared" si="20"/>
        <v>0</v>
      </c>
      <c r="J104" s="504">
        <f t="shared" si="21"/>
        <v>0</v>
      </c>
      <c r="K104" s="504"/>
      <c r="L104" s="512"/>
      <c r="M104" s="504">
        <f t="shared" si="22"/>
        <v>0</v>
      </c>
      <c r="N104" s="512"/>
      <c r="O104" s="504">
        <f t="shared" si="23"/>
        <v>0</v>
      </c>
      <c r="P104" s="504">
        <f t="shared" si="24"/>
        <v>0</v>
      </c>
      <c r="Q104" s="243"/>
      <c r="R104" s="243"/>
      <c r="S104" s="243"/>
      <c r="T104" s="243"/>
      <c r="U104" s="243"/>
    </row>
    <row r="105" spans="1:21">
      <c r="B105" s="145" t="str">
        <f t="shared" si="17"/>
        <v/>
      </c>
      <c r="C105" s="495">
        <f>IF(D94="","-",+C104+1)</f>
        <v>2017</v>
      </c>
      <c r="D105" s="349">
        <f>IF(F104+SUM(E$100:E104)=D$93,F104,D$93-SUM(E$100:E104))</f>
        <v>0</v>
      </c>
      <c r="E105" s="509">
        <f>IF(+J97&lt;F104,J97,D105)</f>
        <v>0</v>
      </c>
      <c r="F105" s="510">
        <f t="shared" si="25"/>
        <v>0</v>
      </c>
      <c r="G105" s="510">
        <f t="shared" si="18"/>
        <v>0</v>
      </c>
      <c r="H105" s="523">
        <f t="shared" si="19"/>
        <v>0</v>
      </c>
      <c r="I105" s="572">
        <f t="shared" si="20"/>
        <v>0</v>
      </c>
      <c r="J105" s="504">
        <f t="shared" si="21"/>
        <v>0</v>
      </c>
      <c r="K105" s="504"/>
      <c r="L105" s="512"/>
      <c r="M105" s="504">
        <f t="shared" si="22"/>
        <v>0</v>
      </c>
      <c r="N105" s="512"/>
      <c r="O105" s="504">
        <f t="shared" si="23"/>
        <v>0</v>
      </c>
      <c r="P105" s="504">
        <f t="shared" si="24"/>
        <v>0</v>
      </c>
      <c r="Q105" s="243"/>
      <c r="R105" s="243"/>
      <c r="S105" s="243"/>
      <c r="T105" s="243"/>
      <c r="U105" s="243"/>
    </row>
    <row r="106" spans="1:21">
      <c r="B106" s="145" t="str">
        <f t="shared" si="17"/>
        <v/>
      </c>
      <c r="C106" s="495">
        <f>IF(D94="","-",+C105+1)</f>
        <v>2018</v>
      </c>
      <c r="D106" s="349">
        <f>IF(F105+SUM(E$100:E105)=D$93,F105,D$93-SUM(E$100:E105))</f>
        <v>0</v>
      </c>
      <c r="E106" s="509">
        <f>IF(+J97&lt;F105,J97,D106)</f>
        <v>0</v>
      </c>
      <c r="F106" s="510">
        <f t="shared" si="25"/>
        <v>0</v>
      </c>
      <c r="G106" s="510">
        <f t="shared" si="18"/>
        <v>0</v>
      </c>
      <c r="H106" s="523">
        <f t="shared" si="19"/>
        <v>0</v>
      </c>
      <c r="I106" s="572">
        <f t="shared" si="20"/>
        <v>0</v>
      </c>
      <c r="J106" s="504">
        <f t="shared" si="21"/>
        <v>0</v>
      </c>
      <c r="K106" s="504"/>
      <c r="L106" s="512"/>
      <c r="M106" s="504">
        <f t="shared" si="22"/>
        <v>0</v>
      </c>
      <c r="N106" s="512"/>
      <c r="O106" s="504">
        <f t="shared" si="23"/>
        <v>0</v>
      </c>
      <c r="P106" s="504">
        <f t="shared" si="24"/>
        <v>0</v>
      </c>
      <c r="Q106" s="243"/>
      <c r="R106" s="243"/>
      <c r="S106" s="243"/>
      <c r="T106" s="243"/>
      <c r="U106" s="243"/>
    </row>
    <row r="107" spans="1:21">
      <c r="B107" s="145" t="str">
        <f t="shared" si="17"/>
        <v/>
      </c>
      <c r="C107" s="495">
        <f>IF(D94="","-",+C106+1)</f>
        <v>2019</v>
      </c>
      <c r="D107" s="349">
        <f>IF(F106+SUM(E$100:E106)=D$93,F106,D$93-SUM(E$100:E106))</f>
        <v>0</v>
      </c>
      <c r="E107" s="509">
        <f>IF(+J97&lt;F106,J97,D107)</f>
        <v>0</v>
      </c>
      <c r="F107" s="510">
        <f t="shared" si="25"/>
        <v>0</v>
      </c>
      <c r="G107" s="510">
        <f t="shared" si="18"/>
        <v>0</v>
      </c>
      <c r="H107" s="523">
        <f t="shared" si="19"/>
        <v>0</v>
      </c>
      <c r="I107" s="572">
        <f t="shared" si="20"/>
        <v>0</v>
      </c>
      <c r="J107" s="504">
        <f t="shared" si="21"/>
        <v>0</v>
      </c>
      <c r="K107" s="504"/>
      <c r="L107" s="512"/>
      <c r="M107" s="504">
        <f t="shared" si="22"/>
        <v>0</v>
      </c>
      <c r="N107" s="512"/>
      <c r="O107" s="504">
        <f t="shared" si="23"/>
        <v>0</v>
      </c>
      <c r="P107" s="504">
        <f t="shared" si="24"/>
        <v>0</v>
      </c>
      <c r="Q107" s="243"/>
      <c r="R107" s="243"/>
      <c r="S107" s="243"/>
      <c r="T107" s="243"/>
      <c r="U107" s="243"/>
    </row>
    <row r="108" spans="1:21">
      <c r="B108" s="145" t="str">
        <f t="shared" si="17"/>
        <v/>
      </c>
      <c r="C108" s="495">
        <f>IF(D94="","-",+C107+1)</f>
        <v>2020</v>
      </c>
      <c r="D108" s="349">
        <f>IF(F107+SUM(E$100:E107)=D$93,F107,D$93-SUM(E$100:E107))</f>
        <v>0</v>
      </c>
      <c r="E108" s="509">
        <f>IF(+J97&lt;F107,J97,D108)</f>
        <v>0</v>
      </c>
      <c r="F108" s="510">
        <f t="shared" si="25"/>
        <v>0</v>
      </c>
      <c r="G108" s="510">
        <f t="shared" si="18"/>
        <v>0</v>
      </c>
      <c r="H108" s="523">
        <f t="shared" si="19"/>
        <v>0</v>
      </c>
      <c r="I108" s="572">
        <f t="shared" si="20"/>
        <v>0</v>
      </c>
      <c r="J108" s="504">
        <f t="shared" si="21"/>
        <v>0</v>
      </c>
      <c r="K108" s="504"/>
      <c r="L108" s="512"/>
      <c r="M108" s="504">
        <f t="shared" si="22"/>
        <v>0</v>
      </c>
      <c r="N108" s="512"/>
      <c r="O108" s="504">
        <f t="shared" si="23"/>
        <v>0</v>
      </c>
      <c r="P108" s="504">
        <f t="shared" si="24"/>
        <v>0</v>
      </c>
      <c r="Q108" s="243"/>
      <c r="R108" s="243"/>
      <c r="S108" s="243"/>
      <c r="T108" s="243"/>
      <c r="U108" s="243"/>
    </row>
    <row r="109" spans="1:21">
      <c r="B109" s="145" t="str">
        <f t="shared" si="17"/>
        <v/>
      </c>
      <c r="C109" s="495">
        <f>IF(D94="","-",+C108+1)</f>
        <v>2021</v>
      </c>
      <c r="D109" s="349">
        <f>IF(F108+SUM(E$100:E108)=D$93,F108,D$93-SUM(E$100:E108))</f>
        <v>0</v>
      </c>
      <c r="E109" s="509">
        <f>IF(+J97&lt;F108,J97,D109)</f>
        <v>0</v>
      </c>
      <c r="F109" s="510">
        <f t="shared" si="25"/>
        <v>0</v>
      </c>
      <c r="G109" s="510">
        <f t="shared" si="18"/>
        <v>0</v>
      </c>
      <c r="H109" s="523">
        <f t="shared" si="19"/>
        <v>0</v>
      </c>
      <c r="I109" s="572">
        <f t="shared" si="20"/>
        <v>0</v>
      </c>
      <c r="J109" s="504">
        <f t="shared" si="21"/>
        <v>0</v>
      </c>
      <c r="K109" s="504"/>
      <c r="L109" s="512"/>
      <c r="M109" s="504">
        <f t="shared" si="22"/>
        <v>0</v>
      </c>
      <c r="N109" s="512"/>
      <c r="O109" s="504">
        <f t="shared" si="23"/>
        <v>0</v>
      </c>
      <c r="P109" s="504">
        <f t="shared" si="24"/>
        <v>0</v>
      </c>
      <c r="Q109" s="243"/>
      <c r="R109" s="243"/>
      <c r="S109" s="243"/>
      <c r="T109" s="243"/>
      <c r="U109" s="243"/>
    </row>
    <row r="110" spans="1:21">
      <c r="B110" s="145" t="str">
        <f t="shared" si="17"/>
        <v/>
      </c>
      <c r="C110" s="495">
        <f>IF(D94="","-",+C109+1)</f>
        <v>2022</v>
      </c>
      <c r="D110" s="349">
        <f>IF(F109+SUM(E$100:E109)=D$93,F109,D$93-SUM(E$100:E109))</f>
        <v>0</v>
      </c>
      <c r="E110" s="509">
        <f>IF(+J97&lt;F109,J97,D110)</f>
        <v>0</v>
      </c>
      <c r="F110" s="510">
        <f t="shared" si="25"/>
        <v>0</v>
      </c>
      <c r="G110" s="510">
        <f t="shared" si="18"/>
        <v>0</v>
      </c>
      <c r="H110" s="523">
        <f t="shared" si="19"/>
        <v>0</v>
      </c>
      <c r="I110" s="572">
        <f t="shared" si="20"/>
        <v>0</v>
      </c>
      <c r="J110" s="504">
        <f t="shared" si="21"/>
        <v>0</v>
      </c>
      <c r="K110" s="504"/>
      <c r="L110" s="512"/>
      <c r="M110" s="504">
        <f t="shared" si="22"/>
        <v>0</v>
      </c>
      <c r="N110" s="512"/>
      <c r="O110" s="504">
        <f t="shared" si="23"/>
        <v>0</v>
      </c>
      <c r="P110" s="504">
        <f t="shared" si="24"/>
        <v>0</v>
      </c>
      <c r="Q110" s="243"/>
      <c r="R110" s="243"/>
      <c r="S110" s="243"/>
      <c r="T110" s="243"/>
      <c r="U110" s="243"/>
    </row>
    <row r="111" spans="1:21">
      <c r="B111" s="145" t="str">
        <f t="shared" si="17"/>
        <v/>
      </c>
      <c r="C111" s="495">
        <f>IF(D94="","-",+C110+1)</f>
        <v>2023</v>
      </c>
      <c r="D111" s="349">
        <f>IF(F110+SUM(E$100:E110)=D$93,F110,D$93-SUM(E$100:E110))</f>
        <v>0</v>
      </c>
      <c r="E111" s="509">
        <f>IF(+J97&lt;F110,J97,D111)</f>
        <v>0</v>
      </c>
      <c r="F111" s="510">
        <f t="shared" si="25"/>
        <v>0</v>
      </c>
      <c r="G111" s="510">
        <f t="shared" si="18"/>
        <v>0</v>
      </c>
      <c r="H111" s="523">
        <f t="shared" si="19"/>
        <v>0</v>
      </c>
      <c r="I111" s="572">
        <f t="shared" si="20"/>
        <v>0</v>
      </c>
      <c r="J111" s="504">
        <f t="shared" si="21"/>
        <v>0</v>
      </c>
      <c r="K111" s="504"/>
      <c r="L111" s="512"/>
      <c r="M111" s="504">
        <f t="shared" si="22"/>
        <v>0</v>
      </c>
      <c r="N111" s="512"/>
      <c r="O111" s="504">
        <f t="shared" si="23"/>
        <v>0</v>
      </c>
      <c r="P111" s="504">
        <f t="shared" si="24"/>
        <v>0</v>
      </c>
      <c r="Q111" s="243"/>
      <c r="R111" s="243"/>
      <c r="S111" s="243"/>
      <c r="T111" s="243"/>
      <c r="U111" s="243"/>
    </row>
    <row r="112" spans="1:21">
      <c r="B112" s="145" t="str">
        <f t="shared" si="17"/>
        <v/>
      </c>
      <c r="C112" s="495">
        <f>IF(D94="","-",+C111+1)</f>
        <v>2024</v>
      </c>
      <c r="D112" s="349">
        <f>IF(F111+SUM(E$100:E111)=D$93,F111,D$93-SUM(E$100:E111))</f>
        <v>0</v>
      </c>
      <c r="E112" s="509">
        <f>IF(+J97&lt;F111,J97,D112)</f>
        <v>0</v>
      </c>
      <c r="F112" s="510">
        <f t="shared" si="25"/>
        <v>0</v>
      </c>
      <c r="G112" s="510">
        <f t="shared" si="18"/>
        <v>0</v>
      </c>
      <c r="H112" s="523">
        <f t="shared" si="19"/>
        <v>0</v>
      </c>
      <c r="I112" s="572">
        <f t="shared" si="20"/>
        <v>0</v>
      </c>
      <c r="J112" s="504">
        <f t="shared" si="21"/>
        <v>0</v>
      </c>
      <c r="K112" s="504"/>
      <c r="L112" s="512"/>
      <c r="M112" s="504">
        <f t="shared" si="22"/>
        <v>0</v>
      </c>
      <c r="N112" s="512"/>
      <c r="O112" s="504">
        <f t="shared" si="23"/>
        <v>0</v>
      </c>
      <c r="P112" s="504">
        <f t="shared" si="24"/>
        <v>0</v>
      </c>
      <c r="Q112" s="243"/>
      <c r="R112" s="243"/>
      <c r="S112" s="243"/>
      <c r="T112" s="243"/>
      <c r="U112" s="243"/>
    </row>
    <row r="113" spans="2:21">
      <c r="B113" s="145" t="str">
        <f t="shared" si="17"/>
        <v/>
      </c>
      <c r="C113" s="495">
        <f>IF(D94="","-",+C112+1)</f>
        <v>2025</v>
      </c>
      <c r="D113" s="349">
        <f>IF(F112+SUM(E$100:E112)=D$93,F112,D$93-SUM(E$100:E112))</f>
        <v>0</v>
      </c>
      <c r="E113" s="509">
        <f>IF(+J97&lt;F112,J97,D113)</f>
        <v>0</v>
      </c>
      <c r="F113" s="510">
        <f t="shared" si="25"/>
        <v>0</v>
      </c>
      <c r="G113" s="510">
        <f t="shared" si="18"/>
        <v>0</v>
      </c>
      <c r="H113" s="523">
        <f t="shared" si="19"/>
        <v>0</v>
      </c>
      <c r="I113" s="572">
        <f t="shared" si="20"/>
        <v>0</v>
      </c>
      <c r="J113" s="504">
        <f t="shared" si="21"/>
        <v>0</v>
      </c>
      <c r="K113" s="504"/>
      <c r="L113" s="512"/>
      <c r="M113" s="504">
        <f t="shared" si="22"/>
        <v>0</v>
      </c>
      <c r="N113" s="512"/>
      <c r="O113" s="504">
        <f t="shared" si="23"/>
        <v>0</v>
      </c>
      <c r="P113" s="504">
        <f t="shared" si="24"/>
        <v>0</v>
      </c>
      <c r="Q113" s="243"/>
      <c r="R113" s="243"/>
      <c r="S113" s="243"/>
      <c r="T113" s="243"/>
      <c r="U113" s="243"/>
    </row>
    <row r="114" spans="2:21">
      <c r="B114" s="145" t="str">
        <f t="shared" si="17"/>
        <v/>
      </c>
      <c r="C114" s="495">
        <f>IF(D94="","-",+C113+1)</f>
        <v>2026</v>
      </c>
      <c r="D114" s="349">
        <f>IF(F113+SUM(E$100:E113)=D$93,F113,D$93-SUM(E$100:E113))</f>
        <v>0</v>
      </c>
      <c r="E114" s="509">
        <f>IF(+J97&lt;F113,J97,D114)</f>
        <v>0</v>
      </c>
      <c r="F114" s="510">
        <f t="shared" si="25"/>
        <v>0</v>
      </c>
      <c r="G114" s="510">
        <f t="shared" si="18"/>
        <v>0</v>
      </c>
      <c r="H114" s="523">
        <f t="shared" si="19"/>
        <v>0</v>
      </c>
      <c r="I114" s="572">
        <f t="shared" si="20"/>
        <v>0</v>
      </c>
      <c r="J114" s="504">
        <f t="shared" si="21"/>
        <v>0</v>
      </c>
      <c r="K114" s="504"/>
      <c r="L114" s="512"/>
      <c r="M114" s="504">
        <f t="shared" si="22"/>
        <v>0</v>
      </c>
      <c r="N114" s="512"/>
      <c r="O114" s="504">
        <f t="shared" si="23"/>
        <v>0</v>
      </c>
      <c r="P114" s="504">
        <f t="shared" si="24"/>
        <v>0</v>
      </c>
      <c r="Q114" s="243"/>
      <c r="R114" s="243"/>
      <c r="S114" s="243"/>
      <c r="T114" s="243"/>
      <c r="U114" s="243"/>
    </row>
    <row r="115" spans="2:21">
      <c r="B115" s="145" t="str">
        <f t="shared" si="17"/>
        <v/>
      </c>
      <c r="C115" s="495">
        <f>IF(D94="","-",+C114+1)</f>
        <v>2027</v>
      </c>
      <c r="D115" s="349">
        <f>IF(F114+SUM(E$100:E114)=D$93,F114,D$93-SUM(E$100:E114))</f>
        <v>0</v>
      </c>
      <c r="E115" s="509">
        <f>IF(+J97&lt;F114,J97,D115)</f>
        <v>0</v>
      </c>
      <c r="F115" s="510">
        <f t="shared" si="25"/>
        <v>0</v>
      </c>
      <c r="G115" s="510">
        <f t="shared" si="18"/>
        <v>0</v>
      </c>
      <c r="H115" s="523">
        <f t="shared" si="19"/>
        <v>0</v>
      </c>
      <c r="I115" s="572">
        <f t="shared" si="20"/>
        <v>0</v>
      </c>
      <c r="J115" s="504">
        <f t="shared" si="21"/>
        <v>0</v>
      </c>
      <c r="K115" s="504"/>
      <c r="L115" s="512"/>
      <c r="M115" s="504">
        <f t="shared" si="22"/>
        <v>0</v>
      </c>
      <c r="N115" s="512"/>
      <c r="O115" s="504">
        <f t="shared" si="23"/>
        <v>0</v>
      </c>
      <c r="P115" s="504">
        <f t="shared" si="24"/>
        <v>0</v>
      </c>
      <c r="Q115" s="243"/>
      <c r="R115" s="243"/>
      <c r="S115" s="243"/>
      <c r="T115" s="243"/>
      <c r="U115" s="243"/>
    </row>
    <row r="116" spans="2:21">
      <c r="B116" s="145" t="str">
        <f t="shared" si="17"/>
        <v/>
      </c>
      <c r="C116" s="495">
        <f>IF(D94="","-",+C115+1)</f>
        <v>2028</v>
      </c>
      <c r="D116" s="349">
        <f>IF(F115+SUM(E$100:E115)=D$93,F115,D$93-SUM(E$100:E115))</f>
        <v>0</v>
      </c>
      <c r="E116" s="509">
        <f>IF(+J97&lt;F115,J97,D116)</f>
        <v>0</v>
      </c>
      <c r="F116" s="510">
        <f t="shared" si="25"/>
        <v>0</v>
      </c>
      <c r="G116" s="510">
        <f t="shared" si="18"/>
        <v>0</v>
      </c>
      <c r="H116" s="523">
        <f t="shared" si="19"/>
        <v>0</v>
      </c>
      <c r="I116" s="572">
        <f t="shared" si="20"/>
        <v>0</v>
      </c>
      <c r="J116" s="504">
        <f t="shared" si="21"/>
        <v>0</v>
      </c>
      <c r="K116" s="504"/>
      <c r="L116" s="512"/>
      <c r="M116" s="504">
        <f t="shared" si="22"/>
        <v>0</v>
      </c>
      <c r="N116" s="512"/>
      <c r="O116" s="504">
        <f t="shared" si="23"/>
        <v>0</v>
      </c>
      <c r="P116" s="504">
        <f t="shared" si="24"/>
        <v>0</v>
      </c>
      <c r="Q116" s="243"/>
      <c r="R116" s="243"/>
      <c r="S116" s="243"/>
      <c r="T116" s="243"/>
      <c r="U116" s="243"/>
    </row>
    <row r="117" spans="2:21">
      <c r="B117" s="145" t="str">
        <f t="shared" si="17"/>
        <v/>
      </c>
      <c r="C117" s="495">
        <f>IF(D94="","-",+C116+1)</f>
        <v>2029</v>
      </c>
      <c r="D117" s="349">
        <f>IF(F116+SUM(E$100:E116)=D$93,F116,D$93-SUM(E$100:E116))</f>
        <v>0</v>
      </c>
      <c r="E117" s="509">
        <f>IF(+J97&lt;F116,J97,D117)</f>
        <v>0</v>
      </c>
      <c r="F117" s="510">
        <f t="shared" si="25"/>
        <v>0</v>
      </c>
      <c r="G117" s="510">
        <f t="shared" si="18"/>
        <v>0</v>
      </c>
      <c r="H117" s="523">
        <f t="shared" si="19"/>
        <v>0</v>
      </c>
      <c r="I117" s="572">
        <f t="shared" si="20"/>
        <v>0</v>
      </c>
      <c r="J117" s="504">
        <f t="shared" si="21"/>
        <v>0</v>
      </c>
      <c r="K117" s="504"/>
      <c r="L117" s="512"/>
      <c r="M117" s="504">
        <f t="shared" si="22"/>
        <v>0</v>
      </c>
      <c r="N117" s="512"/>
      <c r="O117" s="504">
        <f t="shared" si="23"/>
        <v>0</v>
      </c>
      <c r="P117" s="504">
        <f t="shared" si="24"/>
        <v>0</v>
      </c>
      <c r="Q117" s="243"/>
      <c r="R117" s="243"/>
      <c r="S117" s="243"/>
      <c r="T117" s="243"/>
      <c r="U117" s="243"/>
    </row>
    <row r="118" spans="2:21">
      <c r="B118" s="145" t="str">
        <f t="shared" si="17"/>
        <v/>
      </c>
      <c r="C118" s="495">
        <f>IF(D94="","-",+C117+1)</f>
        <v>2030</v>
      </c>
      <c r="D118" s="349">
        <f>IF(F117+SUM(E$100:E117)=D$93,F117,D$93-SUM(E$100:E117))</f>
        <v>0</v>
      </c>
      <c r="E118" s="509">
        <f>IF(+J97&lt;F117,J97,D118)</f>
        <v>0</v>
      </c>
      <c r="F118" s="510">
        <f t="shared" si="25"/>
        <v>0</v>
      </c>
      <c r="G118" s="510">
        <f t="shared" si="18"/>
        <v>0</v>
      </c>
      <c r="H118" s="523">
        <f t="shared" si="19"/>
        <v>0</v>
      </c>
      <c r="I118" s="572">
        <f t="shared" si="20"/>
        <v>0</v>
      </c>
      <c r="J118" s="504">
        <f t="shared" si="21"/>
        <v>0</v>
      </c>
      <c r="K118" s="504"/>
      <c r="L118" s="512"/>
      <c r="M118" s="504">
        <f t="shared" si="22"/>
        <v>0</v>
      </c>
      <c r="N118" s="512"/>
      <c r="O118" s="504">
        <f t="shared" si="23"/>
        <v>0</v>
      </c>
      <c r="P118" s="504">
        <f t="shared" si="24"/>
        <v>0</v>
      </c>
      <c r="Q118" s="243"/>
      <c r="R118" s="243"/>
      <c r="S118" s="243"/>
      <c r="T118" s="243"/>
      <c r="U118" s="243"/>
    </row>
    <row r="119" spans="2:21">
      <c r="B119" s="145" t="str">
        <f t="shared" si="17"/>
        <v/>
      </c>
      <c r="C119" s="495">
        <f>IF(D94="","-",+C118+1)</f>
        <v>2031</v>
      </c>
      <c r="D119" s="349">
        <f>IF(F118+SUM(E$100:E118)=D$93,F118,D$93-SUM(E$100:E118))</f>
        <v>0</v>
      </c>
      <c r="E119" s="509">
        <f>IF(+J97&lt;F118,J97,D119)</f>
        <v>0</v>
      </c>
      <c r="F119" s="510">
        <f t="shared" si="25"/>
        <v>0</v>
      </c>
      <c r="G119" s="510">
        <f t="shared" si="18"/>
        <v>0</v>
      </c>
      <c r="H119" s="523">
        <f t="shared" si="19"/>
        <v>0</v>
      </c>
      <c r="I119" s="572">
        <f t="shared" si="20"/>
        <v>0</v>
      </c>
      <c r="J119" s="504">
        <f t="shared" si="21"/>
        <v>0</v>
      </c>
      <c r="K119" s="504"/>
      <c r="L119" s="512"/>
      <c r="M119" s="504">
        <f t="shared" si="22"/>
        <v>0</v>
      </c>
      <c r="N119" s="512"/>
      <c r="O119" s="504">
        <f t="shared" si="23"/>
        <v>0</v>
      </c>
      <c r="P119" s="504">
        <f t="shared" si="24"/>
        <v>0</v>
      </c>
      <c r="Q119" s="243"/>
      <c r="R119" s="243"/>
      <c r="S119" s="243"/>
      <c r="T119" s="243"/>
      <c r="U119" s="243"/>
    </row>
    <row r="120" spans="2:21">
      <c r="B120" s="145" t="str">
        <f t="shared" si="17"/>
        <v/>
      </c>
      <c r="C120" s="495">
        <f>IF(D94="","-",+C119+1)</f>
        <v>2032</v>
      </c>
      <c r="D120" s="349">
        <f>IF(F119+SUM(E$100:E119)=D$93,F119,D$93-SUM(E$100:E119))</f>
        <v>0</v>
      </c>
      <c r="E120" s="509">
        <f>IF(+J97&lt;F119,J97,D120)</f>
        <v>0</v>
      </c>
      <c r="F120" s="510">
        <f t="shared" si="25"/>
        <v>0</v>
      </c>
      <c r="G120" s="510">
        <f t="shared" si="18"/>
        <v>0</v>
      </c>
      <c r="H120" s="523">
        <f t="shared" si="19"/>
        <v>0</v>
      </c>
      <c r="I120" s="572">
        <f t="shared" si="20"/>
        <v>0</v>
      </c>
      <c r="J120" s="504">
        <f t="shared" si="21"/>
        <v>0</v>
      </c>
      <c r="K120" s="504"/>
      <c r="L120" s="512"/>
      <c r="M120" s="504">
        <f t="shared" si="22"/>
        <v>0</v>
      </c>
      <c r="N120" s="512"/>
      <c r="O120" s="504">
        <f t="shared" si="23"/>
        <v>0</v>
      </c>
      <c r="P120" s="504">
        <f t="shared" si="24"/>
        <v>0</v>
      </c>
      <c r="Q120" s="243"/>
      <c r="R120" s="243"/>
      <c r="S120" s="243"/>
      <c r="T120" s="243"/>
      <c r="U120" s="243"/>
    </row>
    <row r="121" spans="2:21">
      <c r="B121" s="145" t="str">
        <f t="shared" si="17"/>
        <v/>
      </c>
      <c r="C121" s="495">
        <f>IF(D94="","-",+C120+1)</f>
        <v>2033</v>
      </c>
      <c r="D121" s="349">
        <f>IF(F120+SUM(E$100:E120)=D$93,F120,D$93-SUM(E$100:E120))</f>
        <v>0</v>
      </c>
      <c r="E121" s="509">
        <f>IF(+J97&lt;F120,J97,D121)</f>
        <v>0</v>
      </c>
      <c r="F121" s="510">
        <f t="shared" si="25"/>
        <v>0</v>
      </c>
      <c r="G121" s="510">
        <f t="shared" si="18"/>
        <v>0</v>
      </c>
      <c r="H121" s="523">
        <f t="shared" si="19"/>
        <v>0</v>
      </c>
      <c r="I121" s="572">
        <f t="shared" si="20"/>
        <v>0</v>
      </c>
      <c r="J121" s="504">
        <f t="shared" si="21"/>
        <v>0</v>
      </c>
      <c r="K121" s="504"/>
      <c r="L121" s="512"/>
      <c r="M121" s="504">
        <f t="shared" si="22"/>
        <v>0</v>
      </c>
      <c r="N121" s="512"/>
      <c r="O121" s="504">
        <f t="shared" si="23"/>
        <v>0</v>
      </c>
      <c r="P121" s="504">
        <f t="shared" si="24"/>
        <v>0</v>
      </c>
      <c r="Q121" s="243"/>
      <c r="R121" s="243"/>
      <c r="S121" s="243"/>
      <c r="T121" s="243"/>
      <c r="U121" s="243"/>
    </row>
    <row r="122" spans="2:21">
      <c r="B122" s="145" t="str">
        <f t="shared" si="17"/>
        <v/>
      </c>
      <c r="C122" s="495">
        <f>IF(D94="","-",+C121+1)</f>
        <v>2034</v>
      </c>
      <c r="D122" s="349">
        <f>IF(F121+SUM(E$100:E121)=D$93,F121,D$93-SUM(E$100:E121))</f>
        <v>0</v>
      </c>
      <c r="E122" s="509">
        <f>IF(+J97&lt;F121,J97,D122)</f>
        <v>0</v>
      </c>
      <c r="F122" s="510">
        <f t="shared" si="25"/>
        <v>0</v>
      </c>
      <c r="G122" s="510">
        <f t="shared" si="18"/>
        <v>0</v>
      </c>
      <c r="H122" s="523">
        <f t="shared" si="19"/>
        <v>0</v>
      </c>
      <c r="I122" s="572">
        <f t="shared" si="20"/>
        <v>0</v>
      </c>
      <c r="J122" s="504">
        <f t="shared" si="21"/>
        <v>0</v>
      </c>
      <c r="K122" s="504"/>
      <c r="L122" s="512"/>
      <c r="M122" s="504">
        <f t="shared" si="22"/>
        <v>0</v>
      </c>
      <c r="N122" s="512"/>
      <c r="O122" s="504">
        <f t="shared" si="23"/>
        <v>0</v>
      </c>
      <c r="P122" s="504">
        <f t="shared" si="24"/>
        <v>0</v>
      </c>
      <c r="Q122" s="243"/>
      <c r="R122" s="243"/>
      <c r="S122" s="243"/>
      <c r="T122" s="243"/>
      <c r="U122" s="243"/>
    </row>
    <row r="123" spans="2:21">
      <c r="B123" s="145" t="str">
        <f t="shared" si="17"/>
        <v/>
      </c>
      <c r="C123" s="495">
        <f>IF(D94="","-",+C122+1)</f>
        <v>2035</v>
      </c>
      <c r="D123" s="349">
        <f>IF(F122+SUM(E$100:E122)=D$93,F122,D$93-SUM(E$100:E122))</f>
        <v>0</v>
      </c>
      <c r="E123" s="509">
        <f>IF(+J97&lt;F122,J97,D123)</f>
        <v>0</v>
      </c>
      <c r="F123" s="510">
        <f t="shared" si="25"/>
        <v>0</v>
      </c>
      <c r="G123" s="510">
        <f t="shared" si="18"/>
        <v>0</v>
      </c>
      <c r="H123" s="523">
        <f t="shared" si="19"/>
        <v>0</v>
      </c>
      <c r="I123" s="572">
        <f t="shared" si="20"/>
        <v>0</v>
      </c>
      <c r="J123" s="504">
        <f t="shared" si="21"/>
        <v>0</v>
      </c>
      <c r="K123" s="504"/>
      <c r="L123" s="512"/>
      <c r="M123" s="504">
        <f t="shared" si="22"/>
        <v>0</v>
      </c>
      <c r="N123" s="512"/>
      <c r="O123" s="504">
        <f t="shared" si="23"/>
        <v>0</v>
      </c>
      <c r="P123" s="504">
        <f t="shared" si="24"/>
        <v>0</v>
      </c>
      <c r="Q123" s="243"/>
      <c r="R123" s="243"/>
      <c r="S123" s="243"/>
      <c r="T123" s="243"/>
      <c r="U123" s="243"/>
    </row>
    <row r="124" spans="2:21">
      <c r="B124" s="145" t="str">
        <f t="shared" si="17"/>
        <v/>
      </c>
      <c r="C124" s="495">
        <f>IF(D94="","-",+C123+1)</f>
        <v>2036</v>
      </c>
      <c r="D124" s="349">
        <f>IF(F123+SUM(E$100:E123)=D$93,F123,D$93-SUM(E$100:E123))</f>
        <v>0</v>
      </c>
      <c r="E124" s="509">
        <f>IF(+J97&lt;F123,J97,D124)</f>
        <v>0</v>
      </c>
      <c r="F124" s="510">
        <f t="shared" si="25"/>
        <v>0</v>
      </c>
      <c r="G124" s="510">
        <f t="shared" si="18"/>
        <v>0</v>
      </c>
      <c r="H124" s="523">
        <f t="shared" si="19"/>
        <v>0</v>
      </c>
      <c r="I124" s="572">
        <f t="shared" si="20"/>
        <v>0</v>
      </c>
      <c r="J124" s="504">
        <f t="shared" si="21"/>
        <v>0</v>
      </c>
      <c r="K124" s="504"/>
      <c r="L124" s="512"/>
      <c r="M124" s="504">
        <f t="shared" si="22"/>
        <v>0</v>
      </c>
      <c r="N124" s="512"/>
      <c r="O124" s="504">
        <f t="shared" si="23"/>
        <v>0</v>
      </c>
      <c r="P124" s="504">
        <f t="shared" si="24"/>
        <v>0</v>
      </c>
      <c r="Q124" s="243"/>
      <c r="R124" s="243"/>
      <c r="S124" s="243"/>
      <c r="T124" s="243"/>
      <c r="U124" s="243"/>
    </row>
    <row r="125" spans="2:21">
      <c r="B125" s="145" t="str">
        <f t="shared" si="17"/>
        <v/>
      </c>
      <c r="C125" s="495">
        <f>IF(D94="","-",+C124+1)</f>
        <v>2037</v>
      </c>
      <c r="D125" s="349">
        <f>IF(F124+SUM(E$100:E124)=D$93,F124,D$93-SUM(E$100:E124))</f>
        <v>0</v>
      </c>
      <c r="E125" s="509">
        <f>IF(+J97&lt;F124,J97,D125)</f>
        <v>0</v>
      </c>
      <c r="F125" s="510">
        <f t="shared" si="25"/>
        <v>0</v>
      </c>
      <c r="G125" s="510">
        <f t="shared" si="18"/>
        <v>0</v>
      </c>
      <c r="H125" s="523">
        <f t="shared" si="19"/>
        <v>0</v>
      </c>
      <c r="I125" s="572">
        <f t="shared" si="20"/>
        <v>0</v>
      </c>
      <c r="J125" s="504">
        <f t="shared" si="21"/>
        <v>0</v>
      </c>
      <c r="K125" s="504"/>
      <c r="L125" s="512"/>
      <c r="M125" s="504">
        <f t="shared" si="22"/>
        <v>0</v>
      </c>
      <c r="N125" s="512"/>
      <c r="O125" s="504">
        <f t="shared" si="23"/>
        <v>0</v>
      </c>
      <c r="P125" s="504">
        <f t="shared" si="24"/>
        <v>0</v>
      </c>
      <c r="Q125" s="243"/>
      <c r="R125" s="243"/>
      <c r="S125" s="243"/>
      <c r="T125" s="243"/>
      <c r="U125" s="243"/>
    </row>
    <row r="126" spans="2:21">
      <c r="B126" s="145" t="str">
        <f t="shared" si="17"/>
        <v/>
      </c>
      <c r="C126" s="495">
        <f>IF(D94="","-",+C125+1)</f>
        <v>2038</v>
      </c>
      <c r="D126" s="349">
        <f>IF(F125+SUM(E$100:E125)=D$93,F125,D$93-SUM(E$100:E125))</f>
        <v>0</v>
      </c>
      <c r="E126" s="509">
        <f>IF(+J97&lt;F125,J97,D126)</f>
        <v>0</v>
      </c>
      <c r="F126" s="510">
        <f t="shared" si="25"/>
        <v>0</v>
      </c>
      <c r="G126" s="510">
        <f t="shared" si="18"/>
        <v>0</v>
      </c>
      <c r="H126" s="523">
        <f t="shared" si="19"/>
        <v>0</v>
      </c>
      <c r="I126" s="572">
        <f t="shared" si="20"/>
        <v>0</v>
      </c>
      <c r="J126" s="504">
        <f t="shared" si="21"/>
        <v>0</v>
      </c>
      <c r="K126" s="504"/>
      <c r="L126" s="512"/>
      <c r="M126" s="504">
        <f t="shared" si="22"/>
        <v>0</v>
      </c>
      <c r="N126" s="512"/>
      <c r="O126" s="504">
        <f t="shared" si="23"/>
        <v>0</v>
      </c>
      <c r="P126" s="504">
        <f t="shared" si="24"/>
        <v>0</v>
      </c>
      <c r="Q126" s="243"/>
      <c r="R126" s="243"/>
      <c r="S126" s="243"/>
      <c r="T126" s="243"/>
      <c r="U126" s="243"/>
    </row>
    <row r="127" spans="2:21">
      <c r="B127" s="145" t="str">
        <f t="shared" si="17"/>
        <v/>
      </c>
      <c r="C127" s="495">
        <f>IF(D94="","-",+C126+1)</f>
        <v>2039</v>
      </c>
      <c r="D127" s="349">
        <f>IF(F126+SUM(E$100:E126)=D$93,F126,D$93-SUM(E$100:E126))</f>
        <v>0</v>
      </c>
      <c r="E127" s="509">
        <f>IF(+J97&lt;F126,J97,D127)</f>
        <v>0</v>
      </c>
      <c r="F127" s="510">
        <f t="shared" si="25"/>
        <v>0</v>
      </c>
      <c r="G127" s="510">
        <f t="shared" si="18"/>
        <v>0</v>
      </c>
      <c r="H127" s="523">
        <f t="shared" si="19"/>
        <v>0</v>
      </c>
      <c r="I127" s="572">
        <f t="shared" si="20"/>
        <v>0</v>
      </c>
      <c r="J127" s="504">
        <f t="shared" si="21"/>
        <v>0</v>
      </c>
      <c r="K127" s="504"/>
      <c r="L127" s="512"/>
      <c r="M127" s="504">
        <f t="shared" si="22"/>
        <v>0</v>
      </c>
      <c r="N127" s="512"/>
      <c r="O127" s="504">
        <f t="shared" si="23"/>
        <v>0</v>
      </c>
      <c r="P127" s="504">
        <f t="shared" si="24"/>
        <v>0</v>
      </c>
      <c r="Q127" s="243"/>
      <c r="R127" s="243"/>
      <c r="S127" s="243"/>
      <c r="T127" s="243"/>
      <c r="U127" s="243"/>
    </row>
    <row r="128" spans="2:21">
      <c r="B128" s="145" t="str">
        <f t="shared" si="17"/>
        <v/>
      </c>
      <c r="C128" s="495">
        <f>IF(D94="","-",+C127+1)</f>
        <v>2040</v>
      </c>
      <c r="D128" s="349">
        <f>IF(F127+SUM(E$100:E127)=D$93,F127,D$93-SUM(E$100:E127))</f>
        <v>0</v>
      </c>
      <c r="E128" s="509">
        <f>IF(+J97&lt;F127,J97,D128)</f>
        <v>0</v>
      </c>
      <c r="F128" s="510">
        <f t="shared" si="25"/>
        <v>0</v>
      </c>
      <c r="G128" s="510">
        <f t="shared" si="18"/>
        <v>0</v>
      </c>
      <c r="H128" s="523">
        <f t="shared" si="19"/>
        <v>0</v>
      </c>
      <c r="I128" s="572">
        <f t="shared" si="20"/>
        <v>0</v>
      </c>
      <c r="J128" s="504">
        <f t="shared" si="21"/>
        <v>0</v>
      </c>
      <c r="K128" s="504"/>
      <c r="L128" s="512"/>
      <c r="M128" s="504">
        <f t="shared" si="22"/>
        <v>0</v>
      </c>
      <c r="N128" s="512"/>
      <c r="O128" s="504">
        <f t="shared" si="23"/>
        <v>0</v>
      </c>
      <c r="P128" s="504">
        <f t="shared" si="24"/>
        <v>0</v>
      </c>
      <c r="Q128" s="243"/>
      <c r="R128" s="243"/>
      <c r="S128" s="243"/>
      <c r="T128" s="243"/>
      <c r="U128" s="243"/>
    </row>
    <row r="129" spans="2:21">
      <c r="B129" s="145" t="str">
        <f t="shared" si="17"/>
        <v/>
      </c>
      <c r="C129" s="495">
        <f>IF(D94="","-",+C128+1)</f>
        <v>2041</v>
      </c>
      <c r="D129" s="349">
        <f>IF(F128+SUM(E$100:E128)=D$93,F128,D$93-SUM(E$100:E128))</f>
        <v>0</v>
      </c>
      <c r="E129" s="509">
        <f>IF(+J97&lt;F128,J97,D129)</f>
        <v>0</v>
      </c>
      <c r="F129" s="510">
        <f t="shared" si="25"/>
        <v>0</v>
      </c>
      <c r="G129" s="510">
        <f t="shared" si="18"/>
        <v>0</v>
      </c>
      <c r="H129" s="523">
        <f t="shared" si="19"/>
        <v>0</v>
      </c>
      <c r="I129" s="572">
        <f t="shared" si="20"/>
        <v>0</v>
      </c>
      <c r="J129" s="504">
        <f t="shared" si="21"/>
        <v>0</v>
      </c>
      <c r="K129" s="504"/>
      <c r="L129" s="512"/>
      <c r="M129" s="504">
        <f t="shared" si="22"/>
        <v>0</v>
      </c>
      <c r="N129" s="512"/>
      <c r="O129" s="504">
        <f t="shared" si="23"/>
        <v>0</v>
      </c>
      <c r="P129" s="504">
        <f t="shared" si="24"/>
        <v>0</v>
      </c>
      <c r="Q129" s="243"/>
      <c r="R129" s="243"/>
      <c r="S129" s="243"/>
      <c r="T129" s="243"/>
      <c r="U129" s="243"/>
    </row>
    <row r="130" spans="2:21">
      <c r="B130" s="145" t="str">
        <f t="shared" si="17"/>
        <v/>
      </c>
      <c r="C130" s="495">
        <f>IF(D94="","-",+C129+1)</f>
        <v>2042</v>
      </c>
      <c r="D130" s="349">
        <f>IF(F129+SUM(E$100:E129)=D$93,F129,D$93-SUM(E$100:E129))</f>
        <v>0</v>
      </c>
      <c r="E130" s="509">
        <f>IF(+J97&lt;F129,J97,D130)</f>
        <v>0</v>
      </c>
      <c r="F130" s="510">
        <f t="shared" si="25"/>
        <v>0</v>
      </c>
      <c r="G130" s="510">
        <f t="shared" si="18"/>
        <v>0</v>
      </c>
      <c r="H130" s="523">
        <f t="shared" si="19"/>
        <v>0</v>
      </c>
      <c r="I130" s="572">
        <f t="shared" si="20"/>
        <v>0</v>
      </c>
      <c r="J130" s="504">
        <f t="shared" si="21"/>
        <v>0</v>
      </c>
      <c r="K130" s="504"/>
      <c r="L130" s="512"/>
      <c r="M130" s="504">
        <f t="shared" si="22"/>
        <v>0</v>
      </c>
      <c r="N130" s="512"/>
      <c r="O130" s="504">
        <f t="shared" si="23"/>
        <v>0</v>
      </c>
      <c r="P130" s="504">
        <f t="shared" si="24"/>
        <v>0</v>
      </c>
      <c r="Q130" s="243"/>
      <c r="R130" s="243"/>
      <c r="S130" s="243"/>
      <c r="T130" s="243"/>
      <c r="U130" s="243"/>
    </row>
    <row r="131" spans="2:21">
      <c r="B131" s="145" t="str">
        <f t="shared" si="17"/>
        <v/>
      </c>
      <c r="C131" s="495">
        <f>IF(D94="","-",+C130+1)</f>
        <v>2043</v>
      </c>
      <c r="D131" s="349">
        <f>IF(F130+SUM(E$100:E130)=D$93,F130,D$93-SUM(E$100:E130))</f>
        <v>0</v>
      </c>
      <c r="E131" s="509">
        <f>IF(+J97&lt;F130,J97,D131)</f>
        <v>0</v>
      </c>
      <c r="F131" s="510">
        <f t="shared" si="25"/>
        <v>0</v>
      </c>
      <c r="G131" s="510">
        <f t="shared" si="18"/>
        <v>0</v>
      </c>
      <c r="H131" s="523">
        <f t="shared" si="19"/>
        <v>0</v>
      </c>
      <c r="I131" s="572">
        <f t="shared" si="20"/>
        <v>0</v>
      </c>
      <c r="J131" s="504">
        <f t="shared" si="21"/>
        <v>0</v>
      </c>
      <c r="K131" s="504"/>
      <c r="L131" s="512"/>
      <c r="M131" s="504">
        <f t="shared" si="22"/>
        <v>0</v>
      </c>
      <c r="N131" s="512"/>
      <c r="O131" s="504">
        <f t="shared" si="23"/>
        <v>0</v>
      </c>
      <c r="P131" s="504">
        <f t="shared" si="24"/>
        <v>0</v>
      </c>
      <c r="Q131" s="243"/>
      <c r="R131" s="243"/>
      <c r="S131" s="243"/>
      <c r="T131" s="243"/>
      <c r="U131" s="243"/>
    </row>
    <row r="132" spans="2:21">
      <c r="B132" s="145" t="str">
        <f t="shared" ref="B132:B155" si="26">IF(D132=F131,"","IU")</f>
        <v/>
      </c>
      <c r="C132" s="495">
        <f>IF(D94="","-",+C131+1)</f>
        <v>2044</v>
      </c>
      <c r="D132" s="349">
        <f>IF(F131+SUM(E$100:E131)=D$93,F131,D$93-SUM(E$100:E131))</f>
        <v>0</v>
      </c>
      <c r="E132" s="509">
        <f>IF(+J97&lt;F131,J97,D132)</f>
        <v>0</v>
      </c>
      <c r="F132" s="510">
        <f t="shared" si="25"/>
        <v>0</v>
      </c>
      <c r="G132" s="510">
        <f t="shared" ref="G132:G155" si="27">+(F132+D132)/2</f>
        <v>0</v>
      </c>
      <c r="H132" s="523">
        <f t="shared" ref="H132:H155" si="28">+J$95*G132+E132</f>
        <v>0</v>
      </c>
      <c r="I132" s="572">
        <f t="shared" ref="I132:I155" si="29">+J$96*G132+E132</f>
        <v>0</v>
      </c>
      <c r="J132" s="504">
        <f t="shared" ref="J132:J155" si="30">+I132-H132</f>
        <v>0</v>
      </c>
      <c r="K132" s="504"/>
      <c r="L132" s="512"/>
      <c r="M132" s="504">
        <f t="shared" ref="M132:M155" si="31">IF(L132&lt;&gt;0,+H132-L132,0)</f>
        <v>0</v>
      </c>
      <c r="N132" s="512"/>
      <c r="O132" s="504">
        <f t="shared" ref="O132:O155" si="32">IF(N132&lt;&gt;0,+I132-N132,0)</f>
        <v>0</v>
      </c>
      <c r="P132" s="504">
        <f t="shared" ref="P132:P155" si="33">+O132-M132</f>
        <v>0</v>
      </c>
      <c r="Q132" s="243"/>
      <c r="R132" s="243"/>
      <c r="S132" s="243"/>
      <c r="T132" s="243"/>
      <c r="U132" s="243"/>
    </row>
    <row r="133" spans="2:21">
      <c r="B133" s="145" t="str">
        <f t="shared" si="26"/>
        <v/>
      </c>
      <c r="C133" s="495">
        <f>IF(D94="","-",+C132+1)</f>
        <v>2045</v>
      </c>
      <c r="D133" s="349">
        <f>IF(F132+SUM(E$100:E132)=D$93,F132,D$93-SUM(E$100:E132))</f>
        <v>0</v>
      </c>
      <c r="E133" s="509">
        <f>IF(+J97&lt;F132,J97,D133)</f>
        <v>0</v>
      </c>
      <c r="F133" s="510">
        <f t="shared" ref="F133:F155" si="34">+D133-E133</f>
        <v>0</v>
      </c>
      <c r="G133" s="510">
        <f t="shared" si="27"/>
        <v>0</v>
      </c>
      <c r="H133" s="523">
        <f t="shared" si="28"/>
        <v>0</v>
      </c>
      <c r="I133" s="572">
        <f t="shared" si="29"/>
        <v>0</v>
      </c>
      <c r="J133" s="504">
        <f t="shared" si="30"/>
        <v>0</v>
      </c>
      <c r="K133" s="504"/>
      <c r="L133" s="512"/>
      <c r="M133" s="504">
        <f t="shared" si="31"/>
        <v>0</v>
      </c>
      <c r="N133" s="512"/>
      <c r="O133" s="504">
        <f t="shared" si="32"/>
        <v>0</v>
      </c>
      <c r="P133" s="504">
        <f t="shared" si="33"/>
        <v>0</v>
      </c>
      <c r="Q133" s="243"/>
      <c r="R133" s="243"/>
      <c r="S133" s="243"/>
      <c r="T133" s="243"/>
      <c r="U133" s="243"/>
    </row>
    <row r="134" spans="2:21">
      <c r="B134" s="145" t="str">
        <f t="shared" si="26"/>
        <v/>
      </c>
      <c r="C134" s="495">
        <f>IF(D94="","-",+C133+1)</f>
        <v>2046</v>
      </c>
      <c r="D134" s="349">
        <f>IF(F133+SUM(E$100:E133)=D$93,F133,D$93-SUM(E$100:E133))</f>
        <v>0</v>
      </c>
      <c r="E134" s="509">
        <f>IF(+J97&lt;F133,J97,D134)</f>
        <v>0</v>
      </c>
      <c r="F134" s="510">
        <f t="shared" si="34"/>
        <v>0</v>
      </c>
      <c r="G134" s="510">
        <f t="shared" si="27"/>
        <v>0</v>
      </c>
      <c r="H134" s="523">
        <f t="shared" si="28"/>
        <v>0</v>
      </c>
      <c r="I134" s="572">
        <f t="shared" si="29"/>
        <v>0</v>
      </c>
      <c r="J134" s="504">
        <f t="shared" si="30"/>
        <v>0</v>
      </c>
      <c r="K134" s="504"/>
      <c r="L134" s="512"/>
      <c r="M134" s="504">
        <f t="shared" si="31"/>
        <v>0</v>
      </c>
      <c r="N134" s="512"/>
      <c r="O134" s="504">
        <f t="shared" si="32"/>
        <v>0</v>
      </c>
      <c r="P134" s="504">
        <f t="shared" si="33"/>
        <v>0</v>
      </c>
      <c r="Q134" s="243"/>
      <c r="R134" s="243"/>
      <c r="S134" s="243"/>
      <c r="T134" s="243"/>
      <c r="U134" s="243"/>
    </row>
    <row r="135" spans="2:21">
      <c r="B135" s="145" t="str">
        <f t="shared" si="26"/>
        <v/>
      </c>
      <c r="C135" s="495">
        <f>IF(D94="","-",+C134+1)</f>
        <v>2047</v>
      </c>
      <c r="D135" s="349">
        <f>IF(F134+SUM(E$100:E134)=D$93,F134,D$93-SUM(E$100:E134))</f>
        <v>0</v>
      </c>
      <c r="E135" s="509">
        <f>IF(+J97&lt;F134,J97,D135)</f>
        <v>0</v>
      </c>
      <c r="F135" s="510">
        <f t="shared" si="34"/>
        <v>0</v>
      </c>
      <c r="G135" s="510">
        <f t="shared" si="27"/>
        <v>0</v>
      </c>
      <c r="H135" s="523">
        <f t="shared" si="28"/>
        <v>0</v>
      </c>
      <c r="I135" s="572">
        <f t="shared" si="29"/>
        <v>0</v>
      </c>
      <c r="J135" s="504">
        <f t="shared" si="30"/>
        <v>0</v>
      </c>
      <c r="K135" s="504"/>
      <c r="L135" s="512"/>
      <c r="M135" s="504">
        <f t="shared" si="31"/>
        <v>0</v>
      </c>
      <c r="N135" s="512"/>
      <c r="O135" s="504">
        <f t="shared" si="32"/>
        <v>0</v>
      </c>
      <c r="P135" s="504">
        <f t="shared" si="33"/>
        <v>0</v>
      </c>
      <c r="Q135" s="243"/>
      <c r="R135" s="243"/>
      <c r="S135" s="243"/>
      <c r="T135" s="243"/>
      <c r="U135" s="243"/>
    </row>
    <row r="136" spans="2:21">
      <c r="B136" s="145" t="str">
        <f t="shared" si="26"/>
        <v/>
      </c>
      <c r="C136" s="495">
        <f>IF(D94="","-",+C135+1)</f>
        <v>2048</v>
      </c>
      <c r="D136" s="349">
        <f>IF(F135+SUM(E$100:E135)=D$93,F135,D$93-SUM(E$100:E135))</f>
        <v>0</v>
      </c>
      <c r="E136" s="509">
        <f>IF(+J97&lt;F135,J97,D136)</f>
        <v>0</v>
      </c>
      <c r="F136" s="510">
        <f t="shared" si="34"/>
        <v>0</v>
      </c>
      <c r="G136" s="510">
        <f t="shared" si="27"/>
        <v>0</v>
      </c>
      <c r="H136" s="523">
        <f t="shared" si="28"/>
        <v>0</v>
      </c>
      <c r="I136" s="572">
        <f t="shared" si="29"/>
        <v>0</v>
      </c>
      <c r="J136" s="504">
        <f t="shared" si="30"/>
        <v>0</v>
      </c>
      <c r="K136" s="504"/>
      <c r="L136" s="512"/>
      <c r="M136" s="504">
        <f t="shared" si="31"/>
        <v>0</v>
      </c>
      <c r="N136" s="512"/>
      <c r="O136" s="504">
        <f t="shared" si="32"/>
        <v>0</v>
      </c>
      <c r="P136" s="504">
        <f t="shared" si="33"/>
        <v>0</v>
      </c>
      <c r="Q136" s="243"/>
      <c r="R136" s="243"/>
      <c r="S136" s="243"/>
      <c r="T136" s="243"/>
      <c r="U136" s="243"/>
    </row>
    <row r="137" spans="2:21">
      <c r="B137" s="145" t="str">
        <f t="shared" si="26"/>
        <v/>
      </c>
      <c r="C137" s="495">
        <f>IF(D94="","-",+C136+1)</f>
        <v>2049</v>
      </c>
      <c r="D137" s="349">
        <f>IF(F136+SUM(E$100:E136)=D$93,F136,D$93-SUM(E$100:E136))</f>
        <v>0</v>
      </c>
      <c r="E137" s="509">
        <f>IF(+J97&lt;F136,J97,D137)</f>
        <v>0</v>
      </c>
      <c r="F137" s="510">
        <f t="shared" si="34"/>
        <v>0</v>
      </c>
      <c r="G137" s="510">
        <f t="shared" si="27"/>
        <v>0</v>
      </c>
      <c r="H137" s="523">
        <f t="shared" si="28"/>
        <v>0</v>
      </c>
      <c r="I137" s="572">
        <f t="shared" si="29"/>
        <v>0</v>
      </c>
      <c r="J137" s="504">
        <f t="shared" si="30"/>
        <v>0</v>
      </c>
      <c r="K137" s="504"/>
      <c r="L137" s="512"/>
      <c r="M137" s="504">
        <f t="shared" si="31"/>
        <v>0</v>
      </c>
      <c r="N137" s="512"/>
      <c r="O137" s="504">
        <f t="shared" si="32"/>
        <v>0</v>
      </c>
      <c r="P137" s="504">
        <f t="shared" si="33"/>
        <v>0</v>
      </c>
      <c r="Q137" s="243"/>
      <c r="R137" s="243"/>
      <c r="S137" s="243"/>
      <c r="T137" s="243"/>
      <c r="U137" s="243"/>
    </row>
    <row r="138" spans="2:21">
      <c r="B138" s="145" t="str">
        <f t="shared" si="26"/>
        <v/>
      </c>
      <c r="C138" s="495">
        <f>IF(D94="","-",+C137+1)</f>
        <v>2050</v>
      </c>
      <c r="D138" s="349">
        <f>IF(F137+SUM(E$100:E137)=D$93,F137,D$93-SUM(E$100:E137))</f>
        <v>0</v>
      </c>
      <c r="E138" s="509">
        <f>IF(+J97&lt;F137,J97,D138)</f>
        <v>0</v>
      </c>
      <c r="F138" s="510">
        <f t="shared" si="34"/>
        <v>0</v>
      </c>
      <c r="G138" s="510">
        <f t="shared" si="27"/>
        <v>0</v>
      </c>
      <c r="H138" s="523">
        <f t="shared" si="28"/>
        <v>0</v>
      </c>
      <c r="I138" s="572">
        <f t="shared" si="29"/>
        <v>0</v>
      </c>
      <c r="J138" s="504">
        <f t="shared" si="30"/>
        <v>0</v>
      </c>
      <c r="K138" s="504"/>
      <c r="L138" s="512"/>
      <c r="M138" s="504">
        <f t="shared" si="31"/>
        <v>0</v>
      </c>
      <c r="N138" s="512"/>
      <c r="O138" s="504">
        <f t="shared" si="32"/>
        <v>0</v>
      </c>
      <c r="P138" s="504">
        <f t="shared" si="33"/>
        <v>0</v>
      </c>
      <c r="Q138" s="243"/>
      <c r="R138" s="243"/>
      <c r="S138" s="243"/>
      <c r="T138" s="243"/>
      <c r="U138" s="243"/>
    </row>
    <row r="139" spans="2:21">
      <c r="B139" s="145" t="str">
        <f t="shared" si="26"/>
        <v/>
      </c>
      <c r="C139" s="495">
        <f>IF(D94="","-",+C138+1)</f>
        <v>2051</v>
      </c>
      <c r="D139" s="349">
        <f>IF(F138+SUM(E$100:E138)=D$93,F138,D$93-SUM(E$100:E138))</f>
        <v>0</v>
      </c>
      <c r="E139" s="509">
        <f>IF(+J97&lt;F138,J97,D139)</f>
        <v>0</v>
      </c>
      <c r="F139" s="510">
        <f t="shared" si="34"/>
        <v>0</v>
      </c>
      <c r="G139" s="510">
        <f t="shared" si="27"/>
        <v>0</v>
      </c>
      <c r="H139" s="523">
        <f t="shared" si="28"/>
        <v>0</v>
      </c>
      <c r="I139" s="572">
        <f t="shared" si="29"/>
        <v>0</v>
      </c>
      <c r="J139" s="504">
        <f t="shared" si="30"/>
        <v>0</v>
      </c>
      <c r="K139" s="504"/>
      <c r="L139" s="512"/>
      <c r="M139" s="504">
        <f t="shared" si="31"/>
        <v>0</v>
      </c>
      <c r="N139" s="512"/>
      <c r="O139" s="504">
        <f t="shared" si="32"/>
        <v>0</v>
      </c>
      <c r="P139" s="504">
        <f t="shared" si="33"/>
        <v>0</v>
      </c>
      <c r="Q139" s="243"/>
      <c r="R139" s="243"/>
      <c r="S139" s="243"/>
      <c r="T139" s="243"/>
      <c r="U139" s="243"/>
    </row>
    <row r="140" spans="2:21">
      <c r="B140" s="145" t="str">
        <f t="shared" si="26"/>
        <v/>
      </c>
      <c r="C140" s="495">
        <f>IF(D94="","-",+C139+1)</f>
        <v>2052</v>
      </c>
      <c r="D140" s="349">
        <f>IF(F139+SUM(E$100:E139)=D$93,F139,D$93-SUM(E$100:E139))</f>
        <v>0</v>
      </c>
      <c r="E140" s="509">
        <f>IF(+J97&lt;F139,J97,D140)</f>
        <v>0</v>
      </c>
      <c r="F140" s="510">
        <f t="shared" si="34"/>
        <v>0</v>
      </c>
      <c r="G140" s="510">
        <f t="shared" si="27"/>
        <v>0</v>
      </c>
      <c r="H140" s="523">
        <f t="shared" si="28"/>
        <v>0</v>
      </c>
      <c r="I140" s="572">
        <f t="shared" si="29"/>
        <v>0</v>
      </c>
      <c r="J140" s="504">
        <f t="shared" si="30"/>
        <v>0</v>
      </c>
      <c r="K140" s="504"/>
      <c r="L140" s="512"/>
      <c r="M140" s="504">
        <f t="shared" si="31"/>
        <v>0</v>
      </c>
      <c r="N140" s="512"/>
      <c r="O140" s="504">
        <f t="shared" si="32"/>
        <v>0</v>
      </c>
      <c r="P140" s="504">
        <f t="shared" si="33"/>
        <v>0</v>
      </c>
      <c r="Q140" s="243"/>
      <c r="R140" s="243"/>
      <c r="S140" s="243"/>
      <c r="T140" s="243"/>
      <c r="U140" s="243"/>
    </row>
    <row r="141" spans="2:21">
      <c r="B141" s="145" t="str">
        <f t="shared" si="26"/>
        <v/>
      </c>
      <c r="C141" s="495">
        <f>IF(D94="","-",+C140+1)</f>
        <v>2053</v>
      </c>
      <c r="D141" s="349">
        <f>IF(F140+SUM(E$100:E140)=D$93,F140,D$93-SUM(E$100:E140))</f>
        <v>0</v>
      </c>
      <c r="E141" s="509">
        <f>IF(+J97&lt;F140,J97,D141)</f>
        <v>0</v>
      </c>
      <c r="F141" s="510">
        <f t="shared" si="34"/>
        <v>0</v>
      </c>
      <c r="G141" s="510">
        <f t="shared" si="27"/>
        <v>0</v>
      </c>
      <c r="H141" s="523">
        <f t="shared" si="28"/>
        <v>0</v>
      </c>
      <c r="I141" s="572">
        <f t="shared" si="29"/>
        <v>0</v>
      </c>
      <c r="J141" s="504">
        <f t="shared" si="30"/>
        <v>0</v>
      </c>
      <c r="K141" s="504"/>
      <c r="L141" s="512"/>
      <c r="M141" s="504">
        <f t="shared" si="31"/>
        <v>0</v>
      </c>
      <c r="N141" s="512"/>
      <c r="O141" s="504">
        <f t="shared" si="32"/>
        <v>0</v>
      </c>
      <c r="P141" s="504">
        <f t="shared" si="33"/>
        <v>0</v>
      </c>
      <c r="Q141" s="243"/>
      <c r="R141" s="243"/>
      <c r="S141" s="243"/>
      <c r="T141" s="243"/>
      <c r="U141" s="243"/>
    </row>
    <row r="142" spans="2:21">
      <c r="B142" s="145" t="str">
        <f t="shared" si="26"/>
        <v/>
      </c>
      <c r="C142" s="495">
        <f>IF(D94="","-",+C141+1)</f>
        <v>2054</v>
      </c>
      <c r="D142" s="349">
        <f>IF(F141+SUM(E$100:E141)=D$93,F141,D$93-SUM(E$100:E141))</f>
        <v>0</v>
      </c>
      <c r="E142" s="509">
        <f>IF(+J97&lt;F141,J97,D142)</f>
        <v>0</v>
      </c>
      <c r="F142" s="510">
        <f t="shared" si="34"/>
        <v>0</v>
      </c>
      <c r="G142" s="510">
        <f t="shared" si="27"/>
        <v>0</v>
      </c>
      <c r="H142" s="523">
        <f t="shared" si="28"/>
        <v>0</v>
      </c>
      <c r="I142" s="572">
        <f t="shared" si="29"/>
        <v>0</v>
      </c>
      <c r="J142" s="504">
        <f t="shared" si="30"/>
        <v>0</v>
      </c>
      <c r="K142" s="504"/>
      <c r="L142" s="512"/>
      <c r="M142" s="504">
        <f t="shared" si="31"/>
        <v>0</v>
      </c>
      <c r="N142" s="512"/>
      <c r="O142" s="504">
        <f t="shared" si="32"/>
        <v>0</v>
      </c>
      <c r="P142" s="504">
        <f t="shared" si="33"/>
        <v>0</v>
      </c>
      <c r="Q142" s="243"/>
      <c r="R142" s="243"/>
      <c r="S142" s="243"/>
      <c r="T142" s="243"/>
      <c r="U142" s="243"/>
    </row>
    <row r="143" spans="2:21">
      <c r="B143" s="145" t="str">
        <f t="shared" si="26"/>
        <v/>
      </c>
      <c r="C143" s="495">
        <f>IF(D94="","-",+C142+1)</f>
        <v>2055</v>
      </c>
      <c r="D143" s="349">
        <f>IF(F142+SUM(E$100:E142)=D$93,F142,D$93-SUM(E$100:E142))</f>
        <v>0</v>
      </c>
      <c r="E143" s="509">
        <f>IF(+J97&lt;F142,J97,D143)</f>
        <v>0</v>
      </c>
      <c r="F143" s="510">
        <f t="shared" si="34"/>
        <v>0</v>
      </c>
      <c r="G143" s="510">
        <f t="shared" si="27"/>
        <v>0</v>
      </c>
      <c r="H143" s="523">
        <f t="shared" si="28"/>
        <v>0</v>
      </c>
      <c r="I143" s="572">
        <f t="shared" si="29"/>
        <v>0</v>
      </c>
      <c r="J143" s="504">
        <f t="shared" si="30"/>
        <v>0</v>
      </c>
      <c r="K143" s="504"/>
      <c r="L143" s="512"/>
      <c r="M143" s="504">
        <f t="shared" si="31"/>
        <v>0</v>
      </c>
      <c r="N143" s="512"/>
      <c r="O143" s="504">
        <f t="shared" si="32"/>
        <v>0</v>
      </c>
      <c r="P143" s="504">
        <f t="shared" si="33"/>
        <v>0</v>
      </c>
      <c r="Q143" s="243"/>
      <c r="R143" s="243"/>
      <c r="S143" s="243"/>
      <c r="T143" s="243"/>
      <c r="U143" s="243"/>
    </row>
    <row r="144" spans="2:21">
      <c r="B144" s="145" t="str">
        <f t="shared" si="26"/>
        <v/>
      </c>
      <c r="C144" s="495">
        <f>IF(D94="","-",+C143+1)</f>
        <v>2056</v>
      </c>
      <c r="D144" s="349">
        <f>IF(F143+SUM(E$100:E143)=D$93,F143,D$93-SUM(E$100:E143))</f>
        <v>0</v>
      </c>
      <c r="E144" s="509">
        <f>IF(+J97&lt;F143,J97,D144)</f>
        <v>0</v>
      </c>
      <c r="F144" s="510">
        <f t="shared" si="34"/>
        <v>0</v>
      </c>
      <c r="G144" s="510">
        <f t="shared" si="27"/>
        <v>0</v>
      </c>
      <c r="H144" s="523">
        <f t="shared" si="28"/>
        <v>0</v>
      </c>
      <c r="I144" s="572">
        <f t="shared" si="29"/>
        <v>0</v>
      </c>
      <c r="J144" s="504">
        <f t="shared" si="30"/>
        <v>0</v>
      </c>
      <c r="K144" s="504"/>
      <c r="L144" s="512"/>
      <c r="M144" s="504">
        <f t="shared" si="31"/>
        <v>0</v>
      </c>
      <c r="N144" s="512"/>
      <c r="O144" s="504">
        <f t="shared" si="32"/>
        <v>0</v>
      </c>
      <c r="P144" s="504">
        <f t="shared" si="33"/>
        <v>0</v>
      </c>
      <c r="Q144" s="243"/>
      <c r="R144" s="243"/>
      <c r="S144" s="243"/>
      <c r="T144" s="243"/>
      <c r="U144" s="243"/>
    </row>
    <row r="145" spans="2:21">
      <c r="B145" s="145" t="str">
        <f t="shared" si="26"/>
        <v/>
      </c>
      <c r="C145" s="495">
        <f>IF(D94="","-",+C144+1)</f>
        <v>2057</v>
      </c>
      <c r="D145" s="349">
        <f>IF(F144+SUM(E$100:E144)=D$93,F144,D$93-SUM(E$100:E144))</f>
        <v>0</v>
      </c>
      <c r="E145" s="509">
        <f>IF(+J97&lt;F144,J97,D145)</f>
        <v>0</v>
      </c>
      <c r="F145" s="510">
        <f t="shared" si="34"/>
        <v>0</v>
      </c>
      <c r="G145" s="510">
        <f t="shared" si="27"/>
        <v>0</v>
      </c>
      <c r="H145" s="523">
        <f t="shared" si="28"/>
        <v>0</v>
      </c>
      <c r="I145" s="572">
        <f t="shared" si="29"/>
        <v>0</v>
      </c>
      <c r="J145" s="504">
        <f t="shared" si="30"/>
        <v>0</v>
      </c>
      <c r="K145" s="504"/>
      <c r="L145" s="512"/>
      <c r="M145" s="504">
        <f t="shared" si="31"/>
        <v>0</v>
      </c>
      <c r="N145" s="512"/>
      <c r="O145" s="504">
        <f t="shared" si="32"/>
        <v>0</v>
      </c>
      <c r="P145" s="504">
        <f t="shared" si="33"/>
        <v>0</v>
      </c>
      <c r="Q145" s="243"/>
      <c r="R145" s="243"/>
      <c r="S145" s="243"/>
      <c r="T145" s="243"/>
      <c r="U145" s="243"/>
    </row>
    <row r="146" spans="2:21">
      <c r="B146" s="145" t="str">
        <f t="shared" si="26"/>
        <v/>
      </c>
      <c r="C146" s="495">
        <f>IF(D94="","-",+C145+1)</f>
        <v>2058</v>
      </c>
      <c r="D146" s="349">
        <f>IF(F145+SUM(E$100:E145)=D$93,F145,D$93-SUM(E$100:E145))</f>
        <v>0</v>
      </c>
      <c r="E146" s="509">
        <f>IF(+J97&lt;F145,J97,D146)</f>
        <v>0</v>
      </c>
      <c r="F146" s="510">
        <f t="shared" si="34"/>
        <v>0</v>
      </c>
      <c r="G146" s="510">
        <f t="shared" si="27"/>
        <v>0</v>
      </c>
      <c r="H146" s="523">
        <f t="shared" si="28"/>
        <v>0</v>
      </c>
      <c r="I146" s="572">
        <f t="shared" si="29"/>
        <v>0</v>
      </c>
      <c r="J146" s="504">
        <f t="shared" si="30"/>
        <v>0</v>
      </c>
      <c r="K146" s="504"/>
      <c r="L146" s="512"/>
      <c r="M146" s="504">
        <f t="shared" si="31"/>
        <v>0</v>
      </c>
      <c r="N146" s="512"/>
      <c r="O146" s="504">
        <f t="shared" si="32"/>
        <v>0</v>
      </c>
      <c r="P146" s="504">
        <f t="shared" si="33"/>
        <v>0</v>
      </c>
      <c r="Q146" s="243"/>
      <c r="R146" s="243"/>
      <c r="S146" s="243"/>
      <c r="T146" s="243"/>
      <c r="U146" s="243"/>
    </row>
    <row r="147" spans="2:21">
      <c r="B147" s="145" t="str">
        <f t="shared" si="26"/>
        <v/>
      </c>
      <c r="C147" s="495">
        <f>IF(D94="","-",+C146+1)</f>
        <v>2059</v>
      </c>
      <c r="D147" s="349">
        <f>IF(F146+SUM(E$100:E146)=D$93,F146,D$93-SUM(E$100:E146))</f>
        <v>0</v>
      </c>
      <c r="E147" s="509">
        <f>IF(+J97&lt;F146,J97,D147)</f>
        <v>0</v>
      </c>
      <c r="F147" s="510">
        <f t="shared" si="34"/>
        <v>0</v>
      </c>
      <c r="G147" s="510">
        <f t="shared" si="27"/>
        <v>0</v>
      </c>
      <c r="H147" s="523">
        <f t="shared" si="28"/>
        <v>0</v>
      </c>
      <c r="I147" s="572">
        <f t="shared" si="29"/>
        <v>0</v>
      </c>
      <c r="J147" s="504">
        <f t="shared" si="30"/>
        <v>0</v>
      </c>
      <c r="K147" s="504"/>
      <c r="L147" s="512"/>
      <c r="M147" s="504">
        <f t="shared" si="31"/>
        <v>0</v>
      </c>
      <c r="N147" s="512"/>
      <c r="O147" s="504">
        <f t="shared" si="32"/>
        <v>0</v>
      </c>
      <c r="P147" s="504">
        <f t="shared" si="33"/>
        <v>0</v>
      </c>
      <c r="Q147" s="243"/>
      <c r="R147" s="243"/>
      <c r="S147" s="243"/>
      <c r="T147" s="243"/>
      <c r="U147" s="243"/>
    </row>
    <row r="148" spans="2:21">
      <c r="B148" s="145" t="str">
        <f t="shared" si="26"/>
        <v/>
      </c>
      <c r="C148" s="495">
        <f>IF(D94="","-",+C147+1)</f>
        <v>2060</v>
      </c>
      <c r="D148" s="349">
        <f>IF(F147+SUM(E$100:E147)=D$93,F147,D$93-SUM(E$100:E147))</f>
        <v>0</v>
      </c>
      <c r="E148" s="509">
        <f>IF(+J97&lt;F147,J97,D148)</f>
        <v>0</v>
      </c>
      <c r="F148" s="510">
        <f t="shared" si="34"/>
        <v>0</v>
      </c>
      <c r="G148" s="510">
        <f t="shared" si="27"/>
        <v>0</v>
      </c>
      <c r="H148" s="523">
        <f t="shared" si="28"/>
        <v>0</v>
      </c>
      <c r="I148" s="572">
        <f t="shared" si="29"/>
        <v>0</v>
      </c>
      <c r="J148" s="504">
        <f t="shared" si="30"/>
        <v>0</v>
      </c>
      <c r="K148" s="504"/>
      <c r="L148" s="512"/>
      <c r="M148" s="504">
        <f t="shared" si="31"/>
        <v>0</v>
      </c>
      <c r="N148" s="512"/>
      <c r="O148" s="504">
        <f t="shared" si="32"/>
        <v>0</v>
      </c>
      <c r="P148" s="504">
        <f t="shared" si="33"/>
        <v>0</v>
      </c>
      <c r="Q148" s="243"/>
      <c r="R148" s="243"/>
      <c r="S148" s="243"/>
      <c r="T148" s="243"/>
      <c r="U148" s="243"/>
    </row>
    <row r="149" spans="2:21">
      <c r="B149" s="145" t="str">
        <f t="shared" si="26"/>
        <v/>
      </c>
      <c r="C149" s="495">
        <f>IF(D94="","-",+C148+1)</f>
        <v>2061</v>
      </c>
      <c r="D149" s="349">
        <f>IF(F148+SUM(E$100:E148)=D$93,F148,D$93-SUM(E$100:E148))</f>
        <v>0</v>
      </c>
      <c r="E149" s="509">
        <f>IF(+J97&lt;F148,J97,D149)</f>
        <v>0</v>
      </c>
      <c r="F149" s="510">
        <f t="shared" si="34"/>
        <v>0</v>
      </c>
      <c r="G149" s="510">
        <f t="shared" si="27"/>
        <v>0</v>
      </c>
      <c r="H149" s="523">
        <f t="shared" si="28"/>
        <v>0</v>
      </c>
      <c r="I149" s="572">
        <f t="shared" si="29"/>
        <v>0</v>
      </c>
      <c r="J149" s="504">
        <f t="shared" si="30"/>
        <v>0</v>
      </c>
      <c r="K149" s="504"/>
      <c r="L149" s="512"/>
      <c r="M149" s="504">
        <f t="shared" si="31"/>
        <v>0</v>
      </c>
      <c r="N149" s="512"/>
      <c r="O149" s="504">
        <f t="shared" si="32"/>
        <v>0</v>
      </c>
      <c r="P149" s="504">
        <f t="shared" si="33"/>
        <v>0</v>
      </c>
      <c r="Q149" s="243"/>
      <c r="R149" s="243"/>
      <c r="S149" s="243"/>
      <c r="T149" s="243"/>
      <c r="U149" s="243"/>
    </row>
    <row r="150" spans="2:21">
      <c r="B150" s="145" t="str">
        <f t="shared" si="26"/>
        <v/>
      </c>
      <c r="C150" s="495">
        <f>IF(D94="","-",+C149+1)</f>
        <v>2062</v>
      </c>
      <c r="D150" s="349">
        <f>IF(F149+SUM(E$100:E149)=D$93,F149,D$93-SUM(E$100:E149))</f>
        <v>0</v>
      </c>
      <c r="E150" s="509">
        <f>IF(+J97&lt;F149,J97,D150)</f>
        <v>0</v>
      </c>
      <c r="F150" s="510">
        <f t="shared" si="34"/>
        <v>0</v>
      </c>
      <c r="G150" s="510">
        <f t="shared" si="27"/>
        <v>0</v>
      </c>
      <c r="H150" s="523">
        <f t="shared" si="28"/>
        <v>0</v>
      </c>
      <c r="I150" s="572">
        <f t="shared" si="29"/>
        <v>0</v>
      </c>
      <c r="J150" s="504">
        <f t="shared" si="30"/>
        <v>0</v>
      </c>
      <c r="K150" s="504"/>
      <c r="L150" s="512"/>
      <c r="M150" s="504">
        <f t="shared" si="31"/>
        <v>0</v>
      </c>
      <c r="N150" s="512"/>
      <c r="O150" s="504">
        <f t="shared" si="32"/>
        <v>0</v>
      </c>
      <c r="P150" s="504">
        <f t="shared" si="33"/>
        <v>0</v>
      </c>
      <c r="Q150" s="243"/>
      <c r="R150" s="243"/>
      <c r="S150" s="243"/>
      <c r="T150" s="243"/>
      <c r="U150" s="243"/>
    </row>
    <row r="151" spans="2:21">
      <c r="B151" s="145" t="str">
        <f t="shared" si="26"/>
        <v/>
      </c>
      <c r="C151" s="495">
        <f>IF(D94="","-",+C150+1)</f>
        <v>2063</v>
      </c>
      <c r="D151" s="349">
        <f>IF(F150+SUM(E$100:E150)=D$93,F150,D$93-SUM(E$100:E150))</f>
        <v>0</v>
      </c>
      <c r="E151" s="509">
        <f>IF(+J97&lt;F150,J97,D151)</f>
        <v>0</v>
      </c>
      <c r="F151" s="510">
        <f t="shared" si="34"/>
        <v>0</v>
      </c>
      <c r="G151" s="510">
        <f t="shared" si="27"/>
        <v>0</v>
      </c>
      <c r="H151" s="523">
        <f t="shared" si="28"/>
        <v>0</v>
      </c>
      <c r="I151" s="572">
        <f t="shared" si="29"/>
        <v>0</v>
      </c>
      <c r="J151" s="504">
        <f t="shared" si="30"/>
        <v>0</v>
      </c>
      <c r="K151" s="504"/>
      <c r="L151" s="512"/>
      <c r="M151" s="504">
        <f t="shared" si="31"/>
        <v>0</v>
      </c>
      <c r="N151" s="512"/>
      <c r="O151" s="504">
        <f t="shared" si="32"/>
        <v>0</v>
      </c>
      <c r="P151" s="504">
        <f t="shared" si="33"/>
        <v>0</v>
      </c>
      <c r="Q151" s="243"/>
      <c r="R151" s="243"/>
      <c r="S151" s="243"/>
      <c r="T151" s="243"/>
      <c r="U151" s="243"/>
    </row>
    <row r="152" spans="2:21">
      <c r="B152" s="145" t="str">
        <f t="shared" si="26"/>
        <v/>
      </c>
      <c r="C152" s="495">
        <f>IF(D94="","-",+C151+1)</f>
        <v>2064</v>
      </c>
      <c r="D152" s="349">
        <f>IF(F151+SUM(E$100:E151)=D$93,F151,D$93-SUM(E$100:E151))</f>
        <v>0</v>
      </c>
      <c r="E152" s="509">
        <f>IF(+J97&lt;F151,J97,D152)</f>
        <v>0</v>
      </c>
      <c r="F152" s="510">
        <f t="shared" si="34"/>
        <v>0</v>
      </c>
      <c r="G152" s="510">
        <f t="shared" si="27"/>
        <v>0</v>
      </c>
      <c r="H152" s="523">
        <f t="shared" si="28"/>
        <v>0</v>
      </c>
      <c r="I152" s="572">
        <f t="shared" si="29"/>
        <v>0</v>
      </c>
      <c r="J152" s="504">
        <f t="shared" si="30"/>
        <v>0</v>
      </c>
      <c r="K152" s="504"/>
      <c r="L152" s="512"/>
      <c r="M152" s="504">
        <f t="shared" si="31"/>
        <v>0</v>
      </c>
      <c r="N152" s="512"/>
      <c r="O152" s="504">
        <f t="shared" si="32"/>
        <v>0</v>
      </c>
      <c r="P152" s="504">
        <f t="shared" si="33"/>
        <v>0</v>
      </c>
      <c r="Q152" s="243"/>
      <c r="R152" s="243"/>
      <c r="S152" s="243"/>
      <c r="T152" s="243"/>
      <c r="U152" s="243"/>
    </row>
    <row r="153" spans="2:21">
      <c r="B153" s="145" t="str">
        <f t="shared" si="26"/>
        <v/>
      </c>
      <c r="C153" s="495">
        <f>IF(D94="","-",+C152+1)</f>
        <v>2065</v>
      </c>
      <c r="D153" s="349">
        <f>IF(F152+SUM(E$100:E152)=D$93,F152,D$93-SUM(E$100:E152))</f>
        <v>0</v>
      </c>
      <c r="E153" s="509">
        <f>IF(+J97&lt;F152,J97,D153)</f>
        <v>0</v>
      </c>
      <c r="F153" s="510">
        <f t="shared" si="34"/>
        <v>0</v>
      </c>
      <c r="G153" s="510">
        <f t="shared" si="27"/>
        <v>0</v>
      </c>
      <c r="H153" s="523">
        <f t="shared" si="28"/>
        <v>0</v>
      </c>
      <c r="I153" s="572">
        <f t="shared" si="29"/>
        <v>0</v>
      </c>
      <c r="J153" s="504">
        <f t="shared" si="30"/>
        <v>0</v>
      </c>
      <c r="K153" s="504"/>
      <c r="L153" s="512"/>
      <c r="M153" s="504">
        <f t="shared" si="31"/>
        <v>0</v>
      </c>
      <c r="N153" s="512"/>
      <c r="O153" s="504">
        <f t="shared" si="32"/>
        <v>0</v>
      </c>
      <c r="P153" s="504">
        <f t="shared" si="33"/>
        <v>0</v>
      </c>
      <c r="Q153" s="243"/>
      <c r="R153" s="243"/>
      <c r="S153" s="243"/>
      <c r="T153" s="243"/>
      <c r="U153" s="243"/>
    </row>
    <row r="154" spans="2:21">
      <c r="B154" s="145" t="str">
        <f t="shared" si="26"/>
        <v/>
      </c>
      <c r="C154" s="495">
        <f>IF(D94="","-",+C153+1)</f>
        <v>2066</v>
      </c>
      <c r="D154" s="349">
        <f>IF(F153+SUM(E$100:E153)=D$93,F153,D$93-SUM(E$100:E153))</f>
        <v>0</v>
      </c>
      <c r="E154" s="509">
        <f>IF(+J97&lt;F153,J97,D154)</f>
        <v>0</v>
      </c>
      <c r="F154" s="510">
        <f t="shared" si="34"/>
        <v>0</v>
      </c>
      <c r="G154" s="510">
        <f t="shared" si="27"/>
        <v>0</v>
      </c>
      <c r="H154" s="523">
        <f t="shared" si="28"/>
        <v>0</v>
      </c>
      <c r="I154" s="572">
        <f t="shared" si="29"/>
        <v>0</v>
      </c>
      <c r="J154" s="504">
        <f t="shared" si="30"/>
        <v>0</v>
      </c>
      <c r="K154" s="504"/>
      <c r="L154" s="512"/>
      <c r="M154" s="504">
        <f t="shared" si="31"/>
        <v>0</v>
      </c>
      <c r="N154" s="512"/>
      <c r="O154" s="504">
        <f t="shared" si="32"/>
        <v>0</v>
      </c>
      <c r="P154" s="504">
        <f t="shared" si="33"/>
        <v>0</v>
      </c>
      <c r="Q154" s="243"/>
      <c r="R154" s="243"/>
      <c r="S154" s="243"/>
      <c r="T154" s="243"/>
      <c r="U154" s="243"/>
    </row>
    <row r="155" spans="2:21" ht="13.5" thickBot="1">
      <c r="B155" s="145" t="str">
        <f t="shared" si="26"/>
        <v/>
      </c>
      <c r="C155" s="524">
        <f>IF(D94="","-",+C154+1)</f>
        <v>2067</v>
      </c>
      <c r="D155" s="527">
        <f>IF(F154+SUM(E$100:E154)=D$93,F154,D$93-SUM(E$100:E154))</f>
        <v>0</v>
      </c>
      <c r="E155" s="526">
        <f>IF(+J97&lt;F154,J97,D155)</f>
        <v>0</v>
      </c>
      <c r="F155" s="527">
        <f t="shared" si="34"/>
        <v>0</v>
      </c>
      <c r="G155" s="527">
        <f t="shared" si="27"/>
        <v>0</v>
      </c>
      <c r="H155" s="528">
        <f t="shared" si="28"/>
        <v>0</v>
      </c>
      <c r="I155" s="573">
        <f t="shared" si="29"/>
        <v>0</v>
      </c>
      <c r="J155" s="531">
        <f t="shared" si="30"/>
        <v>0</v>
      </c>
      <c r="K155" s="504"/>
      <c r="L155" s="530"/>
      <c r="M155" s="531">
        <f t="shared" si="31"/>
        <v>0</v>
      </c>
      <c r="N155" s="530"/>
      <c r="O155" s="531">
        <f t="shared" si="32"/>
        <v>0</v>
      </c>
      <c r="P155" s="531">
        <f t="shared" si="33"/>
        <v>0</v>
      </c>
      <c r="Q155" s="243"/>
      <c r="R155" s="243"/>
      <c r="S155" s="243"/>
      <c r="T155" s="243"/>
      <c r="U155" s="243"/>
    </row>
    <row r="156" spans="2:21">
      <c r="C156" s="349" t="s">
        <v>75</v>
      </c>
      <c r="D156" s="294"/>
      <c r="E156" s="294">
        <f>SUM(E100:E155)</f>
        <v>0</v>
      </c>
      <c r="F156" s="294"/>
      <c r="G156" s="294"/>
      <c r="H156" s="294">
        <f>SUM(H100:H155)</f>
        <v>0</v>
      </c>
      <c r="I156" s="294">
        <f>SUM(I100:I155)</f>
        <v>0</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4" priority="1" stopIfTrue="1" operator="equal">
      <formula>$I$10</formula>
    </cfRule>
  </conditionalFormatting>
  <conditionalFormatting sqref="C100:C155">
    <cfRule type="cellIs" dxfId="53"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4"/>
  <dimension ref="A1:U163"/>
  <sheetViews>
    <sheetView view="pageBreakPreview" zoomScale="85" zoomScaleNormal="100" workbookViewId="0">
      <selection activeCell="D10" sqref="D10"/>
    </sheetView>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6 of 24</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3333926.386045767</v>
      </c>
      <c r="P5" s="243"/>
      <c r="R5" s="243"/>
      <c r="S5" s="243"/>
      <c r="T5" s="243"/>
      <c r="U5" s="243"/>
    </row>
    <row r="6" spans="1:21" ht="15.75">
      <c r="C6" s="235"/>
      <c r="D6" s="292"/>
      <c r="E6" s="243"/>
      <c r="F6" s="243"/>
      <c r="G6" s="243"/>
      <c r="H6" s="449"/>
      <c r="I6" s="449"/>
      <c r="J6" s="450"/>
      <c r="K6" s="451" t="s">
        <v>243</v>
      </c>
      <c r="L6" s="452"/>
      <c r="M6" s="278"/>
      <c r="N6" s="453">
        <f>VLOOKUP(I10,C17:I73,6)</f>
        <v>3333926.386045767</v>
      </c>
      <c r="O6" s="243"/>
      <c r="P6" s="243"/>
      <c r="R6" s="243"/>
      <c r="S6" s="243"/>
      <c r="T6" s="243"/>
      <c r="U6" s="243"/>
    </row>
    <row r="7" spans="1:21" ht="13.5" thickBot="1">
      <c r="C7" s="454" t="s">
        <v>46</v>
      </c>
      <c r="D7" s="455" t="s">
        <v>206</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205</v>
      </c>
      <c r="E9" s="646" t="s">
        <v>307</v>
      </c>
      <c r="F9" s="465"/>
      <c r="G9" s="465"/>
      <c r="H9" s="465"/>
      <c r="I9" s="466"/>
      <c r="J9" s="467"/>
      <c r="O9" s="468"/>
      <c r="P9" s="278"/>
      <c r="R9" s="243"/>
      <c r="S9" s="243"/>
      <c r="T9" s="243"/>
      <c r="U9" s="243"/>
    </row>
    <row r="10" spans="1:21">
      <c r="C10" s="469" t="s">
        <v>49</v>
      </c>
      <c r="D10" s="470">
        <v>28914236</v>
      </c>
      <c r="E10" s="299" t="s">
        <v>50</v>
      </c>
      <c r="F10" s="468"/>
      <c r="G10" s="408"/>
      <c r="H10" s="408"/>
      <c r="I10" s="471">
        <f>+'OKT.WS.F.BPU.ATRR.Projected'!R101</f>
        <v>2024</v>
      </c>
      <c r="J10" s="467"/>
      <c r="K10" s="294" t="s">
        <v>51</v>
      </c>
      <c r="O10" s="278"/>
      <c r="P10" s="278"/>
      <c r="R10" s="243"/>
      <c r="S10" s="243"/>
      <c r="T10" s="243"/>
      <c r="U10" s="243"/>
    </row>
    <row r="11" spans="1:21">
      <c r="C11" s="472" t="s">
        <v>52</v>
      </c>
      <c r="D11" s="473">
        <v>2013</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8</v>
      </c>
      <c r="E12" s="472" t="s">
        <v>55</v>
      </c>
      <c r="F12" s="408"/>
      <c r="G12" s="220"/>
      <c r="H12" s="220"/>
      <c r="I12" s="476">
        <f>'OKT.WS.F.BPU.ATRR.Projected'!$F$79</f>
        <v>0.11393163315254198</v>
      </c>
      <c r="J12" s="578"/>
      <c r="K12" s="145" t="s">
        <v>56</v>
      </c>
      <c r="O12" s="278"/>
      <c r="P12" s="278"/>
      <c r="R12" s="243"/>
      <c r="S12" s="243"/>
      <c r="T12" s="243"/>
      <c r="U12" s="243"/>
    </row>
    <row r="13" spans="1:21">
      <c r="C13" s="472" t="s">
        <v>57</v>
      </c>
      <c r="D13" s="474">
        <f>'OKT.WS.F.BPU.ATRR.Projected'!F90</f>
        <v>31</v>
      </c>
      <c r="E13" s="472" t="s">
        <v>58</v>
      </c>
      <c r="F13" s="408"/>
      <c r="G13" s="220"/>
      <c r="H13" s="220"/>
      <c r="I13" s="476">
        <f>IF(G5="",I12,'OKT.WS.F.BPU.ATRR.Projected'!$F$78)</f>
        <v>0.11393163315254198</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932717.29032258061</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49" si="0">IF(D17=F16,"","IU")</f>
        <v>IU</v>
      </c>
      <c r="C17" s="580">
        <f>IF(D11= "","-",D11)</f>
        <v>2013</v>
      </c>
      <c r="D17" s="496">
        <v>6627800</v>
      </c>
      <c r="E17" s="497">
        <v>57327.852379007891</v>
      </c>
      <c r="F17" s="496">
        <v>6570472.1476209918</v>
      </c>
      <c r="G17" s="498">
        <v>692344.48890277033</v>
      </c>
      <c r="H17" s="499">
        <v>692344.48890277033</v>
      </c>
      <c r="I17" s="584">
        <v>0</v>
      </c>
      <c r="J17" s="500"/>
      <c r="K17" s="501">
        <f t="shared" ref="K17:K22" si="1">G17</f>
        <v>692344.48890277033</v>
      </c>
      <c r="L17" s="607">
        <f t="shared" ref="L17:L49" si="2">IF(K17&lt;&gt;0,+G17-K17,0)</f>
        <v>0</v>
      </c>
      <c r="M17" s="608">
        <f t="shared" ref="M17:M22" si="3">H17</f>
        <v>692344.48890277033</v>
      </c>
      <c r="N17" s="586">
        <f t="shared" ref="N17:N49" si="4">IF(M17&lt;&gt;0,+H17-M17,0)</f>
        <v>0</v>
      </c>
      <c r="O17" s="504">
        <f t="shared" ref="O17:O49" si="5">+N17-L17</f>
        <v>0</v>
      </c>
      <c r="P17" s="278"/>
      <c r="R17" s="243"/>
      <c r="S17" s="243"/>
      <c r="T17" s="243"/>
      <c r="U17" s="243"/>
    </row>
    <row r="18" spans="2:21">
      <c r="B18" s="145" t="str">
        <f t="shared" si="0"/>
        <v>IU</v>
      </c>
      <c r="C18" s="495">
        <f>IF(D11="","-",+C17+1)</f>
        <v>2014</v>
      </c>
      <c r="D18" s="505">
        <v>28510458.147620991</v>
      </c>
      <c r="E18" s="498">
        <v>494200.13235254184</v>
      </c>
      <c r="F18" s="505">
        <v>28016258.015268449</v>
      </c>
      <c r="G18" s="498">
        <v>3554730.1038106573</v>
      </c>
      <c r="H18" s="499">
        <v>3554730.1038106573</v>
      </c>
      <c r="I18" s="500">
        <v>0</v>
      </c>
      <c r="J18" s="500"/>
      <c r="K18" s="506">
        <f t="shared" si="1"/>
        <v>3554730.1038106573</v>
      </c>
      <c r="L18" s="609">
        <f t="shared" ref="L18:L23" si="6">IF(K18&lt;&gt;0,+G18-K18,0)</f>
        <v>0</v>
      </c>
      <c r="M18" s="610">
        <f t="shared" si="3"/>
        <v>3554730.1038106573</v>
      </c>
      <c r="N18" s="500">
        <f>IF(M18&lt;&gt;0,+H18-M18,0)</f>
        <v>0</v>
      </c>
      <c r="O18" s="504">
        <f>+N18-L18</f>
        <v>0</v>
      </c>
      <c r="P18" s="278"/>
      <c r="R18" s="243"/>
      <c r="S18" s="243"/>
      <c r="T18" s="243"/>
      <c r="U18" s="243"/>
    </row>
    <row r="19" spans="2:21">
      <c r="B19" s="145" t="str">
        <f t="shared" si="0"/>
        <v>IU</v>
      </c>
      <c r="C19" s="495">
        <f>IF(D11="","-",+C18+1)</f>
        <v>2015</v>
      </c>
      <c r="D19" s="505">
        <v>28130872.015268449</v>
      </c>
      <c r="E19" s="498">
        <v>496182.86401993298</v>
      </c>
      <c r="F19" s="505">
        <v>27634689.151248515</v>
      </c>
      <c r="G19" s="498">
        <v>3536753.8544176081</v>
      </c>
      <c r="H19" s="499">
        <v>3536753.8544176081</v>
      </c>
      <c r="I19" s="500">
        <v>0</v>
      </c>
      <c r="J19" s="500"/>
      <c r="K19" s="506">
        <f t="shared" si="1"/>
        <v>3536753.8544176081</v>
      </c>
      <c r="L19" s="507">
        <f t="shared" si="6"/>
        <v>0</v>
      </c>
      <c r="M19" s="506">
        <f t="shared" si="3"/>
        <v>3536753.8544176081</v>
      </c>
      <c r="N19" s="504">
        <f>IF(M19&lt;&gt;0,+H19-M19,0)</f>
        <v>0</v>
      </c>
      <c r="O19" s="504">
        <f>+N19-L19</f>
        <v>0</v>
      </c>
      <c r="P19" s="278"/>
      <c r="R19" s="243"/>
      <c r="S19" s="243"/>
      <c r="T19" s="243"/>
      <c r="U19" s="243"/>
    </row>
    <row r="20" spans="2:21">
      <c r="B20" s="145" t="str">
        <f t="shared" si="0"/>
        <v>IU</v>
      </c>
      <c r="C20" s="495">
        <f>IF(D11="","-",+C19+1)</f>
        <v>2016</v>
      </c>
      <c r="D20" s="505">
        <v>27866524.891248517</v>
      </c>
      <c r="E20" s="498">
        <v>600822.03590460983</v>
      </c>
      <c r="F20" s="505">
        <v>27265702.855343908</v>
      </c>
      <c r="G20" s="498">
        <v>3542256.1502628839</v>
      </c>
      <c r="H20" s="499">
        <v>3542256.1502628839</v>
      </c>
      <c r="I20" s="500">
        <f t="shared" ref="I20:I49" si="7">H20-G20</f>
        <v>0</v>
      </c>
      <c r="J20" s="500"/>
      <c r="K20" s="506">
        <f t="shared" si="1"/>
        <v>3542256.1502628839</v>
      </c>
      <c r="L20" s="507">
        <f t="shared" si="6"/>
        <v>0</v>
      </c>
      <c r="M20" s="506">
        <f t="shared" si="3"/>
        <v>3542256.1502628839</v>
      </c>
      <c r="N20" s="504">
        <f t="shared" si="4"/>
        <v>0</v>
      </c>
      <c r="O20" s="504">
        <f t="shared" si="5"/>
        <v>0</v>
      </c>
      <c r="P20" s="278"/>
      <c r="R20" s="243"/>
      <c r="S20" s="243"/>
      <c r="T20" s="243"/>
      <c r="U20" s="243"/>
    </row>
    <row r="21" spans="2:21">
      <c r="B21" s="145" t="str">
        <f t="shared" si="0"/>
        <v/>
      </c>
      <c r="C21" s="495">
        <f>IF(D12="","-",+C20+1)</f>
        <v>2017</v>
      </c>
      <c r="D21" s="505">
        <v>27265702.855343908</v>
      </c>
      <c r="E21" s="498">
        <v>568511.11858112796</v>
      </c>
      <c r="F21" s="505">
        <v>26697191.736762781</v>
      </c>
      <c r="G21" s="498">
        <v>3534850.6884225709</v>
      </c>
      <c r="H21" s="499">
        <v>3534850.6884225709</v>
      </c>
      <c r="I21" s="500">
        <f t="shared" si="7"/>
        <v>0</v>
      </c>
      <c r="J21" s="500"/>
      <c r="K21" s="506">
        <f t="shared" si="1"/>
        <v>3534850.6884225709</v>
      </c>
      <c r="L21" s="507">
        <f t="shared" si="6"/>
        <v>0</v>
      </c>
      <c r="M21" s="506">
        <f t="shared" si="3"/>
        <v>3534850.6884225709</v>
      </c>
      <c r="N21" s="504">
        <f>IF(M21&lt;&gt;0,+H21-M21,0)</f>
        <v>0</v>
      </c>
      <c r="O21" s="504">
        <f>+N21-L21</f>
        <v>0</v>
      </c>
      <c r="P21" s="278"/>
      <c r="R21" s="243"/>
      <c r="S21" s="243"/>
      <c r="T21" s="243"/>
      <c r="U21" s="243"/>
    </row>
    <row r="22" spans="2:21">
      <c r="B22" s="145" t="str">
        <f t="shared" si="0"/>
        <v/>
      </c>
      <c r="C22" s="495">
        <f>IF(D11="","-",+C21+1)</f>
        <v>2018</v>
      </c>
      <c r="D22" s="505">
        <v>26697191.736762781</v>
      </c>
      <c r="E22" s="498">
        <v>709109.54353113449</v>
      </c>
      <c r="F22" s="505">
        <v>25988082.193231646</v>
      </c>
      <c r="G22" s="498">
        <v>3386144.4526302526</v>
      </c>
      <c r="H22" s="499">
        <v>3386144.4526302526</v>
      </c>
      <c r="I22" s="500">
        <v>0</v>
      </c>
      <c r="J22" s="500"/>
      <c r="K22" s="506">
        <f t="shared" si="1"/>
        <v>3386144.4526302526</v>
      </c>
      <c r="L22" s="507">
        <f t="shared" si="6"/>
        <v>0</v>
      </c>
      <c r="M22" s="506">
        <f t="shared" si="3"/>
        <v>3386144.4526302526</v>
      </c>
      <c r="N22" s="504">
        <f>IF(M22&lt;&gt;0,+H22-M22,0)</f>
        <v>0</v>
      </c>
      <c r="O22" s="504">
        <f>+N22-L22</f>
        <v>0</v>
      </c>
      <c r="P22" s="278"/>
      <c r="R22" s="243"/>
      <c r="S22" s="243"/>
      <c r="T22" s="243"/>
      <c r="U22" s="243"/>
    </row>
    <row r="23" spans="2:21">
      <c r="B23" s="145" t="str">
        <f t="shared" si="0"/>
        <v/>
      </c>
      <c r="C23" s="495">
        <f>IF(D11="","-",+C22+1)</f>
        <v>2019</v>
      </c>
      <c r="D23" s="505">
        <v>25988082.193231646</v>
      </c>
      <c r="E23" s="498">
        <v>857562.89168410667</v>
      </c>
      <c r="F23" s="505">
        <v>25130519.301547538</v>
      </c>
      <c r="G23" s="498">
        <v>3514093.467191291</v>
      </c>
      <c r="H23" s="499">
        <v>3514093.467191291</v>
      </c>
      <c r="I23" s="500">
        <f t="shared" si="7"/>
        <v>0</v>
      </c>
      <c r="J23" s="500"/>
      <c r="K23" s="506">
        <f t="shared" ref="K23" si="8">G23</f>
        <v>3514093.467191291</v>
      </c>
      <c r="L23" s="507">
        <f t="shared" si="6"/>
        <v>0</v>
      </c>
      <c r="M23" s="506">
        <f t="shared" ref="M23" si="9">H23</f>
        <v>3514093.467191291</v>
      </c>
      <c r="N23" s="504">
        <f>IF(M23&lt;&gt;0,+H23-M23,0)</f>
        <v>0</v>
      </c>
      <c r="O23" s="504">
        <f>+N23-L23</f>
        <v>0</v>
      </c>
      <c r="P23" s="278"/>
      <c r="R23" s="243"/>
      <c r="S23" s="243"/>
      <c r="T23" s="243"/>
      <c r="U23" s="243"/>
    </row>
    <row r="24" spans="2:21">
      <c r="B24" s="145" t="str">
        <f t="shared" si="0"/>
        <v>IU</v>
      </c>
      <c r="C24" s="495">
        <f>IF(D11="","-",+C23+1)</f>
        <v>2020</v>
      </c>
      <c r="D24" s="505">
        <v>25278972.649700511</v>
      </c>
      <c r="E24" s="498">
        <v>846660.3033934671</v>
      </c>
      <c r="F24" s="505">
        <v>24432312.346307043</v>
      </c>
      <c r="G24" s="498">
        <v>3454824.1726137344</v>
      </c>
      <c r="H24" s="499">
        <v>3454824.1726137344</v>
      </c>
      <c r="I24" s="500">
        <f t="shared" si="7"/>
        <v>0</v>
      </c>
      <c r="J24" s="500"/>
      <c r="K24" s="506">
        <f t="shared" ref="K24" si="10">G24</f>
        <v>3454824.1726137344</v>
      </c>
      <c r="L24" s="507">
        <f t="shared" ref="L24" si="11">IF(K24&lt;&gt;0,+G24-K24,0)</f>
        <v>0</v>
      </c>
      <c r="M24" s="506">
        <f t="shared" ref="M24" si="12">H24</f>
        <v>3454824.1726137344</v>
      </c>
      <c r="N24" s="504">
        <f>IF(M24&lt;&gt;0,+H24-M24,0)</f>
        <v>0</v>
      </c>
      <c r="O24" s="504">
        <f>+N24-L24</f>
        <v>0</v>
      </c>
      <c r="P24" s="278"/>
      <c r="R24" s="243"/>
      <c r="S24" s="243"/>
      <c r="T24" s="243"/>
      <c r="U24" s="243"/>
    </row>
    <row r="25" spans="2:21">
      <c r="B25" s="145" t="str">
        <f t="shared" si="0"/>
        <v>IU</v>
      </c>
      <c r="C25" s="495">
        <f>IF(D11="","-",+C24+1)</f>
        <v>2021</v>
      </c>
      <c r="D25" s="505">
        <v>24283858.99815407</v>
      </c>
      <c r="E25" s="498">
        <v>932717.2819354838</v>
      </c>
      <c r="F25" s="505">
        <v>23351141.716218587</v>
      </c>
      <c r="G25" s="498">
        <v>3509415.1582725761</v>
      </c>
      <c r="H25" s="499">
        <v>3509415.1582725761</v>
      </c>
      <c r="I25" s="500">
        <f t="shared" si="7"/>
        <v>0</v>
      </c>
      <c r="J25" s="500"/>
      <c r="K25" s="506">
        <f t="shared" ref="K25" si="13">G25</f>
        <v>3509415.1582725761</v>
      </c>
      <c r="L25" s="507">
        <f t="shared" ref="L25" si="14">IF(K25&lt;&gt;0,+G25-K25,0)</f>
        <v>0</v>
      </c>
      <c r="M25" s="506">
        <f t="shared" ref="M25" si="15">H25</f>
        <v>3509415.1582725761</v>
      </c>
      <c r="N25" s="504">
        <f t="shared" si="4"/>
        <v>0</v>
      </c>
      <c r="O25" s="504">
        <f t="shared" si="5"/>
        <v>0</v>
      </c>
      <c r="P25" s="278"/>
      <c r="R25" s="243"/>
      <c r="S25" s="243"/>
      <c r="T25" s="243"/>
      <c r="U25" s="243"/>
    </row>
    <row r="26" spans="2:21">
      <c r="B26" s="145" t="str">
        <f t="shared" si="0"/>
        <v/>
      </c>
      <c r="C26" s="580">
        <f>IF(D11="","-",+C25+1)</f>
        <v>2022</v>
      </c>
      <c r="D26" s="505">
        <v>23351141.716218587</v>
      </c>
      <c r="E26" s="498">
        <v>876188.96181818179</v>
      </c>
      <c r="F26" s="505">
        <v>22474952.754400406</v>
      </c>
      <c r="G26" s="498">
        <v>3505662.168801737</v>
      </c>
      <c r="H26" s="499">
        <v>3505662.168801737</v>
      </c>
      <c r="I26" s="500">
        <f t="shared" si="7"/>
        <v>0</v>
      </c>
      <c r="J26" s="500"/>
      <c r="K26" s="506">
        <f t="shared" ref="K26" si="16">G26</f>
        <v>3505662.168801737</v>
      </c>
      <c r="L26" s="507">
        <f t="shared" ref="L26" si="17">IF(K26&lt;&gt;0,+G26-K26,0)</f>
        <v>0</v>
      </c>
      <c r="M26" s="506">
        <f t="shared" ref="M26" si="18">H26</f>
        <v>3505662.168801737</v>
      </c>
      <c r="N26" s="504">
        <f t="shared" si="4"/>
        <v>0</v>
      </c>
      <c r="O26" s="504">
        <f t="shared" si="5"/>
        <v>0</v>
      </c>
      <c r="P26" s="278"/>
      <c r="R26" s="243"/>
      <c r="S26" s="243"/>
      <c r="T26" s="243"/>
      <c r="U26" s="243"/>
    </row>
    <row r="27" spans="2:21">
      <c r="B27" s="145" t="str">
        <f t="shared" si="0"/>
        <v>IU</v>
      </c>
      <c r="C27" s="495">
        <f>IF(D11="","-",+C26+1)</f>
        <v>2023</v>
      </c>
      <c r="D27" s="505">
        <v>22474953.014400404</v>
      </c>
      <c r="E27" s="498">
        <v>932717.29032258061</v>
      </c>
      <c r="F27" s="505">
        <v>21542235.724077825</v>
      </c>
      <c r="G27" s="498">
        <v>3420411.5472094538</v>
      </c>
      <c r="H27" s="499">
        <v>3420411.5472094538</v>
      </c>
      <c r="I27" s="500">
        <f t="shared" si="7"/>
        <v>0</v>
      </c>
      <c r="J27" s="500"/>
      <c r="K27" s="512"/>
      <c r="L27" s="504">
        <f t="shared" si="2"/>
        <v>0</v>
      </c>
      <c r="M27" s="512"/>
      <c r="N27" s="504">
        <f t="shared" si="4"/>
        <v>0</v>
      </c>
      <c r="O27" s="504">
        <f t="shared" si="5"/>
        <v>0</v>
      </c>
      <c r="P27" s="278"/>
      <c r="R27" s="243"/>
      <c r="S27" s="243"/>
      <c r="T27" s="243"/>
      <c r="U27" s="243"/>
    </row>
    <row r="28" spans="2:21">
      <c r="B28" s="145" t="str">
        <f t="shared" si="0"/>
        <v/>
      </c>
      <c r="C28" s="495">
        <f>IF(D11="","-",+C27+1)</f>
        <v>2024</v>
      </c>
      <c r="D28" s="508">
        <f>IF(F27+SUM(E$17:E27)=D$10,F27,D$10-SUM(E$17:E27))</f>
        <v>21542235.724077825</v>
      </c>
      <c r="E28" s="509">
        <f>IF(+I14&lt;F27,I14,D28)</f>
        <v>932717.29032258061</v>
      </c>
      <c r="F28" s="510">
        <f t="shared" ref="F28:F49" si="19">+D28-E28</f>
        <v>20609518.433755245</v>
      </c>
      <c r="G28" s="511">
        <f t="shared" ref="G28:G73" si="20">(D28+F28)/2*I$12+E28</f>
        <v>3333926.386045767</v>
      </c>
      <c r="H28" s="477">
        <f t="shared" ref="H28:H73" si="21">+(D28+F28)/2*I$13+E28</f>
        <v>3333926.386045767</v>
      </c>
      <c r="I28" s="500">
        <f t="shared" si="7"/>
        <v>0</v>
      </c>
      <c r="J28" s="500"/>
      <c r="K28" s="512"/>
      <c r="L28" s="504">
        <f t="shared" si="2"/>
        <v>0</v>
      </c>
      <c r="M28" s="512"/>
      <c r="N28" s="504">
        <f t="shared" si="4"/>
        <v>0</v>
      </c>
      <c r="O28" s="504">
        <f t="shared" si="5"/>
        <v>0</v>
      </c>
      <c r="P28" s="278"/>
      <c r="R28" s="243"/>
      <c r="S28" s="243"/>
      <c r="T28" s="243"/>
      <c r="U28" s="243"/>
    </row>
    <row r="29" spans="2:21">
      <c r="B29" s="145" t="str">
        <f t="shared" si="0"/>
        <v/>
      </c>
      <c r="C29" s="495">
        <f>IF(D11="","-",+C28+1)</f>
        <v>2025</v>
      </c>
      <c r="D29" s="508">
        <f>IF(F28+SUM(E$17:E28)=D$10,F28,D$10-SUM(E$17:E28))</f>
        <v>20609518.433755245</v>
      </c>
      <c r="E29" s="509">
        <f>IF(+I14&lt;F28,I14,D29)</f>
        <v>932717.29032258061</v>
      </c>
      <c r="F29" s="510">
        <f t="shared" si="19"/>
        <v>19676801.143432666</v>
      </c>
      <c r="G29" s="511">
        <f t="shared" si="20"/>
        <v>3227660.3818897018</v>
      </c>
      <c r="H29" s="477">
        <f t="shared" si="21"/>
        <v>3227660.3818897018</v>
      </c>
      <c r="I29" s="500">
        <f t="shared" si="7"/>
        <v>0</v>
      </c>
      <c r="J29" s="500"/>
      <c r="K29" s="512"/>
      <c r="L29" s="504">
        <f t="shared" si="2"/>
        <v>0</v>
      </c>
      <c r="M29" s="512"/>
      <c r="N29" s="504">
        <f t="shared" si="4"/>
        <v>0</v>
      </c>
      <c r="O29" s="504">
        <f t="shared" si="5"/>
        <v>0</v>
      </c>
      <c r="P29" s="278"/>
      <c r="R29" s="243"/>
      <c r="S29" s="243"/>
      <c r="T29" s="243"/>
      <c r="U29" s="243"/>
    </row>
    <row r="30" spans="2:21">
      <c r="B30" s="145" t="str">
        <f t="shared" si="0"/>
        <v/>
      </c>
      <c r="C30" s="495">
        <f>IF(D11="","-",+C29+1)</f>
        <v>2026</v>
      </c>
      <c r="D30" s="508">
        <f>IF(F29+SUM(E$17:E29)=D$10,F29,D$10-SUM(E$17:E29))</f>
        <v>19676801.143432666</v>
      </c>
      <c r="E30" s="509">
        <f>IF(+I14&lt;F29,I14,D30)</f>
        <v>932717.29032258061</v>
      </c>
      <c r="F30" s="510">
        <f t="shared" si="19"/>
        <v>18744083.853110086</v>
      </c>
      <c r="G30" s="511">
        <f t="shared" si="20"/>
        <v>3121394.3777336376</v>
      </c>
      <c r="H30" s="477">
        <f t="shared" si="21"/>
        <v>3121394.3777336376</v>
      </c>
      <c r="I30" s="500">
        <f t="shared" si="7"/>
        <v>0</v>
      </c>
      <c r="J30" s="500"/>
      <c r="K30" s="512"/>
      <c r="L30" s="504">
        <f t="shared" si="2"/>
        <v>0</v>
      </c>
      <c r="M30" s="512"/>
      <c r="N30" s="504">
        <f t="shared" si="4"/>
        <v>0</v>
      </c>
      <c r="O30" s="504">
        <f t="shared" si="5"/>
        <v>0</v>
      </c>
      <c r="P30" s="278"/>
      <c r="R30" s="243"/>
      <c r="S30" s="243"/>
      <c r="T30" s="243"/>
      <c r="U30" s="243"/>
    </row>
    <row r="31" spans="2:21">
      <c r="B31" s="145" t="str">
        <f t="shared" si="0"/>
        <v/>
      </c>
      <c r="C31" s="495">
        <f>IF(D11="","-",+C30+1)</f>
        <v>2027</v>
      </c>
      <c r="D31" s="508">
        <f>IF(F30+SUM(E$17:E30)=D$10,F30,D$10-SUM(E$17:E30))</f>
        <v>18744083.853110086</v>
      </c>
      <c r="E31" s="509">
        <f>IF(+I14&lt;F30,I14,D31)</f>
        <v>932717.29032258061</v>
      </c>
      <c r="F31" s="510">
        <f t="shared" si="19"/>
        <v>17811366.562787507</v>
      </c>
      <c r="G31" s="511">
        <f t="shared" si="20"/>
        <v>3015128.3735775719</v>
      </c>
      <c r="H31" s="477">
        <f t="shared" si="21"/>
        <v>3015128.3735775719</v>
      </c>
      <c r="I31" s="500">
        <f t="shared" si="7"/>
        <v>0</v>
      </c>
      <c r="J31" s="500"/>
      <c r="K31" s="512"/>
      <c r="L31" s="504">
        <f t="shared" si="2"/>
        <v>0</v>
      </c>
      <c r="M31" s="512"/>
      <c r="N31" s="504">
        <f t="shared" si="4"/>
        <v>0</v>
      </c>
      <c r="O31" s="504">
        <f t="shared" si="5"/>
        <v>0</v>
      </c>
      <c r="P31" s="278"/>
      <c r="Q31" s="220"/>
      <c r="R31" s="278"/>
      <c r="S31" s="278"/>
      <c r="T31" s="278"/>
      <c r="U31" s="243"/>
    </row>
    <row r="32" spans="2:21">
      <c r="B32" s="145" t="str">
        <f t="shared" si="0"/>
        <v/>
      </c>
      <c r="C32" s="495">
        <f>IF(D12="","-",+C31+1)</f>
        <v>2028</v>
      </c>
      <c r="D32" s="508">
        <f>IF(F31+SUM(E$17:E31)=D$10,F31,D$10-SUM(E$17:E31))</f>
        <v>17811366.562787507</v>
      </c>
      <c r="E32" s="509">
        <f>IF(+I14&lt;F31,I14,D32)</f>
        <v>932717.29032258061</v>
      </c>
      <c r="F32" s="510">
        <f>+D32-E32</f>
        <v>16878649.272464927</v>
      </c>
      <c r="G32" s="511">
        <f t="shared" si="20"/>
        <v>2908862.3694215072</v>
      </c>
      <c r="H32" s="477">
        <f t="shared" si="21"/>
        <v>2908862.3694215072</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2029</v>
      </c>
      <c r="D33" s="508">
        <f>IF(F32+SUM(E$17:E32)=D$10,F32,D$10-SUM(E$17:E32))</f>
        <v>16878649.272464927</v>
      </c>
      <c r="E33" s="509">
        <f>IF(+I14&lt;F31,I14,D33)</f>
        <v>932717.29032258061</v>
      </c>
      <c r="F33" s="510">
        <f t="shared" si="19"/>
        <v>15945931.982142346</v>
      </c>
      <c r="G33" s="511">
        <f t="shared" si="20"/>
        <v>2802596.3652654421</v>
      </c>
      <c r="H33" s="477">
        <f t="shared" si="21"/>
        <v>2802596.3652654421</v>
      </c>
      <c r="I33" s="500">
        <f t="shared" si="7"/>
        <v>0</v>
      </c>
      <c r="J33" s="500"/>
      <c r="K33" s="512"/>
      <c r="L33" s="504">
        <f t="shared" si="2"/>
        <v>0</v>
      </c>
      <c r="M33" s="512"/>
      <c r="N33" s="504">
        <f t="shared" si="4"/>
        <v>0</v>
      </c>
      <c r="O33" s="504">
        <f t="shared" si="5"/>
        <v>0</v>
      </c>
      <c r="P33" s="278"/>
      <c r="R33" s="243"/>
      <c r="S33" s="243"/>
      <c r="T33" s="243"/>
      <c r="U33" s="243"/>
    </row>
    <row r="34" spans="2:21">
      <c r="B34" s="145" t="str">
        <f t="shared" si="0"/>
        <v/>
      </c>
      <c r="C34" s="513">
        <f>IF(D11="","-",+C33+1)</f>
        <v>2030</v>
      </c>
      <c r="D34" s="514">
        <f>IF(F33+SUM(E$17:E33)=D$10,F33,D$10-SUM(E$17:E33))</f>
        <v>15945931.982142346</v>
      </c>
      <c r="E34" s="515">
        <f>IF(+I14&lt;F33,I14,D34)</f>
        <v>932717.29032258061</v>
      </c>
      <c r="F34" s="516">
        <f t="shared" si="19"/>
        <v>15013214.691819765</v>
      </c>
      <c r="G34" s="517">
        <f t="shared" si="20"/>
        <v>2696330.361109376</v>
      </c>
      <c r="H34" s="518">
        <f t="shared" si="21"/>
        <v>2696330.361109376</v>
      </c>
      <c r="I34" s="519">
        <f t="shared" si="7"/>
        <v>0</v>
      </c>
      <c r="J34" s="519"/>
      <c r="K34" s="520"/>
      <c r="L34" s="521">
        <f t="shared" si="2"/>
        <v>0</v>
      </c>
      <c r="M34" s="520"/>
      <c r="N34" s="521">
        <f t="shared" si="4"/>
        <v>0</v>
      </c>
      <c r="O34" s="521">
        <f t="shared" si="5"/>
        <v>0</v>
      </c>
      <c r="P34" s="522"/>
      <c r="Q34" s="216"/>
      <c r="R34" s="522"/>
      <c r="S34" s="522"/>
      <c r="T34" s="522"/>
      <c r="U34" s="243"/>
    </row>
    <row r="35" spans="2:21">
      <c r="B35" s="145" t="str">
        <f t="shared" si="0"/>
        <v/>
      </c>
      <c r="C35" s="495">
        <f>IF(D11="","-",+C34+1)</f>
        <v>2031</v>
      </c>
      <c r="D35" s="508">
        <f>IF(F34+SUM(E$17:E34)=D$10,F34,D$10-SUM(E$17:E34))</f>
        <v>15013214.691819765</v>
      </c>
      <c r="E35" s="509">
        <f>IF(+I14&lt;F34,I14,D35)</f>
        <v>932717.29032258061</v>
      </c>
      <c r="F35" s="510">
        <f t="shared" si="19"/>
        <v>14080497.401497183</v>
      </c>
      <c r="G35" s="511">
        <f t="shared" si="20"/>
        <v>2590064.3569533108</v>
      </c>
      <c r="H35" s="477">
        <f t="shared" si="21"/>
        <v>2590064.3569533108</v>
      </c>
      <c r="I35" s="500">
        <f t="shared" si="7"/>
        <v>0</v>
      </c>
      <c r="J35" s="500"/>
      <c r="K35" s="512"/>
      <c r="L35" s="504">
        <f t="shared" si="2"/>
        <v>0</v>
      </c>
      <c r="M35" s="512"/>
      <c r="N35" s="504">
        <f t="shared" si="4"/>
        <v>0</v>
      </c>
      <c r="O35" s="504">
        <f t="shared" si="5"/>
        <v>0</v>
      </c>
      <c r="P35" s="278"/>
      <c r="R35" s="243"/>
      <c r="S35" s="243"/>
      <c r="T35" s="243"/>
      <c r="U35" s="243"/>
    </row>
    <row r="36" spans="2:21">
      <c r="B36" s="145" t="str">
        <f t="shared" si="0"/>
        <v/>
      </c>
      <c r="C36" s="495">
        <f>IF(D11="","-",+C35+1)</f>
        <v>2032</v>
      </c>
      <c r="D36" s="508">
        <f>IF(F35+SUM(E$17:E35)=D$10,F35,D$10-SUM(E$17:E35))</f>
        <v>14080497.401497183</v>
      </c>
      <c r="E36" s="509">
        <f>IF(+I14&lt;F35,I14,D36)</f>
        <v>932717.29032258061</v>
      </c>
      <c r="F36" s="510">
        <f t="shared" si="19"/>
        <v>13147780.111174602</v>
      </c>
      <c r="G36" s="511">
        <f t="shared" si="20"/>
        <v>2483798.3527972456</v>
      </c>
      <c r="H36" s="477">
        <f t="shared" si="21"/>
        <v>2483798.3527972456</v>
      </c>
      <c r="I36" s="500">
        <f t="shared" si="7"/>
        <v>0</v>
      </c>
      <c r="J36" s="500"/>
      <c r="K36" s="512"/>
      <c r="L36" s="504">
        <f t="shared" si="2"/>
        <v>0</v>
      </c>
      <c r="M36" s="512"/>
      <c r="N36" s="504">
        <f t="shared" si="4"/>
        <v>0</v>
      </c>
      <c r="O36" s="504">
        <f t="shared" si="5"/>
        <v>0</v>
      </c>
      <c r="P36" s="278"/>
      <c r="R36" s="243"/>
      <c r="S36" s="243"/>
      <c r="T36" s="243"/>
      <c r="U36" s="243"/>
    </row>
    <row r="37" spans="2:21">
      <c r="B37" s="145" t="str">
        <f t="shared" si="0"/>
        <v/>
      </c>
      <c r="C37" s="495">
        <f>IF(D11="","-",+C36+1)</f>
        <v>2033</v>
      </c>
      <c r="D37" s="508">
        <f>IF(F36+SUM(E$17:E36)=D$10,F36,D$10-SUM(E$17:E36))</f>
        <v>13147780.111174602</v>
      </c>
      <c r="E37" s="509">
        <f>IF(+I14&lt;F36,I14,D37)</f>
        <v>932717.29032258061</v>
      </c>
      <c r="F37" s="510">
        <f t="shared" si="19"/>
        <v>12215062.820852021</v>
      </c>
      <c r="G37" s="511">
        <f t="shared" si="20"/>
        <v>2377532.3486411804</v>
      </c>
      <c r="H37" s="477">
        <f t="shared" si="21"/>
        <v>2377532.3486411804</v>
      </c>
      <c r="I37" s="500">
        <f t="shared" si="7"/>
        <v>0</v>
      </c>
      <c r="J37" s="500"/>
      <c r="K37" s="512"/>
      <c r="L37" s="504">
        <f t="shared" si="2"/>
        <v>0</v>
      </c>
      <c r="M37" s="512"/>
      <c r="N37" s="504">
        <f t="shared" si="4"/>
        <v>0</v>
      </c>
      <c r="O37" s="504">
        <f t="shared" si="5"/>
        <v>0</v>
      </c>
      <c r="P37" s="278"/>
      <c r="R37" s="243"/>
      <c r="S37" s="243"/>
      <c r="T37" s="243"/>
      <c r="U37" s="243"/>
    </row>
    <row r="38" spans="2:21">
      <c r="B38" s="145" t="str">
        <f t="shared" si="0"/>
        <v/>
      </c>
      <c r="C38" s="495">
        <f>IF(D11="","-",+C37+1)</f>
        <v>2034</v>
      </c>
      <c r="D38" s="508">
        <f>IF(F37+SUM(E$17:E37)=D$10,F37,D$10-SUM(E$17:E37))</f>
        <v>12215062.820852021</v>
      </c>
      <c r="E38" s="509">
        <f>IF(+I14&lt;F37,I14,D38)</f>
        <v>932717.29032258061</v>
      </c>
      <c r="F38" s="510">
        <f t="shared" si="19"/>
        <v>11282345.530529439</v>
      </c>
      <c r="G38" s="511">
        <f t="shared" si="20"/>
        <v>2271266.3444851153</v>
      </c>
      <c r="H38" s="477">
        <f t="shared" si="21"/>
        <v>2271266.3444851153</v>
      </c>
      <c r="I38" s="500">
        <f t="shared" si="7"/>
        <v>0</v>
      </c>
      <c r="J38" s="500"/>
      <c r="K38" s="512"/>
      <c r="L38" s="504">
        <f t="shared" si="2"/>
        <v>0</v>
      </c>
      <c r="M38" s="512"/>
      <c r="N38" s="504">
        <f t="shared" si="4"/>
        <v>0</v>
      </c>
      <c r="O38" s="504">
        <f t="shared" si="5"/>
        <v>0</v>
      </c>
      <c r="P38" s="278"/>
      <c r="R38" s="243"/>
      <c r="S38" s="243"/>
      <c r="T38" s="243"/>
      <c r="U38" s="243"/>
    </row>
    <row r="39" spans="2:21">
      <c r="B39" s="145" t="str">
        <f t="shared" si="0"/>
        <v/>
      </c>
      <c r="C39" s="495">
        <f>IF(D11="","-",+C38+1)</f>
        <v>2035</v>
      </c>
      <c r="D39" s="508">
        <f>IF(F38+SUM(E$17:E38)=D$10,F38,D$10-SUM(E$17:E38))</f>
        <v>11282345.530529439</v>
      </c>
      <c r="E39" s="509">
        <f>IF(+I14&lt;F38,I14,D39)</f>
        <v>932717.29032258061</v>
      </c>
      <c r="F39" s="510">
        <f t="shared" si="19"/>
        <v>10349628.240206858</v>
      </c>
      <c r="G39" s="511">
        <f t="shared" si="20"/>
        <v>2165000.3403290501</v>
      </c>
      <c r="H39" s="477">
        <f t="shared" si="21"/>
        <v>2165000.3403290501</v>
      </c>
      <c r="I39" s="500">
        <f t="shared" si="7"/>
        <v>0</v>
      </c>
      <c r="J39" s="500"/>
      <c r="K39" s="512"/>
      <c r="L39" s="504">
        <f t="shared" si="2"/>
        <v>0</v>
      </c>
      <c r="M39" s="512"/>
      <c r="N39" s="504">
        <f t="shared" si="4"/>
        <v>0</v>
      </c>
      <c r="O39" s="504">
        <f t="shared" si="5"/>
        <v>0</v>
      </c>
      <c r="P39" s="278"/>
      <c r="R39" s="243"/>
      <c r="S39" s="243"/>
      <c r="T39" s="243"/>
      <c r="U39" s="243"/>
    </row>
    <row r="40" spans="2:21">
      <c r="B40" s="145" t="str">
        <f t="shared" si="0"/>
        <v/>
      </c>
      <c r="C40" s="495">
        <f>IF(D11="","-",+C39+1)</f>
        <v>2036</v>
      </c>
      <c r="D40" s="508">
        <f>IF(F39+SUM(E$17:E39)=D$10,F39,D$10-SUM(E$17:E39))</f>
        <v>10349628.240206858</v>
      </c>
      <c r="E40" s="509">
        <f>IF(+I14&lt;F39,I14,D40)</f>
        <v>932717.29032258061</v>
      </c>
      <c r="F40" s="510">
        <f t="shared" si="19"/>
        <v>9416910.9498842768</v>
      </c>
      <c r="G40" s="511">
        <f t="shared" si="20"/>
        <v>2058734.3361729842</v>
      </c>
      <c r="H40" s="477">
        <f t="shared" si="21"/>
        <v>2058734.3361729842</v>
      </c>
      <c r="I40" s="500">
        <f t="shared" si="7"/>
        <v>0</v>
      </c>
      <c r="J40" s="500"/>
      <c r="K40" s="512"/>
      <c r="L40" s="504">
        <f t="shared" si="2"/>
        <v>0</v>
      </c>
      <c r="M40" s="512"/>
      <c r="N40" s="504">
        <f t="shared" si="4"/>
        <v>0</v>
      </c>
      <c r="O40" s="504">
        <f t="shared" si="5"/>
        <v>0</v>
      </c>
      <c r="P40" s="278"/>
      <c r="R40" s="243"/>
      <c r="S40" s="243"/>
      <c r="T40" s="243"/>
      <c r="U40" s="243"/>
    </row>
    <row r="41" spans="2:21">
      <c r="B41" s="145" t="str">
        <f t="shared" si="0"/>
        <v/>
      </c>
      <c r="C41" s="495">
        <f>IF(D12="","-",+C40+1)</f>
        <v>2037</v>
      </c>
      <c r="D41" s="508">
        <f>IF(F40+SUM(E$17:E40)=D$10,F40,D$10-SUM(E$17:E40))</f>
        <v>9416910.9498842768</v>
      </c>
      <c r="E41" s="509">
        <f>IF(+I14&lt;F40,I14,D41)</f>
        <v>932717.29032258061</v>
      </c>
      <c r="F41" s="510">
        <f t="shared" si="19"/>
        <v>8484193.6595616955</v>
      </c>
      <c r="G41" s="511">
        <f t="shared" si="20"/>
        <v>1952468.3320169193</v>
      </c>
      <c r="H41" s="477">
        <f t="shared" si="21"/>
        <v>1952468.3320169193</v>
      </c>
      <c r="I41" s="500">
        <f t="shared" si="7"/>
        <v>0</v>
      </c>
      <c r="J41" s="500"/>
      <c r="K41" s="512"/>
      <c r="L41" s="504">
        <f t="shared" si="2"/>
        <v>0</v>
      </c>
      <c r="M41" s="512"/>
      <c r="N41" s="504">
        <f t="shared" si="4"/>
        <v>0</v>
      </c>
      <c r="O41" s="504">
        <f t="shared" si="5"/>
        <v>0</v>
      </c>
      <c r="P41" s="278"/>
      <c r="R41" s="243"/>
      <c r="S41" s="243"/>
      <c r="T41" s="243"/>
      <c r="U41" s="243"/>
    </row>
    <row r="42" spans="2:21">
      <c r="B42" s="145" t="str">
        <f t="shared" si="0"/>
        <v/>
      </c>
      <c r="C42" s="495">
        <f>IF(D13="","-",+C41+1)</f>
        <v>2038</v>
      </c>
      <c r="D42" s="508">
        <f>IF(F41+SUM(E$17:E41)=D$10,F41,D$10-SUM(E$17:E41))</f>
        <v>8484193.6595616955</v>
      </c>
      <c r="E42" s="509">
        <f>IF(+I14&lt;F41,I14,D42)</f>
        <v>932717.29032258061</v>
      </c>
      <c r="F42" s="510">
        <f t="shared" si="19"/>
        <v>7551476.3692391152</v>
      </c>
      <c r="G42" s="511">
        <f t="shared" si="20"/>
        <v>1846202.3278608539</v>
      </c>
      <c r="H42" s="477">
        <f t="shared" si="21"/>
        <v>1846202.3278608539</v>
      </c>
      <c r="I42" s="500">
        <f t="shared" si="7"/>
        <v>0</v>
      </c>
      <c r="J42" s="500"/>
      <c r="K42" s="512"/>
      <c r="L42" s="504">
        <f t="shared" si="2"/>
        <v>0</v>
      </c>
      <c r="M42" s="512"/>
      <c r="N42" s="504">
        <f t="shared" si="4"/>
        <v>0</v>
      </c>
      <c r="O42" s="504">
        <f t="shared" si="5"/>
        <v>0</v>
      </c>
      <c r="P42" s="278"/>
      <c r="R42" s="243"/>
      <c r="S42" s="243"/>
      <c r="T42" s="243"/>
      <c r="U42" s="243"/>
    </row>
    <row r="43" spans="2:21">
      <c r="B43" s="145" t="str">
        <f t="shared" si="0"/>
        <v/>
      </c>
      <c r="C43" s="495">
        <f>IF(D11="","-",+C42+1)</f>
        <v>2039</v>
      </c>
      <c r="D43" s="508">
        <f>IF(F42+SUM(E$17:E42)=D$10,F42,D$10-SUM(E$17:E42))</f>
        <v>7551476.3692391152</v>
      </c>
      <c r="E43" s="509">
        <f>IF(+I14&lt;F42,I14,D43)</f>
        <v>932717.29032258061</v>
      </c>
      <c r="F43" s="510">
        <f t="shared" si="19"/>
        <v>6618759.0789165348</v>
      </c>
      <c r="G43" s="511">
        <f t="shared" si="20"/>
        <v>1739936.3237047885</v>
      </c>
      <c r="H43" s="477">
        <f t="shared" si="21"/>
        <v>1739936.3237047885</v>
      </c>
      <c r="I43" s="500">
        <f t="shared" si="7"/>
        <v>0</v>
      </c>
      <c r="J43" s="500"/>
      <c r="K43" s="512"/>
      <c r="L43" s="504">
        <f t="shared" si="2"/>
        <v>0</v>
      </c>
      <c r="M43" s="512"/>
      <c r="N43" s="504">
        <f t="shared" si="4"/>
        <v>0</v>
      </c>
      <c r="O43" s="504">
        <f t="shared" si="5"/>
        <v>0</v>
      </c>
      <c r="P43" s="278"/>
      <c r="R43" s="243"/>
      <c r="S43" s="243"/>
      <c r="T43" s="243"/>
      <c r="U43" s="243"/>
    </row>
    <row r="44" spans="2:21">
      <c r="B44" s="145" t="str">
        <f t="shared" si="0"/>
        <v/>
      </c>
      <c r="C44" s="495">
        <f>IF(D11="","-",+C43+1)</f>
        <v>2040</v>
      </c>
      <c r="D44" s="508">
        <f>IF(F43+SUM(E$17:E43)=D$10,F43,D$10-SUM(E$17:E43))</f>
        <v>6618759.0789165348</v>
      </c>
      <c r="E44" s="509">
        <f>IF(+I14&lt;F43,I14,D44)</f>
        <v>932717.29032258061</v>
      </c>
      <c r="F44" s="510">
        <f t="shared" si="19"/>
        <v>5686041.7885939544</v>
      </c>
      <c r="G44" s="511">
        <f t="shared" si="20"/>
        <v>1633670.3195487233</v>
      </c>
      <c r="H44" s="477">
        <f t="shared" si="21"/>
        <v>1633670.3195487233</v>
      </c>
      <c r="I44" s="500">
        <f t="shared" si="7"/>
        <v>0</v>
      </c>
      <c r="J44" s="500"/>
      <c r="K44" s="512"/>
      <c r="L44" s="504">
        <f t="shared" si="2"/>
        <v>0</v>
      </c>
      <c r="M44" s="512"/>
      <c r="N44" s="504">
        <f t="shared" si="4"/>
        <v>0</v>
      </c>
      <c r="O44" s="504">
        <f t="shared" si="5"/>
        <v>0</v>
      </c>
      <c r="P44" s="278"/>
      <c r="R44" s="243"/>
      <c r="S44" s="243"/>
      <c r="T44" s="243"/>
      <c r="U44" s="243"/>
    </row>
    <row r="45" spans="2:21">
      <c r="B45" s="145" t="str">
        <f t="shared" si="0"/>
        <v/>
      </c>
      <c r="C45" s="495">
        <f>IF(D11="","-",+C44+1)</f>
        <v>2041</v>
      </c>
      <c r="D45" s="508">
        <f>IF(F44+SUM(E$17:E44)=D$10,F44,D$10-SUM(E$17:E44))</f>
        <v>5686041.7885939544</v>
      </c>
      <c r="E45" s="509">
        <f>IF(+I14&lt;F44,I14,D45)</f>
        <v>932717.29032258061</v>
      </c>
      <c r="F45" s="510">
        <f t="shared" si="19"/>
        <v>4753324.498271374</v>
      </c>
      <c r="G45" s="511">
        <f t="shared" si="20"/>
        <v>1527404.3153926581</v>
      </c>
      <c r="H45" s="477">
        <f t="shared" si="21"/>
        <v>1527404.3153926581</v>
      </c>
      <c r="I45" s="500">
        <f t="shared" si="7"/>
        <v>0</v>
      </c>
      <c r="J45" s="500"/>
      <c r="K45" s="512"/>
      <c r="L45" s="504">
        <f t="shared" si="2"/>
        <v>0</v>
      </c>
      <c r="M45" s="512"/>
      <c r="N45" s="504">
        <f t="shared" si="4"/>
        <v>0</v>
      </c>
      <c r="O45" s="504">
        <f t="shared" si="5"/>
        <v>0</v>
      </c>
      <c r="P45" s="278"/>
      <c r="R45" s="243"/>
      <c r="S45" s="243"/>
      <c r="T45" s="243"/>
      <c r="U45" s="243"/>
    </row>
    <row r="46" spans="2:21">
      <c r="B46" s="145" t="str">
        <f t="shared" si="0"/>
        <v/>
      </c>
      <c r="C46" s="495">
        <f>IF(D11="","-",+C45+1)</f>
        <v>2042</v>
      </c>
      <c r="D46" s="508">
        <f>IF(F45+SUM(E$17:E45)=D$10,F45,D$10-SUM(E$17:E45))</f>
        <v>4753324.498271374</v>
      </c>
      <c r="E46" s="509">
        <f>IF(+I14&lt;F45,I14,D46)</f>
        <v>932717.29032258061</v>
      </c>
      <c r="F46" s="510">
        <f t="shared" si="19"/>
        <v>3820607.2079487937</v>
      </c>
      <c r="G46" s="511">
        <f t="shared" si="20"/>
        <v>1421138.3112365929</v>
      </c>
      <c r="H46" s="477">
        <f t="shared" si="21"/>
        <v>1421138.3112365929</v>
      </c>
      <c r="I46" s="500">
        <f t="shared" si="7"/>
        <v>0</v>
      </c>
      <c r="J46" s="500"/>
      <c r="K46" s="512"/>
      <c r="L46" s="504">
        <f t="shared" si="2"/>
        <v>0</v>
      </c>
      <c r="M46" s="512"/>
      <c r="N46" s="504">
        <f t="shared" si="4"/>
        <v>0</v>
      </c>
      <c r="O46" s="504">
        <f t="shared" si="5"/>
        <v>0</v>
      </c>
      <c r="P46" s="278"/>
      <c r="R46" s="243"/>
      <c r="S46" s="243"/>
      <c r="T46" s="243"/>
      <c r="U46" s="243"/>
    </row>
    <row r="47" spans="2:21">
      <c r="B47" s="145" t="str">
        <f t="shared" si="0"/>
        <v/>
      </c>
      <c r="C47" s="495">
        <f>IF(D11="","-",+C46+1)</f>
        <v>2043</v>
      </c>
      <c r="D47" s="508">
        <f>IF(F46+SUM(E$17:E46)=D$10,F46,D$10-SUM(E$17:E46))</f>
        <v>3820607.2079487937</v>
      </c>
      <c r="E47" s="509">
        <f>IF(+I14&lt;F46,I14,D47)</f>
        <v>932717.29032258061</v>
      </c>
      <c r="F47" s="510">
        <f t="shared" si="19"/>
        <v>2887889.9176262133</v>
      </c>
      <c r="G47" s="511">
        <f t="shared" si="20"/>
        <v>1314872.3070805278</v>
      </c>
      <c r="H47" s="477">
        <f t="shared" si="21"/>
        <v>1314872.3070805278</v>
      </c>
      <c r="I47" s="500">
        <f t="shared" si="7"/>
        <v>0</v>
      </c>
      <c r="J47" s="500"/>
      <c r="K47" s="512"/>
      <c r="L47" s="504">
        <f t="shared" si="2"/>
        <v>0</v>
      </c>
      <c r="M47" s="512"/>
      <c r="N47" s="504">
        <f t="shared" si="4"/>
        <v>0</v>
      </c>
      <c r="O47" s="504">
        <f t="shared" si="5"/>
        <v>0</v>
      </c>
      <c r="P47" s="278"/>
      <c r="R47" s="243"/>
      <c r="S47" s="243"/>
      <c r="T47" s="243"/>
      <c r="U47" s="243"/>
    </row>
    <row r="48" spans="2:21">
      <c r="B48" s="145" t="str">
        <f t="shared" si="0"/>
        <v/>
      </c>
      <c r="C48" s="495">
        <f>IF(D11="","-",+C47+1)</f>
        <v>2044</v>
      </c>
      <c r="D48" s="508">
        <f>IF(F47+SUM(E$17:E47)=D$10,F47,D$10-SUM(E$17:E47))</f>
        <v>2887889.9176262133</v>
      </c>
      <c r="E48" s="509">
        <f>IF(+I14&lt;F47,I14,D48)</f>
        <v>932717.29032258061</v>
      </c>
      <c r="F48" s="510">
        <f t="shared" si="19"/>
        <v>1955172.6273036327</v>
      </c>
      <c r="G48" s="511">
        <f t="shared" si="20"/>
        <v>1208606.3029244624</v>
      </c>
      <c r="H48" s="477">
        <f t="shared" si="21"/>
        <v>1208606.3029244624</v>
      </c>
      <c r="I48" s="500">
        <f t="shared" si="7"/>
        <v>0</v>
      </c>
      <c r="J48" s="500"/>
      <c r="K48" s="512"/>
      <c r="L48" s="504">
        <f t="shared" si="2"/>
        <v>0</v>
      </c>
      <c r="M48" s="512"/>
      <c r="N48" s="504">
        <f t="shared" si="4"/>
        <v>0</v>
      </c>
      <c r="O48" s="504">
        <f t="shared" si="5"/>
        <v>0</v>
      </c>
      <c r="P48" s="278"/>
      <c r="R48" s="243"/>
      <c r="S48" s="243"/>
      <c r="T48" s="243"/>
      <c r="U48" s="243"/>
    </row>
    <row r="49" spans="2:21">
      <c r="B49" s="145" t="str">
        <f t="shared" si="0"/>
        <v/>
      </c>
      <c r="C49" s="495">
        <f>IF(D11="","-",+C48+1)</f>
        <v>2045</v>
      </c>
      <c r="D49" s="508">
        <f>IF(F48+SUM(E$17:E48)=D$10,F48,D$10-SUM(E$17:E48))</f>
        <v>1955172.6273036327</v>
      </c>
      <c r="E49" s="509">
        <f>IF(+I14&lt;F48,I14,D49)</f>
        <v>932717.29032258061</v>
      </c>
      <c r="F49" s="510">
        <f t="shared" si="19"/>
        <v>1022455.3369810521</v>
      </c>
      <c r="G49" s="511">
        <f t="shared" si="20"/>
        <v>1102340.2987683972</v>
      </c>
      <c r="H49" s="477">
        <f t="shared" si="21"/>
        <v>1102340.2987683972</v>
      </c>
      <c r="I49" s="500">
        <f t="shared" si="7"/>
        <v>0</v>
      </c>
      <c r="J49" s="500"/>
      <c r="K49" s="512"/>
      <c r="L49" s="504">
        <f t="shared" si="2"/>
        <v>0</v>
      </c>
      <c r="M49" s="512"/>
      <c r="N49" s="504">
        <f t="shared" si="4"/>
        <v>0</v>
      </c>
      <c r="O49" s="504">
        <f t="shared" si="5"/>
        <v>0</v>
      </c>
      <c r="P49" s="278"/>
      <c r="R49" s="243"/>
      <c r="S49" s="243"/>
      <c r="T49" s="243"/>
      <c r="U49" s="243"/>
    </row>
    <row r="50" spans="2:21">
      <c r="B50" s="145" t="str">
        <f t="shared" ref="B50:B73" si="22">IF(D50=F49,"","IU")</f>
        <v/>
      </c>
      <c r="C50" s="495">
        <f>IF(D11="","-",+C49+1)</f>
        <v>2046</v>
      </c>
      <c r="D50" s="508">
        <f>IF(F49+SUM(E$17:E49)=D$10,F49,D$10-SUM(E$17:E49))</f>
        <v>1022455.3369810521</v>
      </c>
      <c r="E50" s="509">
        <f>IF(+I14&lt;F49,I14,D50)</f>
        <v>932717.29032258061</v>
      </c>
      <c r="F50" s="510">
        <f t="shared" ref="F50:F73" si="23">+D50-E50</f>
        <v>89738.04665847146</v>
      </c>
      <c r="G50" s="511">
        <f t="shared" si="20"/>
        <v>996074.2946123319</v>
      </c>
      <c r="H50" s="477">
        <f t="shared" si="21"/>
        <v>996074.2946123319</v>
      </c>
      <c r="I50" s="500">
        <f t="shared" ref="I50:I73" si="24">H50-G50</f>
        <v>0</v>
      </c>
      <c r="J50" s="500"/>
      <c r="K50" s="512"/>
      <c r="L50" s="504">
        <f t="shared" ref="L50:L73" si="25">IF(K50&lt;&gt;0,+G50-K50,0)</f>
        <v>0</v>
      </c>
      <c r="M50" s="512"/>
      <c r="N50" s="504">
        <f t="shared" ref="N50:N73" si="26">IF(M50&lt;&gt;0,+H50-M50,0)</f>
        <v>0</v>
      </c>
      <c r="O50" s="504">
        <f t="shared" ref="O50:O73" si="27">+N50-L50</f>
        <v>0</v>
      </c>
      <c r="P50" s="278"/>
      <c r="R50" s="243"/>
      <c r="S50" s="243"/>
      <c r="T50" s="243"/>
      <c r="U50" s="243"/>
    </row>
    <row r="51" spans="2:21">
      <c r="B51" s="145" t="str">
        <f t="shared" si="22"/>
        <v/>
      </c>
      <c r="C51" s="495">
        <f>IF(D11="","-",+C50+1)</f>
        <v>2047</v>
      </c>
      <c r="D51" s="508">
        <f>IF(F50+SUM(E$17:E50)=D$10,F50,D$10-SUM(E$17:E50))</f>
        <v>89738.04665847146</v>
      </c>
      <c r="E51" s="509">
        <f>IF(+I14&lt;F50,I14,D51)</f>
        <v>89738.04665847146</v>
      </c>
      <c r="F51" s="510">
        <f t="shared" si="23"/>
        <v>0</v>
      </c>
      <c r="G51" s="511">
        <f t="shared" si="20"/>
        <v>94850.047764330797</v>
      </c>
      <c r="H51" s="477">
        <f t="shared" si="21"/>
        <v>94850.047764330797</v>
      </c>
      <c r="I51" s="500">
        <f t="shared" si="24"/>
        <v>0</v>
      </c>
      <c r="J51" s="500"/>
      <c r="K51" s="512"/>
      <c r="L51" s="504">
        <f t="shared" si="25"/>
        <v>0</v>
      </c>
      <c r="M51" s="512"/>
      <c r="N51" s="504">
        <f t="shared" si="26"/>
        <v>0</v>
      </c>
      <c r="O51" s="504">
        <f t="shared" si="27"/>
        <v>0</v>
      </c>
      <c r="P51" s="278"/>
      <c r="R51" s="243"/>
      <c r="S51" s="243"/>
      <c r="T51" s="243"/>
      <c r="U51" s="243"/>
    </row>
    <row r="52" spans="2:21">
      <c r="B52" s="145" t="str">
        <f t="shared" si="22"/>
        <v/>
      </c>
      <c r="C52" s="495">
        <f>IF(D11="","-",+C51+1)</f>
        <v>2048</v>
      </c>
      <c r="D52" s="508">
        <f>IF(F51+SUM(E$17:E51)=D$10,F51,D$10-SUM(E$17:E51))</f>
        <v>0</v>
      </c>
      <c r="E52" s="509">
        <f>IF(+I14&lt;F51,I14,D52)</f>
        <v>0</v>
      </c>
      <c r="F52" s="510">
        <f t="shared" si="23"/>
        <v>0</v>
      </c>
      <c r="G52" s="511">
        <f t="shared" si="20"/>
        <v>0</v>
      </c>
      <c r="H52" s="477">
        <f t="shared" si="21"/>
        <v>0</v>
      </c>
      <c r="I52" s="500">
        <f t="shared" si="24"/>
        <v>0</v>
      </c>
      <c r="J52" s="500"/>
      <c r="K52" s="512"/>
      <c r="L52" s="504">
        <f t="shared" si="25"/>
        <v>0</v>
      </c>
      <c r="M52" s="512"/>
      <c r="N52" s="504">
        <f t="shared" si="26"/>
        <v>0</v>
      </c>
      <c r="O52" s="504">
        <f t="shared" si="27"/>
        <v>0</v>
      </c>
      <c r="P52" s="278"/>
      <c r="R52" s="243"/>
      <c r="S52" s="243"/>
      <c r="T52" s="243"/>
      <c r="U52" s="243"/>
    </row>
    <row r="53" spans="2:21">
      <c r="B53" s="145" t="str">
        <f t="shared" si="22"/>
        <v/>
      </c>
      <c r="C53" s="495">
        <f>IF(D11="","-",+C52+1)</f>
        <v>2049</v>
      </c>
      <c r="D53" s="470">
        <f>IF(F52+SUM(E$17:E52)=D$10,F52,D$10-SUM(E$17:E52))</f>
        <v>0</v>
      </c>
      <c r="E53" s="509">
        <f>IF(+I14&lt;F52,I14,D53)</f>
        <v>0</v>
      </c>
      <c r="F53" s="510">
        <f t="shared" si="23"/>
        <v>0</v>
      </c>
      <c r="G53" s="511">
        <f t="shared" si="20"/>
        <v>0</v>
      </c>
      <c r="H53" s="477">
        <f t="shared" si="21"/>
        <v>0</v>
      </c>
      <c r="I53" s="500">
        <f t="shared" si="24"/>
        <v>0</v>
      </c>
      <c r="J53" s="500"/>
      <c r="K53" s="512"/>
      <c r="L53" s="504">
        <f t="shared" si="25"/>
        <v>0</v>
      </c>
      <c r="M53" s="512"/>
      <c r="N53" s="504">
        <f t="shared" si="26"/>
        <v>0</v>
      </c>
      <c r="O53" s="504">
        <f t="shared" si="27"/>
        <v>0</v>
      </c>
      <c r="P53" s="278"/>
      <c r="R53" s="243"/>
      <c r="S53" s="243"/>
      <c r="T53" s="243"/>
      <c r="U53" s="243"/>
    </row>
    <row r="54" spans="2:21">
      <c r="B54" s="145" t="str">
        <f t="shared" si="22"/>
        <v/>
      </c>
      <c r="C54" s="495">
        <f>IF(D11="","-",+C53+1)</f>
        <v>2050</v>
      </c>
      <c r="D54" s="508">
        <f>IF(F53+SUM(E$17:E53)=D$10,F53,D$10-SUM(E$17:E53))</f>
        <v>0</v>
      </c>
      <c r="E54" s="509">
        <f>IF(+I14&lt;F53,I14,D54)</f>
        <v>0</v>
      </c>
      <c r="F54" s="510">
        <f t="shared" si="23"/>
        <v>0</v>
      </c>
      <c r="G54" s="511">
        <f t="shared" si="20"/>
        <v>0</v>
      </c>
      <c r="H54" s="477">
        <f t="shared" si="21"/>
        <v>0</v>
      </c>
      <c r="I54" s="500">
        <f t="shared" si="24"/>
        <v>0</v>
      </c>
      <c r="J54" s="500"/>
      <c r="K54" s="512"/>
      <c r="L54" s="504">
        <f t="shared" si="25"/>
        <v>0</v>
      </c>
      <c r="M54" s="512"/>
      <c r="N54" s="504">
        <f t="shared" si="26"/>
        <v>0</v>
      </c>
      <c r="O54" s="504">
        <f t="shared" si="27"/>
        <v>0</v>
      </c>
      <c r="P54" s="278"/>
      <c r="R54" s="243"/>
      <c r="S54" s="243"/>
      <c r="T54" s="243"/>
      <c r="U54" s="243"/>
    </row>
    <row r="55" spans="2:21">
      <c r="B55" s="145" t="str">
        <f t="shared" si="22"/>
        <v/>
      </c>
      <c r="C55" s="495">
        <f>IF(D11="","-",+C54+1)</f>
        <v>2051</v>
      </c>
      <c r="D55" s="508">
        <f>IF(F54+SUM(E$17:E54)=D$10,F54,D$10-SUM(E$17:E54))</f>
        <v>0</v>
      </c>
      <c r="E55" s="509">
        <f>IF(+I14&lt;F54,I14,D55)</f>
        <v>0</v>
      </c>
      <c r="F55" s="510">
        <f t="shared" si="23"/>
        <v>0</v>
      </c>
      <c r="G55" s="511">
        <f t="shared" si="20"/>
        <v>0</v>
      </c>
      <c r="H55" s="477">
        <f t="shared" si="21"/>
        <v>0</v>
      </c>
      <c r="I55" s="500">
        <f t="shared" si="24"/>
        <v>0</v>
      </c>
      <c r="J55" s="500"/>
      <c r="K55" s="512"/>
      <c r="L55" s="504">
        <f t="shared" si="25"/>
        <v>0</v>
      </c>
      <c r="M55" s="512"/>
      <c r="N55" s="504">
        <f t="shared" si="26"/>
        <v>0</v>
      </c>
      <c r="O55" s="504">
        <f t="shared" si="27"/>
        <v>0</v>
      </c>
      <c r="P55" s="278"/>
      <c r="R55" s="243"/>
      <c r="S55" s="243"/>
      <c r="T55" s="243"/>
      <c r="U55" s="243"/>
    </row>
    <row r="56" spans="2:21">
      <c r="B56" s="145" t="str">
        <f t="shared" si="22"/>
        <v/>
      </c>
      <c r="C56" s="495">
        <f>IF(D11="","-",+C55+1)</f>
        <v>2052</v>
      </c>
      <c r="D56" s="508">
        <f>IF(F55+SUM(E$17:E55)=D$10,F55,D$10-SUM(E$17:E55))</f>
        <v>0</v>
      </c>
      <c r="E56" s="509">
        <f>IF(+I14&lt;F55,I14,D56)</f>
        <v>0</v>
      </c>
      <c r="F56" s="510">
        <f t="shared" si="23"/>
        <v>0</v>
      </c>
      <c r="G56" s="511">
        <f t="shared" si="20"/>
        <v>0</v>
      </c>
      <c r="H56" s="477">
        <f t="shared" si="21"/>
        <v>0</v>
      </c>
      <c r="I56" s="500">
        <f t="shared" si="24"/>
        <v>0</v>
      </c>
      <c r="J56" s="500"/>
      <c r="K56" s="512"/>
      <c r="L56" s="504">
        <f t="shared" si="25"/>
        <v>0</v>
      </c>
      <c r="M56" s="512"/>
      <c r="N56" s="504">
        <f t="shared" si="26"/>
        <v>0</v>
      </c>
      <c r="O56" s="504">
        <f t="shared" si="27"/>
        <v>0</v>
      </c>
      <c r="P56" s="278"/>
      <c r="R56" s="243"/>
      <c r="S56" s="243"/>
      <c r="T56" s="243"/>
      <c r="U56" s="243"/>
    </row>
    <row r="57" spans="2:21">
      <c r="B57" s="145" t="str">
        <f t="shared" si="22"/>
        <v/>
      </c>
      <c r="C57" s="495">
        <f>IF(D11="","-",+C56+1)</f>
        <v>2053</v>
      </c>
      <c r="D57" s="508">
        <f>IF(F56+SUM(E$17:E56)=D$10,F56,D$10-SUM(E$17:E56))</f>
        <v>0</v>
      </c>
      <c r="E57" s="509">
        <f>IF(+I14&lt;F56,I14,D57)</f>
        <v>0</v>
      </c>
      <c r="F57" s="510">
        <f t="shared" si="23"/>
        <v>0</v>
      </c>
      <c r="G57" s="511">
        <f t="shared" si="20"/>
        <v>0</v>
      </c>
      <c r="H57" s="477">
        <f t="shared" si="21"/>
        <v>0</v>
      </c>
      <c r="I57" s="500">
        <f t="shared" si="24"/>
        <v>0</v>
      </c>
      <c r="J57" s="500"/>
      <c r="K57" s="512"/>
      <c r="L57" s="504">
        <f t="shared" si="25"/>
        <v>0</v>
      </c>
      <c r="M57" s="512"/>
      <c r="N57" s="504">
        <f t="shared" si="26"/>
        <v>0</v>
      </c>
      <c r="O57" s="504">
        <f t="shared" si="27"/>
        <v>0</v>
      </c>
      <c r="P57" s="278"/>
      <c r="R57" s="243"/>
      <c r="S57" s="243"/>
      <c r="T57" s="243"/>
      <c r="U57" s="243"/>
    </row>
    <row r="58" spans="2:21">
      <c r="B58" s="145" t="str">
        <f t="shared" si="22"/>
        <v/>
      </c>
      <c r="C58" s="495">
        <f>IF(D11="","-",+C57+1)</f>
        <v>2054</v>
      </c>
      <c r="D58" s="508">
        <f>IF(F57+SUM(E$17:E57)=D$10,F57,D$10-SUM(E$17:E57))</f>
        <v>0</v>
      </c>
      <c r="E58" s="509">
        <f>IF(+I14&lt;F57,I14,D58)</f>
        <v>0</v>
      </c>
      <c r="F58" s="510">
        <f t="shared" si="23"/>
        <v>0</v>
      </c>
      <c r="G58" s="511">
        <f t="shared" si="20"/>
        <v>0</v>
      </c>
      <c r="H58" s="477">
        <f t="shared" si="21"/>
        <v>0</v>
      </c>
      <c r="I58" s="500">
        <f t="shared" si="24"/>
        <v>0</v>
      </c>
      <c r="J58" s="500"/>
      <c r="K58" s="512"/>
      <c r="L58" s="504">
        <f t="shared" si="25"/>
        <v>0</v>
      </c>
      <c r="M58" s="512"/>
      <c r="N58" s="504">
        <f t="shared" si="26"/>
        <v>0</v>
      </c>
      <c r="O58" s="504">
        <f t="shared" si="27"/>
        <v>0</v>
      </c>
      <c r="P58" s="278"/>
      <c r="R58" s="243"/>
      <c r="S58" s="243"/>
      <c r="T58" s="243"/>
      <c r="U58" s="243"/>
    </row>
    <row r="59" spans="2:21">
      <c r="B59" s="145" t="str">
        <f t="shared" si="22"/>
        <v/>
      </c>
      <c r="C59" s="495">
        <f>IF(D11="","-",+C58+1)</f>
        <v>2055</v>
      </c>
      <c r="D59" s="508">
        <f>IF(F58+SUM(E$17:E58)=D$10,F58,D$10-SUM(E$17:E58))</f>
        <v>0</v>
      </c>
      <c r="E59" s="509">
        <f>IF(+I14&lt;F58,I14,D59)</f>
        <v>0</v>
      </c>
      <c r="F59" s="510">
        <f t="shared" si="23"/>
        <v>0</v>
      </c>
      <c r="G59" s="511">
        <f t="shared" si="20"/>
        <v>0</v>
      </c>
      <c r="H59" s="477">
        <f t="shared" si="21"/>
        <v>0</v>
      </c>
      <c r="I59" s="500">
        <f t="shared" si="24"/>
        <v>0</v>
      </c>
      <c r="J59" s="500"/>
      <c r="K59" s="512"/>
      <c r="L59" s="504">
        <f t="shared" si="25"/>
        <v>0</v>
      </c>
      <c r="M59" s="512"/>
      <c r="N59" s="504">
        <f t="shared" si="26"/>
        <v>0</v>
      </c>
      <c r="O59" s="504">
        <f t="shared" si="27"/>
        <v>0</v>
      </c>
      <c r="P59" s="278"/>
      <c r="R59" s="243"/>
      <c r="S59" s="243"/>
      <c r="T59" s="243"/>
      <c r="U59" s="243"/>
    </row>
    <row r="60" spans="2:21">
      <c r="B60" s="145" t="str">
        <f t="shared" si="22"/>
        <v/>
      </c>
      <c r="C60" s="495">
        <f>IF(D11="","-",+C59+1)</f>
        <v>2056</v>
      </c>
      <c r="D60" s="508">
        <f>IF(F59+SUM(E$17:E59)=D$10,F59,D$10-SUM(E$17:E59))</f>
        <v>0</v>
      </c>
      <c r="E60" s="509">
        <f>IF(+I14&lt;F59,I14,D60)</f>
        <v>0</v>
      </c>
      <c r="F60" s="510">
        <f t="shared" si="23"/>
        <v>0</v>
      </c>
      <c r="G60" s="511">
        <f t="shared" si="20"/>
        <v>0</v>
      </c>
      <c r="H60" s="477">
        <f t="shared" si="21"/>
        <v>0</v>
      </c>
      <c r="I60" s="500">
        <f t="shared" si="24"/>
        <v>0</v>
      </c>
      <c r="J60" s="500"/>
      <c r="K60" s="512"/>
      <c r="L60" s="504">
        <f t="shared" si="25"/>
        <v>0</v>
      </c>
      <c r="M60" s="512"/>
      <c r="N60" s="504">
        <f t="shared" si="26"/>
        <v>0</v>
      </c>
      <c r="O60" s="504">
        <f t="shared" si="27"/>
        <v>0</v>
      </c>
      <c r="P60" s="278"/>
      <c r="R60" s="243"/>
      <c r="S60" s="243"/>
      <c r="T60" s="243"/>
      <c r="U60" s="243"/>
    </row>
    <row r="61" spans="2:21">
      <c r="B61" s="145" t="str">
        <f t="shared" si="22"/>
        <v/>
      </c>
      <c r="C61" s="495">
        <f>IF(D11="","-",+C60+1)</f>
        <v>2057</v>
      </c>
      <c r="D61" s="508">
        <f>IF(F60+SUM(E$17:E60)=D$10,F60,D$10-SUM(E$17:E60))</f>
        <v>0</v>
      </c>
      <c r="E61" s="509">
        <f>IF(+I14&lt;F60,I14,D61)</f>
        <v>0</v>
      </c>
      <c r="F61" s="510">
        <f t="shared" si="23"/>
        <v>0</v>
      </c>
      <c r="G61" s="511">
        <f t="shared" si="20"/>
        <v>0</v>
      </c>
      <c r="H61" s="477">
        <f t="shared" si="21"/>
        <v>0</v>
      </c>
      <c r="I61" s="500">
        <f t="shared" si="24"/>
        <v>0</v>
      </c>
      <c r="J61" s="500"/>
      <c r="K61" s="512"/>
      <c r="L61" s="504">
        <f t="shared" si="25"/>
        <v>0</v>
      </c>
      <c r="M61" s="512"/>
      <c r="N61" s="504">
        <f t="shared" si="26"/>
        <v>0</v>
      </c>
      <c r="O61" s="504">
        <f t="shared" si="27"/>
        <v>0</v>
      </c>
      <c r="P61" s="278"/>
      <c r="R61" s="243"/>
      <c r="S61" s="243"/>
      <c r="T61" s="243"/>
      <c r="U61" s="243"/>
    </row>
    <row r="62" spans="2:21">
      <c r="B62" s="145" t="str">
        <f t="shared" si="22"/>
        <v/>
      </c>
      <c r="C62" s="495">
        <f>IF(D11="","-",+C61+1)</f>
        <v>2058</v>
      </c>
      <c r="D62" s="508">
        <f>IF(F61+SUM(E$17:E61)=D$10,F61,D$10-SUM(E$17:E61))</f>
        <v>0</v>
      </c>
      <c r="E62" s="509">
        <f>IF(+I14&lt;F61,I14,D62)</f>
        <v>0</v>
      </c>
      <c r="F62" s="510">
        <f t="shared" si="23"/>
        <v>0</v>
      </c>
      <c r="G62" s="523">
        <f t="shared" si="20"/>
        <v>0</v>
      </c>
      <c r="H62" s="477">
        <f t="shared" si="21"/>
        <v>0</v>
      </c>
      <c r="I62" s="500">
        <f t="shared" si="24"/>
        <v>0</v>
      </c>
      <c r="J62" s="500"/>
      <c r="K62" s="512"/>
      <c r="L62" s="504">
        <f t="shared" si="25"/>
        <v>0</v>
      </c>
      <c r="M62" s="512"/>
      <c r="N62" s="504">
        <f t="shared" si="26"/>
        <v>0</v>
      </c>
      <c r="O62" s="504">
        <f t="shared" si="27"/>
        <v>0</v>
      </c>
      <c r="P62" s="278"/>
      <c r="R62" s="243"/>
      <c r="S62" s="243"/>
      <c r="T62" s="243"/>
      <c r="U62" s="243"/>
    </row>
    <row r="63" spans="2:21">
      <c r="B63" s="145" t="str">
        <f t="shared" si="22"/>
        <v/>
      </c>
      <c r="C63" s="495">
        <f>IF(D11="","-",+C62+1)</f>
        <v>2059</v>
      </c>
      <c r="D63" s="508">
        <f>IF(F62+SUM(E$17:E62)=D$10,F62,D$10-SUM(E$17:E62))</f>
        <v>0</v>
      </c>
      <c r="E63" s="509">
        <f>IF(+I14&lt;F62,I14,D63)</f>
        <v>0</v>
      </c>
      <c r="F63" s="510">
        <f t="shared" si="23"/>
        <v>0</v>
      </c>
      <c r="G63" s="523">
        <f t="shared" si="20"/>
        <v>0</v>
      </c>
      <c r="H63" s="477">
        <f t="shared" si="21"/>
        <v>0</v>
      </c>
      <c r="I63" s="500">
        <f t="shared" si="24"/>
        <v>0</v>
      </c>
      <c r="J63" s="500"/>
      <c r="K63" s="512"/>
      <c r="L63" s="504">
        <f t="shared" si="25"/>
        <v>0</v>
      </c>
      <c r="M63" s="512"/>
      <c r="N63" s="504">
        <f t="shared" si="26"/>
        <v>0</v>
      </c>
      <c r="O63" s="504">
        <f t="shared" si="27"/>
        <v>0</v>
      </c>
      <c r="P63" s="278"/>
      <c r="R63" s="243"/>
      <c r="S63" s="243"/>
      <c r="T63" s="243"/>
      <c r="U63" s="243"/>
    </row>
    <row r="64" spans="2:21">
      <c r="B64" s="145" t="str">
        <f t="shared" si="22"/>
        <v/>
      </c>
      <c r="C64" s="495">
        <f>IF(D11="","-",+C63+1)</f>
        <v>2060</v>
      </c>
      <c r="D64" s="508">
        <f>IF(F63+SUM(E$17:E63)=D$10,F63,D$10-SUM(E$17:E63))</f>
        <v>0</v>
      </c>
      <c r="E64" s="509">
        <f>IF(+I14&lt;F63,I14,D64)</f>
        <v>0</v>
      </c>
      <c r="F64" s="510">
        <f t="shared" si="23"/>
        <v>0</v>
      </c>
      <c r="G64" s="523">
        <f t="shared" si="20"/>
        <v>0</v>
      </c>
      <c r="H64" s="477">
        <f t="shared" si="21"/>
        <v>0</v>
      </c>
      <c r="I64" s="500">
        <f t="shared" si="24"/>
        <v>0</v>
      </c>
      <c r="J64" s="500"/>
      <c r="K64" s="512"/>
      <c r="L64" s="504">
        <f t="shared" si="25"/>
        <v>0</v>
      </c>
      <c r="M64" s="512"/>
      <c r="N64" s="504">
        <f t="shared" si="26"/>
        <v>0</v>
      </c>
      <c r="O64" s="504">
        <f t="shared" si="27"/>
        <v>0</v>
      </c>
      <c r="P64" s="278"/>
      <c r="R64" s="243"/>
      <c r="S64" s="243"/>
      <c r="T64" s="243"/>
      <c r="U64" s="243"/>
    </row>
    <row r="65" spans="2:21">
      <c r="B65" s="145" t="str">
        <f t="shared" si="22"/>
        <v/>
      </c>
      <c r="C65" s="495">
        <f>IF(D11="","-",+C64+1)</f>
        <v>2061</v>
      </c>
      <c r="D65" s="508">
        <f>IF(F64+SUM(E$17:E64)=D$10,F64,D$10-SUM(E$17:E64))</f>
        <v>0</v>
      </c>
      <c r="E65" s="509">
        <f>IF(+I14&lt;F64,I14,D65)</f>
        <v>0</v>
      </c>
      <c r="F65" s="510">
        <f t="shared" si="23"/>
        <v>0</v>
      </c>
      <c r="G65" s="523">
        <f t="shared" si="20"/>
        <v>0</v>
      </c>
      <c r="H65" s="477">
        <f t="shared" si="21"/>
        <v>0</v>
      </c>
      <c r="I65" s="500">
        <f t="shared" si="24"/>
        <v>0</v>
      </c>
      <c r="J65" s="500"/>
      <c r="K65" s="512"/>
      <c r="L65" s="504">
        <f t="shared" si="25"/>
        <v>0</v>
      </c>
      <c r="M65" s="512"/>
      <c r="N65" s="504">
        <f t="shared" si="26"/>
        <v>0</v>
      </c>
      <c r="O65" s="504">
        <f t="shared" si="27"/>
        <v>0</v>
      </c>
      <c r="P65" s="278"/>
      <c r="R65" s="243"/>
      <c r="S65" s="243"/>
      <c r="T65" s="243"/>
      <c r="U65" s="243"/>
    </row>
    <row r="66" spans="2:21">
      <c r="B66" s="145" t="str">
        <f t="shared" si="22"/>
        <v/>
      </c>
      <c r="C66" s="495">
        <f>IF(D11="","-",+C65+1)</f>
        <v>2062</v>
      </c>
      <c r="D66" s="508">
        <f>IF(F65+SUM(E$17:E65)=D$10,F65,D$10-SUM(E$17:E65))</f>
        <v>0</v>
      </c>
      <c r="E66" s="509">
        <f>IF(+I14&lt;F65,I14,D66)</f>
        <v>0</v>
      </c>
      <c r="F66" s="510">
        <f t="shared" si="23"/>
        <v>0</v>
      </c>
      <c r="G66" s="523">
        <f t="shared" si="20"/>
        <v>0</v>
      </c>
      <c r="H66" s="477">
        <f t="shared" si="21"/>
        <v>0</v>
      </c>
      <c r="I66" s="500">
        <f t="shared" si="24"/>
        <v>0</v>
      </c>
      <c r="J66" s="500"/>
      <c r="K66" s="512"/>
      <c r="L66" s="504">
        <f t="shared" si="25"/>
        <v>0</v>
      </c>
      <c r="M66" s="512"/>
      <c r="N66" s="504">
        <f t="shared" si="26"/>
        <v>0</v>
      </c>
      <c r="O66" s="504">
        <f t="shared" si="27"/>
        <v>0</v>
      </c>
      <c r="P66" s="278"/>
      <c r="R66" s="243"/>
      <c r="S66" s="243"/>
      <c r="T66" s="243"/>
      <c r="U66" s="243"/>
    </row>
    <row r="67" spans="2:21">
      <c r="B67" s="145" t="str">
        <f t="shared" si="22"/>
        <v/>
      </c>
      <c r="C67" s="495">
        <f>IF(D11="","-",+C66+1)</f>
        <v>2063</v>
      </c>
      <c r="D67" s="508">
        <f>IF(F66+SUM(E$17:E66)=D$10,F66,D$10-SUM(E$17:E66))</f>
        <v>0</v>
      </c>
      <c r="E67" s="509">
        <f>IF(+I14&lt;F66,I14,D67)</f>
        <v>0</v>
      </c>
      <c r="F67" s="510">
        <f t="shared" si="23"/>
        <v>0</v>
      </c>
      <c r="G67" s="523">
        <f t="shared" si="20"/>
        <v>0</v>
      </c>
      <c r="H67" s="477">
        <f t="shared" si="21"/>
        <v>0</v>
      </c>
      <c r="I67" s="500">
        <f t="shared" si="24"/>
        <v>0</v>
      </c>
      <c r="J67" s="500"/>
      <c r="K67" s="512"/>
      <c r="L67" s="504">
        <f t="shared" si="25"/>
        <v>0</v>
      </c>
      <c r="M67" s="512"/>
      <c r="N67" s="504">
        <f t="shared" si="26"/>
        <v>0</v>
      </c>
      <c r="O67" s="504">
        <f t="shared" si="27"/>
        <v>0</v>
      </c>
      <c r="P67" s="278"/>
      <c r="R67" s="243"/>
      <c r="S67" s="243"/>
      <c r="T67" s="243"/>
      <c r="U67" s="243"/>
    </row>
    <row r="68" spans="2:21">
      <c r="B68" s="145" t="str">
        <f t="shared" si="22"/>
        <v/>
      </c>
      <c r="C68" s="495">
        <f>IF(D11="","-",+C67+1)</f>
        <v>2064</v>
      </c>
      <c r="D68" s="508">
        <f>IF(F67+SUM(E$17:E67)=D$10,F67,D$10-SUM(E$17:E67))</f>
        <v>0</v>
      </c>
      <c r="E68" s="509">
        <f>IF(+I14&lt;F67,I14,D68)</f>
        <v>0</v>
      </c>
      <c r="F68" s="510">
        <f t="shared" si="23"/>
        <v>0</v>
      </c>
      <c r="G68" s="523">
        <f t="shared" si="20"/>
        <v>0</v>
      </c>
      <c r="H68" s="477">
        <f t="shared" si="21"/>
        <v>0</v>
      </c>
      <c r="I68" s="500">
        <f t="shared" si="24"/>
        <v>0</v>
      </c>
      <c r="J68" s="500"/>
      <c r="K68" s="512"/>
      <c r="L68" s="504">
        <f t="shared" si="25"/>
        <v>0</v>
      </c>
      <c r="M68" s="512"/>
      <c r="N68" s="504">
        <f t="shared" si="26"/>
        <v>0</v>
      </c>
      <c r="O68" s="504">
        <f t="shared" si="27"/>
        <v>0</v>
      </c>
      <c r="P68" s="278"/>
      <c r="R68" s="243"/>
      <c r="S68" s="243"/>
      <c r="T68" s="243"/>
      <c r="U68" s="243"/>
    </row>
    <row r="69" spans="2:21">
      <c r="B69" s="145" t="str">
        <f t="shared" si="22"/>
        <v/>
      </c>
      <c r="C69" s="495">
        <f>IF(D11="","-",+C68+1)</f>
        <v>2065</v>
      </c>
      <c r="D69" s="508">
        <f>IF(F68+SUM(E$17:E68)=D$10,F68,D$10-SUM(E$17:E68))</f>
        <v>0</v>
      </c>
      <c r="E69" s="509">
        <f>IF(+I14&lt;F68,I14,D69)</f>
        <v>0</v>
      </c>
      <c r="F69" s="510">
        <f t="shared" si="23"/>
        <v>0</v>
      </c>
      <c r="G69" s="523">
        <f t="shared" si="20"/>
        <v>0</v>
      </c>
      <c r="H69" s="477">
        <f t="shared" si="21"/>
        <v>0</v>
      </c>
      <c r="I69" s="500">
        <f t="shared" si="24"/>
        <v>0</v>
      </c>
      <c r="J69" s="500"/>
      <c r="K69" s="512"/>
      <c r="L69" s="504">
        <f t="shared" si="25"/>
        <v>0</v>
      </c>
      <c r="M69" s="512"/>
      <c r="N69" s="504">
        <f t="shared" si="26"/>
        <v>0</v>
      </c>
      <c r="O69" s="504">
        <f t="shared" si="27"/>
        <v>0</v>
      </c>
      <c r="P69" s="278"/>
      <c r="R69" s="243"/>
      <c r="S69" s="243"/>
      <c r="T69" s="243"/>
      <c r="U69" s="243"/>
    </row>
    <row r="70" spans="2:21">
      <c r="B70" s="145" t="str">
        <f t="shared" si="22"/>
        <v/>
      </c>
      <c r="C70" s="495">
        <f>IF(D11="","-",+C69+1)</f>
        <v>2066</v>
      </c>
      <c r="D70" s="508">
        <f>IF(F69+SUM(E$17:E69)=D$10,F69,D$10-SUM(E$17:E69))</f>
        <v>0</v>
      </c>
      <c r="E70" s="509">
        <f>IF(+I14&lt;F69,I14,D70)</f>
        <v>0</v>
      </c>
      <c r="F70" s="510">
        <f t="shared" si="23"/>
        <v>0</v>
      </c>
      <c r="G70" s="523">
        <f t="shared" si="20"/>
        <v>0</v>
      </c>
      <c r="H70" s="477">
        <f t="shared" si="21"/>
        <v>0</v>
      </c>
      <c r="I70" s="500">
        <f t="shared" si="24"/>
        <v>0</v>
      </c>
      <c r="J70" s="500"/>
      <c r="K70" s="512"/>
      <c r="L70" s="504">
        <f t="shared" si="25"/>
        <v>0</v>
      </c>
      <c r="M70" s="512"/>
      <c r="N70" s="504">
        <f t="shared" si="26"/>
        <v>0</v>
      </c>
      <c r="O70" s="504">
        <f t="shared" si="27"/>
        <v>0</v>
      </c>
      <c r="P70" s="278"/>
      <c r="R70" s="243"/>
      <c r="S70" s="243"/>
      <c r="T70" s="243"/>
      <c r="U70" s="243"/>
    </row>
    <row r="71" spans="2:21">
      <c r="B71" s="145" t="str">
        <f t="shared" si="22"/>
        <v/>
      </c>
      <c r="C71" s="495">
        <f>IF(D11="","-",+C70+1)</f>
        <v>2067</v>
      </c>
      <c r="D71" s="508">
        <f>IF(F70+SUM(E$17:E70)=D$10,F70,D$10-SUM(E$17:E70))</f>
        <v>0</v>
      </c>
      <c r="E71" s="509">
        <f>IF(+I14&lt;F70,I14,D71)</f>
        <v>0</v>
      </c>
      <c r="F71" s="510">
        <f t="shared" si="23"/>
        <v>0</v>
      </c>
      <c r="G71" s="523">
        <f t="shared" si="20"/>
        <v>0</v>
      </c>
      <c r="H71" s="477">
        <f t="shared" si="21"/>
        <v>0</v>
      </c>
      <c r="I71" s="500">
        <f t="shared" si="24"/>
        <v>0</v>
      </c>
      <c r="J71" s="500"/>
      <c r="K71" s="512"/>
      <c r="L71" s="504">
        <f t="shared" si="25"/>
        <v>0</v>
      </c>
      <c r="M71" s="512"/>
      <c r="N71" s="504">
        <f t="shared" si="26"/>
        <v>0</v>
      </c>
      <c r="O71" s="504">
        <f t="shared" si="27"/>
        <v>0</v>
      </c>
      <c r="P71" s="278"/>
      <c r="R71" s="243"/>
      <c r="S71" s="243"/>
      <c r="T71" s="243"/>
      <c r="U71" s="243"/>
    </row>
    <row r="72" spans="2:21">
      <c r="B72" s="145" t="str">
        <f t="shared" si="22"/>
        <v/>
      </c>
      <c r="C72" s="495">
        <f>IF(D11="","-",+C71+1)</f>
        <v>2068</v>
      </c>
      <c r="D72" s="508">
        <f>IF(F71+SUM(E$17:E71)=D$10,F71,D$10-SUM(E$17:E71))</f>
        <v>0</v>
      </c>
      <c r="E72" s="509">
        <f>IF(+I14&lt;F71,I14,D72)</f>
        <v>0</v>
      </c>
      <c r="F72" s="510">
        <f t="shared" si="23"/>
        <v>0</v>
      </c>
      <c r="G72" s="523">
        <f t="shared" si="20"/>
        <v>0</v>
      </c>
      <c r="H72" s="477">
        <f t="shared" si="21"/>
        <v>0</v>
      </c>
      <c r="I72" s="500">
        <f t="shared" si="24"/>
        <v>0</v>
      </c>
      <c r="J72" s="500"/>
      <c r="K72" s="512"/>
      <c r="L72" s="504">
        <f t="shared" si="25"/>
        <v>0</v>
      </c>
      <c r="M72" s="512"/>
      <c r="N72" s="504">
        <f t="shared" si="26"/>
        <v>0</v>
      </c>
      <c r="O72" s="504">
        <f t="shared" si="27"/>
        <v>0</v>
      </c>
      <c r="P72" s="278"/>
      <c r="R72" s="243"/>
      <c r="S72" s="243"/>
      <c r="T72" s="243"/>
      <c r="U72" s="243"/>
    </row>
    <row r="73" spans="2:21" ht="13.5" thickBot="1">
      <c r="B73" s="145" t="str">
        <f t="shared" si="22"/>
        <v/>
      </c>
      <c r="C73" s="524">
        <f>IF(D11="","-",+C72+1)</f>
        <v>2069</v>
      </c>
      <c r="D73" s="525">
        <f>IF(F72+SUM(E$17:E72)=D$10,F72,D$10-SUM(E$17:E72))</f>
        <v>0</v>
      </c>
      <c r="E73" s="526">
        <f>IF(+I14&lt;F72,I14,D73)</f>
        <v>0</v>
      </c>
      <c r="F73" s="527">
        <f t="shared" si="23"/>
        <v>0</v>
      </c>
      <c r="G73" s="528">
        <f t="shared" si="20"/>
        <v>0</v>
      </c>
      <c r="H73" s="458">
        <f t="shared" si="21"/>
        <v>0</v>
      </c>
      <c r="I73" s="529">
        <f t="shared" si="24"/>
        <v>0</v>
      </c>
      <c r="J73" s="500"/>
      <c r="K73" s="530"/>
      <c r="L73" s="531">
        <f t="shared" si="25"/>
        <v>0</v>
      </c>
      <c r="M73" s="530"/>
      <c r="N73" s="531">
        <f t="shared" si="26"/>
        <v>0</v>
      </c>
      <c r="O73" s="531">
        <f t="shared" si="27"/>
        <v>0</v>
      </c>
      <c r="P73" s="278"/>
      <c r="R73" s="243"/>
      <c r="S73" s="243"/>
      <c r="T73" s="243"/>
      <c r="U73" s="243"/>
    </row>
    <row r="74" spans="2:21">
      <c r="C74" s="349" t="s">
        <v>75</v>
      </c>
      <c r="D74" s="294"/>
      <c r="E74" s="294">
        <f>SUM(E17:E73)</f>
        <v>28914235.999999993</v>
      </c>
      <c r="F74" s="294"/>
      <c r="G74" s="294">
        <f>SUM(G17:G73)</f>
        <v>85541344.127868012</v>
      </c>
      <c r="H74" s="294">
        <f>SUM(H17:H73)</f>
        <v>85541344.127868012</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6 of 24</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2021</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3509415.1582725761</v>
      </c>
      <c r="N88" s="544">
        <f>IF(J93&lt;D11,0,VLOOKUP(J93,C17:O73,11))</f>
        <v>3509415.1582725761</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3896157.9393852218</v>
      </c>
      <c r="N89" s="548">
        <f>IF(J93&lt;D11,0,VLOOKUP(J93,C100:P155,7))</f>
        <v>3896157.9393852218</v>
      </c>
      <c r="O89" s="549">
        <f>+N89-M89</f>
        <v>0</v>
      </c>
      <c r="P89" s="243"/>
      <c r="Q89" s="243"/>
      <c r="R89" s="243"/>
      <c r="S89" s="243"/>
      <c r="T89" s="243"/>
      <c r="U89" s="243"/>
    </row>
    <row r="90" spans="1:21" ht="13.5" thickBot="1">
      <c r="C90" s="454" t="s">
        <v>82</v>
      </c>
      <c r="D90" s="550" t="str">
        <f>+D7</f>
        <v xml:space="preserve">Canadian River - McAlester City 138 kV Line Conversion </v>
      </c>
      <c r="E90" s="243"/>
      <c r="F90" s="243"/>
      <c r="G90" s="243"/>
      <c r="H90" s="243"/>
      <c r="I90" s="325"/>
      <c r="J90" s="325"/>
      <c r="K90" s="551"/>
      <c r="L90" s="552" t="s">
        <v>135</v>
      </c>
      <c r="M90" s="553">
        <f>+M89-M88</f>
        <v>386742.78111264575</v>
      </c>
      <c r="N90" s="553">
        <f>+N89-N88</f>
        <v>386742.78111264575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TP2009095</v>
      </c>
      <c r="E92" s="558"/>
      <c r="F92" s="558"/>
      <c r="G92" s="558"/>
      <c r="H92" s="558"/>
      <c r="I92" s="558"/>
      <c r="J92" s="558"/>
      <c r="K92" s="560"/>
      <c r="P92" s="468"/>
      <c r="Q92" s="243"/>
      <c r="R92" s="243"/>
      <c r="S92" s="243"/>
      <c r="T92" s="243"/>
      <c r="U92" s="243"/>
    </row>
    <row r="93" spans="1:21">
      <c r="C93" s="472" t="s">
        <v>49</v>
      </c>
      <c r="D93" s="598">
        <f>D10</f>
        <v>28914236</v>
      </c>
      <c r="E93" s="248" t="s">
        <v>84</v>
      </c>
      <c r="H93" s="408"/>
      <c r="I93" s="408"/>
      <c r="J93" s="471">
        <f>+'OKT.WS.G.BPU.ATRR.True-up'!M16</f>
        <v>2021</v>
      </c>
      <c r="K93" s="467"/>
      <c r="L93" s="294" t="s">
        <v>85</v>
      </c>
      <c r="P93" s="278"/>
      <c r="Q93" s="243"/>
      <c r="R93" s="243"/>
      <c r="S93" s="243"/>
      <c r="T93" s="243"/>
      <c r="U93" s="243"/>
    </row>
    <row r="94" spans="1:21">
      <c r="C94" s="472" t="s">
        <v>52</v>
      </c>
      <c r="D94" s="561">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v>8</v>
      </c>
      <c r="E95" s="472" t="s">
        <v>55</v>
      </c>
      <c r="F95" s="408"/>
      <c r="G95" s="408"/>
      <c r="J95" s="476">
        <f>'OKT.WS.G.BPU.ATRR.True-up'!$F$81</f>
        <v>0.11796201313639214</v>
      </c>
      <c r="K95" s="413"/>
      <c r="L95" s="145" t="s">
        <v>86</v>
      </c>
      <c r="P95" s="278"/>
      <c r="Q95" s="243"/>
      <c r="R95" s="243"/>
      <c r="S95" s="243"/>
      <c r="T95" s="243"/>
      <c r="U95" s="243"/>
    </row>
    <row r="96" spans="1:21">
      <c r="C96" s="472" t="s">
        <v>57</v>
      </c>
      <c r="D96" s="474">
        <f>'OKT.WS.G.BPU.ATRR.True-up'!F$93</f>
        <v>25</v>
      </c>
      <c r="E96" s="472" t="s">
        <v>58</v>
      </c>
      <c r="F96" s="408"/>
      <c r="G96" s="408"/>
      <c r="J96" s="476">
        <f>IF(H88="",J95,'OKT.WS.G.BPU.ATRR.True-up'!$F$80)</f>
        <v>0.11796201313639214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1156569.44</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31" si="28">IF(D100=F99,"","IU")</f>
        <v>IU</v>
      </c>
      <c r="C100" s="495">
        <f>IF(D94= "","-",D94)</f>
        <v>2013</v>
      </c>
      <c r="D100" s="496">
        <v>0</v>
      </c>
      <c r="E100" s="498">
        <v>85919.706896551725</v>
      </c>
      <c r="F100" s="505">
        <v>9880766.293103449</v>
      </c>
      <c r="G100" s="571">
        <v>4940383.1465517245</v>
      </c>
      <c r="H100" s="571">
        <v>586624.79406989401</v>
      </c>
      <c r="I100" s="571">
        <v>586624.79406989401</v>
      </c>
      <c r="J100" s="504">
        <v>0</v>
      </c>
      <c r="K100" s="504"/>
      <c r="L100" s="501">
        <f t="shared" ref="L100:L105" si="29">H100</f>
        <v>586624.79406989401</v>
      </c>
      <c r="M100" s="503">
        <f t="shared" ref="M100:M105" si="30">IF(L100&lt;&gt;0,+H100-L100,0)</f>
        <v>0</v>
      </c>
      <c r="N100" s="501">
        <f t="shared" ref="N100:N105" si="31">I100</f>
        <v>586624.79406989401</v>
      </c>
      <c r="O100" s="503">
        <f>IF(N100&lt;&gt;0,+I100-N100,0)</f>
        <v>0</v>
      </c>
      <c r="P100" s="503">
        <f>+O100-M100</f>
        <v>0</v>
      </c>
      <c r="Q100" s="243"/>
      <c r="R100" s="243"/>
      <c r="S100" s="243"/>
      <c r="T100" s="243"/>
      <c r="U100" s="243"/>
    </row>
    <row r="101" spans="1:21">
      <c r="B101" s="145" t="str">
        <f t="shared" si="28"/>
        <v>IU</v>
      </c>
      <c r="C101" s="495">
        <f>IF(D94="","-",+C100+1)</f>
        <v>2014</v>
      </c>
      <c r="D101" s="496">
        <v>28596480.293103449</v>
      </c>
      <c r="E101" s="498">
        <v>494524.13793103449</v>
      </c>
      <c r="F101" s="505">
        <v>28101956.155172415</v>
      </c>
      <c r="G101" s="505">
        <v>28349218.224137932</v>
      </c>
      <c r="H101" s="498">
        <v>3716695.0108773164</v>
      </c>
      <c r="I101" s="499">
        <v>3716695.0108773164</v>
      </c>
      <c r="J101" s="504">
        <v>0</v>
      </c>
      <c r="K101" s="504"/>
      <c r="L101" s="506">
        <f t="shared" si="29"/>
        <v>3716695.0108773164</v>
      </c>
      <c r="M101" s="504">
        <f t="shared" si="30"/>
        <v>0</v>
      </c>
      <c r="N101" s="506">
        <f t="shared" si="31"/>
        <v>3716695.0108773164</v>
      </c>
      <c r="O101" s="504">
        <f>IF(N101&lt;&gt;0,+I101-N101,0)</f>
        <v>0</v>
      </c>
      <c r="P101" s="504">
        <f>+O101-M101</f>
        <v>0</v>
      </c>
      <c r="Q101" s="243"/>
      <c r="R101" s="243"/>
      <c r="S101" s="243"/>
      <c r="T101" s="243"/>
      <c r="U101" s="243"/>
    </row>
    <row r="102" spans="1:21">
      <c r="B102" s="145" t="str">
        <f t="shared" si="28"/>
        <v>IU</v>
      </c>
      <c r="C102" s="495">
        <f>IF(D94="","-",+C101+1)</f>
        <v>2015</v>
      </c>
      <c r="D102" s="496">
        <v>28333791.895172413</v>
      </c>
      <c r="E102" s="498">
        <v>602379.91125</v>
      </c>
      <c r="F102" s="505">
        <v>27731411.983922414</v>
      </c>
      <c r="G102" s="505">
        <v>28032601.939547412</v>
      </c>
      <c r="H102" s="498">
        <v>3723233.4671503431</v>
      </c>
      <c r="I102" s="499">
        <v>3723233.4671503431</v>
      </c>
      <c r="J102" s="504">
        <v>0</v>
      </c>
      <c r="K102" s="504"/>
      <c r="L102" s="506">
        <f t="shared" si="29"/>
        <v>3723233.4671503431</v>
      </c>
      <c r="M102" s="504">
        <f t="shared" si="30"/>
        <v>0</v>
      </c>
      <c r="N102" s="506">
        <f t="shared" si="31"/>
        <v>3723233.4671503431</v>
      </c>
      <c r="O102" s="504">
        <f t="shared" ref="O102:O131" si="32">IF(N102&lt;&gt;0,+I102-N102,0)</f>
        <v>0</v>
      </c>
      <c r="P102" s="504">
        <f t="shared" ref="P102:P131" si="33">+O102-M102</f>
        <v>0</v>
      </c>
      <c r="Q102" s="243"/>
      <c r="R102" s="243"/>
      <c r="S102" s="243"/>
      <c r="T102" s="243"/>
      <c r="U102" s="243"/>
    </row>
    <row r="103" spans="1:21">
      <c r="B103" s="145" t="str">
        <f t="shared" si="28"/>
        <v/>
      </c>
      <c r="C103" s="495">
        <f>IF(D94="","-",+C102+1)</f>
        <v>2016</v>
      </c>
      <c r="D103" s="496">
        <v>27731411.983922414</v>
      </c>
      <c r="E103" s="498">
        <v>566945.79882352939</v>
      </c>
      <c r="F103" s="505">
        <v>27164466.185098886</v>
      </c>
      <c r="G103" s="505">
        <v>27447939.08451065</v>
      </c>
      <c r="H103" s="498">
        <v>3541464.1194634419</v>
      </c>
      <c r="I103" s="499">
        <v>3541464.1194634419</v>
      </c>
      <c r="J103" s="504">
        <f t="shared" ref="J103:J131" si="34">+I103-H103</f>
        <v>0</v>
      </c>
      <c r="K103" s="504"/>
      <c r="L103" s="506">
        <f t="shared" si="29"/>
        <v>3541464.1194634419</v>
      </c>
      <c r="M103" s="504">
        <f t="shared" si="30"/>
        <v>0</v>
      </c>
      <c r="N103" s="506">
        <f t="shared" si="31"/>
        <v>3541464.1194634419</v>
      </c>
      <c r="O103" s="504">
        <f>IF(N103&lt;&gt;0,+I103-N103,0)</f>
        <v>0</v>
      </c>
      <c r="P103" s="504">
        <f>+O103-M103</f>
        <v>0</v>
      </c>
      <c r="Q103" s="243"/>
      <c r="R103" s="243"/>
      <c r="S103" s="243"/>
      <c r="T103" s="243"/>
      <c r="U103" s="243"/>
    </row>
    <row r="104" spans="1:21">
      <c r="B104" s="145" t="str">
        <f t="shared" si="28"/>
        <v/>
      </c>
      <c r="C104" s="495">
        <f>IF(D94="","-",+C103+1)</f>
        <v>2017</v>
      </c>
      <c r="D104" s="496">
        <v>27164466.185098886</v>
      </c>
      <c r="E104" s="498">
        <v>722855.89350000001</v>
      </c>
      <c r="F104" s="505">
        <v>26441610.291598886</v>
      </c>
      <c r="G104" s="505">
        <v>26803038.238348886</v>
      </c>
      <c r="H104" s="498">
        <v>3867813.548691513</v>
      </c>
      <c r="I104" s="499">
        <v>3867813.548691513</v>
      </c>
      <c r="J104" s="504">
        <f t="shared" si="34"/>
        <v>0</v>
      </c>
      <c r="K104" s="504"/>
      <c r="L104" s="506">
        <f t="shared" si="29"/>
        <v>3867813.548691513</v>
      </c>
      <c r="M104" s="504">
        <f t="shared" si="30"/>
        <v>0</v>
      </c>
      <c r="N104" s="506">
        <f t="shared" si="31"/>
        <v>3867813.548691513</v>
      </c>
      <c r="O104" s="504">
        <f>IF(N104&lt;&gt;0,+I104-N104,0)</f>
        <v>0</v>
      </c>
      <c r="P104" s="504">
        <f>+O104-M104</f>
        <v>0</v>
      </c>
      <c r="Q104" s="243"/>
      <c r="R104" s="243"/>
      <c r="S104" s="243"/>
      <c r="T104" s="243"/>
      <c r="U104" s="243"/>
    </row>
    <row r="105" spans="1:21">
      <c r="B105" s="145" t="str">
        <f t="shared" si="28"/>
        <v/>
      </c>
      <c r="C105" s="495">
        <f>IF(D94="","-",+C104+1)</f>
        <v>2018</v>
      </c>
      <c r="D105" s="496">
        <v>26441610.291598886</v>
      </c>
      <c r="E105" s="498">
        <v>803173.21499999997</v>
      </c>
      <c r="F105" s="505">
        <v>25638437.076598886</v>
      </c>
      <c r="G105" s="505">
        <v>26040023.684098884</v>
      </c>
      <c r="H105" s="498">
        <v>3552021.8896915987</v>
      </c>
      <c r="I105" s="499">
        <v>3552021.8896915987</v>
      </c>
      <c r="J105" s="504">
        <f t="shared" si="34"/>
        <v>0</v>
      </c>
      <c r="K105" s="504"/>
      <c r="L105" s="506">
        <f t="shared" si="29"/>
        <v>3552021.8896915987</v>
      </c>
      <c r="M105" s="504">
        <f t="shared" si="30"/>
        <v>0</v>
      </c>
      <c r="N105" s="506">
        <f t="shared" si="31"/>
        <v>3552021.8896915987</v>
      </c>
      <c r="O105" s="504">
        <f>IF(N105&lt;&gt;0,+I105-N105,0)</f>
        <v>0</v>
      </c>
      <c r="P105" s="504">
        <f>+O105-M105</f>
        <v>0</v>
      </c>
      <c r="Q105" s="243"/>
      <c r="R105" s="243"/>
      <c r="S105" s="243"/>
      <c r="T105" s="243"/>
      <c r="U105" s="243"/>
    </row>
    <row r="106" spans="1:21">
      <c r="B106" s="145" t="str">
        <f t="shared" si="28"/>
        <v/>
      </c>
      <c r="C106" s="495">
        <f>IF(D94="","-",+C105+1)</f>
        <v>2019</v>
      </c>
      <c r="D106" s="496">
        <v>25638437.076598886</v>
      </c>
      <c r="E106" s="498">
        <v>803173.21499999997</v>
      </c>
      <c r="F106" s="505">
        <v>24835263.861598887</v>
      </c>
      <c r="G106" s="505">
        <v>25236850.469098888</v>
      </c>
      <c r="H106" s="498">
        <v>3467236.9580654148</v>
      </c>
      <c r="I106" s="499">
        <v>3467236.9580654148</v>
      </c>
      <c r="J106" s="504">
        <f t="shared" si="34"/>
        <v>0</v>
      </c>
      <c r="K106" s="504"/>
      <c r="L106" s="506">
        <f t="shared" ref="L106:L107" si="35">H106</f>
        <v>3467236.9580654148</v>
      </c>
      <c r="M106" s="504">
        <f t="shared" ref="M106:M107" si="36">IF(L106&lt;&gt;0,+H106-L106,0)</f>
        <v>0</v>
      </c>
      <c r="N106" s="506">
        <f t="shared" ref="N106:N107" si="37">I106</f>
        <v>3467236.9580654148</v>
      </c>
      <c r="O106" s="504">
        <f>IF(N106&lt;&gt;0,+I106-N106,0)</f>
        <v>0</v>
      </c>
      <c r="P106" s="504">
        <f t="shared" si="33"/>
        <v>0</v>
      </c>
      <c r="Q106" s="243"/>
      <c r="R106" s="243"/>
      <c r="S106" s="243"/>
      <c r="T106" s="243"/>
      <c r="U106" s="243"/>
    </row>
    <row r="107" spans="1:21">
      <c r="B107" s="145" t="str">
        <f t="shared" si="28"/>
        <v/>
      </c>
      <c r="C107" s="495">
        <f>IF(D94="","-",+C106+1)</f>
        <v>2020</v>
      </c>
      <c r="D107" s="496">
        <v>24835263.861598887</v>
      </c>
      <c r="E107" s="498">
        <v>1032651.2764285713</v>
      </c>
      <c r="F107" s="505">
        <v>23802612.585170314</v>
      </c>
      <c r="G107" s="505">
        <v>24318938.2233846</v>
      </c>
      <c r="H107" s="498">
        <v>3620514.584021511</v>
      </c>
      <c r="I107" s="499">
        <v>3620514.584021511</v>
      </c>
      <c r="J107" s="504">
        <f t="shared" si="34"/>
        <v>0</v>
      </c>
      <c r="K107" s="504"/>
      <c r="L107" s="506">
        <f t="shared" si="35"/>
        <v>3620514.584021511</v>
      </c>
      <c r="M107" s="504">
        <f t="shared" si="36"/>
        <v>0</v>
      </c>
      <c r="N107" s="506">
        <f t="shared" si="37"/>
        <v>3620514.584021511</v>
      </c>
      <c r="O107" s="504">
        <f>IF(N107&lt;&gt;0,+I107-N107,0)</f>
        <v>0</v>
      </c>
      <c r="P107" s="504">
        <f t="shared" si="33"/>
        <v>0</v>
      </c>
      <c r="Q107" s="243"/>
      <c r="R107" s="243"/>
      <c r="S107" s="243"/>
      <c r="T107" s="243"/>
      <c r="U107" s="243"/>
    </row>
    <row r="108" spans="1:21">
      <c r="B108" s="145" t="str">
        <f t="shared" si="28"/>
        <v>IU</v>
      </c>
      <c r="C108" s="495">
        <f>IF(D94="","-",+C107+1)</f>
        <v>2021</v>
      </c>
      <c r="D108" s="349">
        <f>IF(F107+SUM(E$100:E107)=D$93,F107,D$93-SUM(E$100:E107))</f>
        <v>23802612.845170312</v>
      </c>
      <c r="E108" s="509">
        <f>IF(+J97&lt;F107,J97,D108)</f>
        <v>1156569.44</v>
      </c>
      <c r="F108" s="510">
        <f t="shared" ref="F108:F132" si="38">+D108-E108</f>
        <v>22646043.40517031</v>
      </c>
      <c r="G108" s="510">
        <f t="shared" ref="G108:G131" si="39">+(F108+D108)/2</f>
        <v>23224328.125170313</v>
      </c>
      <c r="H108" s="523">
        <f t="shared" ref="H108:H131" si="40">+J$95*G108+E108</f>
        <v>3896157.9393852218</v>
      </c>
      <c r="I108" s="572">
        <f t="shared" ref="I108:I131" si="41">+J$96*G108+E108</f>
        <v>3896157.9393852218</v>
      </c>
      <c r="J108" s="504">
        <f t="shared" si="34"/>
        <v>0</v>
      </c>
      <c r="K108" s="504"/>
      <c r="L108" s="512"/>
      <c r="M108" s="504">
        <f t="shared" ref="M108:M131" si="42">IF(L108&lt;&gt;0,+H108-L108,0)</f>
        <v>0</v>
      </c>
      <c r="N108" s="512"/>
      <c r="O108" s="504">
        <f t="shared" si="32"/>
        <v>0</v>
      </c>
      <c r="P108" s="504">
        <f t="shared" si="33"/>
        <v>0</v>
      </c>
      <c r="Q108" s="243"/>
      <c r="R108" s="243"/>
      <c r="S108" s="243"/>
      <c r="T108" s="243"/>
      <c r="U108" s="243"/>
    </row>
    <row r="109" spans="1:21">
      <c r="B109" s="145" t="str">
        <f t="shared" si="28"/>
        <v/>
      </c>
      <c r="C109" s="495">
        <f>IF(D94="","-",+C108+1)</f>
        <v>2022</v>
      </c>
      <c r="D109" s="349">
        <f>IF(F108+SUM(E$100:E108)=D$93,F108,D$93-SUM(E$100:E108))</f>
        <v>22646043.40517031</v>
      </c>
      <c r="E109" s="509">
        <f>IF(+J97&lt;F108,J97,D109)</f>
        <v>1156569.44</v>
      </c>
      <c r="F109" s="510">
        <f t="shared" si="38"/>
        <v>21489473.965170309</v>
      </c>
      <c r="G109" s="510">
        <f t="shared" si="39"/>
        <v>22067758.685170308</v>
      </c>
      <c r="H109" s="523">
        <f t="shared" si="40"/>
        <v>3759726.6799107916</v>
      </c>
      <c r="I109" s="572">
        <f t="shared" si="41"/>
        <v>3759726.6799107916</v>
      </c>
      <c r="J109" s="504">
        <f t="shared" si="34"/>
        <v>0</v>
      </c>
      <c r="K109" s="504"/>
      <c r="L109" s="512"/>
      <c r="M109" s="504">
        <f t="shared" si="42"/>
        <v>0</v>
      </c>
      <c r="N109" s="512"/>
      <c r="O109" s="504">
        <f t="shared" si="32"/>
        <v>0</v>
      </c>
      <c r="P109" s="504">
        <f t="shared" si="33"/>
        <v>0</v>
      </c>
      <c r="Q109" s="243"/>
      <c r="R109" s="243"/>
      <c r="S109" s="243"/>
      <c r="T109" s="243"/>
      <c r="U109" s="243"/>
    </row>
    <row r="110" spans="1:21">
      <c r="B110" s="145" t="str">
        <f t="shared" si="28"/>
        <v/>
      </c>
      <c r="C110" s="495">
        <f>IF(D94="","-",+C109+1)</f>
        <v>2023</v>
      </c>
      <c r="D110" s="349">
        <f>IF(F109+SUM(E$100:E109)=D$93,F109,D$93-SUM(E$100:E109))</f>
        <v>21489473.965170309</v>
      </c>
      <c r="E110" s="509">
        <f>IF(+J97&lt;F109,J97,D110)</f>
        <v>1156569.44</v>
      </c>
      <c r="F110" s="510">
        <f t="shared" si="38"/>
        <v>20332904.525170308</v>
      </c>
      <c r="G110" s="510">
        <f t="shared" si="39"/>
        <v>20911189.24517031</v>
      </c>
      <c r="H110" s="523">
        <f t="shared" si="40"/>
        <v>3623295.4204363623</v>
      </c>
      <c r="I110" s="572">
        <f t="shared" si="41"/>
        <v>3623295.4204363623</v>
      </c>
      <c r="J110" s="504">
        <f t="shared" si="34"/>
        <v>0</v>
      </c>
      <c r="K110" s="504"/>
      <c r="L110" s="512"/>
      <c r="M110" s="504">
        <f t="shared" si="42"/>
        <v>0</v>
      </c>
      <c r="N110" s="512"/>
      <c r="O110" s="504">
        <f t="shared" si="32"/>
        <v>0</v>
      </c>
      <c r="P110" s="504">
        <f t="shared" si="33"/>
        <v>0</v>
      </c>
      <c r="Q110" s="243"/>
      <c r="R110" s="243"/>
      <c r="S110" s="243"/>
      <c r="T110" s="243"/>
      <c r="U110" s="243"/>
    </row>
    <row r="111" spans="1:21">
      <c r="B111" s="145" t="str">
        <f t="shared" si="28"/>
        <v/>
      </c>
      <c r="C111" s="495">
        <f>IF(D94="","-",+C110+1)</f>
        <v>2024</v>
      </c>
      <c r="D111" s="349">
        <f>IF(F110+SUM(E$100:E110)=D$93,F110,D$93-SUM(E$100:E110))</f>
        <v>20332904.525170308</v>
      </c>
      <c r="E111" s="509">
        <f>IF(+J97&lt;F110,J97,D111)</f>
        <v>1156569.44</v>
      </c>
      <c r="F111" s="510">
        <f t="shared" si="38"/>
        <v>19176335.085170306</v>
      </c>
      <c r="G111" s="510">
        <f t="shared" si="39"/>
        <v>19754619.805170305</v>
      </c>
      <c r="H111" s="523">
        <f t="shared" si="40"/>
        <v>3486864.1609619316</v>
      </c>
      <c r="I111" s="572">
        <f t="shared" si="41"/>
        <v>3486864.1609619316</v>
      </c>
      <c r="J111" s="504">
        <f t="shared" si="34"/>
        <v>0</v>
      </c>
      <c r="K111" s="504"/>
      <c r="L111" s="512"/>
      <c r="M111" s="504">
        <f t="shared" si="42"/>
        <v>0</v>
      </c>
      <c r="N111" s="512"/>
      <c r="O111" s="504">
        <f t="shared" si="32"/>
        <v>0</v>
      </c>
      <c r="P111" s="504">
        <f t="shared" si="33"/>
        <v>0</v>
      </c>
      <c r="Q111" s="243"/>
      <c r="R111" s="243"/>
      <c r="S111" s="243"/>
      <c r="T111" s="243"/>
      <c r="U111" s="243"/>
    </row>
    <row r="112" spans="1:21">
      <c r="B112" s="145" t="str">
        <f t="shared" si="28"/>
        <v/>
      </c>
      <c r="C112" s="495">
        <f>IF(D94="","-",+C111+1)</f>
        <v>2025</v>
      </c>
      <c r="D112" s="349">
        <f>IF(F111+SUM(E$100:E111)=D$93,F111,D$93-SUM(E$100:E111))</f>
        <v>19176335.085170306</v>
      </c>
      <c r="E112" s="509">
        <f>IF(+J97&lt;F111,J97,D112)</f>
        <v>1156569.44</v>
      </c>
      <c r="F112" s="510">
        <f t="shared" si="38"/>
        <v>18019765.645170305</v>
      </c>
      <c r="G112" s="510">
        <f t="shared" si="39"/>
        <v>18598050.365170307</v>
      </c>
      <c r="H112" s="523">
        <f t="shared" si="40"/>
        <v>3350432.9014875023</v>
      </c>
      <c r="I112" s="572">
        <f t="shared" si="41"/>
        <v>3350432.9014875023</v>
      </c>
      <c r="J112" s="504">
        <f t="shared" si="34"/>
        <v>0</v>
      </c>
      <c r="K112" s="504"/>
      <c r="L112" s="512"/>
      <c r="M112" s="504">
        <f t="shared" si="42"/>
        <v>0</v>
      </c>
      <c r="N112" s="512"/>
      <c r="O112" s="504">
        <f t="shared" si="32"/>
        <v>0</v>
      </c>
      <c r="P112" s="504">
        <f t="shared" si="33"/>
        <v>0</v>
      </c>
      <c r="Q112" s="243"/>
      <c r="R112" s="243"/>
      <c r="S112" s="243"/>
      <c r="T112" s="243"/>
      <c r="U112" s="243"/>
    </row>
    <row r="113" spans="2:21">
      <c r="B113" s="145" t="str">
        <f t="shared" si="28"/>
        <v/>
      </c>
      <c r="C113" s="495">
        <f>IF(D94="","-",+C112+1)</f>
        <v>2026</v>
      </c>
      <c r="D113" s="349">
        <f>IF(F112+SUM(E$100:E112)=D$93,F112,D$93-SUM(E$100:E112))</f>
        <v>18019765.645170305</v>
      </c>
      <c r="E113" s="509">
        <f>IF(+J97&lt;F112,J97,D113)</f>
        <v>1156569.44</v>
      </c>
      <c r="F113" s="510">
        <f t="shared" si="38"/>
        <v>16863196.205170304</v>
      </c>
      <c r="G113" s="510">
        <f t="shared" si="39"/>
        <v>17441480.925170302</v>
      </c>
      <c r="H113" s="523">
        <f t="shared" si="40"/>
        <v>3214001.642013072</v>
      </c>
      <c r="I113" s="572">
        <f t="shared" si="41"/>
        <v>3214001.642013072</v>
      </c>
      <c r="J113" s="504">
        <f t="shared" si="34"/>
        <v>0</v>
      </c>
      <c r="K113" s="504"/>
      <c r="L113" s="512"/>
      <c r="M113" s="504">
        <f t="shared" si="42"/>
        <v>0</v>
      </c>
      <c r="N113" s="512"/>
      <c r="O113" s="504">
        <f t="shared" si="32"/>
        <v>0</v>
      </c>
      <c r="P113" s="504">
        <f t="shared" si="33"/>
        <v>0</v>
      </c>
      <c r="Q113" s="243"/>
      <c r="R113" s="243"/>
      <c r="S113" s="243"/>
      <c r="T113" s="243"/>
      <c r="U113" s="243"/>
    </row>
    <row r="114" spans="2:21">
      <c r="B114" s="145" t="str">
        <f t="shared" si="28"/>
        <v/>
      </c>
      <c r="C114" s="495">
        <f>IF(D94="","-",+C113+1)</f>
        <v>2027</v>
      </c>
      <c r="D114" s="349">
        <f>IF(F113+SUM(E$100:E113)=D$93,F113,D$93-SUM(E$100:E113))</f>
        <v>16863196.205170304</v>
      </c>
      <c r="E114" s="509">
        <f>IF(+J97&lt;F113,J97,D114)</f>
        <v>1156569.44</v>
      </c>
      <c r="F114" s="510">
        <f t="shared" si="38"/>
        <v>15706626.765170304</v>
      </c>
      <c r="G114" s="510">
        <f t="shared" si="39"/>
        <v>16284911.485170305</v>
      </c>
      <c r="H114" s="523">
        <f t="shared" si="40"/>
        <v>3077570.3825386427</v>
      </c>
      <c r="I114" s="572">
        <f t="shared" si="41"/>
        <v>3077570.3825386427</v>
      </c>
      <c r="J114" s="504">
        <f t="shared" si="34"/>
        <v>0</v>
      </c>
      <c r="K114" s="504"/>
      <c r="L114" s="512"/>
      <c r="M114" s="504">
        <f t="shared" si="42"/>
        <v>0</v>
      </c>
      <c r="N114" s="512"/>
      <c r="O114" s="504">
        <f t="shared" si="32"/>
        <v>0</v>
      </c>
      <c r="P114" s="504">
        <f t="shared" si="33"/>
        <v>0</v>
      </c>
      <c r="Q114" s="243"/>
      <c r="R114" s="243"/>
      <c r="S114" s="243"/>
      <c r="T114" s="243"/>
      <c r="U114" s="243"/>
    </row>
    <row r="115" spans="2:21">
      <c r="B115" s="145" t="str">
        <f t="shared" si="28"/>
        <v/>
      </c>
      <c r="C115" s="495">
        <f>IF(D94="","-",+C114+1)</f>
        <v>2028</v>
      </c>
      <c r="D115" s="349">
        <f>IF(F114+SUM(E$100:E114)=D$93,F114,D$93-SUM(E$100:E114))</f>
        <v>15706626.765170304</v>
      </c>
      <c r="E115" s="509">
        <f>IF(+J97&lt;F114,J97,D115)</f>
        <v>1156569.44</v>
      </c>
      <c r="F115" s="510">
        <f t="shared" si="38"/>
        <v>14550057.325170305</v>
      </c>
      <c r="G115" s="510">
        <f t="shared" si="39"/>
        <v>15128342.045170303</v>
      </c>
      <c r="H115" s="523">
        <f t="shared" si="40"/>
        <v>2941139.1230642125</v>
      </c>
      <c r="I115" s="572">
        <f t="shared" si="41"/>
        <v>2941139.1230642125</v>
      </c>
      <c r="J115" s="504">
        <f t="shared" si="34"/>
        <v>0</v>
      </c>
      <c r="K115" s="504"/>
      <c r="L115" s="512"/>
      <c r="M115" s="504">
        <f t="shared" si="42"/>
        <v>0</v>
      </c>
      <c r="N115" s="512"/>
      <c r="O115" s="504">
        <f t="shared" si="32"/>
        <v>0</v>
      </c>
      <c r="P115" s="504">
        <f t="shared" si="33"/>
        <v>0</v>
      </c>
      <c r="Q115" s="243"/>
      <c r="R115" s="243"/>
      <c r="S115" s="243"/>
      <c r="T115" s="243"/>
      <c r="U115" s="243"/>
    </row>
    <row r="116" spans="2:21">
      <c r="B116" s="145" t="str">
        <f t="shared" si="28"/>
        <v/>
      </c>
      <c r="C116" s="495">
        <f>IF(D94="","-",+C115+1)</f>
        <v>2029</v>
      </c>
      <c r="D116" s="349">
        <f>IF(F115+SUM(E$100:E115)=D$93,F115,D$93-SUM(E$100:E115))</f>
        <v>14550057.325170305</v>
      </c>
      <c r="E116" s="509">
        <f>IF(+J97&lt;F115,J97,D116)</f>
        <v>1156569.44</v>
      </c>
      <c r="F116" s="510">
        <f t="shared" si="38"/>
        <v>13393487.885170305</v>
      </c>
      <c r="G116" s="510">
        <f t="shared" si="39"/>
        <v>13971772.605170306</v>
      </c>
      <c r="H116" s="523">
        <f t="shared" si="40"/>
        <v>2804707.8635897832</v>
      </c>
      <c r="I116" s="572">
        <f t="shared" si="41"/>
        <v>2804707.8635897832</v>
      </c>
      <c r="J116" s="504">
        <f t="shared" si="34"/>
        <v>0</v>
      </c>
      <c r="K116" s="504"/>
      <c r="L116" s="512"/>
      <c r="M116" s="504">
        <f t="shared" si="42"/>
        <v>0</v>
      </c>
      <c r="N116" s="512"/>
      <c r="O116" s="504">
        <f t="shared" si="32"/>
        <v>0</v>
      </c>
      <c r="P116" s="504">
        <f t="shared" si="33"/>
        <v>0</v>
      </c>
      <c r="Q116" s="243"/>
      <c r="R116" s="243"/>
      <c r="S116" s="243"/>
      <c r="T116" s="243"/>
      <c r="U116" s="243"/>
    </row>
    <row r="117" spans="2:21">
      <c r="B117" s="145" t="str">
        <f t="shared" si="28"/>
        <v/>
      </c>
      <c r="C117" s="495">
        <f>IF(D94="","-",+C116+1)</f>
        <v>2030</v>
      </c>
      <c r="D117" s="349">
        <f>IF(F116+SUM(E$100:E116)=D$93,F116,D$93-SUM(E$100:E116))</f>
        <v>13393487.885170305</v>
      </c>
      <c r="E117" s="509">
        <f>IF(+J97&lt;F116,J97,D117)</f>
        <v>1156569.44</v>
      </c>
      <c r="F117" s="510">
        <f t="shared" si="38"/>
        <v>12236918.445170306</v>
      </c>
      <c r="G117" s="510">
        <f t="shared" si="39"/>
        <v>12815203.165170304</v>
      </c>
      <c r="H117" s="523">
        <f t="shared" si="40"/>
        <v>2668276.6041153534</v>
      </c>
      <c r="I117" s="572">
        <f t="shared" si="41"/>
        <v>2668276.6041153534</v>
      </c>
      <c r="J117" s="504">
        <f t="shared" si="34"/>
        <v>0</v>
      </c>
      <c r="K117" s="504"/>
      <c r="L117" s="512"/>
      <c r="M117" s="504">
        <f t="shared" si="42"/>
        <v>0</v>
      </c>
      <c r="N117" s="512"/>
      <c r="O117" s="504">
        <f t="shared" si="32"/>
        <v>0</v>
      </c>
      <c r="P117" s="504">
        <f t="shared" si="33"/>
        <v>0</v>
      </c>
      <c r="Q117" s="243"/>
      <c r="R117" s="243"/>
      <c r="S117" s="243"/>
      <c r="T117" s="243"/>
      <c r="U117" s="243"/>
    </row>
    <row r="118" spans="2:21">
      <c r="B118" s="145" t="str">
        <f t="shared" si="28"/>
        <v/>
      </c>
      <c r="C118" s="495">
        <f>IF(D94="","-",+C117+1)</f>
        <v>2031</v>
      </c>
      <c r="D118" s="349">
        <f>IF(F117+SUM(E$100:E117)=D$93,F117,D$93-SUM(E$100:E117))</f>
        <v>12236918.445170306</v>
      </c>
      <c r="E118" s="509">
        <f>IF(+J97&lt;F117,J97,D118)</f>
        <v>1156569.44</v>
      </c>
      <c r="F118" s="510">
        <f t="shared" si="38"/>
        <v>11080349.005170306</v>
      </c>
      <c r="G118" s="510">
        <f t="shared" si="39"/>
        <v>11658633.725170307</v>
      </c>
      <c r="H118" s="523">
        <f t="shared" si="40"/>
        <v>2531845.3446409241</v>
      </c>
      <c r="I118" s="572">
        <f t="shared" si="41"/>
        <v>2531845.3446409241</v>
      </c>
      <c r="J118" s="504">
        <f t="shared" si="34"/>
        <v>0</v>
      </c>
      <c r="K118" s="504"/>
      <c r="L118" s="512"/>
      <c r="M118" s="504">
        <f t="shared" si="42"/>
        <v>0</v>
      </c>
      <c r="N118" s="512"/>
      <c r="O118" s="504">
        <f t="shared" si="32"/>
        <v>0</v>
      </c>
      <c r="P118" s="504">
        <f t="shared" si="33"/>
        <v>0</v>
      </c>
      <c r="Q118" s="243"/>
      <c r="R118" s="243"/>
      <c r="S118" s="243"/>
      <c r="T118" s="243"/>
      <c r="U118" s="243"/>
    </row>
    <row r="119" spans="2:21">
      <c r="B119" s="145" t="str">
        <f t="shared" si="28"/>
        <v/>
      </c>
      <c r="C119" s="495">
        <f>IF(D94="","-",+C118+1)</f>
        <v>2032</v>
      </c>
      <c r="D119" s="349">
        <f>IF(F118+SUM(E$100:E118)=D$93,F118,D$93-SUM(E$100:E118))</f>
        <v>11080349.005170306</v>
      </c>
      <c r="E119" s="509">
        <f>IF(+J97&lt;F118,J97,D119)</f>
        <v>1156569.44</v>
      </c>
      <c r="F119" s="510">
        <f t="shared" si="38"/>
        <v>9923779.5651703067</v>
      </c>
      <c r="G119" s="510">
        <f t="shared" si="39"/>
        <v>10502064.285170306</v>
      </c>
      <c r="H119" s="523">
        <f t="shared" si="40"/>
        <v>2395414.0851664944</v>
      </c>
      <c r="I119" s="572">
        <f t="shared" si="41"/>
        <v>2395414.0851664944</v>
      </c>
      <c r="J119" s="504">
        <f t="shared" si="34"/>
        <v>0</v>
      </c>
      <c r="K119" s="504"/>
      <c r="L119" s="512"/>
      <c r="M119" s="504">
        <f t="shared" si="42"/>
        <v>0</v>
      </c>
      <c r="N119" s="512"/>
      <c r="O119" s="504">
        <f t="shared" si="32"/>
        <v>0</v>
      </c>
      <c r="P119" s="504">
        <f t="shared" si="33"/>
        <v>0</v>
      </c>
      <c r="Q119" s="243"/>
      <c r="R119" s="243"/>
      <c r="S119" s="243"/>
      <c r="T119" s="243"/>
      <c r="U119" s="243"/>
    </row>
    <row r="120" spans="2:21">
      <c r="B120" s="145" t="str">
        <f t="shared" si="28"/>
        <v/>
      </c>
      <c r="C120" s="495">
        <f>IF(D94="","-",+C119+1)</f>
        <v>2033</v>
      </c>
      <c r="D120" s="349">
        <f>IF(F119+SUM(E$100:E119)=D$93,F119,D$93-SUM(E$100:E119))</f>
        <v>9923779.5651703067</v>
      </c>
      <c r="E120" s="509">
        <f>IF(+J97&lt;F119,J97,D120)</f>
        <v>1156569.44</v>
      </c>
      <c r="F120" s="510">
        <f t="shared" si="38"/>
        <v>8767210.1251703072</v>
      </c>
      <c r="G120" s="510">
        <f t="shared" si="39"/>
        <v>9345494.8451703079</v>
      </c>
      <c r="H120" s="523">
        <f t="shared" si="40"/>
        <v>2258982.8256920651</v>
      </c>
      <c r="I120" s="572">
        <f t="shared" si="41"/>
        <v>2258982.8256920651</v>
      </c>
      <c r="J120" s="504">
        <f t="shared" si="34"/>
        <v>0</v>
      </c>
      <c r="K120" s="504"/>
      <c r="L120" s="512"/>
      <c r="M120" s="504">
        <f t="shared" si="42"/>
        <v>0</v>
      </c>
      <c r="N120" s="512"/>
      <c r="O120" s="504">
        <f t="shared" si="32"/>
        <v>0</v>
      </c>
      <c r="P120" s="504">
        <f t="shared" si="33"/>
        <v>0</v>
      </c>
      <c r="Q120" s="243"/>
      <c r="R120" s="243"/>
      <c r="S120" s="243"/>
      <c r="T120" s="243"/>
      <c r="U120" s="243"/>
    </row>
    <row r="121" spans="2:21">
      <c r="B121" s="145" t="str">
        <f t="shared" si="28"/>
        <v/>
      </c>
      <c r="C121" s="495">
        <f>IF(D94="","-",+C120+1)</f>
        <v>2034</v>
      </c>
      <c r="D121" s="349">
        <f>IF(F120+SUM(E$100:E120)=D$93,F120,D$93-SUM(E$100:E120))</f>
        <v>8767210.1251703072</v>
      </c>
      <c r="E121" s="509">
        <f>IF(+J97&lt;F120,J97,D121)</f>
        <v>1156569.44</v>
      </c>
      <c r="F121" s="510">
        <f t="shared" si="38"/>
        <v>7610640.6851703078</v>
      </c>
      <c r="G121" s="510">
        <f t="shared" si="39"/>
        <v>8188925.4051703075</v>
      </c>
      <c r="H121" s="523">
        <f t="shared" si="40"/>
        <v>2122551.5662176348</v>
      </c>
      <c r="I121" s="572">
        <f t="shared" si="41"/>
        <v>2122551.5662176348</v>
      </c>
      <c r="J121" s="504">
        <f t="shared" si="34"/>
        <v>0</v>
      </c>
      <c r="K121" s="504"/>
      <c r="L121" s="512"/>
      <c r="M121" s="504">
        <f t="shared" si="42"/>
        <v>0</v>
      </c>
      <c r="N121" s="512"/>
      <c r="O121" s="504">
        <f t="shared" si="32"/>
        <v>0</v>
      </c>
      <c r="P121" s="504">
        <f t="shared" si="33"/>
        <v>0</v>
      </c>
      <c r="Q121" s="243"/>
      <c r="R121" s="243"/>
      <c r="S121" s="243"/>
      <c r="T121" s="243"/>
      <c r="U121" s="243"/>
    </row>
    <row r="122" spans="2:21">
      <c r="B122" s="145" t="str">
        <f t="shared" si="28"/>
        <v/>
      </c>
      <c r="C122" s="495">
        <f>IF(D94="","-",+C121+1)</f>
        <v>2035</v>
      </c>
      <c r="D122" s="349">
        <f>IF(F121+SUM(E$100:E121)=D$93,F121,D$93-SUM(E$100:E121))</f>
        <v>7610640.6851703078</v>
      </c>
      <c r="E122" s="509">
        <f>IF(+J97&lt;F121,J97,D122)</f>
        <v>1156569.44</v>
      </c>
      <c r="F122" s="510">
        <f t="shared" si="38"/>
        <v>6454071.2451703083</v>
      </c>
      <c r="G122" s="510">
        <f t="shared" si="39"/>
        <v>7032355.965170308</v>
      </c>
      <c r="H122" s="523">
        <f t="shared" si="40"/>
        <v>1986120.3067432055</v>
      </c>
      <c r="I122" s="572">
        <f t="shared" si="41"/>
        <v>1986120.3067432055</v>
      </c>
      <c r="J122" s="504">
        <f t="shared" si="34"/>
        <v>0</v>
      </c>
      <c r="K122" s="504"/>
      <c r="L122" s="512"/>
      <c r="M122" s="504">
        <f t="shared" si="42"/>
        <v>0</v>
      </c>
      <c r="N122" s="512"/>
      <c r="O122" s="504">
        <f t="shared" si="32"/>
        <v>0</v>
      </c>
      <c r="P122" s="504">
        <f t="shared" si="33"/>
        <v>0</v>
      </c>
      <c r="Q122" s="243"/>
      <c r="R122" s="243"/>
      <c r="S122" s="243"/>
      <c r="T122" s="243"/>
      <c r="U122" s="243"/>
    </row>
    <row r="123" spans="2:21">
      <c r="B123" s="145" t="str">
        <f t="shared" si="28"/>
        <v/>
      </c>
      <c r="C123" s="495">
        <f>IF(D94="","-",+C122+1)</f>
        <v>2036</v>
      </c>
      <c r="D123" s="349">
        <f>IF(F122+SUM(E$100:E122)=D$93,F122,D$93-SUM(E$100:E122))</f>
        <v>6454071.2451703083</v>
      </c>
      <c r="E123" s="509">
        <f>IF(+J97&lt;F122,J97,D123)</f>
        <v>1156569.44</v>
      </c>
      <c r="F123" s="510">
        <f t="shared" si="38"/>
        <v>5297501.8051703088</v>
      </c>
      <c r="G123" s="510">
        <f t="shared" si="39"/>
        <v>5875786.5251703085</v>
      </c>
      <c r="H123" s="523">
        <f t="shared" si="40"/>
        <v>1849689.0472687758</v>
      </c>
      <c r="I123" s="572">
        <f t="shared" si="41"/>
        <v>1849689.0472687758</v>
      </c>
      <c r="J123" s="504">
        <f t="shared" si="34"/>
        <v>0</v>
      </c>
      <c r="K123" s="504"/>
      <c r="L123" s="512"/>
      <c r="M123" s="504">
        <f t="shared" si="42"/>
        <v>0</v>
      </c>
      <c r="N123" s="512"/>
      <c r="O123" s="504">
        <f t="shared" si="32"/>
        <v>0</v>
      </c>
      <c r="P123" s="504">
        <f t="shared" si="33"/>
        <v>0</v>
      </c>
      <c r="Q123" s="243"/>
      <c r="R123" s="243"/>
      <c r="S123" s="243"/>
      <c r="T123" s="243"/>
      <c r="U123" s="243"/>
    </row>
    <row r="124" spans="2:21">
      <c r="B124" s="145" t="str">
        <f t="shared" si="28"/>
        <v/>
      </c>
      <c r="C124" s="495">
        <f>IF(D94="","-",+C123+1)</f>
        <v>2037</v>
      </c>
      <c r="D124" s="349">
        <f>IF(F123+SUM(E$100:E123)=D$93,F123,D$93-SUM(E$100:E123))</f>
        <v>5297501.8051703088</v>
      </c>
      <c r="E124" s="509">
        <f>IF(+J97&lt;F123,J97,D124)</f>
        <v>1156569.44</v>
      </c>
      <c r="F124" s="510">
        <f t="shared" si="38"/>
        <v>4140932.3651703089</v>
      </c>
      <c r="G124" s="510">
        <f t="shared" si="39"/>
        <v>4719217.0851703091</v>
      </c>
      <c r="H124" s="523">
        <f t="shared" si="40"/>
        <v>1713257.787794346</v>
      </c>
      <c r="I124" s="572">
        <f t="shared" si="41"/>
        <v>1713257.787794346</v>
      </c>
      <c r="J124" s="504">
        <f t="shared" si="34"/>
        <v>0</v>
      </c>
      <c r="K124" s="504"/>
      <c r="L124" s="512"/>
      <c r="M124" s="504">
        <f t="shared" si="42"/>
        <v>0</v>
      </c>
      <c r="N124" s="512"/>
      <c r="O124" s="504">
        <f t="shared" si="32"/>
        <v>0</v>
      </c>
      <c r="P124" s="504">
        <f t="shared" si="33"/>
        <v>0</v>
      </c>
      <c r="Q124" s="243"/>
      <c r="R124" s="243"/>
      <c r="S124" s="243"/>
      <c r="T124" s="243"/>
      <c r="U124" s="243"/>
    </row>
    <row r="125" spans="2:21">
      <c r="B125" s="145" t="str">
        <f t="shared" si="28"/>
        <v/>
      </c>
      <c r="C125" s="495">
        <f>IF(D94="","-",+C124+1)</f>
        <v>2038</v>
      </c>
      <c r="D125" s="349">
        <f>IF(F124+SUM(E$100:E124)=D$93,F124,D$93-SUM(E$100:E124))</f>
        <v>4140932.3651703089</v>
      </c>
      <c r="E125" s="509">
        <f>IF(+J97&lt;F124,J97,D125)</f>
        <v>1156569.44</v>
      </c>
      <c r="F125" s="510">
        <f t="shared" si="38"/>
        <v>2984362.9251703089</v>
      </c>
      <c r="G125" s="510">
        <f t="shared" si="39"/>
        <v>3562647.6451703086</v>
      </c>
      <c r="H125" s="523">
        <f t="shared" si="40"/>
        <v>1576826.5283199165</v>
      </c>
      <c r="I125" s="572">
        <f t="shared" si="41"/>
        <v>1576826.5283199165</v>
      </c>
      <c r="J125" s="504">
        <f t="shared" si="34"/>
        <v>0</v>
      </c>
      <c r="K125" s="504"/>
      <c r="L125" s="512"/>
      <c r="M125" s="504">
        <f t="shared" si="42"/>
        <v>0</v>
      </c>
      <c r="N125" s="512"/>
      <c r="O125" s="504">
        <f t="shared" si="32"/>
        <v>0</v>
      </c>
      <c r="P125" s="504">
        <f t="shared" si="33"/>
        <v>0</v>
      </c>
      <c r="Q125" s="243"/>
      <c r="R125" s="243"/>
      <c r="S125" s="243"/>
      <c r="T125" s="243"/>
      <c r="U125" s="243"/>
    </row>
    <row r="126" spans="2:21">
      <c r="B126" s="145" t="str">
        <f t="shared" si="28"/>
        <v/>
      </c>
      <c r="C126" s="495">
        <f>IF(D94="","-",+C125+1)</f>
        <v>2039</v>
      </c>
      <c r="D126" s="349">
        <f>IF(F125+SUM(E$100:E125)=D$93,F125,D$93-SUM(E$100:E125))</f>
        <v>2984362.9251703089</v>
      </c>
      <c r="E126" s="509">
        <f>IF(+J97&lt;F125,J97,D126)</f>
        <v>1156569.44</v>
      </c>
      <c r="F126" s="510">
        <f t="shared" si="38"/>
        <v>1827793.485170309</v>
      </c>
      <c r="G126" s="510">
        <f t="shared" si="39"/>
        <v>2406078.2051703092</v>
      </c>
      <c r="H126" s="523">
        <f t="shared" si="40"/>
        <v>1440395.2688454867</v>
      </c>
      <c r="I126" s="572">
        <f t="shared" si="41"/>
        <v>1440395.2688454867</v>
      </c>
      <c r="J126" s="504">
        <f t="shared" si="34"/>
        <v>0</v>
      </c>
      <c r="K126" s="504"/>
      <c r="L126" s="512"/>
      <c r="M126" s="504">
        <f t="shared" si="42"/>
        <v>0</v>
      </c>
      <c r="N126" s="512"/>
      <c r="O126" s="504">
        <f t="shared" si="32"/>
        <v>0</v>
      </c>
      <c r="P126" s="504">
        <f t="shared" si="33"/>
        <v>0</v>
      </c>
      <c r="Q126" s="243"/>
      <c r="R126" s="243"/>
      <c r="S126" s="243"/>
      <c r="T126" s="243"/>
      <c r="U126" s="243"/>
    </row>
    <row r="127" spans="2:21">
      <c r="B127" s="145" t="str">
        <f t="shared" si="28"/>
        <v/>
      </c>
      <c r="C127" s="495">
        <f>IF(D94="","-",+C126+1)</f>
        <v>2040</v>
      </c>
      <c r="D127" s="349">
        <f>IF(F126+SUM(E$100:E126)=D$93,F126,D$93-SUM(E$100:E126))</f>
        <v>1827793.485170309</v>
      </c>
      <c r="E127" s="509">
        <f>IF(+J97&lt;F126,J97,D127)</f>
        <v>1156569.44</v>
      </c>
      <c r="F127" s="510">
        <f t="shared" si="38"/>
        <v>671224.04517030902</v>
      </c>
      <c r="G127" s="510">
        <f t="shared" si="39"/>
        <v>1249508.765170309</v>
      </c>
      <c r="H127" s="523">
        <f t="shared" si="40"/>
        <v>1303964.0093710572</v>
      </c>
      <c r="I127" s="572">
        <f t="shared" si="41"/>
        <v>1303964.0093710572</v>
      </c>
      <c r="J127" s="504">
        <f t="shared" si="34"/>
        <v>0</v>
      </c>
      <c r="K127" s="504"/>
      <c r="L127" s="512"/>
      <c r="M127" s="504">
        <f t="shared" si="42"/>
        <v>0</v>
      </c>
      <c r="N127" s="512"/>
      <c r="O127" s="504">
        <f t="shared" si="32"/>
        <v>0</v>
      </c>
      <c r="P127" s="504">
        <f t="shared" si="33"/>
        <v>0</v>
      </c>
      <c r="Q127" s="243"/>
      <c r="R127" s="243"/>
      <c r="S127" s="243"/>
      <c r="T127" s="243"/>
      <c r="U127" s="243"/>
    </row>
    <row r="128" spans="2:21">
      <c r="B128" s="145" t="str">
        <f t="shared" si="28"/>
        <v/>
      </c>
      <c r="C128" s="495">
        <f>IF(D94="","-",+C127+1)</f>
        <v>2041</v>
      </c>
      <c r="D128" s="349">
        <f>IF(F127+SUM(E$100:E127)=D$93,F127,D$93-SUM(E$100:E127))</f>
        <v>671224.04517030902</v>
      </c>
      <c r="E128" s="509">
        <f>IF(+J97&lt;F127,J97,D128)</f>
        <v>671224.04517030902</v>
      </c>
      <c r="F128" s="510">
        <f t="shared" si="38"/>
        <v>0</v>
      </c>
      <c r="G128" s="510">
        <f t="shared" si="39"/>
        <v>335612.02258515451</v>
      </c>
      <c r="H128" s="523">
        <f t="shared" si="40"/>
        <v>710813.51498723018</v>
      </c>
      <c r="I128" s="572">
        <f t="shared" si="41"/>
        <v>710813.51498723018</v>
      </c>
      <c r="J128" s="504">
        <f t="shared" si="34"/>
        <v>0</v>
      </c>
      <c r="K128" s="504"/>
      <c r="L128" s="512"/>
      <c r="M128" s="504">
        <f t="shared" si="42"/>
        <v>0</v>
      </c>
      <c r="N128" s="512"/>
      <c r="O128" s="504">
        <f t="shared" si="32"/>
        <v>0</v>
      </c>
      <c r="P128" s="504">
        <f t="shared" si="33"/>
        <v>0</v>
      </c>
      <c r="Q128" s="243"/>
      <c r="R128" s="243"/>
      <c r="S128" s="243"/>
      <c r="T128" s="243"/>
      <c r="U128" s="243"/>
    </row>
    <row r="129" spans="2:21">
      <c r="B129" s="145" t="str">
        <f t="shared" si="28"/>
        <v/>
      </c>
      <c r="C129" s="495">
        <f>IF(D94="","-",+C128+1)</f>
        <v>2042</v>
      </c>
      <c r="D129" s="349">
        <f>IF(F128+SUM(E$100:E128)=D$93,F128,D$93-SUM(E$100:E128))</f>
        <v>0</v>
      </c>
      <c r="E129" s="509">
        <f>IF(+J97&lt;F128,J97,D129)</f>
        <v>0</v>
      </c>
      <c r="F129" s="510">
        <f t="shared" si="38"/>
        <v>0</v>
      </c>
      <c r="G129" s="510">
        <f t="shared" si="39"/>
        <v>0</v>
      </c>
      <c r="H129" s="523">
        <f t="shared" si="40"/>
        <v>0</v>
      </c>
      <c r="I129" s="572">
        <f t="shared" si="41"/>
        <v>0</v>
      </c>
      <c r="J129" s="504">
        <f t="shared" si="34"/>
        <v>0</v>
      </c>
      <c r="K129" s="504"/>
      <c r="L129" s="512"/>
      <c r="M129" s="504">
        <f t="shared" si="42"/>
        <v>0</v>
      </c>
      <c r="N129" s="512"/>
      <c r="O129" s="504">
        <f t="shared" si="32"/>
        <v>0</v>
      </c>
      <c r="P129" s="504">
        <f t="shared" si="33"/>
        <v>0</v>
      </c>
      <c r="Q129" s="243"/>
      <c r="R129" s="243"/>
      <c r="S129" s="243"/>
      <c r="T129" s="243"/>
      <c r="U129" s="243"/>
    </row>
    <row r="130" spans="2:21">
      <c r="B130" s="145" t="str">
        <f t="shared" si="28"/>
        <v/>
      </c>
      <c r="C130" s="495">
        <f>IF(D94="","-",+C129+1)</f>
        <v>2043</v>
      </c>
      <c r="D130" s="349">
        <f>IF(F129+SUM(E$100:E129)=D$93,F129,D$93-SUM(E$100:E129))</f>
        <v>0</v>
      </c>
      <c r="E130" s="509">
        <f>IF(+J97&lt;F129,J97,D130)</f>
        <v>0</v>
      </c>
      <c r="F130" s="510">
        <f t="shared" si="38"/>
        <v>0</v>
      </c>
      <c r="G130" s="510">
        <f t="shared" si="39"/>
        <v>0</v>
      </c>
      <c r="H130" s="523">
        <f t="shared" si="40"/>
        <v>0</v>
      </c>
      <c r="I130" s="572">
        <f t="shared" si="41"/>
        <v>0</v>
      </c>
      <c r="J130" s="504">
        <f t="shared" si="34"/>
        <v>0</v>
      </c>
      <c r="K130" s="504"/>
      <c r="L130" s="512"/>
      <c r="M130" s="504">
        <f t="shared" si="42"/>
        <v>0</v>
      </c>
      <c r="N130" s="512"/>
      <c r="O130" s="504">
        <f t="shared" si="32"/>
        <v>0</v>
      </c>
      <c r="P130" s="504">
        <f t="shared" si="33"/>
        <v>0</v>
      </c>
      <c r="Q130" s="243"/>
      <c r="R130" s="243"/>
      <c r="S130" s="243"/>
      <c r="T130" s="243"/>
      <c r="U130" s="243"/>
    </row>
    <row r="131" spans="2:21">
      <c r="B131" s="145" t="str">
        <f t="shared" si="28"/>
        <v/>
      </c>
      <c r="C131" s="495">
        <f>IF(D94="","-",+C130+1)</f>
        <v>2044</v>
      </c>
      <c r="D131" s="349">
        <f>IF(F130+SUM(E$100:E130)=D$93,F130,D$93-SUM(E$100:E130))</f>
        <v>0</v>
      </c>
      <c r="E131" s="509">
        <f>IF(+J97&lt;F130,J97,D131)</f>
        <v>0</v>
      </c>
      <c r="F131" s="510">
        <f t="shared" si="38"/>
        <v>0</v>
      </c>
      <c r="G131" s="510">
        <f t="shared" si="39"/>
        <v>0</v>
      </c>
      <c r="H131" s="523">
        <f t="shared" si="40"/>
        <v>0</v>
      </c>
      <c r="I131" s="572">
        <f t="shared" si="41"/>
        <v>0</v>
      </c>
      <c r="J131" s="504">
        <f t="shared" si="34"/>
        <v>0</v>
      </c>
      <c r="K131" s="504"/>
      <c r="L131" s="512"/>
      <c r="M131" s="504">
        <f t="shared" si="42"/>
        <v>0</v>
      </c>
      <c r="N131" s="512"/>
      <c r="O131" s="504">
        <f t="shared" si="32"/>
        <v>0</v>
      </c>
      <c r="P131" s="504">
        <f t="shared" si="33"/>
        <v>0</v>
      </c>
      <c r="Q131" s="243"/>
      <c r="R131" s="243"/>
      <c r="S131" s="243"/>
      <c r="T131" s="243"/>
      <c r="U131" s="243"/>
    </row>
    <row r="132" spans="2:21">
      <c r="B132" s="145" t="str">
        <f t="shared" ref="B132:B155" si="43">IF(D132=F131,"","IU")</f>
        <v/>
      </c>
      <c r="C132" s="495">
        <f>IF(D94="","-",+C131+1)</f>
        <v>2045</v>
      </c>
      <c r="D132" s="349">
        <f>IF(F131+SUM(E$100:E131)=D$93,F131,D$93-SUM(E$100:E131))</f>
        <v>0</v>
      </c>
      <c r="E132" s="509">
        <f>IF(+J97&lt;F131,J97,D132)</f>
        <v>0</v>
      </c>
      <c r="F132" s="510">
        <f t="shared" si="38"/>
        <v>0</v>
      </c>
      <c r="G132" s="510">
        <f t="shared" ref="G132:G155" si="44">+(F132+D132)/2</f>
        <v>0</v>
      </c>
      <c r="H132" s="523">
        <f t="shared" ref="H132:H155" si="45">+J$95*G132+E132</f>
        <v>0</v>
      </c>
      <c r="I132" s="572">
        <f t="shared" ref="I132:I155" si="46">+J$96*G132+E132</f>
        <v>0</v>
      </c>
      <c r="J132" s="504">
        <f t="shared" ref="J132:J155" si="47">+I132-H132</f>
        <v>0</v>
      </c>
      <c r="K132" s="504"/>
      <c r="L132" s="512"/>
      <c r="M132" s="504">
        <f t="shared" ref="M132:M155" si="48">IF(L132&lt;&gt;0,+H132-L132,0)</f>
        <v>0</v>
      </c>
      <c r="N132" s="512"/>
      <c r="O132" s="504">
        <f t="shared" ref="O132:O155" si="49">IF(N132&lt;&gt;0,+I132-N132,0)</f>
        <v>0</v>
      </c>
      <c r="P132" s="504">
        <f t="shared" ref="P132:P155" si="50">+O132-M132</f>
        <v>0</v>
      </c>
      <c r="Q132" s="243"/>
      <c r="R132" s="243"/>
      <c r="S132" s="243"/>
      <c r="T132" s="243"/>
      <c r="U132" s="243"/>
    </row>
    <row r="133" spans="2:21">
      <c r="B133" s="145" t="str">
        <f t="shared" si="43"/>
        <v/>
      </c>
      <c r="C133" s="495">
        <f>IF(D94="","-",+C132+1)</f>
        <v>2046</v>
      </c>
      <c r="D133" s="349">
        <f>IF(F132+SUM(E$100:E132)=D$93,F132,D$93-SUM(E$100:E132))</f>
        <v>0</v>
      </c>
      <c r="E133" s="509">
        <f>IF(+J97&lt;F132,J97,D133)</f>
        <v>0</v>
      </c>
      <c r="F133" s="510">
        <f t="shared" ref="F133:F155" si="51">+D133-E133</f>
        <v>0</v>
      </c>
      <c r="G133" s="510">
        <f t="shared" si="44"/>
        <v>0</v>
      </c>
      <c r="H133" s="523">
        <f t="shared" si="45"/>
        <v>0</v>
      </c>
      <c r="I133" s="572">
        <f t="shared" si="46"/>
        <v>0</v>
      </c>
      <c r="J133" s="504">
        <f t="shared" si="47"/>
        <v>0</v>
      </c>
      <c r="K133" s="504"/>
      <c r="L133" s="512"/>
      <c r="M133" s="504">
        <f t="shared" si="48"/>
        <v>0</v>
      </c>
      <c r="N133" s="512"/>
      <c r="O133" s="504">
        <f t="shared" si="49"/>
        <v>0</v>
      </c>
      <c r="P133" s="504">
        <f t="shared" si="50"/>
        <v>0</v>
      </c>
      <c r="Q133" s="243"/>
      <c r="R133" s="243"/>
      <c r="S133" s="243"/>
      <c r="T133" s="243"/>
      <c r="U133" s="243"/>
    </row>
    <row r="134" spans="2:21">
      <c r="B134" s="145" t="str">
        <f t="shared" si="43"/>
        <v/>
      </c>
      <c r="C134" s="495">
        <f>IF(D94="","-",+C133+1)</f>
        <v>2047</v>
      </c>
      <c r="D134" s="349">
        <f>IF(F133+SUM(E$100:E133)=D$93,F133,D$93-SUM(E$100:E133))</f>
        <v>0</v>
      </c>
      <c r="E134" s="509">
        <f>IF(+J97&lt;F133,J97,D134)</f>
        <v>0</v>
      </c>
      <c r="F134" s="510">
        <f t="shared" si="51"/>
        <v>0</v>
      </c>
      <c r="G134" s="510">
        <f t="shared" si="44"/>
        <v>0</v>
      </c>
      <c r="H134" s="523">
        <f t="shared" si="45"/>
        <v>0</v>
      </c>
      <c r="I134" s="572">
        <f t="shared" si="46"/>
        <v>0</v>
      </c>
      <c r="J134" s="504">
        <f t="shared" si="47"/>
        <v>0</v>
      </c>
      <c r="K134" s="504"/>
      <c r="L134" s="512"/>
      <c r="M134" s="504">
        <f t="shared" si="48"/>
        <v>0</v>
      </c>
      <c r="N134" s="512"/>
      <c r="O134" s="504">
        <f t="shared" si="49"/>
        <v>0</v>
      </c>
      <c r="P134" s="504">
        <f t="shared" si="50"/>
        <v>0</v>
      </c>
      <c r="Q134" s="243"/>
      <c r="R134" s="243"/>
      <c r="S134" s="243"/>
      <c r="T134" s="243"/>
      <c r="U134" s="243"/>
    </row>
    <row r="135" spans="2:21">
      <c r="B135" s="145" t="str">
        <f t="shared" si="43"/>
        <v/>
      </c>
      <c r="C135" s="495">
        <f>IF(D94="","-",+C134+1)</f>
        <v>2048</v>
      </c>
      <c r="D135" s="349">
        <f>IF(F134+SUM(E$100:E134)=D$93,F134,D$93-SUM(E$100:E134))</f>
        <v>0</v>
      </c>
      <c r="E135" s="509">
        <f>IF(+J97&lt;F134,J97,D135)</f>
        <v>0</v>
      </c>
      <c r="F135" s="510">
        <f t="shared" si="51"/>
        <v>0</v>
      </c>
      <c r="G135" s="510">
        <f t="shared" si="44"/>
        <v>0</v>
      </c>
      <c r="H135" s="523">
        <f t="shared" si="45"/>
        <v>0</v>
      </c>
      <c r="I135" s="572">
        <f t="shared" si="46"/>
        <v>0</v>
      </c>
      <c r="J135" s="504">
        <f t="shared" si="47"/>
        <v>0</v>
      </c>
      <c r="K135" s="504"/>
      <c r="L135" s="512"/>
      <c r="M135" s="504">
        <f t="shared" si="48"/>
        <v>0</v>
      </c>
      <c r="N135" s="512"/>
      <c r="O135" s="504">
        <f t="shared" si="49"/>
        <v>0</v>
      </c>
      <c r="P135" s="504">
        <f t="shared" si="50"/>
        <v>0</v>
      </c>
      <c r="Q135" s="243"/>
      <c r="R135" s="243"/>
      <c r="S135" s="243"/>
      <c r="T135" s="243"/>
      <c r="U135" s="243"/>
    </row>
    <row r="136" spans="2:21">
      <c r="B136" s="145" t="str">
        <f t="shared" si="43"/>
        <v/>
      </c>
      <c r="C136" s="495">
        <f>IF(D94="","-",+C135+1)</f>
        <v>2049</v>
      </c>
      <c r="D136" s="349">
        <f>IF(F135+SUM(E$100:E135)=D$93,F135,D$93-SUM(E$100:E135))</f>
        <v>0</v>
      </c>
      <c r="E136" s="509">
        <f>IF(+J97&lt;F135,J97,D136)</f>
        <v>0</v>
      </c>
      <c r="F136" s="510">
        <f t="shared" si="51"/>
        <v>0</v>
      </c>
      <c r="G136" s="510">
        <f t="shared" si="44"/>
        <v>0</v>
      </c>
      <c r="H136" s="523">
        <f t="shared" si="45"/>
        <v>0</v>
      </c>
      <c r="I136" s="572">
        <f t="shared" si="46"/>
        <v>0</v>
      </c>
      <c r="J136" s="504">
        <f t="shared" si="47"/>
        <v>0</v>
      </c>
      <c r="K136" s="504"/>
      <c r="L136" s="512"/>
      <c r="M136" s="504">
        <f t="shared" si="48"/>
        <v>0</v>
      </c>
      <c r="N136" s="512"/>
      <c r="O136" s="504">
        <f t="shared" si="49"/>
        <v>0</v>
      </c>
      <c r="P136" s="504">
        <f t="shared" si="50"/>
        <v>0</v>
      </c>
      <c r="Q136" s="243"/>
      <c r="R136" s="243"/>
      <c r="S136" s="243"/>
      <c r="T136" s="243"/>
      <c r="U136" s="243"/>
    </row>
    <row r="137" spans="2:21">
      <c r="B137" s="145" t="str">
        <f t="shared" si="43"/>
        <v/>
      </c>
      <c r="C137" s="495">
        <f>IF(D94="","-",+C136+1)</f>
        <v>2050</v>
      </c>
      <c r="D137" s="349">
        <f>IF(F136+SUM(E$100:E136)=D$93,F136,D$93-SUM(E$100:E136))</f>
        <v>0</v>
      </c>
      <c r="E137" s="509">
        <f>IF(+J97&lt;F136,J97,D137)</f>
        <v>0</v>
      </c>
      <c r="F137" s="510">
        <f t="shared" si="51"/>
        <v>0</v>
      </c>
      <c r="G137" s="510">
        <f t="shared" si="44"/>
        <v>0</v>
      </c>
      <c r="H137" s="523">
        <f t="shared" si="45"/>
        <v>0</v>
      </c>
      <c r="I137" s="572">
        <f t="shared" si="46"/>
        <v>0</v>
      </c>
      <c r="J137" s="504">
        <f t="shared" si="47"/>
        <v>0</v>
      </c>
      <c r="K137" s="504"/>
      <c r="L137" s="512"/>
      <c r="M137" s="504">
        <f t="shared" si="48"/>
        <v>0</v>
      </c>
      <c r="N137" s="512"/>
      <c r="O137" s="504">
        <f t="shared" si="49"/>
        <v>0</v>
      </c>
      <c r="P137" s="504">
        <f t="shared" si="50"/>
        <v>0</v>
      </c>
      <c r="Q137" s="243"/>
      <c r="R137" s="243"/>
      <c r="S137" s="243"/>
      <c r="T137" s="243"/>
      <c r="U137" s="243"/>
    </row>
    <row r="138" spans="2:21">
      <c r="B138" s="145" t="str">
        <f t="shared" si="43"/>
        <v/>
      </c>
      <c r="C138" s="495">
        <f>IF(D94="","-",+C137+1)</f>
        <v>2051</v>
      </c>
      <c r="D138" s="349">
        <f>IF(F137+SUM(E$100:E137)=D$93,F137,D$93-SUM(E$100:E137))</f>
        <v>0</v>
      </c>
      <c r="E138" s="509">
        <f>IF(+J97&lt;F137,J97,D138)</f>
        <v>0</v>
      </c>
      <c r="F138" s="510">
        <f t="shared" si="51"/>
        <v>0</v>
      </c>
      <c r="G138" s="510">
        <f t="shared" si="44"/>
        <v>0</v>
      </c>
      <c r="H138" s="523">
        <f t="shared" si="45"/>
        <v>0</v>
      </c>
      <c r="I138" s="572">
        <f t="shared" si="46"/>
        <v>0</v>
      </c>
      <c r="J138" s="504">
        <f t="shared" si="47"/>
        <v>0</v>
      </c>
      <c r="K138" s="504"/>
      <c r="L138" s="512"/>
      <c r="M138" s="504">
        <f t="shared" si="48"/>
        <v>0</v>
      </c>
      <c r="N138" s="512"/>
      <c r="O138" s="504">
        <f t="shared" si="49"/>
        <v>0</v>
      </c>
      <c r="P138" s="504">
        <f t="shared" si="50"/>
        <v>0</v>
      </c>
      <c r="Q138" s="243"/>
      <c r="R138" s="243"/>
      <c r="S138" s="243"/>
      <c r="T138" s="243"/>
      <c r="U138" s="243"/>
    </row>
    <row r="139" spans="2:21">
      <c r="B139" s="145" t="str">
        <f t="shared" si="43"/>
        <v/>
      </c>
      <c r="C139" s="495">
        <f>IF(D94="","-",+C138+1)</f>
        <v>2052</v>
      </c>
      <c r="D139" s="349">
        <f>IF(F138+SUM(E$100:E138)=D$93,F138,D$93-SUM(E$100:E138))</f>
        <v>0</v>
      </c>
      <c r="E139" s="509">
        <f>IF(+J97&lt;F138,J97,D139)</f>
        <v>0</v>
      </c>
      <c r="F139" s="510">
        <f t="shared" si="51"/>
        <v>0</v>
      </c>
      <c r="G139" s="510">
        <f t="shared" si="44"/>
        <v>0</v>
      </c>
      <c r="H139" s="523">
        <f t="shared" si="45"/>
        <v>0</v>
      </c>
      <c r="I139" s="572">
        <f t="shared" si="46"/>
        <v>0</v>
      </c>
      <c r="J139" s="504">
        <f t="shared" si="47"/>
        <v>0</v>
      </c>
      <c r="K139" s="504"/>
      <c r="L139" s="512"/>
      <c r="M139" s="504">
        <f t="shared" si="48"/>
        <v>0</v>
      </c>
      <c r="N139" s="512"/>
      <c r="O139" s="504">
        <f t="shared" si="49"/>
        <v>0</v>
      </c>
      <c r="P139" s="504">
        <f t="shared" si="50"/>
        <v>0</v>
      </c>
      <c r="Q139" s="243"/>
      <c r="R139" s="243"/>
      <c r="S139" s="243"/>
      <c r="T139" s="243"/>
      <c r="U139" s="243"/>
    </row>
    <row r="140" spans="2:21">
      <c r="B140" s="145" t="str">
        <f t="shared" si="43"/>
        <v/>
      </c>
      <c r="C140" s="495">
        <f>IF(D94="","-",+C139+1)</f>
        <v>2053</v>
      </c>
      <c r="D140" s="349">
        <f>IF(F139+SUM(E$100:E139)=D$93,F139,D$93-SUM(E$100:E139))</f>
        <v>0</v>
      </c>
      <c r="E140" s="509">
        <f>IF(+J97&lt;F139,J97,D140)</f>
        <v>0</v>
      </c>
      <c r="F140" s="510">
        <f t="shared" si="51"/>
        <v>0</v>
      </c>
      <c r="G140" s="510">
        <f t="shared" si="44"/>
        <v>0</v>
      </c>
      <c r="H140" s="523">
        <f t="shared" si="45"/>
        <v>0</v>
      </c>
      <c r="I140" s="572">
        <f t="shared" si="46"/>
        <v>0</v>
      </c>
      <c r="J140" s="504">
        <f t="shared" si="47"/>
        <v>0</v>
      </c>
      <c r="K140" s="504"/>
      <c r="L140" s="512"/>
      <c r="M140" s="504">
        <f t="shared" si="48"/>
        <v>0</v>
      </c>
      <c r="N140" s="512"/>
      <c r="O140" s="504">
        <f t="shared" si="49"/>
        <v>0</v>
      </c>
      <c r="P140" s="504">
        <f t="shared" si="50"/>
        <v>0</v>
      </c>
      <c r="Q140" s="243"/>
      <c r="R140" s="243"/>
      <c r="S140" s="243"/>
      <c r="T140" s="243"/>
      <c r="U140" s="243"/>
    </row>
    <row r="141" spans="2:21">
      <c r="B141" s="145" t="str">
        <f t="shared" si="43"/>
        <v/>
      </c>
      <c r="C141" s="495">
        <f>IF(D94="","-",+C140+1)</f>
        <v>2054</v>
      </c>
      <c r="D141" s="349">
        <f>IF(F140+SUM(E$100:E140)=D$93,F140,D$93-SUM(E$100:E140))</f>
        <v>0</v>
      </c>
      <c r="E141" s="509">
        <f>IF(+J97&lt;F140,J97,D141)</f>
        <v>0</v>
      </c>
      <c r="F141" s="510">
        <f t="shared" si="51"/>
        <v>0</v>
      </c>
      <c r="G141" s="510">
        <f t="shared" si="44"/>
        <v>0</v>
      </c>
      <c r="H141" s="523">
        <f t="shared" si="45"/>
        <v>0</v>
      </c>
      <c r="I141" s="572">
        <f t="shared" si="46"/>
        <v>0</v>
      </c>
      <c r="J141" s="504">
        <f t="shared" si="47"/>
        <v>0</v>
      </c>
      <c r="K141" s="504"/>
      <c r="L141" s="512"/>
      <c r="M141" s="504">
        <f t="shared" si="48"/>
        <v>0</v>
      </c>
      <c r="N141" s="512"/>
      <c r="O141" s="504">
        <f t="shared" si="49"/>
        <v>0</v>
      </c>
      <c r="P141" s="504">
        <f t="shared" si="50"/>
        <v>0</v>
      </c>
      <c r="Q141" s="243"/>
      <c r="R141" s="243"/>
      <c r="S141" s="243"/>
      <c r="T141" s="243"/>
      <c r="U141" s="243"/>
    </row>
    <row r="142" spans="2:21">
      <c r="B142" s="145" t="str">
        <f t="shared" si="43"/>
        <v/>
      </c>
      <c r="C142" s="495">
        <f>IF(D94="","-",+C141+1)</f>
        <v>2055</v>
      </c>
      <c r="D142" s="349">
        <f>IF(F141+SUM(E$100:E141)=D$93,F141,D$93-SUM(E$100:E141))</f>
        <v>0</v>
      </c>
      <c r="E142" s="509">
        <f>IF(+J97&lt;F141,J97,D142)</f>
        <v>0</v>
      </c>
      <c r="F142" s="510">
        <f t="shared" si="51"/>
        <v>0</v>
      </c>
      <c r="G142" s="510">
        <f t="shared" si="44"/>
        <v>0</v>
      </c>
      <c r="H142" s="523">
        <f t="shared" si="45"/>
        <v>0</v>
      </c>
      <c r="I142" s="572">
        <f t="shared" si="46"/>
        <v>0</v>
      </c>
      <c r="J142" s="504">
        <f t="shared" si="47"/>
        <v>0</v>
      </c>
      <c r="K142" s="504"/>
      <c r="L142" s="512"/>
      <c r="M142" s="504">
        <f t="shared" si="48"/>
        <v>0</v>
      </c>
      <c r="N142" s="512"/>
      <c r="O142" s="504">
        <f t="shared" si="49"/>
        <v>0</v>
      </c>
      <c r="P142" s="504">
        <f t="shared" si="50"/>
        <v>0</v>
      </c>
      <c r="Q142" s="243"/>
      <c r="R142" s="243"/>
      <c r="S142" s="243"/>
      <c r="T142" s="243"/>
      <c r="U142" s="243"/>
    </row>
    <row r="143" spans="2:21">
      <c r="B143" s="145" t="str">
        <f t="shared" si="43"/>
        <v/>
      </c>
      <c r="C143" s="495">
        <f>IF(D94="","-",+C142+1)</f>
        <v>2056</v>
      </c>
      <c r="D143" s="349">
        <f>IF(F142+SUM(E$100:E142)=D$93,F142,D$93-SUM(E$100:E142))</f>
        <v>0</v>
      </c>
      <c r="E143" s="509">
        <f>IF(+J97&lt;F142,J97,D143)</f>
        <v>0</v>
      </c>
      <c r="F143" s="510">
        <f t="shared" si="51"/>
        <v>0</v>
      </c>
      <c r="G143" s="510">
        <f t="shared" si="44"/>
        <v>0</v>
      </c>
      <c r="H143" s="523">
        <f t="shared" si="45"/>
        <v>0</v>
      </c>
      <c r="I143" s="572">
        <f t="shared" si="46"/>
        <v>0</v>
      </c>
      <c r="J143" s="504">
        <f t="shared" si="47"/>
        <v>0</v>
      </c>
      <c r="K143" s="504"/>
      <c r="L143" s="512"/>
      <c r="M143" s="504">
        <f t="shared" si="48"/>
        <v>0</v>
      </c>
      <c r="N143" s="512"/>
      <c r="O143" s="504">
        <f t="shared" si="49"/>
        <v>0</v>
      </c>
      <c r="P143" s="504">
        <f t="shared" si="50"/>
        <v>0</v>
      </c>
      <c r="Q143" s="243"/>
      <c r="R143" s="243"/>
      <c r="S143" s="243"/>
      <c r="T143" s="243"/>
      <c r="U143" s="243"/>
    </row>
    <row r="144" spans="2:21">
      <c r="B144" s="145" t="str">
        <f t="shared" si="43"/>
        <v/>
      </c>
      <c r="C144" s="495">
        <f>IF(D94="","-",+C143+1)</f>
        <v>2057</v>
      </c>
      <c r="D144" s="349">
        <f>IF(F143+SUM(E$100:E143)=D$93,F143,D$93-SUM(E$100:E143))</f>
        <v>0</v>
      </c>
      <c r="E144" s="509">
        <f>IF(+J97&lt;F143,J97,D144)</f>
        <v>0</v>
      </c>
      <c r="F144" s="510">
        <f t="shared" si="51"/>
        <v>0</v>
      </c>
      <c r="G144" s="510">
        <f t="shared" si="44"/>
        <v>0</v>
      </c>
      <c r="H144" s="523">
        <f t="shared" si="45"/>
        <v>0</v>
      </c>
      <c r="I144" s="572">
        <f t="shared" si="46"/>
        <v>0</v>
      </c>
      <c r="J144" s="504">
        <f t="shared" si="47"/>
        <v>0</v>
      </c>
      <c r="K144" s="504"/>
      <c r="L144" s="512"/>
      <c r="M144" s="504">
        <f t="shared" si="48"/>
        <v>0</v>
      </c>
      <c r="N144" s="512"/>
      <c r="O144" s="504">
        <f t="shared" si="49"/>
        <v>0</v>
      </c>
      <c r="P144" s="504">
        <f t="shared" si="50"/>
        <v>0</v>
      </c>
      <c r="Q144" s="243"/>
      <c r="R144" s="243"/>
      <c r="S144" s="243"/>
      <c r="T144" s="243"/>
      <c r="U144" s="243"/>
    </row>
    <row r="145" spans="2:21">
      <c r="B145" s="145" t="str">
        <f t="shared" si="43"/>
        <v/>
      </c>
      <c r="C145" s="495">
        <f>IF(D94="","-",+C144+1)</f>
        <v>2058</v>
      </c>
      <c r="D145" s="349">
        <f>IF(F144+SUM(E$100:E144)=D$93,F144,D$93-SUM(E$100:E144))</f>
        <v>0</v>
      </c>
      <c r="E145" s="509">
        <f>IF(+J97&lt;F144,J97,D145)</f>
        <v>0</v>
      </c>
      <c r="F145" s="510">
        <f t="shared" si="51"/>
        <v>0</v>
      </c>
      <c r="G145" s="510">
        <f t="shared" si="44"/>
        <v>0</v>
      </c>
      <c r="H145" s="523">
        <f t="shared" si="45"/>
        <v>0</v>
      </c>
      <c r="I145" s="572">
        <f t="shared" si="46"/>
        <v>0</v>
      </c>
      <c r="J145" s="504">
        <f t="shared" si="47"/>
        <v>0</v>
      </c>
      <c r="K145" s="504"/>
      <c r="L145" s="512"/>
      <c r="M145" s="504">
        <f t="shared" si="48"/>
        <v>0</v>
      </c>
      <c r="N145" s="512"/>
      <c r="O145" s="504">
        <f t="shared" si="49"/>
        <v>0</v>
      </c>
      <c r="P145" s="504">
        <f t="shared" si="50"/>
        <v>0</v>
      </c>
      <c r="Q145" s="243"/>
      <c r="R145" s="243"/>
      <c r="S145" s="243"/>
      <c r="T145" s="243"/>
      <c r="U145" s="243"/>
    </row>
    <row r="146" spans="2:21">
      <c r="B146" s="145" t="str">
        <f t="shared" si="43"/>
        <v/>
      </c>
      <c r="C146" s="495">
        <f>IF(D94="","-",+C145+1)</f>
        <v>2059</v>
      </c>
      <c r="D146" s="349">
        <f>IF(F145+SUM(E$100:E145)=D$93,F145,D$93-SUM(E$100:E145))</f>
        <v>0</v>
      </c>
      <c r="E146" s="509">
        <f>IF(+J97&lt;F145,J97,D146)</f>
        <v>0</v>
      </c>
      <c r="F146" s="510">
        <f t="shared" si="51"/>
        <v>0</v>
      </c>
      <c r="G146" s="510">
        <f t="shared" si="44"/>
        <v>0</v>
      </c>
      <c r="H146" s="523">
        <f t="shared" si="45"/>
        <v>0</v>
      </c>
      <c r="I146" s="572">
        <f t="shared" si="46"/>
        <v>0</v>
      </c>
      <c r="J146" s="504">
        <f t="shared" si="47"/>
        <v>0</v>
      </c>
      <c r="K146" s="504"/>
      <c r="L146" s="512"/>
      <c r="M146" s="504">
        <f t="shared" si="48"/>
        <v>0</v>
      </c>
      <c r="N146" s="512"/>
      <c r="O146" s="504">
        <f t="shared" si="49"/>
        <v>0</v>
      </c>
      <c r="P146" s="504">
        <f t="shared" si="50"/>
        <v>0</v>
      </c>
      <c r="Q146" s="243"/>
      <c r="R146" s="243"/>
      <c r="S146" s="243"/>
      <c r="T146" s="243"/>
      <c r="U146" s="243"/>
    </row>
    <row r="147" spans="2:21">
      <c r="B147" s="145" t="str">
        <f t="shared" si="43"/>
        <v/>
      </c>
      <c r="C147" s="495">
        <f>IF(D94="","-",+C146+1)</f>
        <v>2060</v>
      </c>
      <c r="D147" s="349">
        <f>IF(F146+SUM(E$100:E146)=D$93,F146,D$93-SUM(E$100:E146))</f>
        <v>0</v>
      </c>
      <c r="E147" s="509">
        <f>IF(+J97&lt;F146,J97,D147)</f>
        <v>0</v>
      </c>
      <c r="F147" s="510">
        <f t="shared" si="51"/>
        <v>0</v>
      </c>
      <c r="G147" s="510">
        <f t="shared" si="44"/>
        <v>0</v>
      </c>
      <c r="H147" s="523">
        <f t="shared" si="45"/>
        <v>0</v>
      </c>
      <c r="I147" s="572">
        <f t="shared" si="46"/>
        <v>0</v>
      </c>
      <c r="J147" s="504">
        <f t="shared" si="47"/>
        <v>0</v>
      </c>
      <c r="K147" s="504"/>
      <c r="L147" s="512"/>
      <c r="M147" s="504">
        <f t="shared" si="48"/>
        <v>0</v>
      </c>
      <c r="N147" s="512"/>
      <c r="O147" s="504">
        <f t="shared" si="49"/>
        <v>0</v>
      </c>
      <c r="P147" s="504">
        <f t="shared" si="50"/>
        <v>0</v>
      </c>
      <c r="Q147" s="243"/>
      <c r="R147" s="243"/>
      <c r="S147" s="243"/>
      <c r="T147" s="243"/>
      <c r="U147" s="243"/>
    </row>
    <row r="148" spans="2:21">
      <c r="B148" s="145" t="str">
        <f t="shared" si="43"/>
        <v/>
      </c>
      <c r="C148" s="495">
        <f>IF(D94="","-",+C147+1)</f>
        <v>2061</v>
      </c>
      <c r="D148" s="349">
        <f>IF(F147+SUM(E$100:E147)=D$93,F147,D$93-SUM(E$100:E147))</f>
        <v>0</v>
      </c>
      <c r="E148" s="509">
        <f>IF(+J97&lt;F147,J97,D148)</f>
        <v>0</v>
      </c>
      <c r="F148" s="510">
        <f t="shared" si="51"/>
        <v>0</v>
      </c>
      <c r="G148" s="510">
        <f t="shared" si="44"/>
        <v>0</v>
      </c>
      <c r="H148" s="523">
        <f t="shared" si="45"/>
        <v>0</v>
      </c>
      <c r="I148" s="572">
        <f t="shared" si="46"/>
        <v>0</v>
      </c>
      <c r="J148" s="504">
        <f t="shared" si="47"/>
        <v>0</v>
      </c>
      <c r="K148" s="504"/>
      <c r="L148" s="512"/>
      <c r="M148" s="504">
        <f t="shared" si="48"/>
        <v>0</v>
      </c>
      <c r="N148" s="512"/>
      <c r="O148" s="504">
        <f t="shared" si="49"/>
        <v>0</v>
      </c>
      <c r="P148" s="504">
        <f t="shared" si="50"/>
        <v>0</v>
      </c>
      <c r="Q148" s="243"/>
      <c r="R148" s="243"/>
      <c r="S148" s="243"/>
      <c r="T148" s="243"/>
      <c r="U148" s="243"/>
    </row>
    <row r="149" spans="2:21">
      <c r="B149" s="145" t="str">
        <f t="shared" si="43"/>
        <v/>
      </c>
      <c r="C149" s="495">
        <f>IF(D94="","-",+C148+1)</f>
        <v>2062</v>
      </c>
      <c r="D149" s="349">
        <f>IF(F148+SUM(E$100:E148)=D$93,F148,D$93-SUM(E$100:E148))</f>
        <v>0</v>
      </c>
      <c r="E149" s="509">
        <f>IF(+J97&lt;F148,J97,D149)</f>
        <v>0</v>
      </c>
      <c r="F149" s="510">
        <f t="shared" si="51"/>
        <v>0</v>
      </c>
      <c r="G149" s="510">
        <f t="shared" si="44"/>
        <v>0</v>
      </c>
      <c r="H149" s="523">
        <f t="shared" si="45"/>
        <v>0</v>
      </c>
      <c r="I149" s="572">
        <f t="shared" si="46"/>
        <v>0</v>
      </c>
      <c r="J149" s="504">
        <f t="shared" si="47"/>
        <v>0</v>
      </c>
      <c r="K149" s="504"/>
      <c r="L149" s="512"/>
      <c r="M149" s="504">
        <f t="shared" si="48"/>
        <v>0</v>
      </c>
      <c r="N149" s="512"/>
      <c r="O149" s="504">
        <f t="shared" si="49"/>
        <v>0</v>
      </c>
      <c r="P149" s="504">
        <f t="shared" si="50"/>
        <v>0</v>
      </c>
      <c r="Q149" s="243"/>
      <c r="R149" s="243"/>
      <c r="S149" s="243"/>
      <c r="T149" s="243"/>
      <c r="U149" s="243"/>
    </row>
    <row r="150" spans="2:21">
      <c r="B150" s="145" t="str">
        <f t="shared" si="43"/>
        <v/>
      </c>
      <c r="C150" s="495">
        <f>IF(D94="","-",+C149+1)</f>
        <v>2063</v>
      </c>
      <c r="D150" s="349">
        <f>IF(F149+SUM(E$100:E149)=D$93,F149,D$93-SUM(E$100:E149))</f>
        <v>0</v>
      </c>
      <c r="E150" s="509">
        <f>IF(+J97&lt;F149,J97,D150)</f>
        <v>0</v>
      </c>
      <c r="F150" s="510">
        <f t="shared" si="51"/>
        <v>0</v>
      </c>
      <c r="G150" s="510">
        <f t="shared" si="44"/>
        <v>0</v>
      </c>
      <c r="H150" s="523">
        <f t="shared" si="45"/>
        <v>0</v>
      </c>
      <c r="I150" s="572">
        <f t="shared" si="46"/>
        <v>0</v>
      </c>
      <c r="J150" s="504">
        <f t="shared" si="47"/>
        <v>0</v>
      </c>
      <c r="K150" s="504"/>
      <c r="L150" s="512"/>
      <c r="M150" s="504">
        <f t="shared" si="48"/>
        <v>0</v>
      </c>
      <c r="N150" s="512"/>
      <c r="O150" s="504">
        <f t="shared" si="49"/>
        <v>0</v>
      </c>
      <c r="P150" s="504">
        <f t="shared" si="50"/>
        <v>0</v>
      </c>
      <c r="Q150" s="243"/>
      <c r="R150" s="243"/>
      <c r="S150" s="243"/>
      <c r="T150" s="243"/>
      <c r="U150" s="243"/>
    </row>
    <row r="151" spans="2:21">
      <c r="B151" s="145" t="str">
        <f t="shared" si="43"/>
        <v/>
      </c>
      <c r="C151" s="495">
        <f>IF(D94="","-",+C150+1)</f>
        <v>2064</v>
      </c>
      <c r="D151" s="349">
        <f>IF(F150+SUM(E$100:E150)=D$93,F150,D$93-SUM(E$100:E150))</f>
        <v>0</v>
      </c>
      <c r="E151" s="509">
        <f>IF(+J97&lt;F150,J97,D151)</f>
        <v>0</v>
      </c>
      <c r="F151" s="510">
        <f t="shared" si="51"/>
        <v>0</v>
      </c>
      <c r="G151" s="510">
        <f t="shared" si="44"/>
        <v>0</v>
      </c>
      <c r="H151" s="523">
        <f t="shared" si="45"/>
        <v>0</v>
      </c>
      <c r="I151" s="572">
        <f t="shared" si="46"/>
        <v>0</v>
      </c>
      <c r="J151" s="504">
        <f t="shared" si="47"/>
        <v>0</v>
      </c>
      <c r="K151" s="504"/>
      <c r="L151" s="512"/>
      <c r="M151" s="504">
        <f t="shared" si="48"/>
        <v>0</v>
      </c>
      <c r="N151" s="512"/>
      <c r="O151" s="504">
        <f t="shared" si="49"/>
        <v>0</v>
      </c>
      <c r="P151" s="504">
        <f t="shared" si="50"/>
        <v>0</v>
      </c>
      <c r="Q151" s="243"/>
      <c r="R151" s="243"/>
      <c r="S151" s="243"/>
      <c r="T151" s="243"/>
      <c r="U151" s="243"/>
    </row>
    <row r="152" spans="2:21">
      <c r="B152" s="145" t="str">
        <f t="shared" si="43"/>
        <v/>
      </c>
      <c r="C152" s="495">
        <f>IF(D94="","-",+C151+1)</f>
        <v>2065</v>
      </c>
      <c r="D152" s="349">
        <f>IF(F151+SUM(E$100:E151)=D$93,F151,D$93-SUM(E$100:E151))</f>
        <v>0</v>
      </c>
      <c r="E152" s="509">
        <f>IF(+J97&lt;F151,J97,D152)</f>
        <v>0</v>
      </c>
      <c r="F152" s="510">
        <f t="shared" si="51"/>
        <v>0</v>
      </c>
      <c r="G152" s="510">
        <f t="shared" si="44"/>
        <v>0</v>
      </c>
      <c r="H152" s="523">
        <f t="shared" si="45"/>
        <v>0</v>
      </c>
      <c r="I152" s="572">
        <f t="shared" si="46"/>
        <v>0</v>
      </c>
      <c r="J152" s="504">
        <f t="shared" si="47"/>
        <v>0</v>
      </c>
      <c r="K152" s="504"/>
      <c r="L152" s="512"/>
      <c r="M152" s="504">
        <f t="shared" si="48"/>
        <v>0</v>
      </c>
      <c r="N152" s="512"/>
      <c r="O152" s="504">
        <f t="shared" si="49"/>
        <v>0</v>
      </c>
      <c r="P152" s="504">
        <f t="shared" si="50"/>
        <v>0</v>
      </c>
      <c r="Q152" s="243"/>
      <c r="R152" s="243"/>
      <c r="S152" s="243"/>
      <c r="T152" s="243"/>
      <c r="U152" s="243"/>
    </row>
    <row r="153" spans="2:21">
      <c r="B153" s="145" t="str">
        <f t="shared" si="43"/>
        <v/>
      </c>
      <c r="C153" s="495">
        <f>IF(D94="","-",+C152+1)</f>
        <v>2066</v>
      </c>
      <c r="D153" s="349">
        <f>IF(F152+SUM(E$100:E152)=D$93,F152,D$93-SUM(E$100:E152))</f>
        <v>0</v>
      </c>
      <c r="E153" s="509">
        <f>IF(+J97&lt;F152,J97,D153)</f>
        <v>0</v>
      </c>
      <c r="F153" s="510">
        <f t="shared" si="51"/>
        <v>0</v>
      </c>
      <c r="G153" s="510">
        <f t="shared" si="44"/>
        <v>0</v>
      </c>
      <c r="H153" s="523">
        <f t="shared" si="45"/>
        <v>0</v>
      </c>
      <c r="I153" s="572">
        <f t="shared" si="46"/>
        <v>0</v>
      </c>
      <c r="J153" s="504">
        <f t="shared" si="47"/>
        <v>0</v>
      </c>
      <c r="K153" s="504"/>
      <c r="L153" s="512"/>
      <c r="M153" s="504">
        <f t="shared" si="48"/>
        <v>0</v>
      </c>
      <c r="N153" s="512"/>
      <c r="O153" s="504">
        <f t="shared" si="49"/>
        <v>0</v>
      </c>
      <c r="P153" s="504">
        <f t="shared" si="50"/>
        <v>0</v>
      </c>
      <c r="Q153" s="243"/>
      <c r="R153" s="243"/>
      <c r="S153" s="243"/>
      <c r="T153" s="243"/>
      <c r="U153" s="243"/>
    </row>
    <row r="154" spans="2:21">
      <c r="B154" s="145" t="str">
        <f t="shared" si="43"/>
        <v/>
      </c>
      <c r="C154" s="495">
        <f>IF(D94="","-",+C153+1)</f>
        <v>2067</v>
      </c>
      <c r="D154" s="349">
        <f>IF(F153+SUM(E$100:E153)=D$93,F153,D$93-SUM(E$100:E153))</f>
        <v>0</v>
      </c>
      <c r="E154" s="509">
        <f>IF(+J97&lt;F153,J97,D154)</f>
        <v>0</v>
      </c>
      <c r="F154" s="510">
        <f t="shared" si="51"/>
        <v>0</v>
      </c>
      <c r="G154" s="510">
        <f t="shared" si="44"/>
        <v>0</v>
      </c>
      <c r="H154" s="523">
        <f t="shared" si="45"/>
        <v>0</v>
      </c>
      <c r="I154" s="572">
        <f t="shared" si="46"/>
        <v>0</v>
      </c>
      <c r="J154" s="504">
        <f t="shared" si="47"/>
        <v>0</v>
      </c>
      <c r="K154" s="504"/>
      <c r="L154" s="512"/>
      <c r="M154" s="504">
        <f t="shared" si="48"/>
        <v>0</v>
      </c>
      <c r="N154" s="512"/>
      <c r="O154" s="504">
        <f t="shared" si="49"/>
        <v>0</v>
      </c>
      <c r="P154" s="504">
        <f t="shared" si="50"/>
        <v>0</v>
      </c>
      <c r="Q154" s="243"/>
      <c r="R154" s="243"/>
      <c r="S154" s="243"/>
      <c r="T154" s="243"/>
      <c r="U154" s="243"/>
    </row>
    <row r="155" spans="2:21" ht="13.5" thickBot="1">
      <c r="B155" s="145" t="str">
        <f t="shared" si="43"/>
        <v/>
      </c>
      <c r="C155" s="524">
        <f>IF(D94="","-",+C154+1)</f>
        <v>2068</v>
      </c>
      <c r="D155" s="527">
        <f>IF(F154+SUM(E$100:E154)=D$93,F154,D$93-SUM(E$100:E154))</f>
        <v>0</v>
      </c>
      <c r="E155" s="526">
        <f>IF(+J97&lt;F154,J97,D155)</f>
        <v>0</v>
      </c>
      <c r="F155" s="527">
        <f t="shared" si="51"/>
        <v>0</v>
      </c>
      <c r="G155" s="527">
        <f t="shared" si="44"/>
        <v>0</v>
      </c>
      <c r="H155" s="528">
        <f t="shared" si="45"/>
        <v>0</v>
      </c>
      <c r="I155" s="573">
        <f t="shared" si="46"/>
        <v>0</v>
      </c>
      <c r="J155" s="531">
        <f t="shared" si="47"/>
        <v>0</v>
      </c>
      <c r="K155" s="504"/>
      <c r="L155" s="530"/>
      <c r="M155" s="531">
        <f t="shared" si="48"/>
        <v>0</v>
      </c>
      <c r="N155" s="530"/>
      <c r="O155" s="531">
        <f t="shared" si="49"/>
        <v>0</v>
      </c>
      <c r="P155" s="531">
        <f t="shared" si="50"/>
        <v>0</v>
      </c>
      <c r="Q155" s="243"/>
      <c r="R155" s="243"/>
      <c r="S155" s="243"/>
      <c r="T155" s="243"/>
      <c r="U155" s="243"/>
    </row>
    <row r="156" spans="2:21">
      <c r="C156" s="349" t="s">
        <v>75</v>
      </c>
      <c r="D156" s="294"/>
      <c r="E156" s="294">
        <f>SUM(E100:E155)</f>
        <v>28914236</v>
      </c>
      <c r="F156" s="294"/>
      <c r="G156" s="294"/>
      <c r="H156" s="294">
        <f>SUM(H100:H155)</f>
        <v>78787637.374581039</v>
      </c>
      <c r="I156" s="294">
        <f>SUM(I100:I155)</f>
        <v>78787637.374581039</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2" priority="1" stopIfTrue="1" operator="equal">
      <formula>$I$10</formula>
    </cfRule>
  </conditionalFormatting>
  <conditionalFormatting sqref="C100:C155">
    <cfRule type="cellIs" dxfId="51"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MTAvMTEvMjAyMiA1OjM4OjU0IFBNPC9EYXRlVGltZT48TGFiZWxTdHJpbmc+QUVQIEludGVybmFs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A58CE6C4-8A6E-4F2E-B4FA-35A4F97A264C}">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0FCCADB-A486-4782-80E7-92DFC4CE1A1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23</vt:i4>
      </vt:variant>
    </vt:vector>
  </HeadingPairs>
  <TitlesOfParts>
    <vt:vector size="51"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OKT.020</vt:lpstr>
      <vt:lpstr>OKT.021</vt:lpstr>
      <vt:lpstr>OKT.022</vt:lpstr>
      <vt:lpstr>OKT.023</vt:lpstr>
      <vt:lpstr>OKT.024</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
  <cp:lastModifiedBy>Mark J Koziol</cp:lastModifiedBy>
  <cp:lastPrinted>2021-11-01T14:25:04Z</cp:lastPrinted>
  <dcterms:created xsi:type="dcterms:W3CDTF">2009-05-11T14:02:48Z</dcterms:created>
  <dcterms:modified xsi:type="dcterms:W3CDTF">2023-10-31T13:06:04Z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d54ab196-475d-4be3-8542-e90186861649</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ClsUserRVM">
    <vt:lpwstr>[]</vt:lpwstr>
  </property>
  <property fmtid="{D5CDD505-2E9C-101B-9397-08002B2CF9AE}" pid="12" name="bjLabelHistoryID">
    <vt:lpwstr>{A58CE6C4-8A6E-4F2E-B4FA-35A4F97A264C}</vt:lpwstr>
  </property>
</Properties>
</file>